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omments15.xml" ContentType="application/vnd.openxmlformats-officedocument.spreadsheetml.comments+xml"/>
  <Override PartName="/xl/drawings/drawing61.xml" ContentType="application/vnd.openxmlformats-officedocument.drawing+xml"/>
  <Override PartName="/xl/comments16.xml" ContentType="application/vnd.openxmlformats-officedocument.spreadsheetml.comment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FORMULA RATES SPP\Annual Update Transmission Rates AEP West SPP OpCos and Transcos\True Ups\2021 Annual Update\Filed Documents 5-24-21\"/>
    </mc:Choice>
  </mc:AlternateContent>
  <bookViews>
    <workbookView xWindow="290" yWindow="6420" windowWidth="18910" windowHeight="4610" tabRatio="838"/>
  </bookViews>
  <sheets>
    <sheet name="SWE.Sch.11.Rates" sheetId="36" r:id="rId1"/>
    <sheet name="SWE.WS.F.BPU.ATRR.Projected" sheetId="1" r:id="rId2"/>
    <sheet name="SWE.WS.G.BPU.ATRR.True-up" sheetId="2" r:id="rId3"/>
    <sheet name="S.001" sheetId="3" r:id="rId4"/>
    <sheet name="S.002" sheetId="17" r:id="rId5"/>
    <sheet name="S.003" sheetId="18" r:id="rId6"/>
    <sheet name="S.004" sheetId="19" r:id="rId7"/>
    <sheet name="S.005" sheetId="20" r:id="rId8"/>
    <sheet name="S.006" sheetId="21" r:id="rId9"/>
    <sheet name="S.007" sheetId="22" r:id="rId10"/>
    <sheet name="S.008" sheetId="23" r:id="rId11"/>
    <sheet name="S.009" sheetId="24" r:id="rId12"/>
    <sheet name="S.010" sheetId="25" r:id="rId13"/>
    <sheet name="S.011" sheetId="26" r:id="rId14"/>
    <sheet name="S.012" sheetId="27" r:id="rId15"/>
    <sheet name="S.013" sheetId="28" r:id="rId16"/>
    <sheet name="S.014" sheetId="29" r:id="rId17"/>
    <sheet name="S.015" sheetId="30" r:id="rId18"/>
    <sheet name="S.016" sheetId="31" r:id="rId19"/>
    <sheet name="S.017" sheetId="32" r:id="rId20"/>
    <sheet name="S.018" sheetId="33" r:id="rId21"/>
    <sheet name="S.019" sheetId="34" r:id="rId22"/>
    <sheet name="S.020" sheetId="35" r:id="rId23"/>
    <sheet name="S.021" sheetId="39" r:id="rId24"/>
    <sheet name="S.022" sheetId="41" r:id="rId25"/>
    <sheet name="S.023" sheetId="42" r:id="rId26"/>
    <sheet name="S.024" sheetId="43" r:id="rId27"/>
    <sheet name="S.025" sheetId="44" r:id="rId28"/>
    <sheet name="S.026" sheetId="45" r:id="rId29"/>
    <sheet name="S.027" sheetId="46" r:id="rId30"/>
    <sheet name="S.028" sheetId="53" r:id="rId31"/>
    <sheet name="S.029" sheetId="54" r:id="rId32"/>
    <sheet name="S.030" sheetId="55" r:id="rId33"/>
    <sheet name="S.031" sheetId="56" r:id="rId34"/>
    <sheet name="S.032" sheetId="57" r:id="rId35"/>
    <sheet name="S.033" sheetId="58" r:id="rId36"/>
    <sheet name="S.034" sheetId="59" r:id="rId37"/>
    <sheet name="S.035" sheetId="61" r:id="rId38"/>
    <sheet name="S.036" sheetId="63" r:id="rId39"/>
    <sheet name="S.037" sheetId="62" r:id="rId40"/>
    <sheet name="S.038" sheetId="60" r:id="rId41"/>
    <sheet name="S.039" sheetId="64" r:id="rId42"/>
    <sheet name="S.040" sheetId="65" r:id="rId43"/>
    <sheet name="S.041" sheetId="66" r:id="rId44"/>
    <sheet name="S.042" sheetId="67" r:id="rId45"/>
    <sheet name="S.043" sheetId="68" r:id="rId46"/>
    <sheet name="S.044" sheetId="69" r:id="rId47"/>
    <sheet name="S.045" sheetId="70" r:id="rId48"/>
    <sheet name="S.046" sheetId="71" r:id="rId49"/>
    <sheet name="S.047" sheetId="72" r:id="rId50"/>
    <sheet name="S.048" sheetId="73" r:id="rId51"/>
    <sheet name="S.049" sheetId="74" r:id="rId52"/>
    <sheet name="S.050" sheetId="75" r:id="rId53"/>
    <sheet name="S.051" sheetId="76" r:id="rId54"/>
    <sheet name="S.052" sheetId="77" r:id="rId55"/>
    <sheet name="S.053" sheetId="78" r:id="rId56"/>
    <sheet name="S.054" sheetId="79" r:id="rId57"/>
    <sheet name="S.055" sheetId="80" r:id="rId58"/>
    <sheet name="S.056" sheetId="81" r:id="rId59"/>
    <sheet name="S.057" sheetId="82" r:id="rId60"/>
    <sheet name="S.058" sheetId="83" r:id="rId61"/>
    <sheet name="S.059" sheetId="84" r:id="rId62"/>
    <sheet name="S.060" sheetId="85" r:id="rId63"/>
    <sheet name="S.061" sheetId="86" r:id="rId64"/>
    <sheet name="S.062" sheetId="87" r:id="rId65"/>
    <sheet name="S.063" sheetId="88" r:id="rId66"/>
    <sheet name="S.064" sheetId="89" r:id="rId67"/>
    <sheet name="S.065" sheetId="90" r:id="rId68"/>
    <sheet name="S.066" sheetId="91" r:id="rId69"/>
    <sheet name="S.067" sheetId="92" r:id="rId70"/>
    <sheet name="S.068" sheetId="93" r:id="rId71"/>
    <sheet name="S.069" sheetId="94" r:id="rId72"/>
    <sheet name="S.070" sheetId="95" r:id="rId73"/>
    <sheet name="S.071" sheetId="96" r:id="rId74"/>
    <sheet name="S.072" sheetId="97" r:id="rId75"/>
    <sheet name="S.073" sheetId="98" r:id="rId76"/>
    <sheet name="S.074" sheetId="99" r:id="rId77"/>
    <sheet name="S.xyz - blank" sheetId="13" r:id="rId78"/>
  </sheets>
  <externalReferences>
    <externalReference r:id="rId79"/>
  </externalReferences>
  <definedNames>
    <definedName name="_NPh1">#REF!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minChg">#REF!</definedName>
    <definedName name="AEP">#REF!</definedName>
    <definedName name="allocator">#REF!</definedName>
    <definedName name="allocators">#REF!</definedName>
    <definedName name="allocatorsSWP">#REF!</definedName>
    <definedName name="allocatorSWP1">'[1]SWP TCOS 2008 13 Month'!$I$317:$J$328</definedName>
    <definedName name="APCO">#REF!</definedName>
    <definedName name="AVRGPWRFCTR">#REF!</definedName>
    <definedName name="B1HRSCRMO">#REF!</definedName>
    <definedName name="B2HRSCRMO">#REF!</definedName>
    <definedName name="BASERATECHG">#REF!</definedName>
    <definedName name="BILLKWH">#REF!</definedName>
    <definedName name="BIRPCCHG">#REF!</definedName>
    <definedName name="BIRPDCHG1">#REF!</definedName>
    <definedName name="BIRPDCHG2">#REF!</definedName>
    <definedName name="BIRPECHG1">#REF!</definedName>
    <definedName name="BIRPECHGB1">#REF!</definedName>
    <definedName name="BIRPECHGB2">#REF!</definedName>
    <definedName name="BIRPECHGB3">#REF!</definedName>
    <definedName name="BIRPECHGW">#REF!</definedName>
    <definedName name="BIRPKWH1">#REF!</definedName>
    <definedName name="BIRPKWHB1">#REF!</definedName>
    <definedName name="BIRPKWHB2">#REF!</definedName>
    <definedName name="BIRPKWHB3">#REF!</definedName>
    <definedName name="BIRPKWHWH">#REF!</definedName>
    <definedName name="BIRPMECHG1">#REF!</definedName>
    <definedName name="BIRPOFKWH">#REF!</definedName>
    <definedName name="BIRPOPKWH">#REF!</definedName>
    <definedName name="BIRPP1EC">#REF!</definedName>
    <definedName name="BIRPP2EC">#REF!</definedName>
    <definedName name="BIRPP3EC">#REF!</definedName>
    <definedName name="BIRPP4EC">#REF!</definedName>
    <definedName name="BIRPP5EC">#REF!</definedName>
    <definedName name="BIRPPDMDCHG">#REF!</definedName>
    <definedName name="BIRPRCHG">#REF!</definedName>
    <definedName name="BIRPXKVA">#REF!</definedName>
    <definedName name="BIRPXKVAPCT">#REF!</definedName>
    <definedName name="BIRPXOFKW">#REF!</definedName>
    <definedName name="BKUPKWH">#REF!</definedName>
    <definedName name="BLDAMNT">#REF!</definedName>
    <definedName name="BLDDMND">#REF!</definedName>
    <definedName name="BLDKWH">#REF!</definedName>
    <definedName name="BLDOPDMND">#REF!</definedName>
    <definedName name="BLNGKWB4EDR">#REF!</definedName>
    <definedName name="BLNGKWH">#REF!</definedName>
    <definedName name="BLNGKWHTTL">#REF!</definedName>
    <definedName name="BndBlkKwh1">#REF!</definedName>
    <definedName name="BndBlkKwh2">#REF!</definedName>
    <definedName name="BndBlkKwh3">#REF!</definedName>
    <definedName name="BndBlkKwhChg1">#REF!</definedName>
    <definedName name="BndBlkKwhChg2">#REF!</definedName>
    <definedName name="BndBlkKwhChg3">#REF!</definedName>
    <definedName name="BndBlkKwhChgT">#REF!</definedName>
    <definedName name="BndBlkKwhChgW">#REF!</definedName>
    <definedName name="BndBlkKwhT">#REF!</definedName>
    <definedName name="BndBlkKwhW">#REF!</definedName>
    <definedName name="BndCustChg">#REF!</definedName>
    <definedName name="BndDmdChg1">#REF!</definedName>
    <definedName name="BndDmdChg2">#REF!</definedName>
    <definedName name="BndExcsKvaPct">#REF!</definedName>
    <definedName name="BndMEChg">#REF!</definedName>
    <definedName name="BndOffPkKwh">#REF!</definedName>
    <definedName name="BndOnPkKwh">#REF!</definedName>
    <definedName name="BndPL1Chg">#REF!</definedName>
    <definedName name="BndPL2Chg">#REF!</definedName>
    <definedName name="BndPL3Chg">#REF!</definedName>
    <definedName name="BndPL4Chg">#REF!</definedName>
    <definedName name="BndPL5Chg">#REF!</definedName>
    <definedName name="BndReactiveChg">#REF!</definedName>
    <definedName name="BndXOfpKvaChg">#REF!</definedName>
    <definedName name="BndXOfpKwChg">#REF!</definedName>
    <definedName name="BTTrueUp">#REF!</definedName>
    <definedName name="BUNCCHG">#REF!</definedName>
    <definedName name="BUNDCHG1">#REF!</definedName>
    <definedName name="BUNDCHG2">#REF!</definedName>
    <definedName name="BUNECHG1">#REF!</definedName>
    <definedName name="BUNECHGB1">#REF!</definedName>
    <definedName name="BUNECHGB2">#REF!</definedName>
    <definedName name="BUNECHGB3">#REF!</definedName>
    <definedName name="BUNECHGW">#REF!</definedName>
    <definedName name="BUNKWH1">#REF!</definedName>
    <definedName name="BUNKWHB1">#REF!</definedName>
    <definedName name="BUNKWHB2">#REF!</definedName>
    <definedName name="BUNKWHB3">#REF!</definedName>
    <definedName name="BUNKWHWH">#REF!</definedName>
    <definedName name="BUNMECHG1">#REF!</definedName>
    <definedName name="BUNOFKWH">#REF!</definedName>
    <definedName name="BUNOPKWH">#REF!</definedName>
    <definedName name="BUNP1EC">#REF!</definedName>
    <definedName name="BUNP2EC">#REF!</definedName>
    <definedName name="BUNP3EC">#REF!</definedName>
    <definedName name="BUNP4EC">#REF!</definedName>
    <definedName name="BUNP5EC">#REF!</definedName>
    <definedName name="BUNPDMDCHG">#REF!</definedName>
    <definedName name="BUNRCHG">#REF!</definedName>
    <definedName name="BUNXKVA">#REF!</definedName>
    <definedName name="BUNXKVAPCT">#REF!</definedName>
    <definedName name="BUNXOFKW">#REF!</definedName>
    <definedName name="CALCPFCC">#REF!</definedName>
    <definedName name="CAPDEFA">#REF!</definedName>
    <definedName name="CBLKWH">#REF!</definedName>
    <definedName name="City">#REF!</definedName>
    <definedName name="CNTRCTDMND">#REF!</definedName>
    <definedName name="CoPhoneLine">#REF!</definedName>
    <definedName name="CRMOINTRPTHRS">#REF!</definedName>
    <definedName name="CRNTMOBTKWH">#REF!</definedName>
    <definedName name="CRNTMOFPKHRS">#REF!</definedName>
    <definedName name="CRNTMONPKHRS">#REF!</definedName>
    <definedName name="CRTLBLONPKHRS">#REF!</definedName>
    <definedName name="CRTLBLONPKKWH">#REF!</definedName>
    <definedName name="CSTMRCHG">#REF!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rrYear">#REF!</definedName>
    <definedName name="CustAddr1">#REF!</definedName>
    <definedName name="CustAddr2">#REF!</definedName>
    <definedName name="CustCityStZip">#REF!</definedName>
    <definedName name="CustName2">#REF!</definedName>
    <definedName name="CustTable">#REF!</definedName>
    <definedName name="DetailTotCbl">#REF!</definedName>
    <definedName name="DetailTotChg">#REF!</definedName>
    <definedName name="DetailTotKw">#REF!</definedName>
    <definedName name="DetailTotMargin">#REF!</definedName>
    <definedName name="DIRPCCHG">#REF!</definedName>
    <definedName name="DIRPDCHG1">#REF!</definedName>
    <definedName name="DIRPDCHG2">#REF!</definedName>
    <definedName name="DIRPECHG1">#REF!</definedName>
    <definedName name="DIRPECHGB1">#REF!</definedName>
    <definedName name="DIRPECHGB2">#REF!</definedName>
    <definedName name="DIRPECHGB3">#REF!</definedName>
    <definedName name="DIRPMECHG1">#REF!</definedName>
    <definedName name="DIRPMINDC">#REF!</definedName>
    <definedName name="DIRPMINEC">#REF!</definedName>
    <definedName name="DIRPOFKVA">#REF!</definedName>
    <definedName name="DIRPOFKW">#REF!</definedName>
    <definedName name="DIRPOFKWH">#REF!</definedName>
    <definedName name="DIRPOPKWH">#REF!</definedName>
    <definedName name="DIRPP1EC">#REF!</definedName>
    <definedName name="DIRPP2EC">#REF!</definedName>
    <definedName name="DIRPP3EC">#REF!</definedName>
    <definedName name="DIRPP4EC">#REF!</definedName>
    <definedName name="DIRPP5EC">#REF!</definedName>
    <definedName name="DIRPRCHG">#REF!</definedName>
    <definedName name="DisBlkKwhChg1">#REF!</definedName>
    <definedName name="DisBlkKwhChg2">#REF!</definedName>
    <definedName name="DisBlkKwhChg3">#REF!</definedName>
    <definedName name="DisBlkKwhChgT">#REF!</definedName>
    <definedName name="DisCustChg">#REF!</definedName>
    <definedName name="DisDmdChg1">#REF!</definedName>
    <definedName name="DisDmdChg2">#REF!</definedName>
    <definedName name="DisMEChg">#REF!</definedName>
    <definedName name="DisMinDChg">#REF!</definedName>
    <definedName name="DisMinEChg">#REF!</definedName>
    <definedName name="DisOffPkKwh">#REF!</definedName>
    <definedName name="DisOnPkKwh">#REF!</definedName>
    <definedName name="DisPL1Chg">#REF!</definedName>
    <definedName name="DisPL2Chg">#REF!</definedName>
    <definedName name="DisPL3Chg">#REF!</definedName>
    <definedName name="DisPL4Chg">#REF!</definedName>
    <definedName name="DisPL5Chg">#REF!</definedName>
    <definedName name="DisReactiveChg">#REF!</definedName>
    <definedName name="DisXOfpKvaChg">#REF!</definedName>
    <definedName name="DisXOfpKwChg">#REF!</definedName>
    <definedName name="DSTCCHG">#REF!</definedName>
    <definedName name="DSTDCHG1">#REF!</definedName>
    <definedName name="DSTDCHG2">#REF!</definedName>
    <definedName name="DSTECHG1">#REF!</definedName>
    <definedName name="DSTECHGB1">#REF!</definedName>
    <definedName name="DSTECHGB2">#REF!</definedName>
    <definedName name="DSTECHGB3">#REF!</definedName>
    <definedName name="DSTMECHG1">#REF!</definedName>
    <definedName name="DSTMINDC">#REF!</definedName>
    <definedName name="DSTMINEC">#REF!</definedName>
    <definedName name="DSTOFKWH">#REF!</definedName>
    <definedName name="DSTOPKWH">#REF!</definedName>
    <definedName name="DSTP1EC">#REF!</definedName>
    <definedName name="DSTP2EC">#REF!</definedName>
    <definedName name="DSTP3EC">#REF!</definedName>
    <definedName name="DSTP4EC">#REF!</definedName>
    <definedName name="DSTP5EC">#REF!</definedName>
    <definedName name="DSTRCHG">#REF!</definedName>
    <definedName name="DSTXOFKVA">#REF!</definedName>
    <definedName name="DSTXOFKW">#REF!</definedName>
    <definedName name="EDRBASE">#REF!</definedName>
    <definedName name="EDRDATE">#REF!</definedName>
    <definedName name="EDRDSCNT">#REF!</definedName>
    <definedName name="EDRLVLPCT">#REF!</definedName>
    <definedName name="EDRTYPE">#REF!</definedName>
    <definedName name="EffDate">#REF!</definedName>
    <definedName name="ELKMCGN1">#REF!</definedName>
    <definedName name="ELKMCGN2">#REF!</definedName>
    <definedName name="ENDDTM">#REF!</definedName>
    <definedName name="ENDTIME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CSKVACHG">#REF!</definedName>
    <definedName name="EXCSKVADMND">#REF!</definedName>
    <definedName name="EXCSKVAR">#REF!</definedName>
    <definedName name="FIRMKWH">#REF!</definedName>
    <definedName name="FIRSTDAY">#REF!</definedName>
    <definedName name="FRMCPCT">#REF!</definedName>
    <definedName name="FUELCHG">#REF!</definedName>
    <definedName name="FUELRATE">#REF!</definedName>
    <definedName name="GenBlkKwhChg1">#REF!</definedName>
    <definedName name="GenBlkKwhChg2">#REF!</definedName>
    <definedName name="GenBlkKwhChg3">#REF!</definedName>
    <definedName name="GenBlkKwhChgT">#REF!</definedName>
    <definedName name="GENCCHG">#REF!</definedName>
    <definedName name="GenCustChg">#REF!</definedName>
    <definedName name="GENDCHG1">#REF!</definedName>
    <definedName name="GENDCHG2">#REF!</definedName>
    <definedName name="GenDmdChg1">#REF!</definedName>
    <definedName name="GenDmdChg2">#REF!</definedName>
    <definedName name="GENECHG1">#REF!</definedName>
    <definedName name="GENECHGB1">#REF!</definedName>
    <definedName name="GENECHGB2">#REF!</definedName>
    <definedName name="GENECHGB3">#REF!</definedName>
    <definedName name="GenMEChg">#REF!</definedName>
    <definedName name="GENMECHG1">#REF!</definedName>
    <definedName name="GENMINDC">#REF!</definedName>
    <definedName name="GenMinDChg">#REF!</definedName>
    <definedName name="GENMINEC">#REF!</definedName>
    <definedName name="GenMinEChg">#REF!</definedName>
    <definedName name="GenOffPkKwh">#REF!</definedName>
    <definedName name="GENOFKWH">#REF!</definedName>
    <definedName name="GenOnPkKwh">#REF!</definedName>
    <definedName name="GENOPKWH">#REF!</definedName>
    <definedName name="GENP1EC">#REF!</definedName>
    <definedName name="GENP2EC">#REF!</definedName>
    <definedName name="GENP3EC">#REF!</definedName>
    <definedName name="GENP4EC">#REF!</definedName>
    <definedName name="GENP5EC">#REF!</definedName>
    <definedName name="GenPL1Chg">#REF!</definedName>
    <definedName name="GenPL2Chg">#REF!</definedName>
    <definedName name="GenPL3Chg">#REF!</definedName>
    <definedName name="GenPL4Chg">#REF!</definedName>
    <definedName name="GenPL5Chg">#REF!</definedName>
    <definedName name="GENRCHG">#REF!</definedName>
    <definedName name="GenReactiveChg">#REF!</definedName>
    <definedName name="GENXOFKVA">#REF!</definedName>
    <definedName name="GENXOFKW">#REF!</definedName>
    <definedName name="GenXOfpKvaChg">#REF!</definedName>
    <definedName name="GenXOfpKwChg">#REF!</definedName>
    <definedName name="GIRPCCHG">#REF!</definedName>
    <definedName name="GIRPDCHG1">#REF!</definedName>
    <definedName name="GIRPDCHG2">#REF!</definedName>
    <definedName name="GIRPECHG1">#REF!</definedName>
    <definedName name="GIRPECHGB1">#REF!</definedName>
    <definedName name="GIRPECHGB2">#REF!</definedName>
    <definedName name="GIRPECHGB3">#REF!</definedName>
    <definedName name="GIRPMECHG1">#REF!</definedName>
    <definedName name="GIRPMINDC">#REF!</definedName>
    <definedName name="GIRPMINEC">#REF!</definedName>
    <definedName name="GIRPOFKVA">#REF!</definedName>
    <definedName name="GIRPOFKW">#REF!</definedName>
    <definedName name="GIRPOFKWH">#REF!</definedName>
    <definedName name="GIRPOPKWH">#REF!</definedName>
    <definedName name="GIRPP1EC">#REF!</definedName>
    <definedName name="GIRPP2EC">#REF!</definedName>
    <definedName name="GIRPP3EC">#REF!</definedName>
    <definedName name="GIRPP4EC">#REF!</definedName>
    <definedName name="GIRPP5EC">#REF!</definedName>
    <definedName name="GIRPRCHG">#REF!</definedName>
    <definedName name="HIPREKW">#REF!</definedName>
    <definedName name="HRCRDKW">#REF!</definedName>
    <definedName name="HRCRDKWDT">#REF!</definedName>
    <definedName name="HRCRDKWTM">#REF!</definedName>
    <definedName name="HROFPKDT">#REF!</definedName>
    <definedName name="HROFPKKW">#REF!</definedName>
    <definedName name="HROFPKTM">#REF!</definedName>
    <definedName name="HRONPKDT">#REF!</definedName>
    <definedName name="HRONPKKW">#REF!</definedName>
    <definedName name="HRONPKTM">#REF!</definedName>
    <definedName name="IMCO">#REF!</definedName>
    <definedName name="InterruptCapacity">#REF!</definedName>
    <definedName name="InterruptOfpCapacity">#REF!</definedName>
    <definedName name="InterruptType">#REF!</definedName>
    <definedName name="INTRPBLCAP">#REF!</definedName>
    <definedName name="Invdetails">#REF!</definedName>
    <definedName name="KWCHG">#REF!</definedName>
    <definedName name="KWH1NOCMM">#REF!</definedName>
    <definedName name="KWH3NOCMM">#REF!</definedName>
    <definedName name="KWHCHG">#REF!</definedName>
    <definedName name="LASTDAY">#REF!</definedName>
    <definedName name="LASTFUEL">#REF!</definedName>
    <definedName name="LASTMSRR">#REF!</definedName>
    <definedName name="LASTPFCC">#REF!</definedName>
    <definedName name="LDFCTR">#REF!</definedName>
    <definedName name="LRCREDIT">#REF!</definedName>
    <definedName name="MACC1">#REF!</definedName>
    <definedName name="MACC2">#REF!</definedName>
    <definedName name="MAINTHRSCRMO">#REF!</definedName>
    <definedName name="MAINTKWH">#REF!</definedName>
    <definedName name="MinBillDem">#REF!</definedName>
    <definedName name="MinBillDem2">#REF!</definedName>
    <definedName name="MinBillDmd">#REF!</definedName>
    <definedName name="MSRRBLD">#REF!</definedName>
    <definedName name="MSRRCHG">#REF!</definedName>
    <definedName name="MTRMLTPLR1">#REF!</definedName>
    <definedName name="MTRMLTPLR2">#REF!</definedName>
    <definedName name="NETMRGCHG">#REF!</definedName>
    <definedName name="NODAYSINPRD">#REF!</definedName>
    <definedName name="NODELPOINTS">#REF!</definedName>
    <definedName name="NP_h1">#REF!</definedName>
    <definedName name="NvsASD">"V2006-12-31"</definedName>
    <definedName name="NvsAutoDrillOk">"VN"</definedName>
    <definedName name="NvsElapsedTime">0.000231481484661344</definedName>
    <definedName name="NvsEndTime">39091.5909490741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"V100"</definedName>
    <definedName name="NvsPanelEffdt">"V2004-06-30"</definedName>
    <definedName name="NvsPanelSetid">"VAEP"</definedName>
    <definedName name="NvsReqBU">"VX999"</definedName>
    <definedName name="NvsReqBUOnly">"VN"</definedName>
    <definedName name="NvsTransLed">"VN"</definedName>
    <definedName name="NvsTreeASD">"V2099-01-01"</definedName>
    <definedName name="NvsValTbl.ACCOUNT">"GL_ACCOUNT_TBL"</definedName>
    <definedName name="NvsValTbl.AEP_STATE_JURIS">"AEP_ST_JD_TBL"</definedName>
    <definedName name="NvsValTbl.CURRENCY_CD">"CURRENCY_CD_TBL"</definedName>
    <definedName name="OFPCBLKW">#REF!</definedName>
    <definedName name="OFPKBILLKWH">#REF!</definedName>
    <definedName name="OFPKCGNKWH">#REF!</definedName>
    <definedName name="OFPKCNTRCTCPCT">#REF!</definedName>
    <definedName name="OFPKDMPKWH">#REF!</definedName>
    <definedName name="OFPKDSCRKWH">#REF!</definedName>
    <definedName name="OFPKDT">#REF!</definedName>
    <definedName name="OFPKEXCSKW">#REF!</definedName>
    <definedName name="OFPKINCRKWH">#REF!</definedName>
    <definedName name="OFPKKVADT">#REF!</definedName>
    <definedName name="OFPKKVATM">#REF!</definedName>
    <definedName name="OFPKKVW">#REF!</definedName>
    <definedName name="OFPKKW">#REF!</definedName>
    <definedName name="OFPKKWH1NOCMM">#REF!</definedName>
    <definedName name="OFPKKWH3NOCMM">#REF!</definedName>
    <definedName name="OFPKRCRDKWH">#REF!</definedName>
    <definedName name="OFPKTM">#REF!</definedName>
    <definedName name="OFPXCSKW">#REF!</definedName>
    <definedName name="OFPXCSKWDT">#REF!</definedName>
    <definedName name="OFPXCSKWH">#REF!</definedName>
    <definedName name="OFPXCSKWTM">#REF!</definedName>
    <definedName name="ONPKBILLKWH">#REF!</definedName>
    <definedName name="ONPKCAPB">#REF!</definedName>
    <definedName name="ONPKCGNKWH">#REF!</definedName>
    <definedName name="ONPKCNTRCTCPCT">#REF!</definedName>
    <definedName name="ONPKDMPKWH">#REF!</definedName>
    <definedName name="ONPKDSCRKWH">#REF!</definedName>
    <definedName name="ONPKDT">#REF!</definedName>
    <definedName name="ONPKINCRKWH">#REF!</definedName>
    <definedName name="ONPKKVA">#REF!</definedName>
    <definedName name="ONPKKVADT">#REF!</definedName>
    <definedName name="ONPKKVATM">#REF!</definedName>
    <definedName name="ONPKKW">#REF!</definedName>
    <definedName name="ONPKKWH1NOCMM">#REF!</definedName>
    <definedName name="ONPKKWH3NOCMM">#REF!</definedName>
    <definedName name="ONPKRCRDKWH">#REF!</definedName>
    <definedName name="ONPKTM">#REF!</definedName>
    <definedName name="OPCBLKW">#REF!</definedName>
    <definedName name="OPCO">#REF!</definedName>
    <definedName name="OPXCSKW">#REF!</definedName>
    <definedName name="OPXCSKWDT">#REF!</definedName>
    <definedName name="OPXCSKWH">#REF!</definedName>
    <definedName name="OPXCSKWTM">#REF!</definedName>
    <definedName name="OTHRTRNSKWH">#REF!</definedName>
    <definedName name="P1PENPERC">#REF!</definedName>
    <definedName name="P2PENPERC">#REF!</definedName>
    <definedName name="PeakDemandChg">#REF!</definedName>
    <definedName name="PenaltyDays">#REF!</definedName>
    <definedName name="PenaltyPct">#REF!</definedName>
    <definedName name="PENDAYS">#REF!</definedName>
    <definedName name="PENDAYS2">#REF!</definedName>
    <definedName name="PFCC">#REF!</definedName>
    <definedName name="PKKVAR">#REF!</definedName>
    <definedName name="PKKVARDATE">#REF!</definedName>
    <definedName name="PKKVARTIME">#REF!</definedName>
    <definedName name="PLVLKWH1">#REF!</definedName>
    <definedName name="PLVLKWH1A">#REF!</definedName>
    <definedName name="PLVLKWH2">#REF!</definedName>
    <definedName name="PLVLKWH23A">#REF!</definedName>
    <definedName name="PLVLKWH25">#REF!</definedName>
    <definedName name="PLVLKWH2A">#REF!</definedName>
    <definedName name="PLVLKWH3">#REF!</definedName>
    <definedName name="PLVLKWH3A">#REF!</definedName>
    <definedName name="PLVLKWH4">#REF!</definedName>
    <definedName name="PLVLKWH4A">#REF!</definedName>
    <definedName name="PRICEDESIG">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_xlnm.Print_Area" localSheetId="3">S.001!$A$1:$P$165</definedName>
    <definedName name="_xlnm.Print_Area" localSheetId="4">S.002!$A$1:$P$165</definedName>
    <definedName name="_xlnm.Print_Area" localSheetId="5">S.003!$A$1:$P$165</definedName>
    <definedName name="_xlnm.Print_Area" localSheetId="6">S.004!$A$1:$P$165</definedName>
    <definedName name="_xlnm.Print_Area" localSheetId="7">S.005!$A$1:$P$165</definedName>
    <definedName name="_xlnm.Print_Area" localSheetId="8">S.006!$A$1:$P$165</definedName>
    <definedName name="_xlnm.Print_Area" localSheetId="9">S.007!$A$1:$P$165</definedName>
    <definedName name="_xlnm.Print_Area" localSheetId="10">S.008!$A$1:$P$165</definedName>
    <definedName name="_xlnm.Print_Area" localSheetId="11">S.009!$A$1:$P$165</definedName>
    <definedName name="_xlnm.Print_Area" localSheetId="12">S.010!$A$1:$P$165</definedName>
    <definedName name="_xlnm.Print_Area" localSheetId="13">S.011!$A$1:$P$165</definedName>
    <definedName name="_xlnm.Print_Area" localSheetId="14">S.012!$A$1:$P$165</definedName>
    <definedName name="_xlnm.Print_Area" localSheetId="15">S.013!$A$1:$P$165</definedName>
    <definedName name="_xlnm.Print_Area" localSheetId="16">S.014!$A$1:$P$165</definedName>
    <definedName name="_xlnm.Print_Area" localSheetId="17">S.015!$A$1:$P$165</definedName>
    <definedName name="_xlnm.Print_Area" localSheetId="18">S.016!$A$1:$P$165</definedName>
    <definedName name="_xlnm.Print_Area" localSheetId="19">S.017!$A$1:$P$165</definedName>
    <definedName name="_xlnm.Print_Area" localSheetId="20">S.018!$A$1:$P$165</definedName>
    <definedName name="_xlnm.Print_Area" localSheetId="21">S.019!$A$1:$P$165</definedName>
    <definedName name="_xlnm.Print_Area" localSheetId="22">S.020!$A$1:$P$165</definedName>
    <definedName name="_xlnm.Print_Area" localSheetId="23">S.021!$A$1:$P$165</definedName>
    <definedName name="_xlnm.Print_Area" localSheetId="24">S.022!$A$1:$P$165</definedName>
    <definedName name="_xlnm.Print_Area" localSheetId="25">S.023!$A$1:$P$165</definedName>
    <definedName name="_xlnm.Print_Area" localSheetId="26">S.024!$A$1:$P$165</definedName>
    <definedName name="_xlnm.Print_Area" localSheetId="27">S.025!$A$1:$P$165</definedName>
    <definedName name="_xlnm.Print_Area" localSheetId="28">S.026!$A$1:$P$165</definedName>
    <definedName name="_xlnm.Print_Area" localSheetId="29">S.027!$A$1:$P$165</definedName>
    <definedName name="_xlnm.Print_Area" localSheetId="30">S.028!$A$1:$P$165</definedName>
    <definedName name="_xlnm.Print_Area" localSheetId="31">S.029!$A$1:$P$165</definedName>
    <definedName name="_xlnm.Print_Area" localSheetId="32">S.030!$A$1:$P$165</definedName>
    <definedName name="_xlnm.Print_Area" localSheetId="33">S.031!$A$1:$P$165</definedName>
    <definedName name="_xlnm.Print_Area" localSheetId="34">S.032!$A$1:$P$165</definedName>
    <definedName name="_xlnm.Print_Area" localSheetId="35">S.033!$A$1:$P$165</definedName>
    <definedName name="_xlnm.Print_Area" localSheetId="36">S.034!$A$1:$P$165</definedName>
    <definedName name="_xlnm.Print_Area" localSheetId="37">S.035!$A$1:$P$165</definedName>
    <definedName name="_xlnm.Print_Area" localSheetId="38">S.036!$A$1:$P$165</definedName>
    <definedName name="_xlnm.Print_Area" localSheetId="39">S.037!$A$1:$P$165</definedName>
    <definedName name="_xlnm.Print_Area" localSheetId="40">S.038!$A$1:$P$165</definedName>
    <definedName name="_xlnm.Print_Area" localSheetId="41">S.039!$A$1:$P$165</definedName>
    <definedName name="_xlnm.Print_Area" localSheetId="42">S.040!$A$1:$P$165</definedName>
    <definedName name="_xlnm.Print_Area" localSheetId="43">S.041!$A$1:$P$165</definedName>
    <definedName name="_xlnm.Print_Area" localSheetId="44">S.042!$A$1:$P$165</definedName>
    <definedName name="_xlnm.Print_Area" localSheetId="45">S.043!$A$1:$P$165</definedName>
    <definedName name="_xlnm.Print_Area" localSheetId="46">S.044!$A$1:$P$165</definedName>
    <definedName name="_xlnm.Print_Area" localSheetId="47">S.045!$A$1:$P$165</definedName>
    <definedName name="_xlnm.Print_Area" localSheetId="48">S.046!$A$1:$P$165</definedName>
    <definedName name="_xlnm.Print_Area" localSheetId="49">S.047!$A$1:$P$165</definedName>
    <definedName name="_xlnm.Print_Area" localSheetId="50">S.048!$A$1:$P$165</definedName>
    <definedName name="_xlnm.Print_Area" localSheetId="51">S.049!$A$1:$P$165</definedName>
    <definedName name="_xlnm.Print_Area" localSheetId="52">S.050!$A$1:$P$165</definedName>
    <definedName name="_xlnm.Print_Area" localSheetId="53">S.051!$A$1:$P$165</definedName>
    <definedName name="_xlnm.Print_Area" localSheetId="54">S.052!$A$1:$P$165</definedName>
    <definedName name="_xlnm.Print_Area" localSheetId="55">S.053!$A$1:$P$165</definedName>
    <definedName name="_xlnm.Print_Area" localSheetId="56">S.054!$A$1:$P$165</definedName>
    <definedName name="_xlnm.Print_Area" localSheetId="57">S.055!$A$1:$P$165</definedName>
    <definedName name="_xlnm.Print_Area" localSheetId="58">S.056!$A$1:$P$165</definedName>
    <definedName name="_xlnm.Print_Area" localSheetId="59">S.057!$A$1:$P$165</definedName>
    <definedName name="_xlnm.Print_Area" localSheetId="60">S.058!$A$1:$P$165</definedName>
    <definedName name="_xlnm.Print_Area" localSheetId="61">S.059!$A$1:$P$165</definedName>
    <definedName name="_xlnm.Print_Area" localSheetId="62">S.060!$A$1:$P$165</definedName>
    <definedName name="_xlnm.Print_Area" localSheetId="63">S.061!$A$1:$P$165</definedName>
    <definedName name="_xlnm.Print_Area" localSheetId="64">S.062!$A$1:$P$165</definedName>
    <definedName name="_xlnm.Print_Area" localSheetId="65">S.063!$A$1:$P$165</definedName>
    <definedName name="_xlnm.Print_Area" localSheetId="66">S.064!$A$1:$P$165</definedName>
    <definedName name="_xlnm.Print_Area" localSheetId="67">S.065!$A$1:$P$165</definedName>
    <definedName name="_xlnm.Print_Area" localSheetId="68">S.066!$A$1:$P$165</definedName>
    <definedName name="_xlnm.Print_Area" localSheetId="69">S.067!$A$1:$P$165</definedName>
    <definedName name="_xlnm.Print_Area" localSheetId="77">'S.xyz - blank'!$A$1:$P$165</definedName>
    <definedName name="_xlnm.Print_Area" localSheetId="0">SWE.Sch.11.Rates!$A$1:$T$95</definedName>
    <definedName name="_xlnm.Print_Area" localSheetId="1">SWE.WS.F.BPU.ATRR.Projected!$A$1:$O$93</definedName>
    <definedName name="_xlnm.Print_Area" localSheetId="2">'SWE.WS.G.BPU.ATRR.True-up'!$A$1:$P$96</definedName>
    <definedName name="_xlnm.Print_Titles" localSheetId="36">S.034!#REF!</definedName>
    <definedName name="_xlnm.Print_Titles" localSheetId="37">S.035!#REF!</definedName>
    <definedName name="_xlnm.Print_Titles" localSheetId="38">S.036!#REF!</definedName>
    <definedName name="_xlnm.Print_Titles" localSheetId="39">S.037!#REF!</definedName>
    <definedName name="_xlnm.Print_Titles" localSheetId="40">S.038!#REF!</definedName>
    <definedName name="_xlnm.Print_Titles" localSheetId="41">S.039!#REF!</definedName>
    <definedName name="_xlnm.Print_Titles" localSheetId="42">S.040!#REF!</definedName>
    <definedName name="_xlnm.Print_Titles" localSheetId="43">S.041!#REF!</definedName>
    <definedName name="_xlnm.Print_Titles" localSheetId="44">S.042!#REF!</definedName>
    <definedName name="_xlnm.Print_Titles" localSheetId="45">S.043!#REF!</definedName>
    <definedName name="_xlnm.Print_Titles" localSheetId="46">S.044!#REF!</definedName>
    <definedName name="_xlnm.Print_Titles" localSheetId="47">S.045!#REF!</definedName>
    <definedName name="_xlnm.Print_Titles" localSheetId="48">S.046!#REF!</definedName>
    <definedName name="_xlnm.Print_Titles" localSheetId="49">S.047!#REF!</definedName>
    <definedName name="_xlnm.Print_Titles" localSheetId="50">S.048!#REF!</definedName>
    <definedName name="_xlnm.Print_Titles" localSheetId="51">S.049!#REF!</definedName>
    <definedName name="_xlnm.Print_Titles" localSheetId="52">S.050!#REF!</definedName>
    <definedName name="_xlnm.Print_Titles" localSheetId="53">S.051!#REF!</definedName>
    <definedName name="_xlnm.Print_Titles" localSheetId="54">S.052!#REF!</definedName>
    <definedName name="_xlnm.Print_Titles" localSheetId="55">S.053!#REF!</definedName>
    <definedName name="_xlnm.Print_Titles" localSheetId="56">S.054!#REF!</definedName>
    <definedName name="_xlnm.Print_Titles" localSheetId="57">S.055!#REF!</definedName>
    <definedName name="_xlnm.Print_Titles" localSheetId="58">S.056!#REF!</definedName>
    <definedName name="_xlnm.Print_Titles" localSheetId="59">S.057!#REF!</definedName>
    <definedName name="_xlnm.Print_Titles" localSheetId="60">S.058!#REF!</definedName>
    <definedName name="_xlnm.Print_Titles" localSheetId="61">S.059!#REF!</definedName>
    <definedName name="_xlnm.Print_Titles" localSheetId="62">S.060!#REF!</definedName>
    <definedName name="_xlnm.Print_Titles" localSheetId="63">S.061!#REF!</definedName>
    <definedName name="_xlnm.Print_Titles" localSheetId="64">S.062!#REF!</definedName>
    <definedName name="_xlnm.Print_Titles" localSheetId="65">S.063!#REF!</definedName>
    <definedName name="_xlnm.Print_Titles" localSheetId="66">S.064!#REF!</definedName>
    <definedName name="_xlnm.Print_Titles" localSheetId="67">S.065!#REF!</definedName>
    <definedName name="_xlnm.Print_Titles" localSheetId="68">S.066!#REF!</definedName>
    <definedName name="_xlnm.Print_Titles" localSheetId="69">S.067!#REF!</definedName>
    <definedName name="_xlnm.Print_Titles" localSheetId="77">'S.xyz - blank'!#REF!</definedName>
    <definedName name="_xlnm.Print_Titles" localSheetId="0">SWE.Sch.11.Rates!$1:$17</definedName>
    <definedName name="_xlnm.Print_Titles" localSheetId="1">SWE.WS.F.BPU.ATRR.Projected!$1:$6</definedName>
    <definedName name="_xlnm.Print_Titles" localSheetId="2">'SWE.WS.G.BPU.ATRR.True-up'!$1:$5</definedName>
    <definedName name="PRVCNT">#REF!</definedName>
    <definedName name="PRVDATE">#REF!</definedName>
    <definedName name="PRVFUEL">#REF!</definedName>
    <definedName name="PRVKW">#REF!</definedName>
    <definedName name="PRVKWH">#REF!</definedName>
    <definedName name="PRVMSRR">#REF!</definedName>
    <definedName name="PRVPFCC">#REF!</definedName>
    <definedName name="PSOallocatorsP">#REF!</definedName>
    <definedName name="PVHIOFPCBL">#REF!</definedName>
    <definedName name="PVHIOPCBL">#REF!</definedName>
    <definedName name="RatchetFactor">#REF!</definedName>
    <definedName name="RCRDRID">#REF!</definedName>
    <definedName name="RCTVHRS">#REF!</definedName>
    <definedName name="RDRBLK1C">#REF!</definedName>
    <definedName name="RDRBLK1Q">#REF!</definedName>
    <definedName name="RDRBLK2C">#REF!</definedName>
    <definedName name="RDRBLK2Q">#REF!</definedName>
    <definedName name="RDRBLK3C">#REF!</definedName>
    <definedName name="RDRBLK3Q">#REF!</definedName>
    <definedName name="RDRBLKTC">#REF!</definedName>
    <definedName name="RDRBLKTC1">#REF!</definedName>
    <definedName name="RDRBLKTC10">#REF!</definedName>
    <definedName name="RDRBLKTC11">#REF!</definedName>
    <definedName name="RDRBLKTC12">#REF!</definedName>
    <definedName name="RDRBLKTC13">#REF!</definedName>
    <definedName name="RDRBLKTC14">#REF!</definedName>
    <definedName name="RDRBLKTC15">#REF!</definedName>
    <definedName name="RDRBLKTC16">#REF!</definedName>
    <definedName name="RDRBLKTC17">#REF!</definedName>
    <definedName name="RDRBLKTC18">#REF!</definedName>
    <definedName name="RDRBLKTC19">#REF!</definedName>
    <definedName name="RDRBLKTC2">#REF!</definedName>
    <definedName name="RDRBLKTC20">#REF!</definedName>
    <definedName name="RDRBLKTC3">#REF!</definedName>
    <definedName name="RDRBLKTC4">#REF!</definedName>
    <definedName name="RDRBLKTC5">#REF!</definedName>
    <definedName name="RDRBLKTC6">#REF!</definedName>
    <definedName name="RDRBLKTC7">#REF!</definedName>
    <definedName name="RDRBLKTC8">#REF!</definedName>
    <definedName name="RDRBLKTC9">#REF!</definedName>
    <definedName name="RDRBLKTQ">#REF!</definedName>
    <definedName name="RDRCODE">#REF!</definedName>
    <definedName name="RDRCYCLE">#REF!</definedName>
    <definedName name="RDRDATE">#REF!</definedName>
    <definedName name="RDRNAME">#REF!</definedName>
    <definedName name="RDRRATEB">#REF!</definedName>
    <definedName name="RDRRATEB1">#REF!</definedName>
    <definedName name="RDRRATEB10">#REF!</definedName>
    <definedName name="RDRRATEB11">#REF!</definedName>
    <definedName name="RDRRATEB12">#REF!</definedName>
    <definedName name="RDRRATEB13">#REF!</definedName>
    <definedName name="RDRRATEB14">#REF!</definedName>
    <definedName name="RDRRATEB15">#REF!</definedName>
    <definedName name="RDRRATEB16">#REF!</definedName>
    <definedName name="RDRRATEB17">#REF!</definedName>
    <definedName name="RDRRATEB18">#REF!</definedName>
    <definedName name="RDRRATEB19">#REF!</definedName>
    <definedName name="RDRRATEB2">#REF!</definedName>
    <definedName name="RDRRATEB20">#REF!</definedName>
    <definedName name="RDRRATEB3">#REF!</definedName>
    <definedName name="RDRRATEB4">#REF!</definedName>
    <definedName name="RDRRATEB5">#REF!</definedName>
    <definedName name="RDRRATEB6">#REF!</definedName>
    <definedName name="RDRRATEB7">#REF!</definedName>
    <definedName name="RDRRATEB8">#REF!</definedName>
    <definedName name="RDRRATEB9">#REF!</definedName>
    <definedName name="RDRRATED">#REF!</definedName>
    <definedName name="RDRRATED1">#REF!</definedName>
    <definedName name="RDRRATED10">#REF!</definedName>
    <definedName name="RDRRATED11">#REF!</definedName>
    <definedName name="RDRRATED12">#REF!</definedName>
    <definedName name="RDRRATED13">#REF!</definedName>
    <definedName name="RDRRATED14">#REF!</definedName>
    <definedName name="RDRRATED15">#REF!</definedName>
    <definedName name="RDRRATED16">#REF!</definedName>
    <definedName name="RDRRATED17">#REF!</definedName>
    <definedName name="RDRRATED18">#REF!</definedName>
    <definedName name="RDRRATED19">#REF!</definedName>
    <definedName name="RDRRATED2">#REF!</definedName>
    <definedName name="RDRRATED20">#REF!</definedName>
    <definedName name="RDRRATED3">#REF!</definedName>
    <definedName name="RDRRATED4">#REF!</definedName>
    <definedName name="RDRRATED5">#REF!</definedName>
    <definedName name="RDRRATED6">#REF!</definedName>
    <definedName name="RDRRATED7">#REF!</definedName>
    <definedName name="RDRRATED8">#REF!</definedName>
    <definedName name="RDRRATED9">#REF!</definedName>
    <definedName name="RDRRATEG">#REF!</definedName>
    <definedName name="RDRRATEG1">#REF!</definedName>
    <definedName name="RDRRATEG10">#REF!</definedName>
    <definedName name="RDRRATEG11">#REF!</definedName>
    <definedName name="RDRRATEG12">#REF!</definedName>
    <definedName name="RDRRATEG13">#REF!</definedName>
    <definedName name="RDRRATEG14">#REF!</definedName>
    <definedName name="RDRRATEG15">#REF!</definedName>
    <definedName name="RDRRATEG16">#REF!</definedName>
    <definedName name="RDRRATEG17">#REF!</definedName>
    <definedName name="RDRRATEG18">#REF!</definedName>
    <definedName name="RDRRATEG19">#REF!</definedName>
    <definedName name="RDRRATEG2">#REF!</definedName>
    <definedName name="RDRRATEG20">#REF!</definedName>
    <definedName name="RDRRATEG3">#REF!</definedName>
    <definedName name="RDRRATEG4">#REF!</definedName>
    <definedName name="RDRRATEG5">#REF!</definedName>
    <definedName name="RDRRATEG6">#REF!</definedName>
    <definedName name="RDRRATEG7">#REF!</definedName>
    <definedName name="RDRRATEG8">#REF!</definedName>
    <definedName name="RDRRATEG9">#REF!</definedName>
    <definedName name="RDRRATET">#REF!</definedName>
    <definedName name="RDRRATET1">#REF!</definedName>
    <definedName name="RDRRATET10">#REF!</definedName>
    <definedName name="RDRRATET11">#REF!</definedName>
    <definedName name="RDRRATET12">#REF!</definedName>
    <definedName name="RDRRATET13">#REF!</definedName>
    <definedName name="RDRRATET14">#REF!</definedName>
    <definedName name="RDRRATET15">#REF!</definedName>
    <definedName name="RDRRATET16">#REF!</definedName>
    <definedName name="RDRRATET17">#REF!</definedName>
    <definedName name="RDRRATET18">#REF!</definedName>
    <definedName name="RDRRATET19">#REF!</definedName>
    <definedName name="RDRRATET2">#REF!</definedName>
    <definedName name="RDRRATET20">#REF!</definedName>
    <definedName name="RDRRATET3">#REF!</definedName>
    <definedName name="RDRRATET4">#REF!</definedName>
    <definedName name="RDRRATET5">#REF!</definedName>
    <definedName name="RDRRATET6">#REF!</definedName>
    <definedName name="RDRRATET7">#REF!</definedName>
    <definedName name="RDRRATET8">#REF!</definedName>
    <definedName name="RDRRATET9">#REF!</definedName>
    <definedName name="RDRTYPE">#REF!</definedName>
    <definedName name="RDRUNITS">#REF!</definedName>
    <definedName name="_xlnm.Recorder">#REF!</definedName>
    <definedName name="Reserved_Section">#REF!</definedName>
    <definedName name="RIDERS">#REF!</definedName>
    <definedName name="RKVAHRDNG">#REF!</definedName>
    <definedName name="RTCHTCNTRCTCPCT">#REF!</definedName>
    <definedName name="RTCHTFCTR">#REF!</definedName>
    <definedName name="RTCHTFCTR2">#REF!</definedName>
    <definedName name="RTCHTHIPREVKW">#REF!</definedName>
    <definedName name="RTP_Detail">#REF!</definedName>
    <definedName name="RTPLRKW">#REF!</definedName>
    <definedName name="SDI">#REF!</definedName>
    <definedName name="SHLDRPKKW">#REF!</definedName>
    <definedName name="SHLDRPKKWDT">#REF!</definedName>
    <definedName name="SHLDRPKKWTM">#REF!</definedName>
    <definedName name="SHRDTRNSKWH">#REF!</definedName>
    <definedName name="SRPLSKWH">#REF!</definedName>
    <definedName name="STARTDTM">#REF!</definedName>
    <definedName name="State">#REF!</definedName>
    <definedName name="STDKW">#REF!</definedName>
    <definedName name="STDKWDT">#REF!</definedName>
    <definedName name="STDKWTM">#REF!</definedName>
    <definedName name="STRTTIME">#REF!</definedName>
    <definedName name="SWPallocatorsH">#REF!</definedName>
    <definedName name="SWPallocatorsP">#REF!</definedName>
    <definedName name="SYSPKKW">#REF!</definedName>
    <definedName name="SYSPKKWDT">#REF!</definedName>
    <definedName name="SYSPKKWTM">#REF!</definedName>
    <definedName name="TARIFF1">#REF!</definedName>
    <definedName name="TARIFF2">#REF!</definedName>
    <definedName name="TariffCode">#REF!</definedName>
    <definedName name="TariffLongName">#REF!</definedName>
    <definedName name="TariffShortName">#REF!</definedName>
    <definedName name="TAXDATE">#REF!</definedName>
    <definedName name="TAXES">#REF!</definedName>
    <definedName name="TAXNAME">#REF!</definedName>
    <definedName name="TAXRATE">#REF!</definedName>
    <definedName name="TAXTYPE">#REF!</definedName>
    <definedName name="TCst">#REF!</definedName>
    <definedName name="TCst1">#REF!</definedName>
    <definedName name="TIRPCCHG">#REF!</definedName>
    <definedName name="TIRPDCHG1">#REF!</definedName>
    <definedName name="TIRPDCHG2">#REF!</definedName>
    <definedName name="TIRPECHG1">#REF!</definedName>
    <definedName name="TIRPECHGB1">#REF!</definedName>
    <definedName name="TIRPECHGB2">#REF!</definedName>
    <definedName name="TIRPECHGB3">#REF!</definedName>
    <definedName name="TIRPMECHG1">#REF!</definedName>
    <definedName name="TIRPMINDC">#REF!</definedName>
    <definedName name="TIRPMINEC">#REF!</definedName>
    <definedName name="TIRPOFKVA">#REF!</definedName>
    <definedName name="TIRPOFKW">#REF!</definedName>
    <definedName name="TIRPOFKWH">#REF!</definedName>
    <definedName name="TIRPOPKWH">#REF!</definedName>
    <definedName name="TIRPP1EC">#REF!</definedName>
    <definedName name="TIRPP2EC">#REF!</definedName>
    <definedName name="TIRPP3EC">#REF!</definedName>
    <definedName name="TIRPP4EC">#REF!</definedName>
    <definedName name="TIRPP5EC">#REF!</definedName>
    <definedName name="TIRPRCHG">#REF!</definedName>
    <definedName name="TLsFctr">#REF!</definedName>
    <definedName name="TRCRDKWH">#REF!</definedName>
    <definedName name="TRCRDKWH2P">#REF!</definedName>
    <definedName name="TRFDATE1">#REF!</definedName>
    <definedName name="TRFDATE2">#REF!</definedName>
    <definedName name="TRFNAME1">#REF!</definedName>
    <definedName name="TRFNAME2">#REF!</definedName>
    <definedName name="TRFSHORTNM1">#REF!</definedName>
    <definedName name="TRFSHORTNM2">#REF!</definedName>
    <definedName name="TrnBlkKwhChg1">#REF!</definedName>
    <definedName name="TrnBlkKwhChg2">#REF!</definedName>
    <definedName name="TrnBlkKwhChg3">#REF!</definedName>
    <definedName name="TrnBlkKwhChgT">#REF!</definedName>
    <definedName name="TRNCCHG">#REF!</definedName>
    <definedName name="TrnCustChg">#REF!</definedName>
    <definedName name="TRNDCHG1">#REF!</definedName>
    <definedName name="TRNDCHG2">#REF!</definedName>
    <definedName name="TrnDmdChg1">#REF!</definedName>
    <definedName name="TrnDmdChg2">#REF!</definedName>
    <definedName name="TRNECHG1">#REF!</definedName>
    <definedName name="TRNECHGB1">#REF!</definedName>
    <definedName name="TRNECHGB2">#REF!</definedName>
    <definedName name="TRNECHGB3">#REF!</definedName>
    <definedName name="TrnMEChg">#REF!</definedName>
    <definedName name="TRNMECHG1">#REF!</definedName>
    <definedName name="TRNMINDC">#REF!</definedName>
    <definedName name="TrnMinDChg">#REF!</definedName>
    <definedName name="TRNMINEC">#REF!</definedName>
    <definedName name="TrnMinEChg">#REF!</definedName>
    <definedName name="TrnOffPkKwh">#REF!</definedName>
    <definedName name="TRNOFKWH">#REF!</definedName>
    <definedName name="TrnOnPkKwh">#REF!</definedName>
    <definedName name="TRNOPKWH">#REF!</definedName>
    <definedName name="TRNP1EC">#REF!</definedName>
    <definedName name="TRNP2EC">#REF!</definedName>
    <definedName name="TRNP3EC">#REF!</definedName>
    <definedName name="TRNP4EC">#REF!</definedName>
    <definedName name="TRNP5EC">#REF!</definedName>
    <definedName name="TrnPL1Chg">#REF!</definedName>
    <definedName name="TrnPL2Chg">#REF!</definedName>
    <definedName name="TrnPL3Chg">#REF!</definedName>
    <definedName name="TrnPL4Chg">#REF!</definedName>
    <definedName name="TrnPL5Chg">#REF!</definedName>
    <definedName name="TRNRCHG">#REF!</definedName>
    <definedName name="TrnReactiveChg">#REF!</definedName>
    <definedName name="TRNSKWTOFPK">#REF!</definedName>
    <definedName name="TRNSKWTONPK">#REF!</definedName>
    <definedName name="TRNXOFKVA">#REF!</definedName>
    <definedName name="TRNXOFKW">#REF!</definedName>
    <definedName name="TrnXOfpKvaChg">#REF!</definedName>
    <definedName name="TrnXOfpKwChg">#REF!</definedName>
    <definedName name="TTLBSRATETTL">#REF!</definedName>
    <definedName name="TTLCOGENKWH">#REF!</definedName>
    <definedName name="UNBUNDIND">#REF!</definedName>
    <definedName name="Zip">#REF!</definedName>
  </definedNames>
  <calcPr calcId="162913"/>
</workbook>
</file>

<file path=xl/calcChain.xml><?xml version="1.0" encoding="utf-8"?>
<calcChain xmlns="http://schemas.openxmlformats.org/spreadsheetml/2006/main">
  <c r="T14" i="36" l="1"/>
  <c r="N101" i="94" l="1"/>
  <c r="L101" i="94"/>
  <c r="M101" i="94" s="1"/>
  <c r="M20" i="94"/>
  <c r="K20" i="94"/>
  <c r="L20" i="94" s="1"/>
  <c r="N102" i="86"/>
  <c r="L102" i="86"/>
  <c r="M102" i="86" s="1"/>
  <c r="M21" i="86" l="1"/>
  <c r="K21" i="86"/>
  <c r="L21" i="86" s="1"/>
  <c r="N99" i="97"/>
  <c r="L99" i="97"/>
  <c r="M99" i="97" s="1"/>
  <c r="N100" i="93"/>
  <c r="L100" i="93"/>
  <c r="M100" i="93" s="1"/>
  <c r="N101" i="92"/>
  <c r="L101" i="92"/>
  <c r="M101" i="92" s="1"/>
  <c r="N101" i="91"/>
  <c r="L101" i="91"/>
  <c r="M101" i="91" s="1"/>
  <c r="N101" i="90"/>
  <c r="L101" i="90"/>
  <c r="M101" i="90" s="1"/>
  <c r="N101" i="89"/>
  <c r="L101" i="89"/>
  <c r="M101" i="89" s="1"/>
  <c r="N101" i="88"/>
  <c r="L101" i="88"/>
  <c r="M101" i="88" s="1"/>
  <c r="N101" i="87"/>
  <c r="L101" i="87"/>
  <c r="M101" i="87" s="1"/>
  <c r="N101" i="86"/>
  <c r="L101" i="86"/>
  <c r="M101" i="86" s="1"/>
  <c r="N102" i="83"/>
  <c r="L102" i="83"/>
  <c r="M102" i="83" s="1"/>
  <c r="N102" i="82"/>
  <c r="L102" i="82"/>
  <c r="M102" i="82" s="1"/>
  <c r="N102" i="81"/>
  <c r="L102" i="81"/>
  <c r="M102" i="81" s="1"/>
  <c r="N102" i="80"/>
  <c r="L102" i="80"/>
  <c r="M102" i="80" s="1"/>
  <c r="N103" i="79"/>
  <c r="L103" i="79"/>
  <c r="M103" i="79" s="1"/>
  <c r="N103" i="78"/>
  <c r="L103" i="78"/>
  <c r="M103" i="78" s="1"/>
  <c r="N103" i="77"/>
  <c r="L103" i="77"/>
  <c r="M103" i="77" s="1"/>
  <c r="N103" i="76"/>
  <c r="L103" i="76"/>
  <c r="M103" i="76" s="1"/>
  <c r="N103" i="75"/>
  <c r="L103" i="75"/>
  <c r="M103" i="75" s="1"/>
  <c r="N108" i="73"/>
  <c r="L108" i="73"/>
  <c r="M108" i="73" s="1"/>
  <c r="N106" i="72"/>
  <c r="L106" i="72"/>
  <c r="M106" i="72" s="1"/>
  <c r="N110" i="71"/>
  <c r="L110" i="71"/>
  <c r="M110" i="71" s="1"/>
  <c r="N111" i="70"/>
  <c r="L111" i="70"/>
  <c r="M111" i="70" s="1"/>
  <c r="N111" i="69"/>
  <c r="L111" i="69"/>
  <c r="M111" i="69" s="1"/>
  <c r="N104" i="68"/>
  <c r="L104" i="68"/>
  <c r="M104" i="68" s="1"/>
  <c r="N104" i="67"/>
  <c r="L104" i="67"/>
  <c r="M104" i="67" s="1"/>
  <c r="N104" i="66"/>
  <c r="L104" i="66"/>
  <c r="M104" i="66" s="1"/>
  <c r="N104" i="65"/>
  <c r="L104" i="65"/>
  <c r="M104" i="65" s="1"/>
  <c r="N105" i="64"/>
  <c r="L105" i="64"/>
  <c r="M105" i="64" s="1"/>
  <c r="N105" i="60"/>
  <c r="L105" i="60"/>
  <c r="M105" i="60" s="1"/>
  <c r="N105" i="62"/>
  <c r="L105" i="62"/>
  <c r="M105" i="62" s="1"/>
  <c r="N105" i="63"/>
  <c r="L105" i="63"/>
  <c r="M105" i="63" s="1"/>
  <c r="N105" i="61"/>
  <c r="M105" i="61"/>
  <c r="L105" i="61"/>
  <c r="N101" i="84"/>
  <c r="L101" i="84"/>
  <c r="M101" i="84" s="1"/>
  <c r="N102" i="85"/>
  <c r="L102" i="85"/>
  <c r="M102" i="85" s="1"/>
  <c r="N105" i="59"/>
  <c r="L105" i="59"/>
  <c r="M105" i="59" s="1"/>
  <c r="N106" i="58" l="1"/>
  <c r="L106" i="58"/>
  <c r="M106" i="58" s="1"/>
  <c r="N106" i="57"/>
  <c r="L106" i="57"/>
  <c r="M106" i="57" s="1"/>
  <c r="N106" i="56"/>
  <c r="L106" i="56"/>
  <c r="M106" i="56" s="1"/>
  <c r="N106" i="55"/>
  <c r="L106" i="55"/>
  <c r="M106" i="55" s="1"/>
  <c r="N106" i="54"/>
  <c r="L106" i="54"/>
  <c r="M106" i="54" s="1"/>
  <c r="N106" i="53"/>
  <c r="L106" i="53"/>
  <c r="M106" i="53" s="1"/>
  <c r="N106" i="46"/>
  <c r="L106" i="46"/>
  <c r="M106" i="46" s="1"/>
  <c r="N107" i="45"/>
  <c r="L107" i="45"/>
  <c r="M107" i="45" s="1"/>
  <c r="N108" i="44"/>
  <c r="L108" i="44"/>
  <c r="M108" i="44" s="1"/>
  <c r="N108" i="43"/>
  <c r="L108" i="43"/>
  <c r="M108" i="43" s="1"/>
  <c r="N108" i="42"/>
  <c r="L108" i="42"/>
  <c r="M108" i="42" s="1"/>
  <c r="N108" i="41"/>
  <c r="L108" i="41"/>
  <c r="M108" i="41" s="1"/>
  <c r="N108" i="39"/>
  <c r="L108" i="39"/>
  <c r="M108" i="39" s="1"/>
  <c r="N110" i="34"/>
  <c r="L110" i="34"/>
  <c r="M110" i="34" s="1"/>
  <c r="N110" i="32"/>
  <c r="L110" i="32"/>
  <c r="M110" i="32" s="1"/>
  <c r="N110" i="31"/>
  <c r="L110" i="31"/>
  <c r="M110" i="31" s="1"/>
  <c r="N111" i="30"/>
  <c r="L111" i="30"/>
  <c r="M111" i="30" s="1"/>
  <c r="N111" i="29"/>
  <c r="L111" i="29"/>
  <c r="M111" i="29" s="1"/>
  <c r="N112" i="28"/>
  <c r="L112" i="28"/>
  <c r="M112" i="28" s="1"/>
  <c r="N111" i="27"/>
  <c r="L111" i="27"/>
  <c r="M111" i="27" s="1"/>
  <c r="N110" i="24"/>
  <c r="L110" i="24"/>
  <c r="M110" i="24" s="1"/>
  <c r="N110" i="23"/>
  <c r="L110" i="23"/>
  <c r="M110" i="23" s="1"/>
  <c r="N109" i="22"/>
  <c r="L109" i="22"/>
  <c r="M109" i="22" s="1"/>
  <c r="N109" i="21"/>
  <c r="L109" i="21"/>
  <c r="M109" i="21" s="1"/>
  <c r="N109" i="20" l="1"/>
  <c r="L109" i="20"/>
  <c r="M109" i="20" s="1"/>
  <c r="N109" i="19"/>
  <c r="L109" i="19"/>
  <c r="M109" i="19" s="1"/>
  <c r="N109" i="18"/>
  <c r="L109" i="18"/>
  <c r="M109" i="18" s="1"/>
  <c r="N109" i="17"/>
  <c r="L109" i="17"/>
  <c r="M109" i="17" s="1"/>
  <c r="N109" i="3"/>
  <c r="L109" i="3"/>
  <c r="M109" i="3" s="1"/>
  <c r="N108" i="74"/>
  <c r="L108" i="74"/>
  <c r="M108" i="74" s="1"/>
  <c r="N107" i="74"/>
  <c r="L107" i="74"/>
  <c r="M107" i="74" s="1"/>
  <c r="M27" i="74"/>
  <c r="K27" i="74"/>
  <c r="L27" i="74" s="1"/>
  <c r="M18" i="99" l="1"/>
  <c r="K18" i="99"/>
  <c r="L18" i="99" s="1"/>
  <c r="M17" i="99"/>
  <c r="K17" i="99"/>
  <c r="L17" i="99" s="1"/>
  <c r="M18" i="98"/>
  <c r="K18" i="98"/>
  <c r="L18" i="98" s="1"/>
  <c r="M17" i="98"/>
  <c r="L17" i="98"/>
  <c r="K17" i="98"/>
  <c r="M18" i="97"/>
  <c r="K18" i="97"/>
  <c r="L18" i="97" s="1"/>
  <c r="M17" i="97"/>
  <c r="K17" i="97"/>
  <c r="L17" i="97" s="1"/>
  <c r="M19" i="96"/>
  <c r="K19" i="96"/>
  <c r="L19" i="96" s="1"/>
  <c r="M19" i="95"/>
  <c r="K19" i="95"/>
  <c r="L19" i="95" s="1"/>
  <c r="M19" i="94"/>
  <c r="K19" i="94"/>
  <c r="L19" i="94" s="1"/>
  <c r="M19" i="93"/>
  <c r="K19" i="93"/>
  <c r="L19" i="93" s="1"/>
  <c r="M20" i="92"/>
  <c r="K20" i="92"/>
  <c r="L20" i="92" s="1"/>
  <c r="M20" i="91"/>
  <c r="K20" i="91"/>
  <c r="L20" i="91" s="1"/>
  <c r="M20" i="90"/>
  <c r="K20" i="90"/>
  <c r="L20" i="90" s="1"/>
  <c r="M20" i="89"/>
  <c r="K20" i="89"/>
  <c r="L20" i="89" s="1"/>
  <c r="M20" i="88"/>
  <c r="K20" i="88"/>
  <c r="L20" i="88" s="1"/>
  <c r="M20" i="87"/>
  <c r="K20" i="87"/>
  <c r="L20" i="87" s="1"/>
  <c r="M20" i="86"/>
  <c r="K20" i="86"/>
  <c r="L20" i="86" s="1"/>
  <c r="M21" i="85"/>
  <c r="K21" i="85"/>
  <c r="L21" i="85" s="1"/>
  <c r="M21" i="84"/>
  <c r="K21" i="84"/>
  <c r="L21" i="84" s="1"/>
  <c r="M21" i="83"/>
  <c r="K21" i="83"/>
  <c r="L21" i="83" s="1"/>
  <c r="M21" i="82"/>
  <c r="K21" i="82"/>
  <c r="L21" i="82" s="1"/>
  <c r="M21" i="81"/>
  <c r="K21" i="81"/>
  <c r="L21" i="81" s="1"/>
  <c r="M21" i="80"/>
  <c r="K21" i="80"/>
  <c r="L21" i="80" s="1"/>
  <c r="M22" i="79"/>
  <c r="K22" i="79"/>
  <c r="L22" i="79" s="1"/>
  <c r="M22" i="78"/>
  <c r="K22" i="78"/>
  <c r="L22" i="78" s="1"/>
  <c r="M22" i="77"/>
  <c r="K22" i="77"/>
  <c r="L22" i="77" s="1"/>
  <c r="M22" i="76"/>
  <c r="K22" i="76"/>
  <c r="L22" i="76" s="1"/>
  <c r="M22" i="75"/>
  <c r="K22" i="75"/>
  <c r="L22" i="75" s="1"/>
  <c r="M26" i="74"/>
  <c r="K26" i="74"/>
  <c r="L26" i="74" s="1"/>
  <c r="M27" i="73"/>
  <c r="K27" i="73"/>
  <c r="L27" i="73" s="1"/>
  <c r="M25" i="72"/>
  <c r="K25" i="72"/>
  <c r="L25" i="72" s="1"/>
  <c r="M29" i="71"/>
  <c r="K29" i="71"/>
  <c r="L29" i="71" s="1"/>
  <c r="M30" i="70"/>
  <c r="K30" i="70"/>
  <c r="L30" i="70" s="1"/>
  <c r="M30" i="69"/>
  <c r="K30" i="69"/>
  <c r="L30" i="69" s="1"/>
  <c r="M23" i="68"/>
  <c r="K23" i="68"/>
  <c r="L23" i="68" s="1"/>
  <c r="M23" i="67"/>
  <c r="K23" i="67"/>
  <c r="L23" i="67" s="1"/>
  <c r="M23" i="66"/>
  <c r="K23" i="66"/>
  <c r="L23" i="66" s="1"/>
  <c r="M23" i="65"/>
  <c r="K23" i="65"/>
  <c r="L23" i="65" s="1"/>
  <c r="M24" i="64"/>
  <c r="K24" i="64"/>
  <c r="L24" i="64" s="1"/>
  <c r="M24" i="60"/>
  <c r="K24" i="60"/>
  <c r="L24" i="60" s="1"/>
  <c r="M24" i="62"/>
  <c r="K24" i="62"/>
  <c r="L24" i="62" s="1"/>
  <c r="M24" i="63"/>
  <c r="K24" i="63"/>
  <c r="L24" i="63" s="1"/>
  <c r="M24" i="61"/>
  <c r="K24" i="61"/>
  <c r="L24" i="61" s="1"/>
  <c r="M24" i="59"/>
  <c r="K24" i="59"/>
  <c r="L24" i="59" s="1"/>
  <c r="M25" i="58"/>
  <c r="K25" i="58"/>
  <c r="L25" i="58" s="1"/>
  <c r="M25" i="57"/>
  <c r="K25" i="57"/>
  <c r="L25" i="57" s="1"/>
  <c r="M25" i="56"/>
  <c r="K25" i="56"/>
  <c r="L25" i="56" s="1"/>
  <c r="M25" i="55"/>
  <c r="K25" i="55"/>
  <c r="L25" i="55" s="1"/>
  <c r="M25" i="54"/>
  <c r="K25" i="54"/>
  <c r="L25" i="54" s="1"/>
  <c r="M25" i="53"/>
  <c r="K25" i="53"/>
  <c r="L25" i="53" s="1"/>
  <c r="M25" i="46"/>
  <c r="K25" i="46"/>
  <c r="L25" i="46" s="1"/>
  <c r="M26" i="45"/>
  <c r="K26" i="45"/>
  <c r="L26" i="45" s="1"/>
  <c r="M27" i="44"/>
  <c r="K27" i="44"/>
  <c r="L27" i="44" s="1"/>
  <c r="M27" i="43"/>
  <c r="K27" i="43"/>
  <c r="L27" i="43" s="1"/>
  <c r="M27" i="42"/>
  <c r="K27" i="42"/>
  <c r="L27" i="42" s="1"/>
  <c r="M27" i="41"/>
  <c r="K27" i="41"/>
  <c r="L27" i="41" s="1"/>
  <c r="M27" i="39"/>
  <c r="K27" i="39"/>
  <c r="L27" i="39" s="1"/>
  <c r="M29" i="34"/>
  <c r="K29" i="34"/>
  <c r="L29" i="34" s="1"/>
  <c r="M29" i="32"/>
  <c r="K29" i="32"/>
  <c r="L29" i="32" s="1"/>
  <c r="M29" i="31"/>
  <c r="K29" i="31"/>
  <c r="L29" i="31" s="1"/>
  <c r="M30" i="30"/>
  <c r="K30" i="30"/>
  <c r="L30" i="30" s="1"/>
  <c r="M30" i="29"/>
  <c r="K30" i="29"/>
  <c r="L30" i="29" s="1"/>
  <c r="M31" i="28"/>
  <c r="K31" i="28"/>
  <c r="L31" i="28" s="1"/>
  <c r="M30" i="27"/>
  <c r="K30" i="27"/>
  <c r="L30" i="27" s="1"/>
  <c r="M29" i="24"/>
  <c r="K29" i="24"/>
  <c r="L29" i="24" s="1"/>
  <c r="M29" i="23"/>
  <c r="K29" i="23"/>
  <c r="L29" i="23" s="1"/>
  <c r="M28" i="22"/>
  <c r="K28" i="22"/>
  <c r="L28" i="22" s="1"/>
  <c r="M28" i="21"/>
  <c r="K28" i="21"/>
  <c r="L28" i="21" s="1"/>
  <c r="M28" i="20"/>
  <c r="K28" i="20"/>
  <c r="L28" i="20" s="1"/>
  <c r="M28" i="19"/>
  <c r="K28" i="19"/>
  <c r="L28" i="19" s="1"/>
  <c r="M28" i="18" l="1"/>
  <c r="K28" i="18"/>
  <c r="L28" i="18" s="1"/>
  <c r="M28" i="17"/>
  <c r="K28" i="17"/>
  <c r="L28" i="17" s="1"/>
  <c r="M28" i="3"/>
  <c r="K28" i="3"/>
  <c r="L28" i="3" s="1"/>
  <c r="W91" i="36" l="1"/>
  <c r="W90" i="36"/>
  <c r="W89" i="36"/>
  <c r="P91" i="36"/>
  <c r="P1" i="99"/>
  <c r="P83" i="99" s="1"/>
  <c r="P154" i="99"/>
  <c r="O154" i="99"/>
  <c r="M154" i="99"/>
  <c r="J154" i="99"/>
  <c r="P153" i="99"/>
  <c r="O153" i="99"/>
  <c r="M153" i="99"/>
  <c r="J153" i="99"/>
  <c r="P152" i="99"/>
  <c r="O152" i="99"/>
  <c r="M152" i="99"/>
  <c r="J152" i="99"/>
  <c r="P151" i="99"/>
  <c r="O151" i="99"/>
  <c r="M151" i="99"/>
  <c r="J151" i="99"/>
  <c r="P150" i="99"/>
  <c r="O150" i="99"/>
  <c r="M150" i="99"/>
  <c r="J150" i="99"/>
  <c r="P149" i="99"/>
  <c r="O149" i="99"/>
  <c r="M149" i="99"/>
  <c r="J149" i="99"/>
  <c r="P148" i="99"/>
  <c r="O148" i="99"/>
  <c r="M148" i="99"/>
  <c r="J148" i="99"/>
  <c r="P147" i="99"/>
  <c r="O147" i="99"/>
  <c r="M147" i="99"/>
  <c r="J147" i="99"/>
  <c r="P146" i="99"/>
  <c r="O146" i="99"/>
  <c r="M146" i="99"/>
  <c r="J146" i="99"/>
  <c r="P145" i="99"/>
  <c r="O145" i="99"/>
  <c r="M145" i="99"/>
  <c r="J145" i="99"/>
  <c r="P144" i="99"/>
  <c r="O144" i="99"/>
  <c r="M144" i="99"/>
  <c r="J144" i="99"/>
  <c r="P143" i="99"/>
  <c r="O143" i="99"/>
  <c r="M143" i="99"/>
  <c r="J143" i="99"/>
  <c r="P142" i="99"/>
  <c r="O142" i="99"/>
  <c r="M142" i="99"/>
  <c r="J142" i="99"/>
  <c r="P141" i="99"/>
  <c r="O141" i="99"/>
  <c r="M141" i="99"/>
  <c r="J141" i="99"/>
  <c r="P140" i="99"/>
  <c r="O140" i="99"/>
  <c r="M140" i="99"/>
  <c r="J140" i="99"/>
  <c r="P139" i="99"/>
  <c r="O139" i="99"/>
  <c r="M139" i="99"/>
  <c r="J139" i="99"/>
  <c r="P138" i="99"/>
  <c r="O138" i="99"/>
  <c r="M138" i="99"/>
  <c r="J138" i="99"/>
  <c r="P137" i="99"/>
  <c r="O137" i="99"/>
  <c r="M137" i="99"/>
  <c r="J137" i="99"/>
  <c r="P136" i="99"/>
  <c r="O136" i="99"/>
  <c r="M136" i="99"/>
  <c r="J136" i="99"/>
  <c r="P135" i="99"/>
  <c r="O135" i="99"/>
  <c r="M135" i="99"/>
  <c r="J135" i="99"/>
  <c r="P134" i="99"/>
  <c r="O134" i="99"/>
  <c r="M134" i="99"/>
  <c r="J134" i="99"/>
  <c r="P133" i="99"/>
  <c r="O133" i="99"/>
  <c r="M133" i="99"/>
  <c r="J133" i="99"/>
  <c r="P132" i="99"/>
  <c r="O132" i="99"/>
  <c r="M132" i="99"/>
  <c r="J132" i="99"/>
  <c r="P131" i="99"/>
  <c r="O131" i="99"/>
  <c r="M131" i="99"/>
  <c r="J131" i="99"/>
  <c r="O130" i="99"/>
  <c r="M130" i="99"/>
  <c r="O129" i="99"/>
  <c r="M129" i="99"/>
  <c r="O128" i="99"/>
  <c r="M128" i="99"/>
  <c r="O127" i="99"/>
  <c r="M127" i="99"/>
  <c r="O126" i="99"/>
  <c r="M126" i="99"/>
  <c r="O125" i="99"/>
  <c r="M125" i="99"/>
  <c r="O124" i="99"/>
  <c r="M124" i="99"/>
  <c r="O123" i="99"/>
  <c r="M123" i="99"/>
  <c r="O122" i="99"/>
  <c r="M122" i="99"/>
  <c r="O121" i="99"/>
  <c r="M121" i="99"/>
  <c r="O120" i="99"/>
  <c r="M120" i="99"/>
  <c r="O119" i="99"/>
  <c r="M119" i="99"/>
  <c r="O118" i="99"/>
  <c r="M118" i="99"/>
  <c r="O117" i="99"/>
  <c r="M117" i="99"/>
  <c r="O116" i="99"/>
  <c r="M116" i="99"/>
  <c r="O115" i="99"/>
  <c r="M115" i="99"/>
  <c r="O114" i="99"/>
  <c r="M114" i="99"/>
  <c r="O113" i="99"/>
  <c r="M113" i="99"/>
  <c r="O112" i="99"/>
  <c r="M112" i="99"/>
  <c r="O111" i="99"/>
  <c r="M111" i="99"/>
  <c r="O110" i="99"/>
  <c r="M110" i="99"/>
  <c r="O109" i="99"/>
  <c r="M109" i="99"/>
  <c r="O108" i="99"/>
  <c r="M108" i="99"/>
  <c r="O107" i="99"/>
  <c r="M107" i="99"/>
  <c r="O106" i="99"/>
  <c r="M106" i="99"/>
  <c r="O105" i="99"/>
  <c r="M105" i="99"/>
  <c r="O104" i="99"/>
  <c r="M104" i="99"/>
  <c r="O103" i="99"/>
  <c r="M103" i="99"/>
  <c r="O102" i="99"/>
  <c r="M102" i="99"/>
  <c r="O101" i="99"/>
  <c r="M101" i="99"/>
  <c r="O100" i="99"/>
  <c r="M100" i="99"/>
  <c r="D96" i="99"/>
  <c r="L93" i="99"/>
  <c r="J93" i="99"/>
  <c r="D93" i="99"/>
  <c r="D91" i="99"/>
  <c r="D89" i="99"/>
  <c r="N72" i="99"/>
  <c r="L72" i="99"/>
  <c r="N71" i="99"/>
  <c r="L71" i="99"/>
  <c r="N70" i="99"/>
  <c r="L70" i="99"/>
  <c r="N69" i="99"/>
  <c r="L69" i="99"/>
  <c r="N68" i="99"/>
  <c r="L68" i="99"/>
  <c r="N67" i="99"/>
  <c r="L67" i="99"/>
  <c r="N66" i="99"/>
  <c r="L66" i="99"/>
  <c r="N65" i="99"/>
  <c r="L65" i="99"/>
  <c r="N64" i="99"/>
  <c r="L64" i="99"/>
  <c r="N63" i="99"/>
  <c r="L63" i="99"/>
  <c r="N62" i="99"/>
  <c r="L62" i="99"/>
  <c r="N61" i="99"/>
  <c r="L61" i="99"/>
  <c r="N60" i="99"/>
  <c r="L60" i="99"/>
  <c r="N59" i="99"/>
  <c r="L59" i="99"/>
  <c r="N58" i="99"/>
  <c r="L58" i="99"/>
  <c r="N57" i="99"/>
  <c r="L57" i="99"/>
  <c r="N56" i="99"/>
  <c r="L56" i="99"/>
  <c r="N55" i="99"/>
  <c r="L55" i="99"/>
  <c r="N54" i="99"/>
  <c r="L54" i="99"/>
  <c r="N53" i="99"/>
  <c r="L53" i="99"/>
  <c r="N52" i="99"/>
  <c r="L52" i="99"/>
  <c r="N51" i="99"/>
  <c r="L51" i="99"/>
  <c r="N50" i="99"/>
  <c r="L50" i="99"/>
  <c r="N49" i="99"/>
  <c r="L49" i="99"/>
  <c r="N48" i="99"/>
  <c r="L48" i="99"/>
  <c r="N47" i="99"/>
  <c r="L47" i="99"/>
  <c r="N46" i="99"/>
  <c r="L46" i="99"/>
  <c r="N45" i="99"/>
  <c r="L45" i="99"/>
  <c r="N44" i="99"/>
  <c r="L44" i="99"/>
  <c r="N43" i="99"/>
  <c r="L43" i="99"/>
  <c r="N42" i="99"/>
  <c r="L42" i="99"/>
  <c r="N41" i="99"/>
  <c r="L41" i="99"/>
  <c r="N40" i="99"/>
  <c r="L40" i="99"/>
  <c r="N39" i="99"/>
  <c r="L39" i="99"/>
  <c r="N38" i="99"/>
  <c r="L38" i="99"/>
  <c r="N37" i="99"/>
  <c r="L37" i="99"/>
  <c r="N36" i="99"/>
  <c r="L36" i="99"/>
  <c r="N35" i="99"/>
  <c r="L35" i="99"/>
  <c r="N34" i="99"/>
  <c r="L34" i="99"/>
  <c r="N33" i="99"/>
  <c r="L33" i="99"/>
  <c r="N32" i="99"/>
  <c r="L32" i="99"/>
  <c r="N31" i="99"/>
  <c r="L31" i="99"/>
  <c r="N30" i="99"/>
  <c r="L30" i="99"/>
  <c r="N29" i="99"/>
  <c r="L29" i="99"/>
  <c r="N28" i="99"/>
  <c r="L28" i="99"/>
  <c r="N27" i="99"/>
  <c r="L27" i="99"/>
  <c r="N26" i="99"/>
  <c r="L26" i="99"/>
  <c r="N25" i="99"/>
  <c r="L25" i="99"/>
  <c r="N24" i="99"/>
  <c r="L24" i="99"/>
  <c r="N23" i="99"/>
  <c r="L23" i="99"/>
  <c r="N22" i="99"/>
  <c r="L22" i="99"/>
  <c r="N21" i="99"/>
  <c r="L21" i="99"/>
  <c r="N20" i="99"/>
  <c r="L20" i="99"/>
  <c r="N19" i="99"/>
  <c r="L19" i="99"/>
  <c r="N18" i="99"/>
  <c r="N17" i="99"/>
  <c r="I17" i="99"/>
  <c r="C17" i="99"/>
  <c r="C18" i="99" s="1"/>
  <c r="C19" i="99" s="1"/>
  <c r="C20" i="99" s="1"/>
  <c r="C21" i="99" s="1"/>
  <c r="C22" i="99" s="1"/>
  <c r="C23" i="99" s="1"/>
  <c r="C24" i="99" s="1"/>
  <c r="C25" i="99" s="1"/>
  <c r="C26" i="99" s="1"/>
  <c r="C27" i="99" s="1"/>
  <c r="C28" i="99" s="1"/>
  <c r="C29" i="99" s="1"/>
  <c r="C30" i="99" s="1"/>
  <c r="C31" i="99" s="1"/>
  <c r="C32" i="99" s="1"/>
  <c r="C33" i="99" s="1"/>
  <c r="C34" i="99" s="1"/>
  <c r="C35" i="99" s="1"/>
  <c r="C36" i="99" s="1"/>
  <c r="C37" i="99" s="1"/>
  <c r="C38" i="99" s="1"/>
  <c r="C39" i="99" s="1"/>
  <c r="C40" i="99" s="1"/>
  <c r="C41" i="99" s="1"/>
  <c r="C42" i="99" s="1"/>
  <c r="C43" i="99" s="1"/>
  <c r="C44" i="99" s="1"/>
  <c r="K11" i="99"/>
  <c r="I11" i="99"/>
  <c r="D8" i="99"/>
  <c r="D90" i="99" s="1"/>
  <c r="D93" i="74"/>
  <c r="O23" i="99" l="1"/>
  <c r="O43" i="99"/>
  <c r="O49" i="99"/>
  <c r="O26" i="99"/>
  <c r="O28" i="99"/>
  <c r="O31" i="99"/>
  <c r="O22" i="99"/>
  <c r="O30" i="99"/>
  <c r="O32" i="99"/>
  <c r="O34" i="99"/>
  <c r="O38" i="99"/>
  <c r="O44" i="99"/>
  <c r="O46" i="99"/>
  <c r="O48" i="99"/>
  <c r="O19" i="99"/>
  <c r="O53" i="99"/>
  <c r="O55" i="99"/>
  <c r="O57" i="99"/>
  <c r="O61" i="99"/>
  <c r="O65" i="99"/>
  <c r="O69" i="99"/>
  <c r="O71" i="99"/>
  <c r="P106" i="99"/>
  <c r="P108" i="99"/>
  <c r="P112" i="99"/>
  <c r="P116" i="99"/>
  <c r="P104" i="99"/>
  <c r="P113" i="99"/>
  <c r="P115" i="99"/>
  <c r="P100" i="99"/>
  <c r="O27" i="99"/>
  <c r="O58" i="99"/>
  <c r="O62" i="99"/>
  <c r="O18" i="99"/>
  <c r="O20" i="99"/>
  <c r="O37" i="99"/>
  <c r="O41" i="99"/>
  <c r="O45" i="99"/>
  <c r="O51" i="99"/>
  <c r="O25" i="99"/>
  <c r="O60" i="99"/>
  <c r="O64" i="99"/>
  <c r="O42" i="99"/>
  <c r="P101" i="99"/>
  <c r="P103" i="99"/>
  <c r="P110" i="99"/>
  <c r="P117" i="99"/>
  <c r="P121" i="99"/>
  <c r="P123" i="99"/>
  <c r="P125" i="99"/>
  <c r="P127" i="99"/>
  <c r="P129" i="99"/>
  <c r="P105" i="99"/>
  <c r="P107" i="99"/>
  <c r="P114" i="99"/>
  <c r="P102" i="99"/>
  <c r="P109" i="99"/>
  <c r="P111" i="99"/>
  <c r="P118" i="99"/>
  <c r="P122" i="99"/>
  <c r="P124" i="99"/>
  <c r="P126" i="99"/>
  <c r="P128" i="99"/>
  <c r="P130" i="99"/>
  <c r="O21" i="99"/>
  <c r="O24" i="99"/>
  <c r="O29" i="99"/>
  <c r="O36" i="99"/>
  <c r="O50" i="99"/>
  <c r="O52" i="99"/>
  <c r="O68" i="99"/>
  <c r="O33" i="99"/>
  <c r="O35" i="99"/>
  <c r="O40" i="99"/>
  <c r="O54" i="99"/>
  <c r="O56" i="99"/>
  <c r="O70" i="99"/>
  <c r="O72" i="99"/>
  <c r="O66" i="99"/>
  <c r="O39" i="99"/>
  <c r="O67" i="99"/>
  <c r="C45" i="99"/>
  <c r="C46" i="99" s="1"/>
  <c r="C47" i="99" s="1"/>
  <c r="C48" i="99" s="1"/>
  <c r="C49" i="99" s="1"/>
  <c r="C50" i="99" s="1"/>
  <c r="C51" i="99" s="1"/>
  <c r="C52" i="99" s="1"/>
  <c r="C53" i="99" s="1"/>
  <c r="C54" i="99" s="1"/>
  <c r="C55" i="99" s="1"/>
  <c r="C56" i="99" s="1"/>
  <c r="C57" i="99" s="1"/>
  <c r="C58" i="99" s="1"/>
  <c r="C59" i="99" s="1"/>
  <c r="C60" i="99" s="1"/>
  <c r="C61" i="99" s="1"/>
  <c r="C62" i="99" s="1"/>
  <c r="C63" i="99" s="1"/>
  <c r="C64" i="99" s="1"/>
  <c r="C65" i="99" s="1"/>
  <c r="C66" i="99" s="1"/>
  <c r="C67" i="99" s="1"/>
  <c r="C68" i="99" s="1"/>
  <c r="C69" i="99" s="1"/>
  <c r="C70" i="99" s="1"/>
  <c r="C71" i="99" s="1"/>
  <c r="C72" i="99" s="1"/>
  <c r="O17" i="99"/>
  <c r="O47" i="99"/>
  <c r="O59" i="99"/>
  <c r="B18" i="99"/>
  <c r="O63" i="99"/>
  <c r="C99" i="99"/>
  <c r="P119" i="99"/>
  <c r="P120" i="99"/>
  <c r="M18" i="96"/>
  <c r="K18" i="96"/>
  <c r="L18" i="96" s="1"/>
  <c r="M18" i="95"/>
  <c r="K18" i="95"/>
  <c r="L18" i="95" s="1"/>
  <c r="M18" i="94"/>
  <c r="K18" i="94"/>
  <c r="L18" i="94" s="1"/>
  <c r="M18" i="93"/>
  <c r="K18" i="93"/>
  <c r="L18" i="93" s="1"/>
  <c r="M19" i="92"/>
  <c r="K19" i="92"/>
  <c r="L19" i="92" s="1"/>
  <c r="M19" i="91"/>
  <c r="K19" i="91"/>
  <c r="L19" i="91" s="1"/>
  <c r="M19" i="90"/>
  <c r="K19" i="90"/>
  <c r="L19" i="90" s="1"/>
  <c r="M19" i="89"/>
  <c r="K19" i="89"/>
  <c r="L19" i="89" s="1"/>
  <c r="M19" i="88"/>
  <c r="K19" i="88"/>
  <c r="L19" i="88" s="1"/>
  <c r="M19" i="87"/>
  <c r="K19" i="87"/>
  <c r="L19" i="87" s="1"/>
  <c r="M19" i="86"/>
  <c r="K19" i="86"/>
  <c r="L19" i="86" s="1"/>
  <c r="M20" i="85"/>
  <c r="K20" i="85"/>
  <c r="L20" i="85" s="1"/>
  <c r="M20" i="84"/>
  <c r="K20" i="84"/>
  <c r="L20" i="84" s="1"/>
  <c r="M20" i="83"/>
  <c r="K20" i="83"/>
  <c r="L20" i="83" s="1"/>
  <c r="M20" i="82"/>
  <c r="K20" i="82"/>
  <c r="L20" i="82" s="1"/>
  <c r="M20" i="81"/>
  <c r="K20" i="81"/>
  <c r="L20" i="81" s="1"/>
  <c r="M20" i="80"/>
  <c r="K20" i="80"/>
  <c r="L20" i="80" s="1"/>
  <c r="M21" i="79"/>
  <c r="K21" i="79"/>
  <c r="L21" i="79" s="1"/>
  <c r="M21" i="78"/>
  <c r="K21" i="78"/>
  <c r="L21" i="78" s="1"/>
  <c r="M21" i="77"/>
  <c r="K21" i="77"/>
  <c r="L21" i="77" s="1"/>
  <c r="M21" i="76"/>
  <c r="K21" i="76"/>
  <c r="L21" i="76" s="1"/>
  <c r="M21" i="75"/>
  <c r="K21" i="75"/>
  <c r="L21" i="75" s="1"/>
  <c r="M25" i="74"/>
  <c r="K25" i="74"/>
  <c r="L25" i="74" s="1"/>
  <c r="M26" i="73"/>
  <c r="K26" i="73"/>
  <c r="L26" i="73" s="1"/>
  <c r="M24" i="72"/>
  <c r="K24" i="72"/>
  <c r="L24" i="72" s="1"/>
  <c r="M28" i="71"/>
  <c r="K28" i="71"/>
  <c r="L28" i="71" s="1"/>
  <c r="M29" i="70"/>
  <c r="K29" i="70"/>
  <c r="L29" i="70" s="1"/>
  <c r="M29" i="69"/>
  <c r="K29" i="69"/>
  <c r="L29" i="69" s="1"/>
  <c r="M22" i="68"/>
  <c r="K22" i="68"/>
  <c r="L22" i="68" s="1"/>
  <c r="M22" i="67"/>
  <c r="K22" i="67"/>
  <c r="L22" i="67" s="1"/>
  <c r="M22" i="66"/>
  <c r="K22" i="66"/>
  <c r="L22" i="66" s="1"/>
  <c r="M22" i="65"/>
  <c r="K22" i="65"/>
  <c r="L22" i="65" s="1"/>
  <c r="M23" i="64"/>
  <c r="K23" i="64"/>
  <c r="L23" i="64" s="1"/>
  <c r="M23" i="60"/>
  <c r="K23" i="60"/>
  <c r="L23" i="60" s="1"/>
  <c r="M23" i="62"/>
  <c r="K23" i="62"/>
  <c r="L23" i="62" s="1"/>
  <c r="M23" i="63"/>
  <c r="K23" i="63"/>
  <c r="L23" i="63" s="1"/>
  <c r="M23" i="61"/>
  <c r="K23" i="61"/>
  <c r="L23" i="61" s="1"/>
  <c r="M23" i="59"/>
  <c r="K23" i="59"/>
  <c r="L23" i="59" s="1"/>
  <c r="M24" i="58"/>
  <c r="K24" i="58"/>
  <c r="L24" i="58" s="1"/>
  <c r="M24" i="57"/>
  <c r="K24" i="57"/>
  <c r="L24" i="57" s="1"/>
  <c r="M24" i="56"/>
  <c r="K24" i="56"/>
  <c r="L24" i="56" s="1"/>
  <c r="M24" i="55"/>
  <c r="K24" i="55"/>
  <c r="L24" i="55" s="1"/>
  <c r="M24" i="54"/>
  <c r="K24" i="54"/>
  <c r="L24" i="54" s="1"/>
  <c r="M24" i="53"/>
  <c r="K24" i="53"/>
  <c r="L24" i="53" s="1"/>
  <c r="M24" i="46"/>
  <c r="K24" i="46"/>
  <c r="L24" i="46" s="1"/>
  <c r="M25" i="45"/>
  <c r="K25" i="45"/>
  <c r="L25" i="45" s="1"/>
  <c r="M26" i="44"/>
  <c r="K26" i="44"/>
  <c r="L26" i="44" s="1"/>
  <c r="M26" i="43"/>
  <c r="K26" i="43"/>
  <c r="L26" i="43" s="1"/>
  <c r="M26" i="42"/>
  <c r="K26" i="42"/>
  <c r="L26" i="42" s="1"/>
  <c r="L1048576" i="42"/>
  <c r="M1048576" i="42"/>
  <c r="M26" i="41"/>
  <c r="K26" i="41"/>
  <c r="L26" i="41" s="1"/>
  <c r="M26" i="39"/>
  <c r="K26" i="39"/>
  <c r="L26" i="39" s="1"/>
  <c r="M28" i="34"/>
  <c r="K28" i="34"/>
  <c r="L28" i="34" s="1"/>
  <c r="M28" i="32"/>
  <c r="K28" i="32"/>
  <c r="L28" i="32" s="1"/>
  <c r="M28" i="31"/>
  <c r="K28" i="31"/>
  <c r="L28" i="31" s="1"/>
  <c r="M29" i="30"/>
  <c r="K29" i="30"/>
  <c r="L29" i="30" s="1"/>
  <c r="M29" i="29"/>
  <c r="N29" i="29" s="1"/>
  <c r="K29" i="29"/>
  <c r="L29" i="29" s="1"/>
  <c r="M30" i="28"/>
  <c r="K30" i="28"/>
  <c r="L30" i="28" s="1"/>
  <c r="M29" i="27"/>
  <c r="K29" i="27"/>
  <c r="L29" i="27" s="1"/>
  <c r="M28" i="24"/>
  <c r="K28" i="24"/>
  <c r="L28" i="24" s="1"/>
  <c r="M28" i="23"/>
  <c r="K28" i="23"/>
  <c r="L28" i="23" s="1"/>
  <c r="M27" i="22"/>
  <c r="K27" i="22"/>
  <c r="L27" i="22" s="1"/>
  <c r="M27" i="21"/>
  <c r="K27" i="21"/>
  <c r="L27" i="21" s="1"/>
  <c r="M27" i="20"/>
  <c r="K27" i="20"/>
  <c r="L27" i="20" s="1"/>
  <c r="M27" i="19"/>
  <c r="K27" i="19"/>
  <c r="L27" i="19" s="1"/>
  <c r="M27" i="18"/>
  <c r="K27" i="18"/>
  <c r="L27" i="18" s="1"/>
  <c r="M27" i="17"/>
  <c r="K27" i="17"/>
  <c r="L27" i="17" s="1"/>
  <c r="M27" i="3"/>
  <c r="K27" i="3"/>
  <c r="L27" i="3" s="1"/>
  <c r="M16" i="2"/>
  <c r="J92" i="99" s="1"/>
  <c r="M87" i="99" s="1"/>
  <c r="D94" i="97"/>
  <c r="D93" i="98"/>
  <c r="D93" i="97"/>
  <c r="N99" i="96"/>
  <c r="L99" i="96"/>
  <c r="M99" i="96" s="1"/>
  <c r="N99" i="95"/>
  <c r="L99" i="95"/>
  <c r="M99" i="95" s="1"/>
  <c r="N99" i="94"/>
  <c r="L99" i="94"/>
  <c r="M99" i="94" s="1"/>
  <c r="N99" i="93"/>
  <c r="L99" i="93"/>
  <c r="M99" i="93" s="1"/>
  <c r="N100" i="92"/>
  <c r="L100" i="92"/>
  <c r="M100" i="92" s="1"/>
  <c r="N100" i="91"/>
  <c r="L100" i="91"/>
  <c r="M100" i="91" s="1"/>
  <c r="N100" i="90"/>
  <c r="L100" i="90"/>
  <c r="M100" i="90" s="1"/>
  <c r="N100" i="89"/>
  <c r="L100" i="89"/>
  <c r="M100" i="89" s="1"/>
  <c r="N100" i="88"/>
  <c r="L100" i="88"/>
  <c r="M100" i="88" s="1"/>
  <c r="N100" i="87"/>
  <c r="L100" i="87"/>
  <c r="M100" i="87" s="1"/>
  <c r="N100" i="86"/>
  <c r="L100" i="86"/>
  <c r="M100" i="86" s="1"/>
  <c r="N101" i="85"/>
  <c r="L101" i="85"/>
  <c r="M101" i="85" s="1"/>
  <c r="N100" i="84"/>
  <c r="O100" i="84" s="1"/>
  <c r="P100" i="84" s="1"/>
  <c r="M100" i="84"/>
  <c r="L100" i="84"/>
  <c r="N101" i="83"/>
  <c r="L101" i="83"/>
  <c r="M101" i="83" s="1"/>
  <c r="N101" i="82"/>
  <c r="O101" i="82" s="1"/>
  <c r="P101" i="82" s="1"/>
  <c r="M101" i="82"/>
  <c r="L101" i="82"/>
  <c r="N101" i="81"/>
  <c r="O101" i="81" s="1"/>
  <c r="L101" i="81"/>
  <c r="M101" i="81" s="1"/>
  <c r="N101" i="80"/>
  <c r="O101" i="80" s="1"/>
  <c r="L101" i="80"/>
  <c r="M101" i="80" s="1"/>
  <c r="N102" i="79"/>
  <c r="O102" i="79" s="1"/>
  <c r="L102" i="79"/>
  <c r="M102" i="79" s="1"/>
  <c r="N102" i="78"/>
  <c r="O102" i="78" s="1"/>
  <c r="L102" i="78"/>
  <c r="M102" i="78" s="1"/>
  <c r="N102" i="77"/>
  <c r="O102" i="77" s="1"/>
  <c r="L102" i="77"/>
  <c r="M102" i="77" s="1"/>
  <c r="N102" i="76"/>
  <c r="O102" i="76" s="1"/>
  <c r="L102" i="76"/>
  <c r="M102" i="76" s="1"/>
  <c r="N102" i="75"/>
  <c r="O102" i="75" s="1"/>
  <c r="P102" i="75" s="1"/>
  <c r="M102" i="75"/>
  <c r="L102" i="75"/>
  <c r="N106" i="74"/>
  <c r="O106" i="74" s="1"/>
  <c r="L106" i="74"/>
  <c r="M106" i="74" s="1"/>
  <c r="N107" i="73"/>
  <c r="O107" i="73" s="1"/>
  <c r="L107" i="73"/>
  <c r="M107" i="73" s="1"/>
  <c r="N105" i="72"/>
  <c r="O105" i="72" s="1"/>
  <c r="L105" i="72"/>
  <c r="M105" i="72" s="1"/>
  <c r="N109" i="71"/>
  <c r="O109" i="71" s="1"/>
  <c r="P109" i="71" s="1"/>
  <c r="M109" i="71"/>
  <c r="L109" i="71"/>
  <c r="N110" i="70"/>
  <c r="O110" i="70" s="1"/>
  <c r="L110" i="70"/>
  <c r="M110" i="70" s="1"/>
  <c r="N110" i="69"/>
  <c r="O110" i="69" s="1"/>
  <c r="P110" i="69" s="1"/>
  <c r="M110" i="69"/>
  <c r="L110" i="69"/>
  <c r="N103" i="68"/>
  <c r="O103" i="68" s="1"/>
  <c r="P103" i="68" s="1"/>
  <c r="M103" i="68"/>
  <c r="L103" i="68"/>
  <c r="N103" i="67"/>
  <c r="L103" i="67"/>
  <c r="M103" i="67" s="1"/>
  <c r="N103" i="66"/>
  <c r="O103" i="66" s="1"/>
  <c r="P103" i="66" s="1"/>
  <c r="M103" i="66"/>
  <c r="L103" i="66"/>
  <c r="N103" i="65"/>
  <c r="O103" i="65" s="1"/>
  <c r="P103" i="65" s="1"/>
  <c r="M103" i="65"/>
  <c r="L103" i="65"/>
  <c r="N104" i="64"/>
  <c r="L104" i="64"/>
  <c r="M104" i="64" s="1"/>
  <c r="N104" i="60"/>
  <c r="L104" i="60"/>
  <c r="M104" i="60" s="1"/>
  <c r="N104" i="62"/>
  <c r="L104" i="62"/>
  <c r="M104" i="62" s="1"/>
  <c r="N104" i="63"/>
  <c r="L104" i="63"/>
  <c r="M104" i="63" s="1"/>
  <c r="N104" i="61"/>
  <c r="L104" i="61"/>
  <c r="M104" i="61" s="1"/>
  <c r="N104" i="59"/>
  <c r="L104" i="59"/>
  <c r="M104" i="59" s="1"/>
  <c r="N105" i="58"/>
  <c r="L105" i="58"/>
  <c r="M105" i="58" s="1"/>
  <c r="N105" i="57"/>
  <c r="L105" i="57"/>
  <c r="M105" i="57" s="1"/>
  <c r="N105" i="56"/>
  <c r="L105" i="56"/>
  <c r="M105" i="56" s="1"/>
  <c r="N105" i="55"/>
  <c r="L105" i="55"/>
  <c r="M105" i="55" s="1"/>
  <c r="N105" i="54"/>
  <c r="L105" i="54"/>
  <c r="M105" i="54" s="1"/>
  <c r="N105" i="53"/>
  <c r="L105" i="53"/>
  <c r="M105" i="53" s="1"/>
  <c r="N105" i="46"/>
  <c r="L105" i="46"/>
  <c r="M105" i="46" s="1"/>
  <c r="N106" i="45"/>
  <c r="L106" i="45"/>
  <c r="M106" i="45" s="1"/>
  <c r="N107" i="44"/>
  <c r="L107" i="44"/>
  <c r="M107" i="44" s="1"/>
  <c r="N107" i="43"/>
  <c r="L107" i="43"/>
  <c r="M107" i="43" s="1"/>
  <c r="N107" i="42"/>
  <c r="L107" i="42"/>
  <c r="M107" i="42" s="1"/>
  <c r="N1048576" i="42"/>
  <c r="N107" i="41"/>
  <c r="L107" i="41"/>
  <c r="M107" i="41" s="1"/>
  <c r="N107" i="39"/>
  <c r="L107" i="39"/>
  <c r="M107" i="39" s="1"/>
  <c r="N109" i="34"/>
  <c r="O109" i="34" s="1"/>
  <c r="P109" i="34" s="1"/>
  <c r="M109" i="34"/>
  <c r="L109" i="34"/>
  <c r="N109" i="32"/>
  <c r="O109" i="32" s="1"/>
  <c r="P109" i="32" s="1"/>
  <c r="M109" i="32"/>
  <c r="L109" i="32"/>
  <c r="N109" i="31"/>
  <c r="O109" i="31" s="1"/>
  <c r="P109" i="31" s="1"/>
  <c r="M109" i="31"/>
  <c r="L109" i="31"/>
  <c r="N110" i="30"/>
  <c r="O110" i="30" s="1"/>
  <c r="P110" i="30" s="1"/>
  <c r="M110" i="30"/>
  <c r="L110" i="30"/>
  <c r="N110" i="29"/>
  <c r="O110" i="29" s="1"/>
  <c r="P110" i="29" s="1"/>
  <c r="M110" i="29"/>
  <c r="L110" i="29"/>
  <c r="N111" i="28"/>
  <c r="O111" i="28" s="1"/>
  <c r="P111" i="28" s="1"/>
  <c r="M111" i="28"/>
  <c r="L111" i="28"/>
  <c r="N110" i="27"/>
  <c r="O110" i="27" s="1"/>
  <c r="P110" i="27" s="1"/>
  <c r="M110" i="27"/>
  <c r="L110" i="27"/>
  <c r="N109" i="24"/>
  <c r="O109" i="24" s="1"/>
  <c r="P109" i="24" s="1"/>
  <c r="M109" i="24"/>
  <c r="L109" i="24"/>
  <c r="N109" i="23"/>
  <c r="O109" i="23" s="1"/>
  <c r="P109" i="23" s="1"/>
  <c r="M109" i="23"/>
  <c r="L109" i="23"/>
  <c r="N108" i="22"/>
  <c r="O108" i="22" s="1"/>
  <c r="P108" i="22" s="1"/>
  <c r="M108" i="22"/>
  <c r="L108" i="22"/>
  <c r="N108" i="21"/>
  <c r="O108" i="21" s="1"/>
  <c r="L108" i="21"/>
  <c r="M108" i="21" s="1"/>
  <c r="N108" i="20"/>
  <c r="O108" i="20" s="1"/>
  <c r="L108" i="20"/>
  <c r="M108" i="20" s="1"/>
  <c r="N108" i="19"/>
  <c r="O108" i="19" s="1"/>
  <c r="P108" i="19" s="1"/>
  <c r="M108" i="19"/>
  <c r="L108" i="19"/>
  <c r="N108" i="18"/>
  <c r="O108" i="18" s="1"/>
  <c r="L108" i="18"/>
  <c r="M108" i="18" s="1"/>
  <c r="N108" i="17"/>
  <c r="O108" i="17" s="1"/>
  <c r="P108" i="17" s="1"/>
  <c r="M108" i="17"/>
  <c r="L108" i="17"/>
  <c r="N108" i="3"/>
  <c r="O108" i="3" s="1"/>
  <c r="L108" i="3"/>
  <c r="M108" i="3" s="1"/>
  <c r="P90" i="36"/>
  <c r="P89" i="36"/>
  <c r="L86" i="99" l="1"/>
  <c r="P108" i="18"/>
  <c r="N87" i="99"/>
  <c r="O87" i="99" s="1"/>
  <c r="C100" i="99"/>
  <c r="C101" i="99" s="1"/>
  <c r="C102" i="99" s="1"/>
  <c r="C103" i="99" s="1"/>
  <c r="C104" i="99" s="1"/>
  <c r="C105" i="99" s="1"/>
  <c r="C106" i="99" s="1"/>
  <c r="C107" i="99" s="1"/>
  <c r="C108" i="99" s="1"/>
  <c r="C109" i="99" s="1"/>
  <c r="C110" i="99" s="1"/>
  <c r="C111" i="99" s="1"/>
  <c r="C112" i="99" s="1"/>
  <c r="C113" i="99" s="1"/>
  <c r="C114" i="99" s="1"/>
  <c r="C115" i="99" s="1"/>
  <c r="C116" i="99" s="1"/>
  <c r="C117" i="99" s="1"/>
  <c r="C118" i="99" s="1"/>
  <c r="C119" i="99" s="1"/>
  <c r="C120" i="99" s="1"/>
  <c r="C121" i="99" s="1"/>
  <c r="C122" i="99" s="1"/>
  <c r="C123" i="99" s="1"/>
  <c r="C124" i="99" s="1"/>
  <c r="C125" i="99" s="1"/>
  <c r="C126" i="99" s="1"/>
  <c r="I17" i="97"/>
  <c r="C127" i="99" l="1"/>
  <c r="C128" i="99" s="1"/>
  <c r="C129" i="99" s="1"/>
  <c r="C130" i="99" s="1"/>
  <c r="C131" i="99" s="1"/>
  <c r="C132" i="99" s="1"/>
  <c r="C133" i="99" s="1"/>
  <c r="C134" i="99" s="1"/>
  <c r="C135" i="99" s="1"/>
  <c r="C136" i="99" s="1"/>
  <c r="C137" i="99" s="1"/>
  <c r="C138" i="99" s="1"/>
  <c r="C139" i="99" s="1"/>
  <c r="C140" i="99" s="1"/>
  <c r="C141" i="99" s="1"/>
  <c r="C142" i="99" s="1"/>
  <c r="C143" i="99" s="1"/>
  <c r="C144" i="99" s="1"/>
  <c r="C145" i="99" s="1"/>
  <c r="C146" i="99" s="1"/>
  <c r="C147" i="99" s="1"/>
  <c r="C148" i="99" s="1"/>
  <c r="C149" i="99" s="1"/>
  <c r="C150" i="99" s="1"/>
  <c r="C151" i="99" s="1"/>
  <c r="C152" i="99" s="1"/>
  <c r="C153" i="99" s="1"/>
  <c r="C154" i="99" s="1"/>
  <c r="D19" i="99"/>
  <c r="P154" i="98"/>
  <c r="O154" i="98"/>
  <c r="M154" i="98"/>
  <c r="J154" i="98"/>
  <c r="P153" i="98"/>
  <c r="O153" i="98"/>
  <c r="M153" i="98"/>
  <c r="J153" i="98"/>
  <c r="P152" i="98"/>
  <c r="O152" i="98"/>
  <c r="M152" i="98"/>
  <c r="J152" i="98"/>
  <c r="P151" i="98"/>
  <c r="O151" i="98"/>
  <c r="M151" i="98"/>
  <c r="J151" i="98"/>
  <c r="P150" i="98"/>
  <c r="O150" i="98"/>
  <c r="M150" i="98"/>
  <c r="J150" i="98"/>
  <c r="P149" i="98"/>
  <c r="O149" i="98"/>
  <c r="M149" i="98"/>
  <c r="J149" i="98"/>
  <c r="P148" i="98"/>
  <c r="O148" i="98"/>
  <c r="M148" i="98"/>
  <c r="J148" i="98"/>
  <c r="P147" i="98"/>
  <c r="O147" i="98"/>
  <c r="M147" i="98"/>
  <c r="J147" i="98"/>
  <c r="P146" i="98"/>
  <c r="O146" i="98"/>
  <c r="M146" i="98"/>
  <c r="J146" i="98"/>
  <c r="P145" i="98"/>
  <c r="O145" i="98"/>
  <c r="M145" i="98"/>
  <c r="J145" i="98"/>
  <c r="P144" i="98"/>
  <c r="O144" i="98"/>
  <c r="M144" i="98"/>
  <c r="J144" i="98"/>
  <c r="P143" i="98"/>
  <c r="O143" i="98"/>
  <c r="M143" i="98"/>
  <c r="J143" i="98"/>
  <c r="P142" i="98"/>
  <c r="O142" i="98"/>
  <c r="M142" i="98"/>
  <c r="J142" i="98"/>
  <c r="P141" i="98"/>
  <c r="O141" i="98"/>
  <c r="M141" i="98"/>
  <c r="J141" i="98"/>
  <c r="P140" i="98"/>
  <c r="O140" i="98"/>
  <c r="M140" i="98"/>
  <c r="J140" i="98"/>
  <c r="P139" i="98"/>
  <c r="O139" i="98"/>
  <c r="M139" i="98"/>
  <c r="J139" i="98"/>
  <c r="P138" i="98"/>
  <c r="O138" i="98"/>
  <c r="M138" i="98"/>
  <c r="J138" i="98"/>
  <c r="P137" i="98"/>
  <c r="O137" i="98"/>
  <c r="M137" i="98"/>
  <c r="J137" i="98"/>
  <c r="P136" i="98"/>
  <c r="O136" i="98"/>
  <c r="M136" i="98"/>
  <c r="J136" i="98"/>
  <c r="P135" i="98"/>
  <c r="O135" i="98"/>
  <c r="M135" i="98"/>
  <c r="J135" i="98"/>
  <c r="P134" i="98"/>
  <c r="O134" i="98"/>
  <c r="M134" i="98"/>
  <c r="J134" i="98"/>
  <c r="P133" i="98"/>
  <c r="O133" i="98"/>
  <c r="M133" i="98"/>
  <c r="J133" i="98"/>
  <c r="P132" i="98"/>
  <c r="O132" i="98"/>
  <c r="M132" i="98"/>
  <c r="J132" i="98"/>
  <c r="P131" i="98"/>
  <c r="O131" i="98"/>
  <c r="M131" i="98"/>
  <c r="J131" i="98"/>
  <c r="O130" i="98"/>
  <c r="M130" i="98"/>
  <c r="O129" i="98"/>
  <c r="M129" i="98"/>
  <c r="O128" i="98"/>
  <c r="M128" i="98"/>
  <c r="O127" i="98"/>
  <c r="M127" i="98"/>
  <c r="O126" i="98"/>
  <c r="M126" i="98"/>
  <c r="O125" i="98"/>
  <c r="M125" i="98"/>
  <c r="O124" i="98"/>
  <c r="M124" i="98"/>
  <c r="O123" i="98"/>
  <c r="M123" i="98"/>
  <c r="O122" i="98"/>
  <c r="M122" i="98"/>
  <c r="O121" i="98"/>
  <c r="M121" i="98"/>
  <c r="O120" i="98"/>
  <c r="M120" i="98"/>
  <c r="O119" i="98"/>
  <c r="M119" i="98"/>
  <c r="O118" i="98"/>
  <c r="M118" i="98"/>
  <c r="O117" i="98"/>
  <c r="M117" i="98"/>
  <c r="O116" i="98"/>
  <c r="M116" i="98"/>
  <c r="O115" i="98"/>
  <c r="M115" i="98"/>
  <c r="O114" i="98"/>
  <c r="M114" i="98"/>
  <c r="O113" i="98"/>
  <c r="M113" i="98"/>
  <c r="O112" i="98"/>
  <c r="M112" i="98"/>
  <c r="O111" i="98"/>
  <c r="M111" i="98"/>
  <c r="O110" i="98"/>
  <c r="M110" i="98"/>
  <c r="O109" i="98"/>
  <c r="M109" i="98"/>
  <c r="O108" i="98"/>
  <c r="M108" i="98"/>
  <c r="O107" i="98"/>
  <c r="M107" i="98"/>
  <c r="O106" i="98"/>
  <c r="M106" i="98"/>
  <c r="O105" i="98"/>
  <c r="M105" i="98"/>
  <c r="O104" i="98"/>
  <c r="M104" i="98"/>
  <c r="O103" i="98"/>
  <c r="M103" i="98"/>
  <c r="O102" i="98"/>
  <c r="M102" i="98"/>
  <c r="O101" i="98"/>
  <c r="M101" i="98"/>
  <c r="O100" i="98"/>
  <c r="M100" i="98"/>
  <c r="C100" i="98"/>
  <c r="C101" i="98" s="1"/>
  <c r="C102" i="98" s="1"/>
  <c r="C103" i="98" s="1"/>
  <c r="C104" i="98" s="1"/>
  <c r="C105" i="98" s="1"/>
  <c r="C106" i="98" s="1"/>
  <c r="C107" i="98" s="1"/>
  <c r="C108" i="98" s="1"/>
  <c r="C109" i="98" s="1"/>
  <c r="C110" i="98" s="1"/>
  <c r="C111" i="98" s="1"/>
  <c r="C112" i="98" s="1"/>
  <c r="C113" i="98" s="1"/>
  <c r="C114" i="98" s="1"/>
  <c r="C115" i="98" s="1"/>
  <c r="C116" i="98" s="1"/>
  <c r="C117" i="98" s="1"/>
  <c r="C118" i="98" s="1"/>
  <c r="C119" i="98" s="1"/>
  <c r="C120" i="98" s="1"/>
  <c r="C121" i="98" s="1"/>
  <c r="C122" i="98" s="1"/>
  <c r="C123" i="98" s="1"/>
  <c r="C124" i="98" s="1"/>
  <c r="C125" i="98" s="1"/>
  <c r="C126" i="98" s="1"/>
  <c r="C99" i="98"/>
  <c r="D96" i="98"/>
  <c r="L93" i="98"/>
  <c r="J93" i="98"/>
  <c r="J92" i="98"/>
  <c r="L86" i="98" s="1"/>
  <c r="D91" i="98"/>
  <c r="D89" i="98"/>
  <c r="N72" i="98"/>
  <c r="L72" i="98"/>
  <c r="N71" i="98"/>
  <c r="L71" i="98"/>
  <c r="N70" i="98"/>
  <c r="L70" i="98"/>
  <c r="N69" i="98"/>
  <c r="L69" i="98"/>
  <c r="N68" i="98"/>
  <c r="L68" i="98"/>
  <c r="N67" i="98"/>
  <c r="L67" i="98"/>
  <c r="N66" i="98"/>
  <c r="L66" i="98"/>
  <c r="N65" i="98"/>
  <c r="L65" i="98"/>
  <c r="N64" i="98"/>
  <c r="L64" i="98"/>
  <c r="N63" i="98"/>
  <c r="L63" i="98"/>
  <c r="N62" i="98"/>
  <c r="L62" i="98"/>
  <c r="N61" i="98"/>
  <c r="L61" i="98"/>
  <c r="N60" i="98"/>
  <c r="L60" i="98"/>
  <c r="N59" i="98"/>
  <c r="L59" i="98"/>
  <c r="N58" i="98"/>
  <c r="L58" i="98"/>
  <c r="N57" i="98"/>
  <c r="L57" i="98"/>
  <c r="N56" i="98"/>
  <c r="L56" i="98"/>
  <c r="N55" i="98"/>
  <c r="L55" i="98"/>
  <c r="N54" i="98"/>
  <c r="L54" i="98"/>
  <c r="N53" i="98"/>
  <c r="L53" i="98"/>
  <c r="N52" i="98"/>
  <c r="L52" i="98"/>
  <c r="N51" i="98"/>
  <c r="L51" i="98"/>
  <c r="N50" i="98"/>
  <c r="L50" i="98"/>
  <c r="N49" i="98"/>
  <c r="L49" i="98"/>
  <c r="N48" i="98"/>
  <c r="L48" i="98"/>
  <c r="N47" i="98"/>
  <c r="L47" i="98"/>
  <c r="N46" i="98"/>
  <c r="L46" i="98"/>
  <c r="N45" i="98"/>
  <c r="L45" i="98"/>
  <c r="N44" i="98"/>
  <c r="L44" i="98"/>
  <c r="N43" i="98"/>
  <c r="L43" i="98"/>
  <c r="N42" i="98"/>
  <c r="L42" i="98"/>
  <c r="N41" i="98"/>
  <c r="L41" i="98"/>
  <c r="N40" i="98"/>
  <c r="L40" i="98"/>
  <c r="N39" i="98"/>
  <c r="L39" i="98"/>
  <c r="N38" i="98"/>
  <c r="L38" i="98"/>
  <c r="N37" i="98"/>
  <c r="L37" i="98"/>
  <c r="N36" i="98"/>
  <c r="L36" i="98"/>
  <c r="N35" i="98"/>
  <c r="L35" i="98"/>
  <c r="N34" i="98"/>
  <c r="L34" i="98"/>
  <c r="N33" i="98"/>
  <c r="L33" i="98"/>
  <c r="N32" i="98"/>
  <c r="L32" i="98"/>
  <c r="N31" i="98"/>
  <c r="L31" i="98"/>
  <c r="N30" i="98"/>
  <c r="L30" i="98"/>
  <c r="N29" i="98"/>
  <c r="L29" i="98"/>
  <c r="N28" i="98"/>
  <c r="L28" i="98"/>
  <c r="N27" i="98"/>
  <c r="L27" i="98"/>
  <c r="N26" i="98"/>
  <c r="L26" i="98"/>
  <c r="N25" i="98"/>
  <c r="L25" i="98"/>
  <c r="N24" i="98"/>
  <c r="L24" i="98"/>
  <c r="N23" i="98"/>
  <c r="L23" i="98"/>
  <c r="N22" i="98"/>
  <c r="L22" i="98"/>
  <c r="N21" i="98"/>
  <c r="L21" i="98"/>
  <c r="N20" i="98"/>
  <c r="L20" i="98"/>
  <c r="N19" i="98"/>
  <c r="L19" i="98"/>
  <c r="N18" i="98"/>
  <c r="N17" i="98"/>
  <c r="I17" i="98"/>
  <c r="C17" i="98"/>
  <c r="C18" i="98" s="1"/>
  <c r="C19" i="98" s="1"/>
  <c r="C20" i="98" s="1"/>
  <c r="C21" i="98" s="1"/>
  <c r="C22" i="98" s="1"/>
  <c r="C23" i="98" s="1"/>
  <c r="C24" i="98" s="1"/>
  <c r="C25" i="98" s="1"/>
  <c r="C26" i="98" s="1"/>
  <c r="C27" i="98" s="1"/>
  <c r="C28" i="98" s="1"/>
  <c r="C29" i="98" s="1"/>
  <c r="C30" i="98" s="1"/>
  <c r="C31" i="98" s="1"/>
  <c r="C32" i="98" s="1"/>
  <c r="C33" i="98" s="1"/>
  <c r="C34" i="98" s="1"/>
  <c r="C35" i="98" s="1"/>
  <c r="C36" i="98" s="1"/>
  <c r="C37" i="98" s="1"/>
  <c r="C38" i="98" s="1"/>
  <c r="C39" i="98" s="1"/>
  <c r="C40" i="98" s="1"/>
  <c r="C41" i="98" s="1"/>
  <c r="C42" i="98" s="1"/>
  <c r="C43" i="98" s="1"/>
  <c r="C44" i="98" s="1"/>
  <c r="K11" i="98"/>
  <c r="I11" i="98"/>
  <c r="D8" i="98"/>
  <c r="D90" i="98" s="1"/>
  <c r="P1" i="98"/>
  <c r="P83" i="98" s="1"/>
  <c r="P154" i="97"/>
  <c r="O154" i="97"/>
  <c r="M154" i="97"/>
  <c r="J154" i="97"/>
  <c r="P153" i="97"/>
  <c r="O153" i="97"/>
  <c r="M153" i="97"/>
  <c r="J153" i="97"/>
  <c r="P152" i="97"/>
  <c r="O152" i="97"/>
  <c r="M152" i="97"/>
  <c r="J152" i="97"/>
  <c r="P151" i="97"/>
  <c r="O151" i="97"/>
  <c r="M151" i="97"/>
  <c r="J151" i="97"/>
  <c r="P150" i="97"/>
  <c r="O150" i="97"/>
  <c r="M150" i="97"/>
  <c r="J150" i="97"/>
  <c r="P149" i="97"/>
  <c r="O149" i="97"/>
  <c r="M149" i="97"/>
  <c r="J149" i="97"/>
  <c r="P148" i="97"/>
  <c r="O148" i="97"/>
  <c r="M148" i="97"/>
  <c r="J148" i="97"/>
  <c r="P147" i="97"/>
  <c r="O147" i="97"/>
  <c r="M147" i="97"/>
  <c r="J147" i="97"/>
  <c r="P146" i="97"/>
  <c r="O146" i="97"/>
  <c r="M146" i="97"/>
  <c r="J146" i="97"/>
  <c r="P145" i="97"/>
  <c r="O145" i="97"/>
  <c r="M145" i="97"/>
  <c r="J145" i="97"/>
  <c r="P144" i="97"/>
  <c r="O144" i="97"/>
  <c r="M144" i="97"/>
  <c r="J144" i="97"/>
  <c r="P143" i="97"/>
  <c r="O143" i="97"/>
  <c r="M143" i="97"/>
  <c r="J143" i="97"/>
  <c r="P142" i="97"/>
  <c r="O142" i="97"/>
  <c r="M142" i="97"/>
  <c r="J142" i="97"/>
  <c r="P141" i="97"/>
  <c r="O141" i="97"/>
  <c r="M141" i="97"/>
  <c r="J141" i="97"/>
  <c r="P140" i="97"/>
  <c r="O140" i="97"/>
  <c r="M140" i="97"/>
  <c r="J140" i="97"/>
  <c r="P139" i="97"/>
  <c r="O139" i="97"/>
  <c r="M139" i="97"/>
  <c r="J139" i="97"/>
  <c r="P138" i="97"/>
  <c r="O138" i="97"/>
  <c r="M138" i="97"/>
  <c r="J138" i="97"/>
  <c r="P137" i="97"/>
  <c r="O137" i="97"/>
  <c r="M137" i="97"/>
  <c r="J137" i="97"/>
  <c r="P136" i="97"/>
  <c r="O136" i="97"/>
  <c r="M136" i="97"/>
  <c r="J136" i="97"/>
  <c r="P135" i="97"/>
  <c r="O135" i="97"/>
  <c r="M135" i="97"/>
  <c r="J135" i="97"/>
  <c r="P134" i="97"/>
  <c r="O134" i="97"/>
  <c r="M134" i="97"/>
  <c r="J134" i="97"/>
  <c r="P133" i="97"/>
  <c r="O133" i="97"/>
  <c r="M133" i="97"/>
  <c r="J133" i="97"/>
  <c r="P132" i="97"/>
  <c r="O132" i="97"/>
  <c r="M132" i="97"/>
  <c r="J132" i="97"/>
  <c r="P131" i="97"/>
  <c r="O131" i="97"/>
  <c r="M131" i="97"/>
  <c r="J131" i="97"/>
  <c r="O130" i="97"/>
  <c r="M130" i="97"/>
  <c r="O129" i="97"/>
  <c r="M129" i="97"/>
  <c r="O128" i="97"/>
  <c r="M128" i="97"/>
  <c r="O127" i="97"/>
  <c r="M127" i="97"/>
  <c r="O126" i="97"/>
  <c r="M126" i="97"/>
  <c r="O125" i="97"/>
  <c r="M125" i="97"/>
  <c r="O124" i="97"/>
  <c r="M124" i="97"/>
  <c r="O123" i="97"/>
  <c r="M123" i="97"/>
  <c r="O122" i="97"/>
  <c r="M122" i="97"/>
  <c r="O121" i="97"/>
  <c r="M121" i="97"/>
  <c r="O120" i="97"/>
  <c r="M120" i="97"/>
  <c r="O119" i="97"/>
  <c r="M119" i="97"/>
  <c r="O118" i="97"/>
  <c r="M118" i="97"/>
  <c r="O117" i="97"/>
  <c r="M117" i="97"/>
  <c r="O116" i="97"/>
  <c r="M116" i="97"/>
  <c r="O115" i="97"/>
  <c r="M115" i="97"/>
  <c r="O114" i="97"/>
  <c r="M114" i="97"/>
  <c r="O113" i="97"/>
  <c r="M113" i="97"/>
  <c r="O112" i="97"/>
  <c r="M112" i="97"/>
  <c r="O111" i="97"/>
  <c r="M111" i="97"/>
  <c r="O110" i="97"/>
  <c r="M110" i="97"/>
  <c r="O109" i="97"/>
  <c r="M109" i="97"/>
  <c r="O108" i="97"/>
  <c r="M108" i="97"/>
  <c r="O107" i="97"/>
  <c r="M107" i="97"/>
  <c r="O106" i="97"/>
  <c r="M106" i="97"/>
  <c r="O105" i="97"/>
  <c r="M105" i="97"/>
  <c r="O104" i="97"/>
  <c r="M104" i="97"/>
  <c r="O103" i="97"/>
  <c r="M103" i="97"/>
  <c r="O102" i="97"/>
  <c r="M102" i="97"/>
  <c r="O101" i="97"/>
  <c r="M101" i="97"/>
  <c r="O100" i="97"/>
  <c r="M100" i="97"/>
  <c r="O99" i="97"/>
  <c r="C99" i="97"/>
  <c r="D96" i="97"/>
  <c r="L93" i="97"/>
  <c r="J93" i="97"/>
  <c r="J92" i="97"/>
  <c r="L86" i="97" s="1"/>
  <c r="D91" i="97"/>
  <c r="D89" i="97"/>
  <c r="N72" i="97"/>
  <c r="L72" i="97"/>
  <c r="N71" i="97"/>
  <c r="L71" i="97"/>
  <c r="N70" i="97"/>
  <c r="L70" i="97"/>
  <c r="N69" i="97"/>
  <c r="L69" i="97"/>
  <c r="N68" i="97"/>
  <c r="L68" i="97"/>
  <c r="N67" i="97"/>
  <c r="L67" i="97"/>
  <c r="N66" i="97"/>
  <c r="L66" i="97"/>
  <c r="N65" i="97"/>
  <c r="L65" i="97"/>
  <c r="N64" i="97"/>
  <c r="L64" i="97"/>
  <c r="N63" i="97"/>
  <c r="L63" i="97"/>
  <c r="N62" i="97"/>
  <c r="L62" i="97"/>
  <c r="N61" i="97"/>
  <c r="L61" i="97"/>
  <c r="N60" i="97"/>
  <c r="L60" i="97"/>
  <c r="N59" i="97"/>
  <c r="L59" i="97"/>
  <c r="N58" i="97"/>
  <c r="L58" i="97"/>
  <c r="N57" i="97"/>
  <c r="L57" i="97"/>
  <c r="N56" i="97"/>
  <c r="L56" i="97"/>
  <c r="N55" i="97"/>
  <c r="L55" i="97"/>
  <c r="N54" i="97"/>
  <c r="L54" i="97"/>
  <c r="N53" i="97"/>
  <c r="L53" i="97"/>
  <c r="N52" i="97"/>
  <c r="L52" i="97"/>
  <c r="N51" i="97"/>
  <c r="L51" i="97"/>
  <c r="N50" i="97"/>
  <c r="L50" i="97"/>
  <c r="N49" i="97"/>
  <c r="L49" i="97"/>
  <c r="N48" i="97"/>
  <c r="L48" i="97"/>
  <c r="N47" i="97"/>
  <c r="L47" i="97"/>
  <c r="N46" i="97"/>
  <c r="L46" i="97"/>
  <c r="N45" i="97"/>
  <c r="L45" i="97"/>
  <c r="N44" i="97"/>
  <c r="L44" i="97"/>
  <c r="N43" i="97"/>
  <c r="L43" i="97"/>
  <c r="N42" i="97"/>
  <c r="L42" i="97"/>
  <c r="N41" i="97"/>
  <c r="L41" i="97"/>
  <c r="N40" i="97"/>
  <c r="L40" i="97"/>
  <c r="N39" i="97"/>
  <c r="L39" i="97"/>
  <c r="N38" i="97"/>
  <c r="L38" i="97"/>
  <c r="N37" i="97"/>
  <c r="L37" i="97"/>
  <c r="N36" i="97"/>
  <c r="L36" i="97"/>
  <c r="N35" i="97"/>
  <c r="L35" i="97"/>
  <c r="N34" i="97"/>
  <c r="L34" i="97"/>
  <c r="N33" i="97"/>
  <c r="L33" i="97"/>
  <c r="N32" i="97"/>
  <c r="L32" i="97"/>
  <c r="N31" i="97"/>
  <c r="L31" i="97"/>
  <c r="N30" i="97"/>
  <c r="L30" i="97"/>
  <c r="N29" i="97"/>
  <c r="L29" i="97"/>
  <c r="N28" i="97"/>
  <c r="L28" i="97"/>
  <c r="N27" i="97"/>
  <c r="L27" i="97"/>
  <c r="N26" i="97"/>
  <c r="L26" i="97"/>
  <c r="N25" i="97"/>
  <c r="L25" i="97"/>
  <c r="N24" i="97"/>
  <c r="L24" i="97"/>
  <c r="N23" i="97"/>
  <c r="L23" i="97"/>
  <c r="N22" i="97"/>
  <c r="L22" i="97"/>
  <c r="N21" i="97"/>
  <c r="L21" i="97"/>
  <c r="N20" i="97"/>
  <c r="L20" i="97"/>
  <c r="N19" i="97"/>
  <c r="L19" i="97"/>
  <c r="N17" i="97"/>
  <c r="C17" i="97"/>
  <c r="C18" i="97" s="1"/>
  <c r="C19" i="97" s="1"/>
  <c r="C20" i="97" s="1"/>
  <c r="C21" i="97" s="1"/>
  <c r="C22" i="97" s="1"/>
  <c r="C23" i="97" s="1"/>
  <c r="C24" i="97" s="1"/>
  <c r="C25" i="97" s="1"/>
  <c r="C26" i="97" s="1"/>
  <c r="C27" i="97" s="1"/>
  <c r="C28" i="97" s="1"/>
  <c r="C29" i="97" s="1"/>
  <c r="C30" i="97" s="1"/>
  <c r="C31" i="97" s="1"/>
  <c r="C32" i="97" s="1"/>
  <c r="C33" i="97" s="1"/>
  <c r="C34" i="97" s="1"/>
  <c r="C35" i="97" s="1"/>
  <c r="C36" i="97" s="1"/>
  <c r="C37" i="97" s="1"/>
  <c r="C38" i="97" s="1"/>
  <c r="C39" i="97" s="1"/>
  <c r="C40" i="97" s="1"/>
  <c r="C41" i="97" s="1"/>
  <c r="C42" i="97" s="1"/>
  <c r="C43" i="97" s="1"/>
  <c r="C44" i="97" s="1"/>
  <c r="K11" i="97"/>
  <c r="I11" i="97"/>
  <c r="D8" i="97"/>
  <c r="D90" i="97" s="1"/>
  <c r="P1" i="97"/>
  <c r="P83" i="97" s="1"/>
  <c r="O71" i="98" l="1"/>
  <c r="J93" i="36"/>
  <c r="P101" i="98"/>
  <c r="P105" i="98"/>
  <c r="B19" i="99"/>
  <c r="I18" i="99"/>
  <c r="O34" i="98"/>
  <c r="O52" i="98"/>
  <c r="O42" i="98"/>
  <c r="O23" i="98"/>
  <c r="O27" i="98"/>
  <c r="O58" i="98"/>
  <c r="O60" i="98"/>
  <c r="O68" i="98"/>
  <c r="O32" i="98"/>
  <c r="O39" i="98"/>
  <c r="O43" i="98"/>
  <c r="O45" i="98"/>
  <c r="O47" i="98"/>
  <c r="O23" i="97"/>
  <c r="O40" i="98"/>
  <c r="O51" i="98"/>
  <c r="O64" i="98"/>
  <c r="O20" i="98"/>
  <c r="O22" i="98"/>
  <c r="O35" i="98"/>
  <c r="O46" i="98"/>
  <c r="O53" i="98"/>
  <c r="O55" i="98"/>
  <c r="O59" i="98"/>
  <c r="O72" i="98"/>
  <c r="O19" i="98"/>
  <c r="O30" i="98"/>
  <c r="O36" i="98"/>
  <c r="O50" i="98"/>
  <c r="O56" i="98"/>
  <c r="O61" i="98"/>
  <c r="O63" i="98"/>
  <c r="O67" i="98"/>
  <c r="O21" i="98"/>
  <c r="O24" i="98"/>
  <c r="O26" i="98"/>
  <c r="O28" i="98"/>
  <c r="O31" i="98"/>
  <c r="O48" i="98"/>
  <c r="O66" i="98"/>
  <c r="O69" i="98"/>
  <c r="O18" i="98"/>
  <c r="O25" i="98"/>
  <c r="O44" i="98"/>
  <c r="O48" i="97"/>
  <c r="O50" i="97"/>
  <c r="O56" i="97"/>
  <c r="O60" i="97"/>
  <c r="O64" i="97"/>
  <c r="O68" i="97"/>
  <c r="O25" i="97"/>
  <c r="O27" i="97"/>
  <c r="O31" i="97"/>
  <c r="O35" i="97"/>
  <c r="O39" i="97"/>
  <c r="O19" i="97"/>
  <c r="O72" i="97"/>
  <c r="O41" i="97"/>
  <c r="O43" i="97"/>
  <c r="O47" i="97"/>
  <c r="O61" i="97"/>
  <c r="O63" i="97"/>
  <c r="O17" i="97"/>
  <c r="O32" i="97"/>
  <c r="O34" i="97"/>
  <c r="O58" i="97"/>
  <c r="O62" i="97"/>
  <c r="O66" i="97"/>
  <c r="O71" i="97"/>
  <c r="O20" i="97"/>
  <c r="O22" i="97"/>
  <c r="O29" i="97"/>
  <c r="O36" i="97"/>
  <c r="O38" i="97"/>
  <c r="O45" i="97"/>
  <c r="O65" i="97"/>
  <c r="O67" i="97"/>
  <c r="O24" i="97"/>
  <c r="O26" i="97"/>
  <c r="O40" i="97"/>
  <c r="O42" i="97"/>
  <c r="O49" i="97"/>
  <c r="O51" i="97"/>
  <c r="O53" i="97"/>
  <c r="O55" i="97"/>
  <c r="O69" i="97"/>
  <c r="O28" i="97"/>
  <c r="O30" i="97"/>
  <c r="O44" i="97"/>
  <c r="O46" i="97"/>
  <c r="O52" i="97"/>
  <c r="O54" i="97"/>
  <c r="O57" i="97"/>
  <c r="O59" i="97"/>
  <c r="O70" i="97"/>
  <c r="C100" i="97"/>
  <c r="C101" i="97" s="1"/>
  <c r="C102" i="97" s="1"/>
  <c r="C103" i="97" s="1"/>
  <c r="C104" i="97" s="1"/>
  <c r="C105" i="97" s="1"/>
  <c r="C106" i="97" s="1"/>
  <c r="C107" i="97" s="1"/>
  <c r="C108" i="97" s="1"/>
  <c r="C109" i="97" s="1"/>
  <c r="C110" i="97" s="1"/>
  <c r="C111" i="97" s="1"/>
  <c r="C112" i="97" s="1"/>
  <c r="C113" i="97" s="1"/>
  <c r="C114" i="97" s="1"/>
  <c r="C115" i="97" s="1"/>
  <c r="C116" i="97" s="1"/>
  <c r="C117" i="97" s="1"/>
  <c r="C118" i="97" s="1"/>
  <c r="C119" i="97" s="1"/>
  <c r="C120" i="97" s="1"/>
  <c r="C121" i="97" s="1"/>
  <c r="C122" i="97" s="1"/>
  <c r="C123" i="97" s="1"/>
  <c r="C124" i="97" s="1"/>
  <c r="C125" i="97" s="1"/>
  <c r="C126" i="97" s="1"/>
  <c r="P103" i="97"/>
  <c r="P105" i="97"/>
  <c r="P107" i="97"/>
  <c r="P109" i="97"/>
  <c r="P111" i="97"/>
  <c r="P119" i="97"/>
  <c r="P123" i="97"/>
  <c r="P100" i="98"/>
  <c r="P102" i="98"/>
  <c r="P104" i="98"/>
  <c r="P106" i="98"/>
  <c r="P110" i="98"/>
  <c r="P114" i="98"/>
  <c r="P116" i="98"/>
  <c r="P118" i="98"/>
  <c r="P104" i="97"/>
  <c r="P106" i="97"/>
  <c r="P108" i="97"/>
  <c r="P110" i="97"/>
  <c r="P122" i="97"/>
  <c r="P107" i="98"/>
  <c r="P109" i="98"/>
  <c r="P111" i="98"/>
  <c r="P113" i="98"/>
  <c r="P115" i="98"/>
  <c r="P117" i="98"/>
  <c r="P122" i="98"/>
  <c r="P126" i="98"/>
  <c r="P130" i="98"/>
  <c r="P108" i="98"/>
  <c r="P112" i="98"/>
  <c r="P113" i="97"/>
  <c r="P115" i="97"/>
  <c r="P117" i="97"/>
  <c r="P126" i="97"/>
  <c r="P130" i="97"/>
  <c r="P99" i="97"/>
  <c r="P112" i="97"/>
  <c r="P114" i="97"/>
  <c r="P116" i="97"/>
  <c r="P118" i="97"/>
  <c r="P127" i="97"/>
  <c r="P127" i="98"/>
  <c r="P103" i="98"/>
  <c r="O17" i="98"/>
  <c r="M87" i="98"/>
  <c r="C45" i="98"/>
  <c r="C46" i="98" s="1"/>
  <c r="C47" i="98" s="1"/>
  <c r="C48" i="98" s="1"/>
  <c r="C49" i="98" s="1"/>
  <c r="C50" i="98" s="1"/>
  <c r="C51" i="98" s="1"/>
  <c r="C52" i="98" s="1"/>
  <c r="C53" i="98" s="1"/>
  <c r="C54" i="98" s="1"/>
  <c r="C55" i="98" s="1"/>
  <c r="C56" i="98" s="1"/>
  <c r="C57" i="98" s="1"/>
  <c r="C58" i="98" s="1"/>
  <c r="C59" i="98" s="1"/>
  <c r="C60" i="98" s="1"/>
  <c r="C61" i="98" s="1"/>
  <c r="C62" i="98" s="1"/>
  <c r="C63" i="98" s="1"/>
  <c r="C64" i="98" s="1"/>
  <c r="C65" i="98" s="1"/>
  <c r="C66" i="98" s="1"/>
  <c r="C67" i="98" s="1"/>
  <c r="C68" i="98" s="1"/>
  <c r="C69" i="98" s="1"/>
  <c r="C70" i="98" s="1"/>
  <c r="C71" i="98" s="1"/>
  <c r="C72" i="98" s="1"/>
  <c r="O37" i="98"/>
  <c r="C127" i="98"/>
  <c r="C128" i="98" s="1"/>
  <c r="C129" i="98" s="1"/>
  <c r="C130" i="98" s="1"/>
  <c r="C131" i="98" s="1"/>
  <c r="C132" i="98" s="1"/>
  <c r="C133" i="98" s="1"/>
  <c r="C134" i="98" s="1"/>
  <c r="C135" i="98" s="1"/>
  <c r="C136" i="98" s="1"/>
  <c r="C137" i="98" s="1"/>
  <c r="C138" i="98" s="1"/>
  <c r="C139" i="98" s="1"/>
  <c r="C140" i="98" s="1"/>
  <c r="C141" i="98" s="1"/>
  <c r="C142" i="98" s="1"/>
  <c r="C143" i="98" s="1"/>
  <c r="C144" i="98" s="1"/>
  <c r="C145" i="98" s="1"/>
  <c r="C146" i="98" s="1"/>
  <c r="C147" i="98" s="1"/>
  <c r="C148" i="98" s="1"/>
  <c r="C149" i="98" s="1"/>
  <c r="C150" i="98" s="1"/>
  <c r="C151" i="98" s="1"/>
  <c r="C152" i="98" s="1"/>
  <c r="C153" i="98" s="1"/>
  <c r="C154" i="98" s="1"/>
  <c r="B18" i="98"/>
  <c r="O29" i="98"/>
  <c r="O38" i="98"/>
  <c r="O33" i="98"/>
  <c r="O49" i="98"/>
  <c r="O54" i="98"/>
  <c r="O57" i="98"/>
  <c r="O62" i="98"/>
  <c r="O65" i="98"/>
  <c r="O70" i="98"/>
  <c r="P119" i="98"/>
  <c r="O41" i="98"/>
  <c r="N87" i="98"/>
  <c r="P123" i="98"/>
  <c r="P120" i="98"/>
  <c r="P124" i="98"/>
  <c r="P128" i="98"/>
  <c r="P121" i="98"/>
  <c r="P125" i="98"/>
  <c r="P129" i="98"/>
  <c r="M87" i="97"/>
  <c r="N87" i="97"/>
  <c r="C45" i="97"/>
  <c r="C46" i="97" s="1"/>
  <c r="C47" i="97" s="1"/>
  <c r="C48" i="97" s="1"/>
  <c r="C49" i="97" s="1"/>
  <c r="C50" i="97" s="1"/>
  <c r="C51" i="97" s="1"/>
  <c r="C52" i="97" s="1"/>
  <c r="C53" i="97" s="1"/>
  <c r="C54" i="97" s="1"/>
  <c r="C55" i="97" s="1"/>
  <c r="C56" i="97" s="1"/>
  <c r="C57" i="97" s="1"/>
  <c r="C58" i="97" s="1"/>
  <c r="C59" i="97" s="1"/>
  <c r="C60" i="97" s="1"/>
  <c r="C61" i="97" s="1"/>
  <c r="C62" i="97" s="1"/>
  <c r="C63" i="97" s="1"/>
  <c r="C64" i="97" s="1"/>
  <c r="C65" i="97" s="1"/>
  <c r="C66" i="97" s="1"/>
  <c r="C67" i="97" s="1"/>
  <c r="C68" i="97" s="1"/>
  <c r="C69" i="97" s="1"/>
  <c r="C70" i="97" s="1"/>
  <c r="C71" i="97" s="1"/>
  <c r="C72" i="97" s="1"/>
  <c r="O21" i="97"/>
  <c r="O37" i="97"/>
  <c r="O33" i="97"/>
  <c r="C127" i="97"/>
  <c r="C128" i="97" s="1"/>
  <c r="C129" i="97" s="1"/>
  <c r="C130" i="97" s="1"/>
  <c r="C131" i="97" s="1"/>
  <c r="C132" i="97" s="1"/>
  <c r="C133" i="97" s="1"/>
  <c r="C134" i="97" s="1"/>
  <c r="C135" i="97" s="1"/>
  <c r="C136" i="97" s="1"/>
  <c r="C137" i="97" s="1"/>
  <c r="C138" i="97" s="1"/>
  <c r="C139" i="97" s="1"/>
  <c r="C140" i="97" s="1"/>
  <c r="C141" i="97" s="1"/>
  <c r="C142" i="97" s="1"/>
  <c r="C143" i="97" s="1"/>
  <c r="C144" i="97" s="1"/>
  <c r="C145" i="97" s="1"/>
  <c r="C146" i="97" s="1"/>
  <c r="C147" i="97" s="1"/>
  <c r="C148" i="97" s="1"/>
  <c r="C149" i="97" s="1"/>
  <c r="C150" i="97" s="1"/>
  <c r="C151" i="97" s="1"/>
  <c r="C152" i="97" s="1"/>
  <c r="C153" i="97" s="1"/>
  <c r="C154" i="97" s="1"/>
  <c r="B18" i="97"/>
  <c r="P102" i="97"/>
  <c r="P101" i="97"/>
  <c r="P100" i="97"/>
  <c r="P120" i="97"/>
  <c r="P124" i="97"/>
  <c r="P128" i="97"/>
  <c r="P121" i="97"/>
  <c r="P125" i="97"/>
  <c r="P129" i="97"/>
  <c r="D19" i="98" l="1"/>
  <c r="O87" i="98"/>
  <c r="B19" i="98"/>
  <c r="D19" i="97"/>
  <c r="N18" i="97"/>
  <c r="O18" i="97" s="1"/>
  <c r="O87" i="97"/>
  <c r="I18" i="98" l="1"/>
  <c r="B19" i="97"/>
  <c r="I18" i="97"/>
  <c r="E36" i="1" l="1"/>
  <c r="E35" i="1"/>
  <c r="C36" i="1"/>
  <c r="C35" i="1"/>
  <c r="I100" i="36"/>
  <c r="C36" i="2" l="1"/>
  <c r="C35" i="2"/>
  <c r="E36" i="2" l="1"/>
  <c r="E35" i="2"/>
  <c r="M17" i="96" l="1"/>
  <c r="N17" i="96" s="1"/>
  <c r="K17" i="96"/>
  <c r="M17" i="95"/>
  <c r="N17" i="95" s="1"/>
  <c r="K17" i="95"/>
  <c r="L17" i="95" s="1"/>
  <c r="M17" i="94"/>
  <c r="K17" i="94"/>
  <c r="L17" i="94" s="1"/>
  <c r="M17" i="93"/>
  <c r="N17" i="93" s="1"/>
  <c r="K17" i="93"/>
  <c r="L17" i="93" s="1"/>
  <c r="N99" i="92"/>
  <c r="L99" i="92"/>
  <c r="M99" i="92"/>
  <c r="M18" i="92"/>
  <c r="N18" i="92" s="1"/>
  <c r="K18" i="92"/>
  <c r="L18" i="92" s="1"/>
  <c r="N99" i="91"/>
  <c r="L99" i="91"/>
  <c r="M18" i="91"/>
  <c r="K18" i="91"/>
  <c r="L18" i="91"/>
  <c r="N99" i="90"/>
  <c r="O99" i="90" s="1"/>
  <c r="L99" i="90"/>
  <c r="M18" i="90"/>
  <c r="K18" i="90"/>
  <c r="N99" i="89"/>
  <c r="L99" i="89"/>
  <c r="M18" i="89"/>
  <c r="K18" i="89"/>
  <c r="L18" i="89" s="1"/>
  <c r="N99" i="88"/>
  <c r="L99" i="88"/>
  <c r="M18" i="88"/>
  <c r="K18" i="88"/>
  <c r="N99" i="87"/>
  <c r="L99" i="87"/>
  <c r="M18" i="87"/>
  <c r="K18" i="87"/>
  <c r="L18" i="87" s="1"/>
  <c r="N99" i="86"/>
  <c r="O99" i="86"/>
  <c r="L99" i="86"/>
  <c r="M18" i="86"/>
  <c r="K18" i="86"/>
  <c r="L18" i="86" s="1"/>
  <c r="N100" i="85"/>
  <c r="L100" i="85"/>
  <c r="M19" i="85"/>
  <c r="N19" i="85" s="1"/>
  <c r="K19" i="85"/>
  <c r="L19" i="85" s="1"/>
  <c r="N99" i="84"/>
  <c r="L99" i="84"/>
  <c r="M19" i="84"/>
  <c r="N19" i="84" s="1"/>
  <c r="K19" i="84"/>
  <c r="L19" i="84" s="1"/>
  <c r="N100" i="83"/>
  <c r="L100" i="83"/>
  <c r="M19" i="83"/>
  <c r="N19" i="83" s="1"/>
  <c r="K19" i="83"/>
  <c r="L19" i="83" s="1"/>
  <c r="N100" i="82"/>
  <c r="L100" i="82"/>
  <c r="M19" i="82"/>
  <c r="N19" i="82" s="1"/>
  <c r="K19" i="82"/>
  <c r="L19" i="82" s="1"/>
  <c r="N100" i="81"/>
  <c r="O100" i="81"/>
  <c r="P100" i="81"/>
  <c r="M100" i="81"/>
  <c r="L100" i="81"/>
  <c r="M19" i="81"/>
  <c r="N19" i="81" s="1"/>
  <c r="K19" i="81"/>
  <c r="L19" i="81" s="1"/>
  <c r="N100" i="80"/>
  <c r="L100" i="80"/>
  <c r="M19" i="80"/>
  <c r="N19" i="80" s="1"/>
  <c r="K19" i="80"/>
  <c r="L19" i="80" s="1"/>
  <c r="N101" i="79"/>
  <c r="O101" i="79"/>
  <c r="P101" i="79" s="1"/>
  <c r="L101" i="79"/>
  <c r="M101" i="79" s="1"/>
  <c r="M20" i="79"/>
  <c r="N20" i="79" s="1"/>
  <c r="K20" i="79"/>
  <c r="L20" i="79" s="1"/>
  <c r="N101" i="78"/>
  <c r="O101" i="78" s="1"/>
  <c r="M101" i="78"/>
  <c r="P101" i="78" s="1"/>
  <c r="L101" i="78"/>
  <c r="M20" i="78"/>
  <c r="N20" i="78" s="1"/>
  <c r="O20" i="78" s="1"/>
  <c r="K20" i="78"/>
  <c r="L20" i="78" s="1"/>
  <c r="N101" i="77"/>
  <c r="O101" i="77"/>
  <c r="P101" i="77" s="1"/>
  <c r="L101" i="77"/>
  <c r="M101" i="77" s="1"/>
  <c r="M20" i="77"/>
  <c r="N20" i="77" s="1"/>
  <c r="K20" i="77"/>
  <c r="L20" i="77" s="1"/>
  <c r="M20" i="76"/>
  <c r="N20" i="76" s="1"/>
  <c r="K20" i="76"/>
  <c r="L20" i="76" s="1"/>
  <c r="N101" i="76"/>
  <c r="O101" i="76"/>
  <c r="L101" i="76"/>
  <c r="M101" i="76" s="1"/>
  <c r="P101" i="76" s="1"/>
  <c r="N101" i="75"/>
  <c r="O101" i="75" s="1"/>
  <c r="P101" i="75" s="1"/>
  <c r="L101" i="75"/>
  <c r="M101" i="75" s="1"/>
  <c r="M20" i="75"/>
  <c r="N20" i="75" s="1"/>
  <c r="K20" i="75"/>
  <c r="L20" i="75" s="1"/>
  <c r="N105" i="74"/>
  <c r="O105" i="74" s="1"/>
  <c r="P105" i="74"/>
  <c r="M105" i="74"/>
  <c r="L105" i="74"/>
  <c r="M24" i="74"/>
  <c r="N24" i="74" s="1"/>
  <c r="K24" i="74"/>
  <c r="L24" i="74" s="1"/>
  <c r="N106" i="73"/>
  <c r="O106" i="73"/>
  <c r="P106" i="73" s="1"/>
  <c r="L106" i="73"/>
  <c r="M106" i="73" s="1"/>
  <c r="M25" i="73"/>
  <c r="N25" i="73" s="1"/>
  <c r="K25" i="73"/>
  <c r="L25" i="73" s="1"/>
  <c r="N104" i="72"/>
  <c r="O104" i="72" s="1"/>
  <c r="P104" i="72" s="1"/>
  <c r="M104" i="72"/>
  <c r="L104" i="72"/>
  <c r="M23" i="72"/>
  <c r="N23" i="72" s="1"/>
  <c r="K23" i="72"/>
  <c r="L23" i="72" s="1"/>
  <c r="N108" i="71"/>
  <c r="O108" i="71" s="1"/>
  <c r="P108" i="71" s="1"/>
  <c r="L108" i="71"/>
  <c r="M108" i="71" s="1"/>
  <c r="M27" i="71"/>
  <c r="N27" i="71" s="1"/>
  <c r="K27" i="71"/>
  <c r="L27" i="71" s="1"/>
  <c r="N109" i="70"/>
  <c r="O109" i="70" s="1"/>
  <c r="P109" i="70"/>
  <c r="M109" i="70"/>
  <c r="L109" i="70"/>
  <c r="M28" i="70"/>
  <c r="N28" i="70" s="1"/>
  <c r="K28" i="70"/>
  <c r="L28" i="70" s="1"/>
  <c r="N109" i="69"/>
  <c r="O109" i="69"/>
  <c r="P109" i="69" s="1"/>
  <c r="L109" i="69"/>
  <c r="M109" i="69" s="1"/>
  <c r="M28" i="69"/>
  <c r="N28" i="69" s="1"/>
  <c r="K28" i="69"/>
  <c r="L28" i="69" s="1"/>
  <c r="N102" i="68"/>
  <c r="O102" i="68" s="1"/>
  <c r="P102" i="68" s="1"/>
  <c r="M102" i="68"/>
  <c r="L102" i="68"/>
  <c r="M21" i="68"/>
  <c r="N21" i="68" s="1"/>
  <c r="K21" i="68"/>
  <c r="L21" i="68" s="1"/>
  <c r="N102" i="67"/>
  <c r="O102" i="67" s="1"/>
  <c r="P102" i="67" s="1"/>
  <c r="L102" i="67"/>
  <c r="M102" i="67" s="1"/>
  <c r="M21" i="67"/>
  <c r="N21" i="67" s="1"/>
  <c r="K21" i="67"/>
  <c r="L21" i="67" s="1"/>
  <c r="N102" i="66"/>
  <c r="O102" i="66" s="1"/>
  <c r="P102" i="66"/>
  <c r="M102" i="66"/>
  <c r="L102" i="66"/>
  <c r="M21" i="66"/>
  <c r="N21" i="66" s="1"/>
  <c r="O21" i="66" s="1"/>
  <c r="K21" i="66"/>
  <c r="L21" i="66" s="1"/>
  <c r="N102" i="65"/>
  <c r="O102" i="65"/>
  <c r="P102" i="65" s="1"/>
  <c r="L102" i="65"/>
  <c r="M102" i="65" s="1"/>
  <c r="M21" i="65"/>
  <c r="N21" i="65" s="1"/>
  <c r="K21" i="65"/>
  <c r="L21" i="65" s="1"/>
  <c r="N103" i="64"/>
  <c r="O103" i="64" s="1"/>
  <c r="P103" i="64" s="1"/>
  <c r="M103" i="64"/>
  <c r="L103" i="64"/>
  <c r="M22" i="64"/>
  <c r="N22" i="64" s="1"/>
  <c r="K22" i="64"/>
  <c r="L22" i="64" s="1"/>
  <c r="N103" i="60"/>
  <c r="O103" i="60" s="1"/>
  <c r="P103" i="60" s="1"/>
  <c r="L103" i="60"/>
  <c r="M103" i="60" s="1"/>
  <c r="M22" i="60"/>
  <c r="N22" i="60" s="1"/>
  <c r="K22" i="60"/>
  <c r="L22" i="60" s="1"/>
  <c r="N103" i="62"/>
  <c r="O103" i="62" s="1"/>
  <c r="P103" i="62"/>
  <c r="M103" i="62"/>
  <c r="L103" i="62"/>
  <c r="M22" i="62"/>
  <c r="N22" i="62" s="1"/>
  <c r="K22" i="62"/>
  <c r="L22" i="62" s="1"/>
  <c r="N103" i="63"/>
  <c r="O103" i="63"/>
  <c r="P103" i="63"/>
  <c r="L103" i="63"/>
  <c r="M103" i="63" s="1"/>
  <c r="M22" i="63"/>
  <c r="N22" i="63"/>
  <c r="K22" i="63"/>
  <c r="L22" i="63" s="1"/>
  <c r="N103" i="61"/>
  <c r="O103" i="61" s="1"/>
  <c r="P103" i="61" s="1"/>
  <c r="L103" i="61"/>
  <c r="M103" i="61" s="1"/>
  <c r="M22" i="61"/>
  <c r="N22" i="61" s="1"/>
  <c r="K22" i="61"/>
  <c r="L22" i="61" s="1"/>
  <c r="N103" i="59"/>
  <c r="O103" i="59"/>
  <c r="P103" i="59" s="1"/>
  <c r="L103" i="59"/>
  <c r="M103" i="59" s="1"/>
  <c r="M22" i="59"/>
  <c r="N22" i="59" s="1"/>
  <c r="O22" i="59" s="1"/>
  <c r="K22" i="59"/>
  <c r="L22" i="59" s="1"/>
  <c r="N104" i="58"/>
  <c r="O104" i="58"/>
  <c r="P104" i="58" s="1"/>
  <c r="L104" i="58"/>
  <c r="M104" i="58" s="1"/>
  <c r="M23" i="58"/>
  <c r="N23" i="58" s="1"/>
  <c r="K23" i="58"/>
  <c r="L23" i="58" s="1"/>
  <c r="N104" i="57"/>
  <c r="O104" i="57" s="1"/>
  <c r="M104" i="57"/>
  <c r="P104" i="57" s="1"/>
  <c r="L104" i="57"/>
  <c r="M23" i="57"/>
  <c r="N23" i="57"/>
  <c r="K23" i="57"/>
  <c r="L23" i="57" s="1"/>
  <c r="N104" i="56"/>
  <c r="O104" i="56"/>
  <c r="P104" i="56" s="1"/>
  <c r="L104" i="56"/>
  <c r="M104" i="56" s="1"/>
  <c r="M23" i="56"/>
  <c r="N23" i="56" s="1"/>
  <c r="K23" i="56"/>
  <c r="L23" i="56" s="1"/>
  <c r="N104" i="55"/>
  <c r="O104" i="55" s="1"/>
  <c r="P104" i="55" s="1"/>
  <c r="M104" i="55"/>
  <c r="L104" i="55"/>
  <c r="M23" i="55"/>
  <c r="N23" i="55" s="1"/>
  <c r="K23" i="55"/>
  <c r="L23" i="55" s="1"/>
  <c r="N104" i="54"/>
  <c r="O104" i="54" s="1"/>
  <c r="P104" i="54" s="1"/>
  <c r="L104" i="54"/>
  <c r="M104" i="54" s="1"/>
  <c r="M23" i="54"/>
  <c r="N23" i="54" s="1"/>
  <c r="K23" i="54"/>
  <c r="L23" i="54" s="1"/>
  <c r="N104" i="53"/>
  <c r="O104" i="53" s="1"/>
  <c r="P104" i="53"/>
  <c r="M104" i="53"/>
  <c r="L104" i="53"/>
  <c r="M23" i="53"/>
  <c r="N23" i="53" s="1"/>
  <c r="K23" i="53"/>
  <c r="L23" i="53" s="1"/>
  <c r="N104" i="46"/>
  <c r="O104" i="46" s="1"/>
  <c r="P104" i="46" s="1"/>
  <c r="L104" i="46"/>
  <c r="M104" i="46" s="1"/>
  <c r="M23" i="46"/>
  <c r="N23" i="46" s="1"/>
  <c r="K23" i="46"/>
  <c r="L23" i="46" s="1"/>
  <c r="N105" i="45"/>
  <c r="O105" i="45" s="1"/>
  <c r="M105" i="45"/>
  <c r="P105" i="45" s="1"/>
  <c r="L105" i="45"/>
  <c r="M24" i="45"/>
  <c r="N24" i="45" s="1"/>
  <c r="K24" i="45"/>
  <c r="L24" i="45" s="1"/>
  <c r="N106" i="44"/>
  <c r="O106" i="44"/>
  <c r="P106" i="44" s="1"/>
  <c r="L106" i="44"/>
  <c r="M106" i="44" s="1"/>
  <c r="M25" i="44"/>
  <c r="N25" i="44" s="1"/>
  <c r="K25" i="44"/>
  <c r="L25" i="44" s="1"/>
  <c r="N106" i="43"/>
  <c r="O106" i="43" s="1"/>
  <c r="P106" i="43" s="1"/>
  <c r="M106" i="43"/>
  <c r="L106" i="43"/>
  <c r="M25" i="43"/>
  <c r="N25" i="43" s="1"/>
  <c r="K25" i="43"/>
  <c r="L25" i="43" s="1"/>
  <c r="N106" i="42"/>
  <c r="O106" i="42" s="1"/>
  <c r="P106" i="42" s="1"/>
  <c r="L106" i="42"/>
  <c r="M106" i="42" s="1"/>
  <c r="M25" i="42"/>
  <c r="N25" i="42" s="1"/>
  <c r="K25" i="42"/>
  <c r="L25" i="42" s="1"/>
  <c r="N106" i="41"/>
  <c r="O106" i="41"/>
  <c r="P106" i="41"/>
  <c r="M106" i="41"/>
  <c r="L106" i="41"/>
  <c r="M25" i="41"/>
  <c r="N25" i="41" s="1"/>
  <c r="K25" i="41"/>
  <c r="L25" i="41" s="1"/>
  <c r="N106" i="39"/>
  <c r="O106" i="39" s="1"/>
  <c r="P106" i="39" s="1"/>
  <c r="L106" i="39"/>
  <c r="M106" i="39" s="1"/>
  <c r="M25" i="39"/>
  <c r="N25" i="39" s="1"/>
  <c r="K25" i="39"/>
  <c r="L25" i="39" s="1"/>
  <c r="N108" i="34"/>
  <c r="O108" i="34"/>
  <c r="P108" i="34"/>
  <c r="M108" i="34"/>
  <c r="L108" i="34"/>
  <c r="M27" i="34"/>
  <c r="N27" i="34" s="1"/>
  <c r="K27" i="34"/>
  <c r="L27" i="34" s="1"/>
  <c r="N108" i="32"/>
  <c r="O108" i="32"/>
  <c r="P108" i="32" s="1"/>
  <c r="L108" i="32"/>
  <c r="M108" i="32" s="1"/>
  <c r="M27" i="32"/>
  <c r="N27" i="32" s="1"/>
  <c r="K27" i="32"/>
  <c r="L27" i="32" s="1"/>
  <c r="N108" i="31"/>
  <c r="O108" i="31"/>
  <c r="M108" i="31"/>
  <c r="P108" i="31" s="1"/>
  <c r="L108" i="31"/>
  <c r="M27" i="31"/>
  <c r="N27" i="31"/>
  <c r="K27" i="31"/>
  <c r="L27" i="31" s="1"/>
  <c r="N109" i="30"/>
  <c r="O109" i="30"/>
  <c r="L109" i="30"/>
  <c r="M109" i="30" s="1"/>
  <c r="M28" i="30"/>
  <c r="N28" i="30" s="1"/>
  <c r="K28" i="30"/>
  <c r="L28" i="30" s="1"/>
  <c r="N109" i="29"/>
  <c r="O109" i="29"/>
  <c r="M109" i="29"/>
  <c r="P109" i="29" s="1"/>
  <c r="L109" i="29"/>
  <c r="M28" i="29"/>
  <c r="N28" i="29" s="1"/>
  <c r="K28" i="29"/>
  <c r="L28" i="29" s="1"/>
  <c r="N110" i="28"/>
  <c r="O110" i="28" s="1"/>
  <c r="P110" i="28" s="1"/>
  <c r="L110" i="28"/>
  <c r="M110" i="28" s="1"/>
  <c r="M29" i="28"/>
  <c r="N29" i="28" s="1"/>
  <c r="K29" i="28"/>
  <c r="L29" i="28" s="1"/>
  <c r="N109" i="27"/>
  <c r="O109" i="27"/>
  <c r="P109" i="27"/>
  <c r="M109" i="27"/>
  <c r="L109" i="27"/>
  <c r="M28" i="27"/>
  <c r="N28" i="27" s="1"/>
  <c r="O28" i="27" s="1"/>
  <c r="K28" i="27"/>
  <c r="L28" i="27" s="1"/>
  <c r="N108" i="24"/>
  <c r="O108" i="24" s="1"/>
  <c r="P108" i="24" s="1"/>
  <c r="L108" i="24"/>
  <c r="M108" i="24" s="1"/>
  <c r="M27" i="24"/>
  <c r="N27" i="24" s="1"/>
  <c r="K27" i="24"/>
  <c r="L27" i="24" s="1"/>
  <c r="N108" i="23"/>
  <c r="O108" i="23"/>
  <c r="P108" i="23"/>
  <c r="M108" i="23"/>
  <c r="L108" i="23"/>
  <c r="M27" i="23"/>
  <c r="N27" i="23"/>
  <c r="K27" i="23"/>
  <c r="L27" i="23" s="1"/>
  <c r="N107" i="22"/>
  <c r="O107" i="22"/>
  <c r="L107" i="22"/>
  <c r="M107" i="22"/>
  <c r="M26" i="22"/>
  <c r="N26" i="22" s="1"/>
  <c r="O26" i="22" s="1"/>
  <c r="K26" i="22"/>
  <c r="L26" i="22"/>
  <c r="N107" i="21"/>
  <c r="O107" i="21"/>
  <c r="P107" i="21" s="1"/>
  <c r="L107" i="21"/>
  <c r="M107" i="21" s="1"/>
  <c r="M26" i="21"/>
  <c r="N26" i="21" s="1"/>
  <c r="K26" i="21"/>
  <c r="L26" i="21" s="1"/>
  <c r="N107" i="20"/>
  <c r="O107" i="20"/>
  <c r="M107" i="20"/>
  <c r="P107" i="20" s="1"/>
  <c r="L107" i="20"/>
  <c r="M26" i="20"/>
  <c r="N26" i="20" s="1"/>
  <c r="K26" i="20"/>
  <c r="L26" i="20" s="1"/>
  <c r="N107" i="19"/>
  <c r="O107" i="19"/>
  <c r="L107" i="19"/>
  <c r="M107" i="19" s="1"/>
  <c r="M26" i="19"/>
  <c r="N26" i="19" s="1"/>
  <c r="O26" i="19" s="1"/>
  <c r="K26" i="19"/>
  <c r="L26" i="19" s="1"/>
  <c r="N107" i="18"/>
  <c r="O107" i="18"/>
  <c r="M107" i="18"/>
  <c r="P107" i="18" s="1"/>
  <c r="L107" i="18"/>
  <c r="M26" i="18"/>
  <c r="N26" i="18" s="1"/>
  <c r="K26" i="18"/>
  <c r="L26" i="18" s="1"/>
  <c r="N107" i="17"/>
  <c r="O107" i="17" s="1"/>
  <c r="P107" i="17" s="1"/>
  <c r="L107" i="17"/>
  <c r="M107" i="17" s="1"/>
  <c r="M26" i="17"/>
  <c r="N26" i="17" s="1"/>
  <c r="L26" i="17"/>
  <c r="K26" i="17"/>
  <c r="N107" i="3"/>
  <c r="O107" i="3"/>
  <c r="P107" i="3"/>
  <c r="M107" i="3"/>
  <c r="L107" i="3"/>
  <c r="M26" i="3"/>
  <c r="N26" i="3" s="1"/>
  <c r="O26" i="3" s="1"/>
  <c r="K26" i="3"/>
  <c r="L26" i="3" s="1"/>
  <c r="W88" i="36"/>
  <c r="P88" i="36"/>
  <c r="W87" i="36"/>
  <c r="P87" i="36"/>
  <c r="W86" i="36"/>
  <c r="P86" i="36"/>
  <c r="W85" i="36"/>
  <c r="P85" i="36"/>
  <c r="P154" i="96"/>
  <c r="O154" i="96"/>
  <c r="M154" i="96"/>
  <c r="J154" i="96"/>
  <c r="P153" i="96"/>
  <c r="O153" i="96"/>
  <c r="M153" i="96"/>
  <c r="J153" i="96"/>
  <c r="P152" i="96"/>
  <c r="O152" i="96"/>
  <c r="M152" i="96"/>
  <c r="J152" i="96"/>
  <c r="P151" i="96"/>
  <c r="O151" i="96"/>
  <c r="M151" i="96"/>
  <c r="J151" i="96"/>
  <c r="P150" i="96"/>
  <c r="O150" i="96"/>
  <c r="M150" i="96"/>
  <c r="J150" i="96"/>
  <c r="P149" i="96"/>
  <c r="O149" i="96"/>
  <c r="M149" i="96"/>
  <c r="J149" i="96"/>
  <c r="P148" i="96"/>
  <c r="O148" i="96"/>
  <c r="M148" i="96"/>
  <c r="J148" i="96"/>
  <c r="P147" i="96"/>
  <c r="O147" i="96"/>
  <c r="M147" i="96"/>
  <c r="J147" i="96"/>
  <c r="P146" i="96"/>
  <c r="O146" i="96"/>
  <c r="M146" i="96"/>
  <c r="J146" i="96"/>
  <c r="P145" i="96"/>
  <c r="O145" i="96"/>
  <c r="M145" i="96"/>
  <c r="J145" i="96"/>
  <c r="P144" i="96"/>
  <c r="O144" i="96"/>
  <c r="M144" i="96"/>
  <c r="J144" i="96"/>
  <c r="P143" i="96"/>
  <c r="O143" i="96"/>
  <c r="M143" i="96"/>
  <c r="J143" i="96"/>
  <c r="P142" i="96"/>
  <c r="O142" i="96"/>
  <c r="M142" i="96"/>
  <c r="J142" i="96"/>
  <c r="P141" i="96"/>
  <c r="O141" i="96"/>
  <c r="M141" i="96"/>
  <c r="J141" i="96"/>
  <c r="P140" i="96"/>
  <c r="O140" i="96"/>
  <c r="M140" i="96"/>
  <c r="J140" i="96"/>
  <c r="P139" i="96"/>
  <c r="O139" i="96"/>
  <c r="M139" i="96"/>
  <c r="J139" i="96"/>
  <c r="P138" i="96"/>
  <c r="O138" i="96"/>
  <c r="M138" i="96"/>
  <c r="J138" i="96"/>
  <c r="P137" i="96"/>
  <c r="O137" i="96"/>
  <c r="M137" i="96"/>
  <c r="J137" i="96"/>
  <c r="P136" i="96"/>
  <c r="O136" i="96"/>
  <c r="M136" i="96"/>
  <c r="J136" i="96"/>
  <c r="P135" i="96"/>
  <c r="O135" i="96"/>
  <c r="M135" i="96"/>
  <c r="J135" i="96"/>
  <c r="P134" i="96"/>
  <c r="O134" i="96"/>
  <c r="M134" i="96"/>
  <c r="J134" i="96"/>
  <c r="P133" i="96"/>
  <c r="O133" i="96"/>
  <c r="M133" i="96"/>
  <c r="J133" i="96"/>
  <c r="P132" i="96"/>
  <c r="O132" i="96"/>
  <c r="M132" i="96"/>
  <c r="J132" i="96"/>
  <c r="P131" i="96"/>
  <c r="O131" i="96"/>
  <c r="M131" i="96"/>
  <c r="J131" i="96"/>
  <c r="O130" i="96"/>
  <c r="M130" i="96"/>
  <c r="O129" i="96"/>
  <c r="M129" i="96"/>
  <c r="O128" i="96"/>
  <c r="M128" i="96"/>
  <c r="O127" i="96"/>
  <c r="M127" i="96"/>
  <c r="O126" i="96"/>
  <c r="M126" i="96"/>
  <c r="O125" i="96"/>
  <c r="M125" i="96"/>
  <c r="O124" i="96"/>
  <c r="M124" i="96"/>
  <c r="O123" i="96"/>
  <c r="M123" i="96"/>
  <c r="O122" i="96"/>
  <c r="M122" i="96"/>
  <c r="O121" i="96"/>
  <c r="M121" i="96"/>
  <c r="O120" i="96"/>
  <c r="M120" i="96"/>
  <c r="O119" i="96"/>
  <c r="M119" i="96"/>
  <c r="O118" i="96"/>
  <c r="M118" i="96"/>
  <c r="O117" i="96"/>
  <c r="M117" i="96"/>
  <c r="O116" i="96"/>
  <c r="M116" i="96"/>
  <c r="O115" i="96"/>
  <c r="M115" i="96"/>
  <c r="O114" i="96"/>
  <c r="M114" i="96"/>
  <c r="O113" i="96"/>
  <c r="M113" i="96"/>
  <c r="O112" i="96"/>
  <c r="M112" i="96"/>
  <c r="O111" i="96"/>
  <c r="M111" i="96"/>
  <c r="O110" i="96"/>
  <c r="M110" i="96"/>
  <c r="O109" i="96"/>
  <c r="M109" i="96"/>
  <c r="O108" i="96"/>
  <c r="M108" i="96"/>
  <c r="O107" i="96"/>
  <c r="M107" i="96"/>
  <c r="O106" i="96"/>
  <c r="M106" i="96"/>
  <c r="O105" i="96"/>
  <c r="M105" i="96"/>
  <c r="O104" i="96"/>
  <c r="M104" i="96"/>
  <c r="O103" i="96"/>
  <c r="M103" i="96"/>
  <c r="O102" i="96"/>
  <c r="M102" i="96"/>
  <c r="O101" i="96"/>
  <c r="M101" i="96"/>
  <c r="O99" i="96"/>
  <c r="D96" i="96"/>
  <c r="L93" i="96"/>
  <c r="J93" i="96"/>
  <c r="D91" i="96"/>
  <c r="D89" i="96"/>
  <c r="N72" i="96"/>
  <c r="L72" i="96"/>
  <c r="N71" i="96"/>
  <c r="L71" i="96"/>
  <c r="N70" i="96"/>
  <c r="L70" i="96"/>
  <c r="N69" i="96"/>
  <c r="L69" i="96"/>
  <c r="N68" i="96"/>
  <c r="L68" i="96"/>
  <c r="N67" i="96"/>
  <c r="L67" i="96"/>
  <c r="N66" i="96"/>
  <c r="L66" i="96"/>
  <c r="N65" i="96"/>
  <c r="L65" i="96"/>
  <c r="N64" i="96"/>
  <c r="L64" i="96"/>
  <c r="N63" i="96"/>
  <c r="L63" i="96"/>
  <c r="N62" i="96"/>
  <c r="L62" i="96"/>
  <c r="N61" i="96"/>
  <c r="L61" i="96"/>
  <c r="N60" i="96"/>
  <c r="L60" i="96"/>
  <c r="N59" i="96"/>
  <c r="L59" i="96"/>
  <c r="N58" i="96"/>
  <c r="L58" i="96"/>
  <c r="N57" i="96"/>
  <c r="L57" i="96"/>
  <c r="N56" i="96"/>
  <c r="L56" i="96"/>
  <c r="N55" i="96"/>
  <c r="L55" i="96"/>
  <c r="N54" i="96"/>
  <c r="L54" i="96"/>
  <c r="N53" i="96"/>
  <c r="L53" i="96"/>
  <c r="N52" i="96"/>
  <c r="L52" i="96"/>
  <c r="N51" i="96"/>
  <c r="L51" i="96"/>
  <c r="N50" i="96"/>
  <c r="L50" i="96"/>
  <c r="N49" i="96"/>
  <c r="L49" i="96"/>
  <c r="N48" i="96"/>
  <c r="L48" i="96"/>
  <c r="N47" i="96"/>
  <c r="L47" i="96"/>
  <c r="N46" i="96"/>
  <c r="L46" i="96"/>
  <c r="N45" i="96"/>
  <c r="L45" i="96"/>
  <c r="N44" i="96"/>
  <c r="L44" i="96"/>
  <c r="N43" i="96"/>
  <c r="L43" i="96"/>
  <c r="N42" i="96"/>
  <c r="L42" i="96"/>
  <c r="N41" i="96"/>
  <c r="L41" i="96"/>
  <c r="N40" i="96"/>
  <c r="L40" i="96"/>
  <c r="N39" i="96"/>
  <c r="L39" i="96"/>
  <c r="N38" i="96"/>
  <c r="L38" i="96"/>
  <c r="N37" i="96"/>
  <c r="L37" i="96"/>
  <c r="N36" i="96"/>
  <c r="L36" i="96"/>
  <c r="N35" i="96"/>
  <c r="L35" i="96"/>
  <c r="N34" i="96"/>
  <c r="L34" i="96"/>
  <c r="N33" i="96"/>
  <c r="L33" i="96"/>
  <c r="N32" i="96"/>
  <c r="L32" i="96"/>
  <c r="N31" i="96"/>
  <c r="L31" i="96"/>
  <c r="N30" i="96"/>
  <c r="L30" i="96"/>
  <c r="N29" i="96"/>
  <c r="L29" i="96"/>
  <c r="N28" i="96"/>
  <c r="L28" i="96"/>
  <c r="N27" i="96"/>
  <c r="L27" i="96"/>
  <c r="N26" i="96"/>
  <c r="L26" i="96"/>
  <c r="N25" i="96"/>
  <c r="L25" i="96"/>
  <c r="N24" i="96"/>
  <c r="L24" i="96"/>
  <c r="N23" i="96"/>
  <c r="L23" i="96"/>
  <c r="N22" i="96"/>
  <c r="L22" i="96"/>
  <c r="N21" i="96"/>
  <c r="L21" i="96"/>
  <c r="N20" i="96"/>
  <c r="L20" i="96"/>
  <c r="N19" i="96"/>
  <c r="N18" i="96"/>
  <c r="O18" i="96" s="1"/>
  <c r="L17" i="96"/>
  <c r="C17" i="96"/>
  <c r="C18" i="96"/>
  <c r="C19" i="96" s="1"/>
  <c r="C20" i="96" s="1"/>
  <c r="C21" i="96" s="1"/>
  <c r="C22" i="96" s="1"/>
  <c r="C23" i="96" s="1"/>
  <c r="C24" i="96" s="1"/>
  <c r="C25" i="96" s="1"/>
  <c r="C26" i="96" s="1"/>
  <c r="C27" i="96" s="1"/>
  <c r="C28" i="96" s="1"/>
  <c r="C29" i="96"/>
  <c r="C30" i="96"/>
  <c r="C31" i="96" s="1"/>
  <c r="C32" i="96" s="1"/>
  <c r="C33" i="96" s="1"/>
  <c r="C34" i="96" s="1"/>
  <c r="C35" i="96" s="1"/>
  <c r="C36" i="96" s="1"/>
  <c r="C37" i="96" s="1"/>
  <c r="C38" i="96" s="1"/>
  <c r="C39" i="96" s="1"/>
  <c r="C40" i="96" s="1"/>
  <c r="C41" i="96" s="1"/>
  <c r="C42" i="96" s="1"/>
  <c r="C43" i="96" s="1"/>
  <c r="C44" i="96" s="1"/>
  <c r="K11" i="96"/>
  <c r="I11" i="96"/>
  <c r="D8" i="96"/>
  <c r="D90" i="96" s="1"/>
  <c r="P1" i="96"/>
  <c r="P83" i="96" s="1"/>
  <c r="P154" i="95"/>
  <c r="O154" i="95"/>
  <c r="M154" i="95"/>
  <c r="J154" i="95"/>
  <c r="P153" i="95"/>
  <c r="O153" i="95"/>
  <c r="M153" i="95"/>
  <c r="J153" i="95"/>
  <c r="P152" i="95"/>
  <c r="O152" i="95"/>
  <c r="M152" i="95"/>
  <c r="J152" i="95"/>
  <c r="P151" i="95"/>
  <c r="O151" i="95"/>
  <c r="M151" i="95"/>
  <c r="J151" i="95"/>
  <c r="P150" i="95"/>
  <c r="O150" i="95"/>
  <c r="M150" i="95"/>
  <c r="J150" i="95"/>
  <c r="P149" i="95"/>
  <c r="O149" i="95"/>
  <c r="M149" i="95"/>
  <c r="J149" i="95"/>
  <c r="P148" i="95"/>
  <c r="O148" i="95"/>
  <c r="M148" i="95"/>
  <c r="J148" i="95"/>
  <c r="P147" i="95"/>
  <c r="O147" i="95"/>
  <c r="M147" i="95"/>
  <c r="J147" i="95"/>
  <c r="P146" i="95"/>
  <c r="O146" i="95"/>
  <c r="M146" i="95"/>
  <c r="J146" i="95"/>
  <c r="P145" i="95"/>
  <c r="O145" i="95"/>
  <c r="M145" i="95"/>
  <c r="J145" i="95"/>
  <c r="P144" i="95"/>
  <c r="O144" i="95"/>
  <c r="M144" i="95"/>
  <c r="J144" i="95"/>
  <c r="P143" i="95"/>
  <c r="O143" i="95"/>
  <c r="M143" i="95"/>
  <c r="J143" i="95"/>
  <c r="P142" i="95"/>
  <c r="O142" i="95"/>
  <c r="M142" i="95"/>
  <c r="J142" i="95"/>
  <c r="P141" i="95"/>
  <c r="O141" i="95"/>
  <c r="M141" i="95"/>
  <c r="J141" i="95"/>
  <c r="P140" i="95"/>
  <c r="O140" i="95"/>
  <c r="M140" i="95"/>
  <c r="J140" i="95"/>
  <c r="P139" i="95"/>
  <c r="O139" i="95"/>
  <c r="M139" i="95"/>
  <c r="J139" i="95"/>
  <c r="P138" i="95"/>
  <c r="O138" i="95"/>
  <c r="M138" i="95"/>
  <c r="J138" i="95"/>
  <c r="P137" i="95"/>
  <c r="O137" i="95"/>
  <c r="M137" i="95"/>
  <c r="J137" i="95"/>
  <c r="P136" i="95"/>
  <c r="O136" i="95"/>
  <c r="M136" i="95"/>
  <c r="J136" i="95"/>
  <c r="P135" i="95"/>
  <c r="O135" i="95"/>
  <c r="M135" i="95"/>
  <c r="J135" i="95"/>
  <c r="P134" i="95"/>
  <c r="O134" i="95"/>
  <c r="M134" i="95"/>
  <c r="J134" i="95"/>
  <c r="P133" i="95"/>
  <c r="O133" i="95"/>
  <c r="M133" i="95"/>
  <c r="J133" i="95"/>
  <c r="P132" i="95"/>
  <c r="O132" i="95"/>
  <c r="M132" i="95"/>
  <c r="J132" i="95"/>
  <c r="P131" i="95"/>
  <c r="O131" i="95"/>
  <c r="M131" i="95"/>
  <c r="J131" i="95"/>
  <c r="O130" i="95"/>
  <c r="M130" i="95"/>
  <c r="O129" i="95"/>
  <c r="M129" i="95"/>
  <c r="O128" i="95"/>
  <c r="M128" i="95"/>
  <c r="O127" i="95"/>
  <c r="M127" i="95"/>
  <c r="P127" i="95" s="1"/>
  <c r="O126" i="95"/>
  <c r="M126" i="95"/>
  <c r="O125" i="95"/>
  <c r="M125" i="95"/>
  <c r="P125" i="95" s="1"/>
  <c r="O124" i="95"/>
  <c r="M124" i="95"/>
  <c r="O123" i="95"/>
  <c r="M123" i="95"/>
  <c r="O122" i="95"/>
  <c r="M122" i="95"/>
  <c r="O121" i="95"/>
  <c r="M121" i="95"/>
  <c r="O120" i="95"/>
  <c r="M120" i="95"/>
  <c r="O119" i="95"/>
  <c r="M119" i="95"/>
  <c r="P119" i="95" s="1"/>
  <c r="O118" i="95"/>
  <c r="M118" i="95"/>
  <c r="O117" i="95"/>
  <c r="M117" i="95"/>
  <c r="P117" i="95" s="1"/>
  <c r="O116" i="95"/>
  <c r="M116" i="95"/>
  <c r="O115" i="95"/>
  <c r="M115" i="95"/>
  <c r="O114" i="95"/>
  <c r="M114" i="95"/>
  <c r="O113" i="95"/>
  <c r="M113" i="95"/>
  <c r="O112" i="95"/>
  <c r="M112" i="95"/>
  <c r="O111" i="95"/>
  <c r="M111" i="95"/>
  <c r="P111" i="95" s="1"/>
  <c r="O110" i="95"/>
  <c r="M110" i="95"/>
  <c r="O109" i="95"/>
  <c r="M109" i="95"/>
  <c r="P109" i="95" s="1"/>
  <c r="O108" i="95"/>
  <c r="M108" i="95"/>
  <c r="O107" i="95"/>
  <c r="M107" i="95"/>
  <c r="O106" i="95"/>
  <c r="M106" i="95"/>
  <c r="O105" i="95"/>
  <c r="M105" i="95"/>
  <c r="O104" i="95"/>
  <c r="M104" i="95"/>
  <c r="O103" i="95"/>
  <c r="M103" i="95"/>
  <c r="O102" i="95"/>
  <c r="M102" i="95"/>
  <c r="O101" i="95"/>
  <c r="M101" i="95"/>
  <c r="O99" i="95"/>
  <c r="P99" i="95" s="1"/>
  <c r="D96" i="95"/>
  <c r="L93" i="95"/>
  <c r="J93" i="95"/>
  <c r="D91" i="95"/>
  <c r="D89" i="95"/>
  <c r="N72" i="95"/>
  <c r="L72" i="95"/>
  <c r="N71" i="95"/>
  <c r="L71" i="95"/>
  <c r="N70" i="95"/>
  <c r="L70" i="95"/>
  <c r="N69" i="95"/>
  <c r="L69" i="95"/>
  <c r="O69" i="95" s="1"/>
  <c r="N68" i="95"/>
  <c r="L68" i="95"/>
  <c r="N67" i="95"/>
  <c r="L67" i="95"/>
  <c r="N66" i="95"/>
  <c r="L66" i="95"/>
  <c r="N65" i="95"/>
  <c r="L65" i="95"/>
  <c r="N64" i="95"/>
  <c r="L64" i="95"/>
  <c r="N63" i="95"/>
  <c r="L63" i="95"/>
  <c r="N62" i="95"/>
  <c r="L62" i="95"/>
  <c r="N61" i="95"/>
  <c r="L61" i="95"/>
  <c r="O61" i="95" s="1"/>
  <c r="N60" i="95"/>
  <c r="L60" i="95"/>
  <c r="N59" i="95"/>
  <c r="L59" i="95"/>
  <c r="N58" i="95"/>
  <c r="L58" i="95"/>
  <c r="N57" i="95"/>
  <c r="L57" i="95"/>
  <c r="N56" i="95"/>
  <c r="L56" i="95"/>
  <c r="N55" i="95"/>
  <c r="L55" i="95"/>
  <c r="O55" i="95" s="1"/>
  <c r="N54" i="95"/>
  <c r="L54" i="95"/>
  <c r="N53" i="95"/>
  <c r="L53" i="95"/>
  <c r="N52" i="95"/>
  <c r="L52" i="95"/>
  <c r="N51" i="95"/>
  <c r="L51" i="95"/>
  <c r="N50" i="95"/>
  <c r="L50" i="95"/>
  <c r="N49" i="95"/>
  <c r="L49" i="95"/>
  <c r="N48" i="95"/>
  <c r="L48" i="95"/>
  <c r="N47" i="95"/>
  <c r="L47" i="95"/>
  <c r="N46" i="95"/>
  <c r="L46" i="95"/>
  <c r="N45" i="95"/>
  <c r="L45" i="95"/>
  <c r="O45" i="95" s="1"/>
  <c r="N44" i="95"/>
  <c r="L44" i="95"/>
  <c r="N43" i="95"/>
  <c r="L43" i="95"/>
  <c r="N42" i="95"/>
  <c r="L42" i="95"/>
  <c r="N41" i="95"/>
  <c r="L41" i="95"/>
  <c r="N40" i="95"/>
  <c r="L40" i="95"/>
  <c r="N39" i="95"/>
  <c r="L39" i="95"/>
  <c r="N38" i="95"/>
  <c r="L38" i="95"/>
  <c r="N37" i="95"/>
  <c r="L37" i="95"/>
  <c r="N36" i="95"/>
  <c r="L36" i="95"/>
  <c r="N35" i="95"/>
  <c r="L35" i="95"/>
  <c r="N34" i="95"/>
  <c r="L34" i="95"/>
  <c r="N33" i="95"/>
  <c r="L33" i="95"/>
  <c r="N32" i="95"/>
  <c r="L32" i="95"/>
  <c r="N31" i="95"/>
  <c r="L31" i="95"/>
  <c r="O31" i="95" s="1"/>
  <c r="N30" i="95"/>
  <c r="L30" i="95"/>
  <c r="N29" i="95"/>
  <c r="L29" i="95"/>
  <c r="N28" i="95"/>
  <c r="L28" i="95"/>
  <c r="N27" i="95"/>
  <c r="L27" i="95"/>
  <c r="N26" i="95"/>
  <c r="L26" i="95"/>
  <c r="N25" i="95"/>
  <c r="L25" i="95"/>
  <c r="N24" i="95"/>
  <c r="L24" i="95"/>
  <c r="N23" i="95"/>
  <c r="L23" i="95"/>
  <c r="N22" i="95"/>
  <c r="L22" i="95"/>
  <c r="N21" i="95"/>
  <c r="L21" i="95"/>
  <c r="N20" i="95"/>
  <c r="L20" i="95"/>
  <c r="N19" i="95"/>
  <c r="N18" i="95"/>
  <c r="C18" i="95"/>
  <c r="C19" i="95" s="1"/>
  <c r="C20" i="95" s="1"/>
  <c r="C21" i="95" s="1"/>
  <c r="C22" i="95" s="1"/>
  <c r="C23" i="95" s="1"/>
  <c r="C24" i="95" s="1"/>
  <c r="C25" i="95" s="1"/>
  <c r="C26" i="95" s="1"/>
  <c r="C27" i="95" s="1"/>
  <c r="C28" i="95" s="1"/>
  <c r="C29" i="95" s="1"/>
  <c r="C30" i="95" s="1"/>
  <c r="C31" i="95" s="1"/>
  <c r="C32" i="95" s="1"/>
  <c r="C33" i="95" s="1"/>
  <c r="C34" i="95" s="1"/>
  <c r="C35" i="95" s="1"/>
  <c r="C36" i="95" s="1"/>
  <c r="C37" i="95" s="1"/>
  <c r="C38" i="95" s="1"/>
  <c r="C39" i="95" s="1"/>
  <c r="C40" i="95" s="1"/>
  <c r="C41" i="95" s="1"/>
  <c r="C42" i="95" s="1"/>
  <c r="C43" i="95" s="1"/>
  <c r="C44" i="95" s="1"/>
  <c r="C17" i="95"/>
  <c r="K11" i="95"/>
  <c r="I11" i="95"/>
  <c r="D8" i="95"/>
  <c r="D90" i="95" s="1"/>
  <c r="P1" i="95"/>
  <c r="P83" i="95" s="1"/>
  <c r="P154" i="94"/>
  <c r="O154" i="94"/>
  <c r="M154" i="94"/>
  <c r="J154" i="94"/>
  <c r="P153" i="94"/>
  <c r="O153" i="94"/>
  <c r="M153" i="94"/>
  <c r="J153" i="94"/>
  <c r="P152" i="94"/>
  <c r="O152" i="94"/>
  <c r="M152" i="94"/>
  <c r="J152" i="94"/>
  <c r="P151" i="94"/>
  <c r="O151" i="94"/>
  <c r="M151" i="94"/>
  <c r="J151" i="94"/>
  <c r="P150" i="94"/>
  <c r="O150" i="94"/>
  <c r="M150" i="94"/>
  <c r="J150" i="94"/>
  <c r="P149" i="94"/>
  <c r="O149" i="94"/>
  <c r="M149" i="94"/>
  <c r="J149" i="94"/>
  <c r="P148" i="94"/>
  <c r="O148" i="94"/>
  <c r="M148" i="94"/>
  <c r="J148" i="94"/>
  <c r="P147" i="94"/>
  <c r="O147" i="94"/>
  <c r="M147" i="94"/>
  <c r="J147" i="94"/>
  <c r="P146" i="94"/>
  <c r="O146" i="94"/>
  <c r="M146" i="94"/>
  <c r="J146" i="94"/>
  <c r="P145" i="94"/>
  <c r="O145" i="94"/>
  <c r="M145" i="94"/>
  <c r="J145" i="94"/>
  <c r="P144" i="94"/>
  <c r="O144" i="94"/>
  <c r="M144" i="94"/>
  <c r="J144" i="94"/>
  <c r="P143" i="94"/>
  <c r="O143" i="94"/>
  <c r="M143" i="94"/>
  <c r="J143" i="94"/>
  <c r="P142" i="94"/>
  <c r="O142" i="94"/>
  <c r="M142" i="94"/>
  <c r="J142" i="94"/>
  <c r="P141" i="94"/>
  <c r="O141" i="94"/>
  <c r="M141" i="94"/>
  <c r="J141" i="94"/>
  <c r="P140" i="94"/>
  <c r="O140" i="94"/>
  <c r="M140" i="94"/>
  <c r="J140" i="94"/>
  <c r="P139" i="94"/>
  <c r="O139" i="94"/>
  <c r="M139" i="94"/>
  <c r="J139" i="94"/>
  <c r="P138" i="94"/>
  <c r="O138" i="94"/>
  <c r="M138" i="94"/>
  <c r="J138" i="94"/>
  <c r="P137" i="94"/>
  <c r="O137" i="94"/>
  <c r="M137" i="94"/>
  <c r="J137" i="94"/>
  <c r="P136" i="94"/>
  <c r="O136" i="94"/>
  <c r="M136" i="94"/>
  <c r="J136" i="94"/>
  <c r="P135" i="94"/>
  <c r="O135" i="94"/>
  <c r="M135" i="94"/>
  <c r="J135" i="94"/>
  <c r="P134" i="94"/>
  <c r="O134" i="94"/>
  <c r="M134" i="94"/>
  <c r="J134" i="94"/>
  <c r="P133" i="94"/>
  <c r="O133" i="94"/>
  <c r="M133" i="94"/>
  <c r="J133" i="94"/>
  <c r="P132" i="94"/>
  <c r="O132" i="94"/>
  <c r="M132" i="94"/>
  <c r="J132" i="94"/>
  <c r="P131" i="94"/>
  <c r="O131" i="94"/>
  <c r="M131" i="94"/>
  <c r="J131" i="94"/>
  <c r="O130" i="94"/>
  <c r="M130" i="94"/>
  <c r="O129" i="94"/>
  <c r="M129" i="94"/>
  <c r="O128" i="94"/>
  <c r="M128" i="94"/>
  <c r="O127" i="94"/>
  <c r="M127" i="94"/>
  <c r="O126" i="94"/>
  <c r="M126" i="94"/>
  <c r="O125" i="94"/>
  <c r="M125" i="94"/>
  <c r="O124" i="94"/>
  <c r="M124" i="94"/>
  <c r="O123" i="94"/>
  <c r="M123" i="94"/>
  <c r="O122" i="94"/>
  <c r="M122" i="94"/>
  <c r="O121" i="94"/>
  <c r="M121" i="94"/>
  <c r="O120" i="94"/>
  <c r="M120" i="94"/>
  <c r="O119" i="94"/>
  <c r="M119" i="94"/>
  <c r="O118" i="94"/>
  <c r="M118" i="94"/>
  <c r="O117" i="94"/>
  <c r="M117" i="94"/>
  <c r="O116" i="94"/>
  <c r="M116" i="94"/>
  <c r="O115" i="94"/>
  <c r="M115" i="94"/>
  <c r="O114" i="94"/>
  <c r="M114" i="94"/>
  <c r="O113" i="94"/>
  <c r="M113" i="94"/>
  <c r="O112" i="94"/>
  <c r="M112" i="94"/>
  <c r="O111" i="94"/>
  <c r="M111" i="94"/>
  <c r="O110" i="94"/>
  <c r="M110" i="94"/>
  <c r="O109" i="94"/>
  <c r="M109" i="94"/>
  <c r="O108" i="94"/>
  <c r="M108" i="94"/>
  <c r="O107" i="94"/>
  <c r="M107" i="94"/>
  <c r="O106" i="94"/>
  <c r="M106" i="94"/>
  <c r="O105" i="94"/>
  <c r="M105" i="94"/>
  <c r="O104" i="94"/>
  <c r="M104" i="94"/>
  <c r="O103" i="94"/>
  <c r="M103" i="94"/>
  <c r="O102" i="94"/>
  <c r="M102" i="94"/>
  <c r="O101" i="94"/>
  <c r="O99" i="94"/>
  <c r="D96" i="94"/>
  <c r="L93" i="94"/>
  <c r="J93" i="94"/>
  <c r="D91" i="94"/>
  <c r="D89" i="94"/>
  <c r="N72" i="94"/>
  <c r="L72" i="94"/>
  <c r="N71" i="94"/>
  <c r="L71" i="94"/>
  <c r="N70" i="94"/>
  <c r="L70" i="94"/>
  <c r="N69" i="94"/>
  <c r="L69" i="94"/>
  <c r="N68" i="94"/>
  <c r="L68" i="94"/>
  <c r="N67" i="94"/>
  <c r="L67" i="94"/>
  <c r="N66" i="94"/>
  <c r="L66" i="94"/>
  <c r="N65" i="94"/>
  <c r="L65" i="94"/>
  <c r="N64" i="94"/>
  <c r="L64" i="94"/>
  <c r="N63" i="94"/>
  <c r="L63" i="94"/>
  <c r="N62" i="94"/>
  <c r="L62" i="94"/>
  <c r="N61" i="94"/>
  <c r="L61" i="94"/>
  <c r="N60" i="94"/>
  <c r="L60" i="94"/>
  <c r="N59" i="94"/>
  <c r="L59" i="94"/>
  <c r="N58" i="94"/>
  <c r="L58" i="94"/>
  <c r="N57" i="94"/>
  <c r="L57" i="94"/>
  <c r="N56" i="94"/>
  <c r="L56" i="94"/>
  <c r="N55" i="94"/>
  <c r="L55" i="94"/>
  <c r="N54" i="94"/>
  <c r="L54" i="94"/>
  <c r="N53" i="94"/>
  <c r="L53" i="94"/>
  <c r="N52" i="94"/>
  <c r="L52" i="94"/>
  <c r="N51" i="94"/>
  <c r="L51" i="94"/>
  <c r="N50" i="94"/>
  <c r="L50" i="94"/>
  <c r="N49" i="94"/>
  <c r="L49" i="94"/>
  <c r="N48" i="94"/>
  <c r="L48" i="94"/>
  <c r="N47" i="94"/>
  <c r="L47" i="94"/>
  <c r="N46" i="94"/>
  <c r="L46" i="94"/>
  <c r="N45" i="94"/>
  <c r="L45" i="94"/>
  <c r="N44" i="94"/>
  <c r="L44" i="94"/>
  <c r="N43" i="94"/>
  <c r="L43" i="94"/>
  <c r="N42" i="94"/>
  <c r="L42" i="94"/>
  <c r="N41" i="94"/>
  <c r="L41" i="94"/>
  <c r="N40" i="94"/>
  <c r="L40" i="94"/>
  <c r="N39" i="94"/>
  <c r="L39" i="94"/>
  <c r="N38" i="94"/>
  <c r="L38" i="94"/>
  <c r="N37" i="94"/>
  <c r="L37" i="94"/>
  <c r="N36" i="94"/>
  <c r="L36" i="94"/>
  <c r="N35" i="94"/>
  <c r="L35" i="94"/>
  <c r="N34" i="94"/>
  <c r="L34" i="94"/>
  <c r="N33" i="94"/>
  <c r="L33" i="94"/>
  <c r="N32" i="94"/>
  <c r="L32" i="94"/>
  <c r="N31" i="94"/>
  <c r="L31" i="94"/>
  <c r="N30" i="94"/>
  <c r="L30" i="94"/>
  <c r="N29" i="94"/>
  <c r="L29" i="94"/>
  <c r="N28" i="94"/>
  <c r="L28" i="94"/>
  <c r="N27" i="94"/>
  <c r="L27" i="94"/>
  <c r="N26" i="94"/>
  <c r="L26" i="94"/>
  <c r="N25" i="94"/>
  <c r="L25" i="94"/>
  <c r="N24" i="94"/>
  <c r="L24" i="94"/>
  <c r="N23" i="94"/>
  <c r="L23" i="94"/>
  <c r="N22" i="94"/>
  <c r="L22" i="94"/>
  <c r="N21" i="94"/>
  <c r="L21" i="94"/>
  <c r="N20" i="94"/>
  <c r="N19" i="94"/>
  <c r="N18" i="94"/>
  <c r="O18" i="94" s="1"/>
  <c r="N17" i="94"/>
  <c r="C17" i="94"/>
  <c r="K11" i="94"/>
  <c r="I11" i="94"/>
  <c r="D8" i="94"/>
  <c r="D90" i="94" s="1"/>
  <c r="P1" i="94"/>
  <c r="P83" i="94" s="1"/>
  <c r="P154" i="93"/>
  <c r="O154" i="93"/>
  <c r="M154" i="93"/>
  <c r="J154" i="93"/>
  <c r="P153" i="93"/>
  <c r="O153" i="93"/>
  <c r="M153" i="93"/>
  <c r="J153" i="93"/>
  <c r="P152" i="93"/>
  <c r="O152" i="93"/>
  <c r="M152" i="93"/>
  <c r="J152" i="93"/>
  <c r="P151" i="93"/>
  <c r="O151" i="93"/>
  <c r="M151" i="93"/>
  <c r="J151" i="93"/>
  <c r="P150" i="93"/>
  <c r="O150" i="93"/>
  <c r="M150" i="93"/>
  <c r="J150" i="93"/>
  <c r="P149" i="93"/>
  <c r="O149" i="93"/>
  <c r="M149" i="93"/>
  <c r="J149" i="93"/>
  <c r="P148" i="93"/>
  <c r="O148" i="93"/>
  <c r="M148" i="93"/>
  <c r="J148" i="93"/>
  <c r="P147" i="93"/>
  <c r="O147" i="93"/>
  <c r="M147" i="93"/>
  <c r="J147" i="93"/>
  <c r="P146" i="93"/>
  <c r="O146" i="93"/>
  <c r="M146" i="93"/>
  <c r="J146" i="93"/>
  <c r="P145" i="93"/>
  <c r="O145" i="93"/>
  <c r="M145" i="93"/>
  <c r="J145" i="93"/>
  <c r="P144" i="93"/>
  <c r="O144" i="93"/>
  <c r="M144" i="93"/>
  <c r="J144" i="93"/>
  <c r="P143" i="93"/>
  <c r="O143" i="93"/>
  <c r="M143" i="93"/>
  <c r="J143" i="93"/>
  <c r="P142" i="93"/>
  <c r="O142" i="93"/>
  <c r="M142" i="93"/>
  <c r="J142" i="93"/>
  <c r="P141" i="93"/>
  <c r="O141" i="93"/>
  <c r="M141" i="93"/>
  <c r="J141" i="93"/>
  <c r="P140" i="93"/>
  <c r="O140" i="93"/>
  <c r="M140" i="93"/>
  <c r="J140" i="93"/>
  <c r="P139" i="93"/>
  <c r="O139" i="93"/>
  <c r="M139" i="93"/>
  <c r="J139" i="93"/>
  <c r="P138" i="93"/>
  <c r="O138" i="93"/>
  <c r="M138" i="93"/>
  <c r="J138" i="93"/>
  <c r="P137" i="93"/>
  <c r="O137" i="93"/>
  <c r="M137" i="93"/>
  <c r="J137" i="93"/>
  <c r="P136" i="93"/>
  <c r="O136" i="93"/>
  <c r="M136" i="93"/>
  <c r="J136" i="93"/>
  <c r="P135" i="93"/>
  <c r="O135" i="93"/>
  <c r="M135" i="93"/>
  <c r="J135" i="93"/>
  <c r="P134" i="93"/>
  <c r="O134" i="93"/>
  <c r="M134" i="93"/>
  <c r="J134" i="93"/>
  <c r="P133" i="93"/>
  <c r="O133" i="93"/>
  <c r="M133" i="93"/>
  <c r="J133" i="93"/>
  <c r="P132" i="93"/>
  <c r="O132" i="93"/>
  <c r="M132" i="93"/>
  <c r="J132" i="93"/>
  <c r="P131" i="93"/>
  <c r="O131" i="93"/>
  <c r="M131" i="93"/>
  <c r="J131" i="93"/>
  <c r="O130" i="93"/>
  <c r="M130" i="93"/>
  <c r="O129" i="93"/>
  <c r="M129" i="93"/>
  <c r="O128" i="93"/>
  <c r="M128" i="93"/>
  <c r="O127" i="93"/>
  <c r="M127" i="93"/>
  <c r="O126" i="93"/>
  <c r="M126" i="93"/>
  <c r="O125" i="93"/>
  <c r="M125" i="93"/>
  <c r="O124" i="93"/>
  <c r="M124" i="93"/>
  <c r="O123" i="93"/>
  <c r="M123" i="93"/>
  <c r="O122" i="93"/>
  <c r="M122" i="93"/>
  <c r="O121" i="93"/>
  <c r="M121" i="93"/>
  <c r="O120" i="93"/>
  <c r="M120" i="93"/>
  <c r="O119" i="93"/>
  <c r="M119" i="93"/>
  <c r="O118" i="93"/>
  <c r="M118" i="93"/>
  <c r="O117" i="93"/>
  <c r="M117" i="93"/>
  <c r="O116" i="93"/>
  <c r="M116" i="93"/>
  <c r="O115" i="93"/>
  <c r="M115" i="93"/>
  <c r="O114" i="93"/>
  <c r="M114" i="93"/>
  <c r="O113" i="93"/>
  <c r="M113" i="93"/>
  <c r="O112" i="93"/>
  <c r="M112" i="93"/>
  <c r="O111" i="93"/>
  <c r="M111" i="93"/>
  <c r="O110" i="93"/>
  <c r="M110" i="93"/>
  <c r="O109" i="93"/>
  <c r="M109" i="93"/>
  <c r="O108" i="93"/>
  <c r="M108" i="93"/>
  <c r="O107" i="93"/>
  <c r="M107" i="93"/>
  <c r="O106" i="93"/>
  <c r="M106" i="93"/>
  <c r="O105" i="93"/>
  <c r="M105" i="93"/>
  <c r="O104" i="93"/>
  <c r="M104" i="93"/>
  <c r="O103" i="93"/>
  <c r="M103" i="93"/>
  <c r="O102" i="93"/>
  <c r="M102" i="93"/>
  <c r="O101" i="93"/>
  <c r="M101" i="93"/>
  <c r="O100" i="93"/>
  <c r="O99" i="93"/>
  <c r="D96" i="93"/>
  <c r="L93" i="93"/>
  <c r="J93" i="93"/>
  <c r="D91" i="93"/>
  <c r="D89" i="93"/>
  <c r="N72" i="93"/>
  <c r="O72" i="93" s="1"/>
  <c r="L72" i="93"/>
  <c r="N71" i="93"/>
  <c r="L71" i="93"/>
  <c r="N70" i="93"/>
  <c r="L70" i="93"/>
  <c r="N69" i="93"/>
  <c r="L69" i="93"/>
  <c r="N68" i="93"/>
  <c r="L68" i="93"/>
  <c r="N67" i="93"/>
  <c r="L67" i="93"/>
  <c r="N66" i="93"/>
  <c r="L66" i="93"/>
  <c r="N65" i="93"/>
  <c r="L65" i="93"/>
  <c r="N64" i="93"/>
  <c r="L64" i="93"/>
  <c r="N63" i="93"/>
  <c r="L63" i="93"/>
  <c r="N62" i="93"/>
  <c r="L62" i="93"/>
  <c r="N61" i="93"/>
  <c r="L61" i="93"/>
  <c r="N60" i="93"/>
  <c r="L60" i="93"/>
  <c r="N59" i="93"/>
  <c r="L59" i="93"/>
  <c r="N58" i="93"/>
  <c r="L58" i="93"/>
  <c r="N57" i="93"/>
  <c r="L57" i="93"/>
  <c r="N56" i="93"/>
  <c r="L56" i="93"/>
  <c r="N55" i="93"/>
  <c r="L55" i="93"/>
  <c r="N54" i="93"/>
  <c r="L54" i="93"/>
  <c r="N53" i="93"/>
  <c r="L53" i="93"/>
  <c r="N52" i="93"/>
  <c r="L52" i="93"/>
  <c r="N51" i="93"/>
  <c r="L51" i="93"/>
  <c r="N50" i="93"/>
  <c r="L50" i="93"/>
  <c r="N49" i="93"/>
  <c r="L49" i="93"/>
  <c r="N48" i="93"/>
  <c r="L48" i="93"/>
  <c r="N47" i="93"/>
  <c r="L47" i="93"/>
  <c r="N46" i="93"/>
  <c r="L46" i="93"/>
  <c r="N45" i="93"/>
  <c r="L45" i="93"/>
  <c r="N44" i="93"/>
  <c r="L44" i="93"/>
  <c r="N43" i="93"/>
  <c r="L43" i="93"/>
  <c r="N42" i="93"/>
  <c r="L42" i="93"/>
  <c r="N41" i="93"/>
  <c r="L41" i="93"/>
  <c r="N40" i="93"/>
  <c r="L40" i="93"/>
  <c r="N39" i="93"/>
  <c r="L39" i="93"/>
  <c r="N38" i="93"/>
  <c r="L38" i="93"/>
  <c r="N37" i="93"/>
  <c r="L37" i="93"/>
  <c r="N36" i="93"/>
  <c r="L36" i="93"/>
  <c r="N35" i="93"/>
  <c r="L35" i="93"/>
  <c r="N34" i="93"/>
  <c r="L34" i="93"/>
  <c r="N33" i="93"/>
  <c r="L33" i="93"/>
  <c r="N32" i="93"/>
  <c r="L32" i="93"/>
  <c r="N31" i="93"/>
  <c r="L31" i="93"/>
  <c r="N30" i="93"/>
  <c r="L30" i="93"/>
  <c r="N29" i="93"/>
  <c r="L29" i="93"/>
  <c r="N28" i="93"/>
  <c r="L28" i="93"/>
  <c r="N27" i="93"/>
  <c r="L27" i="93"/>
  <c r="N26" i="93"/>
  <c r="L26" i="93"/>
  <c r="N25" i="93"/>
  <c r="L25" i="93"/>
  <c r="N24" i="93"/>
  <c r="L24" i="93"/>
  <c r="N23" i="93"/>
  <c r="L23" i="93"/>
  <c r="N22" i="93"/>
  <c r="L22" i="93"/>
  <c r="N21" i="93"/>
  <c r="L21" i="93"/>
  <c r="N20" i="93"/>
  <c r="L20" i="93"/>
  <c r="N19" i="93"/>
  <c r="N18" i="93"/>
  <c r="C17" i="93"/>
  <c r="C18" i="93" s="1"/>
  <c r="C19" i="93" s="1"/>
  <c r="C20" i="93" s="1"/>
  <c r="C21" i="93"/>
  <c r="C22" i="93" s="1"/>
  <c r="C23" i="93" s="1"/>
  <c r="C24" i="93" s="1"/>
  <c r="C25" i="93" s="1"/>
  <c r="C26" i="93" s="1"/>
  <c r="C27" i="93" s="1"/>
  <c r="C28" i="93" s="1"/>
  <c r="C29" i="93" s="1"/>
  <c r="C30" i="93" s="1"/>
  <c r="C31" i="93" s="1"/>
  <c r="C32" i="93" s="1"/>
  <c r="C33" i="93" s="1"/>
  <c r="C34" i="93" s="1"/>
  <c r="C35" i="93" s="1"/>
  <c r="C36" i="93" s="1"/>
  <c r="C37" i="93" s="1"/>
  <c r="C38" i="93" s="1"/>
  <c r="C39" i="93" s="1"/>
  <c r="C40" i="93" s="1"/>
  <c r="C41" i="93" s="1"/>
  <c r="C42" i="93" s="1"/>
  <c r="C43" i="93" s="1"/>
  <c r="C44" i="93" s="1"/>
  <c r="K11" i="93"/>
  <c r="I11" i="93"/>
  <c r="D8" i="93"/>
  <c r="D90" i="93" s="1"/>
  <c r="P1" i="93"/>
  <c r="P83" i="93" s="1"/>
  <c r="M17" i="92"/>
  <c r="K17" i="92"/>
  <c r="M17" i="91"/>
  <c r="K17" i="91"/>
  <c r="M17" i="90"/>
  <c r="K17" i="90"/>
  <c r="M17" i="89"/>
  <c r="N17" i="89"/>
  <c r="K17" i="89"/>
  <c r="M17" i="88"/>
  <c r="K17" i="88"/>
  <c r="L17" i="88"/>
  <c r="M17" i="87"/>
  <c r="K17" i="87"/>
  <c r="M17" i="86"/>
  <c r="K17" i="86"/>
  <c r="L17" i="86" s="1"/>
  <c r="N99" i="85"/>
  <c r="L99" i="85"/>
  <c r="M18" i="85"/>
  <c r="K18" i="85"/>
  <c r="M18" i="84"/>
  <c r="N18" i="84"/>
  <c r="O18" i="84" s="1"/>
  <c r="L18" i="84"/>
  <c r="K18" i="84"/>
  <c r="K18" i="83"/>
  <c r="L18" i="83"/>
  <c r="M18" i="83"/>
  <c r="N18" i="83" s="1"/>
  <c r="N99" i="83"/>
  <c r="L99" i="83"/>
  <c r="N99" i="82"/>
  <c r="L99" i="82"/>
  <c r="M18" i="82"/>
  <c r="N18" i="82" s="1"/>
  <c r="O18" i="82" s="1"/>
  <c r="K18" i="82"/>
  <c r="L18" i="82"/>
  <c r="N99" i="81"/>
  <c r="N99" i="80"/>
  <c r="L99" i="80"/>
  <c r="L99" i="81"/>
  <c r="M18" i="81"/>
  <c r="N18" i="81"/>
  <c r="O18" i="81" s="1"/>
  <c r="K18" i="81"/>
  <c r="L18" i="81"/>
  <c r="N18" i="80"/>
  <c r="M18" i="80"/>
  <c r="K18" i="80"/>
  <c r="L18" i="80"/>
  <c r="N100" i="79"/>
  <c r="O100" i="79" s="1"/>
  <c r="L100" i="79"/>
  <c r="M100" i="79"/>
  <c r="N19" i="79"/>
  <c r="M19" i="79"/>
  <c r="K19" i="79"/>
  <c r="L19" i="79"/>
  <c r="N100" i="78"/>
  <c r="O100" i="78" s="1"/>
  <c r="L100" i="78"/>
  <c r="M100" i="78"/>
  <c r="M19" i="78"/>
  <c r="N19" i="78" s="1"/>
  <c r="K19" i="78"/>
  <c r="L19" i="78" s="1"/>
  <c r="N100" i="77"/>
  <c r="O100" i="77"/>
  <c r="L100" i="77"/>
  <c r="M100" i="77"/>
  <c r="M19" i="77"/>
  <c r="N19" i="77"/>
  <c r="K19" i="77"/>
  <c r="L19" i="77" s="1"/>
  <c r="O19" i="77" s="1"/>
  <c r="P100" i="76"/>
  <c r="N100" i="76"/>
  <c r="O100" i="76" s="1"/>
  <c r="L100" i="76"/>
  <c r="M100" i="76"/>
  <c r="M19" i="76"/>
  <c r="N19" i="76" s="1"/>
  <c r="K19" i="76"/>
  <c r="L19" i="76"/>
  <c r="N100" i="75"/>
  <c r="O100" i="75" s="1"/>
  <c r="L100" i="75"/>
  <c r="M100" i="75"/>
  <c r="M19" i="75"/>
  <c r="N19" i="75" s="1"/>
  <c r="O19" i="75" s="1"/>
  <c r="K19" i="75"/>
  <c r="L19" i="75" s="1"/>
  <c r="N104" i="74"/>
  <c r="O104" i="74" s="1"/>
  <c r="L104" i="74"/>
  <c r="M104" i="74" s="1"/>
  <c r="M23" i="74"/>
  <c r="N23" i="74" s="1"/>
  <c r="K23" i="74"/>
  <c r="L23" i="74" s="1"/>
  <c r="N105" i="73"/>
  <c r="O105" i="73" s="1"/>
  <c r="M105" i="73"/>
  <c r="L105" i="73"/>
  <c r="M24" i="73"/>
  <c r="N24" i="73" s="1"/>
  <c r="O24" i="73" s="1"/>
  <c r="K24" i="73"/>
  <c r="L24" i="73" s="1"/>
  <c r="N103" i="72"/>
  <c r="O103" i="72" s="1"/>
  <c r="L103" i="72"/>
  <c r="M103" i="72" s="1"/>
  <c r="M22" i="72"/>
  <c r="N22" i="72" s="1"/>
  <c r="K22" i="72"/>
  <c r="L22" i="72"/>
  <c r="N107" i="71"/>
  <c r="O107" i="71"/>
  <c r="L107" i="71"/>
  <c r="M107" i="71" s="1"/>
  <c r="M26" i="71"/>
  <c r="N26" i="71"/>
  <c r="K26" i="71"/>
  <c r="L26" i="71" s="1"/>
  <c r="O26" i="71" s="1"/>
  <c r="P108" i="70"/>
  <c r="N108" i="70"/>
  <c r="O108" i="70" s="1"/>
  <c r="L108" i="70"/>
  <c r="M108" i="70"/>
  <c r="M27" i="70"/>
  <c r="N27" i="70" s="1"/>
  <c r="O27" i="70" s="1"/>
  <c r="K27" i="70"/>
  <c r="L27" i="70"/>
  <c r="N108" i="69"/>
  <c r="O108" i="69" s="1"/>
  <c r="L108" i="69"/>
  <c r="M108" i="69" s="1"/>
  <c r="M27" i="69"/>
  <c r="N27" i="69" s="1"/>
  <c r="L27" i="69"/>
  <c r="O27" i="69" s="1"/>
  <c r="K27" i="69"/>
  <c r="N101" i="68"/>
  <c r="O101" i="68"/>
  <c r="L101" i="68"/>
  <c r="M101" i="68" s="1"/>
  <c r="N20" i="68"/>
  <c r="O20" i="68"/>
  <c r="M20" i="68"/>
  <c r="K20" i="68"/>
  <c r="L20" i="68"/>
  <c r="O101" i="67"/>
  <c r="N101" i="67"/>
  <c r="L101" i="67"/>
  <c r="M101" i="67" s="1"/>
  <c r="M20" i="67"/>
  <c r="N20" i="67" s="1"/>
  <c r="K20" i="67"/>
  <c r="L20" i="67" s="1"/>
  <c r="N101" i="66"/>
  <c r="O101" i="66" s="1"/>
  <c r="M101" i="66"/>
  <c r="L101" i="66"/>
  <c r="M20" i="66"/>
  <c r="N20" i="66" s="1"/>
  <c r="K20" i="66"/>
  <c r="L20" i="66"/>
  <c r="N101" i="65"/>
  <c r="O101" i="65" s="1"/>
  <c r="L101" i="65"/>
  <c r="M101" i="65"/>
  <c r="M20" i="65"/>
  <c r="N20" i="65" s="1"/>
  <c r="O20" i="65" s="1"/>
  <c r="L20" i="65"/>
  <c r="K20" i="65"/>
  <c r="N102" i="64"/>
  <c r="O102" i="64"/>
  <c r="P102" i="64" s="1"/>
  <c r="M102" i="64"/>
  <c r="L102" i="64"/>
  <c r="O21" i="64"/>
  <c r="M21" i="64"/>
  <c r="N21" i="64" s="1"/>
  <c r="K21" i="64"/>
  <c r="L21" i="64"/>
  <c r="O102" i="60"/>
  <c r="P102" i="60" s="1"/>
  <c r="N102" i="60"/>
  <c r="L102" i="60"/>
  <c r="M102" i="60"/>
  <c r="M21" i="60"/>
  <c r="N21" i="60" s="1"/>
  <c r="L21" i="60"/>
  <c r="K21" i="60"/>
  <c r="N102" i="62"/>
  <c r="O102" i="62" s="1"/>
  <c r="P102" i="62"/>
  <c r="M102" i="62"/>
  <c r="L102" i="62"/>
  <c r="M21" i="62"/>
  <c r="N21" i="62"/>
  <c r="O21" i="62" s="1"/>
  <c r="K21" i="62"/>
  <c r="L21" i="62" s="1"/>
  <c r="N102" i="63"/>
  <c r="O102" i="63"/>
  <c r="L102" i="63"/>
  <c r="M102" i="63"/>
  <c r="M21" i="63"/>
  <c r="N21" i="63"/>
  <c r="K21" i="63"/>
  <c r="L21" i="63" s="1"/>
  <c r="N102" i="61"/>
  <c r="O102" i="61" s="1"/>
  <c r="P102" i="61" s="1"/>
  <c r="L102" i="61"/>
  <c r="M102" i="61" s="1"/>
  <c r="M21" i="61"/>
  <c r="N21" i="61" s="1"/>
  <c r="O21" i="61" s="1"/>
  <c r="K21" i="61"/>
  <c r="L21" i="61"/>
  <c r="N102" i="59"/>
  <c r="O102" i="59" s="1"/>
  <c r="L102" i="59"/>
  <c r="M102" i="59" s="1"/>
  <c r="M21" i="59"/>
  <c r="N21" i="59" s="1"/>
  <c r="L21" i="59"/>
  <c r="K21" i="59"/>
  <c r="N103" i="58"/>
  <c r="O103" i="58" s="1"/>
  <c r="M103" i="58"/>
  <c r="P103" i="58" s="1"/>
  <c r="L103" i="58"/>
  <c r="M22" i="58"/>
  <c r="N22" i="58"/>
  <c r="K22" i="58"/>
  <c r="L22" i="58" s="1"/>
  <c r="N103" i="57"/>
  <c r="O103" i="57" s="1"/>
  <c r="L103" i="57"/>
  <c r="M103" i="57" s="1"/>
  <c r="M22" i="57"/>
  <c r="N22" i="57" s="1"/>
  <c r="K22" i="57"/>
  <c r="L22" i="57" s="1"/>
  <c r="N103" i="56"/>
  <c r="O103" i="56"/>
  <c r="P103" i="56" s="1"/>
  <c r="L103" i="56"/>
  <c r="M103" i="56" s="1"/>
  <c r="M22" i="56"/>
  <c r="N22" i="56" s="1"/>
  <c r="K22" i="56"/>
  <c r="L22" i="56"/>
  <c r="N103" i="55"/>
  <c r="O103" i="55" s="1"/>
  <c r="P103" i="55" s="1"/>
  <c r="L103" i="55"/>
  <c r="M103" i="55" s="1"/>
  <c r="M22" i="55"/>
  <c r="N22" i="55"/>
  <c r="L22" i="55"/>
  <c r="K22" i="55"/>
  <c r="N103" i="54"/>
  <c r="O103" i="54"/>
  <c r="P103" i="54" s="1"/>
  <c r="L103" i="54"/>
  <c r="M103" i="54" s="1"/>
  <c r="M22" i="54"/>
  <c r="N22" i="54"/>
  <c r="O22" i="54" s="1"/>
  <c r="K22" i="54"/>
  <c r="L22" i="54" s="1"/>
  <c r="O103" i="53"/>
  <c r="N103" i="53"/>
  <c r="L103" i="53"/>
  <c r="M103" i="53"/>
  <c r="N22" i="53"/>
  <c r="O22" i="53" s="1"/>
  <c r="M22" i="53"/>
  <c r="L22" i="53"/>
  <c r="K22" i="53"/>
  <c r="N103" i="46"/>
  <c r="O103" i="46" s="1"/>
  <c r="M103" i="46"/>
  <c r="L103" i="46"/>
  <c r="M22" i="46"/>
  <c r="N22" i="46" s="1"/>
  <c r="L22" i="46"/>
  <c r="O22" i="46" s="1"/>
  <c r="K22" i="46"/>
  <c r="N104" i="45"/>
  <c r="O104" i="45"/>
  <c r="P104" i="45"/>
  <c r="L104" i="45"/>
  <c r="M104" i="45" s="1"/>
  <c r="M23" i="45"/>
  <c r="N23" i="45"/>
  <c r="O23" i="45" s="1"/>
  <c r="K23" i="45"/>
  <c r="L23" i="45"/>
  <c r="O105" i="44"/>
  <c r="N105" i="44"/>
  <c r="L105" i="44"/>
  <c r="M105" i="44"/>
  <c r="M24" i="44"/>
  <c r="N24" i="44" s="1"/>
  <c r="K24" i="44"/>
  <c r="L24" i="44" s="1"/>
  <c r="N105" i="43"/>
  <c r="O105" i="43" s="1"/>
  <c r="P105" i="43" s="1"/>
  <c r="L105" i="43"/>
  <c r="M105" i="43" s="1"/>
  <c r="M24" i="43"/>
  <c r="N24" i="43" s="1"/>
  <c r="O24" i="43"/>
  <c r="K24" i="43"/>
  <c r="L24" i="43" s="1"/>
  <c r="N105" i="42"/>
  <c r="O105" i="42"/>
  <c r="P105" i="42"/>
  <c r="L105" i="42"/>
  <c r="M105" i="42"/>
  <c r="M24" i="42"/>
  <c r="N24" i="42"/>
  <c r="O24" i="42" s="1"/>
  <c r="K24" i="42"/>
  <c r="L24" i="42" s="1"/>
  <c r="N105" i="41"/>
  <c r="O105" i="41" s="1"/>
  <c r="L105" i="41"/>
  <c r="M105" i="41"/>
  <c r="M24" i="41"/>
  <c r="N24" i="41" s="1"/>
  <c r="K24" i="41"/>
  <c r="L24" i="41"/>
  <c r="N105" i="39"/>
  <c r="O105" i="39" s="1"/>
  <c r="L105" i="39"/>
  <c r="M105" i="39" s="1"/>
  <c r="M24" i="39"/>
  <c r="N24" i="39"/>
  <c r="O24" i="39"/>
  <c r="K24" i="39"/>
  <c r="L24" i="39" s="1"/>
  <c r="N107" i="34"/>
  <c r="O107" i="34"/>
  <c r="L107" i="34"/>
  <c r="M107" i="34" s="1"/>
  <c r="M26" i="34"/>
  <c r="N26" i="34" s="1"/>
  <c r="O26" i="34" s="1"/>
  <c r="K26" i="34"/>
  <c r="L26" i="34"/>
  <c r="N107" i="32"/>
  <c r="O107" i="32" s="1"/>
  <c r="L107" i="32"/>
  <c r="M107" i="32" s="1"/>
  <c r="M26" i="32"/>
  <c r="N26" i="32" s="1"/>
  <c r="O26" i="32" s="1"/>
  <c r="K26" i="32"/>
  <c r="L26" i="32" s="1"/>
  <c r="N107" i="31"/>
  <c r="O107" i="31"/>
  <c r="P107" i="31" s="1"/>
  <c r="L107" i="31"/>
  <c r="M107" i="31" s="1"/>
  <c r="M26" i="31"/>
  <c r="N26" i="31"/>
  <c r="K26" i="31"/>
  <c r="L26" i="31" s="1"/>
  <c r="N108" i="30"/>
  <c r="O108" i="30"/>
  <c r="L108" i="30"/>
  <c r="M108" i="30" s="1"/>
  <c r="N27" i="30"/>
  <c r="M27" i="30"/>
  <c r="K27" i="30"/>
  <c r="L27" i="30"/>
  <c r="M19" i="29"/>
  <c r="N19" i="29" s="1"/>
  <c r="O19" i="29" s="1"/>
  <c r="L19" i="29"/>
  <c r="K19" i="29"/>
  <c r="N108" i="29"/>
  <c r="O108" i="29"/>
  <c r="L108" i="29"/>
  <c r="M108" i="29" s="1"/>
  <c r="M27" i="29"/>
  <c r="N27" i="29"/>
  <c r="O27" i="29" s="1"/>
  <c r="K27" i="29"/>
  <c r="L27" i="29"/>
  <c r="N109" i="28"/>
  <c r="O109" i="28" s="1"/>
  <c r="L109" i="28"/>
  <c r="M109" i="28"/>
  <c r="M28" i="28"/>
  <c r="N28" i="28" s="1"/>
  <c r="K28" i="28"/>
  <c r="L28" i="28" s="1"/>
  <c r="N108" i="27"/>
  <c r="O108" i="27"/>
  <c r="L108" i="27"/>
  <c r="M108" i="27" s="1"/>
  <c r="P108" i="27" s="1"/>
  <c r="M27" i="27"/>
  <c r="N27" i="27"/>
  <c r="O27" i="27" s="1"/>
  <c r="K27" i="27"/>
  <c r="L27" i="27" s="1"/>
  <c r="N107" i="24"/>
  <c r="O107" i="24" s="1"/>
  <c r="P107" i="24" s="1"/>
  <c r="L107" i="24"/>
  <c r="M107" i="24"/>
  <c r="M26" i="24"/>
  <c r="N26" i="24" s="1"/>
  <c r="O26" i="24" s="1"/>
  <c r="L26" i="24"/>
  <c r="K26" i="24"/>
  <c r="N107" i="23"/>
  <c r="O107" i="23" s="1"/>
  <c r="P107" i="23"/>
  <c r="L107" i="23"/>
  <c r="M107" i="23" s="1"/>
  <c r="M26" i="23"/>
  <c r="N26" i="23"/>
  <c r="O26" i="23"/>
  <c r="K26" i="23"/>
  <c r="L26" i="23"/>
  <c r="N106" i="22"/>
  <c r="O106" i="22"/>
  <c r="L106" i="22"/>
  <c r="M106" i="22"/>
  <c r="M25" i="22"/>
  <c r="N25" i="22"/>
  <c r="O25" i="22" s="1"/>
  <c r="K25" i="22"/>
  <c r="L25" i="22"/>
  <c r="N106" i="21"/>
  <c r="O106" i="21" s="1"/>
  <c r="L106" i="21"/>
  <c r="M106" i="21" s="1"/>
  <c r="M25" i="21"/>
  <c r="N25" i="21"/>
  <c r="K25" i="21"/>
  <c r="L25" i="21" s="1"/>
  <c r="N106" i="20"/>
  <c r="O106" i="20" s="1"/>
  <c r="L106" i="20"/>
  <c r="M106" i="20" s="1"/>
  <c r="M25" i="20"/>
  <c r="N25" i="20"/>
  <c r="K25" i="20"/>
  <c r="L25" i="20" s="1"/>
  <c r="O25" i="20" s="1"/>
  <c r="N106" i="19"/>
  <c r="O106" i="19" s="1"/>
  <c r="L106" i="19"/>
  <c r="M106" i="19"/>
  <c r="M25" i="19"/>
  <c r="N25" i="19"/>
  <c r="K25" i="19"/>
  <c r="L25" i="19" s="1"/>
  <c r="O25" i="19" s="1"/>
  <c r="N106" i="18"/>
  <c r="O106" i="18"/>
  <c r="L106" i="18"/>
  <c r="M106" i="18" s="1"/>
  <c r="M25" i="18"/>
  <c r="N25" i="18"/>
  <c r="L25" i="18"/>
  <c r="K25" i="18"/>
  <c r="N106" i="17"/>
  <c r="O106" i="17" s="1"/>
  <c r="L106" i="17"/>
  <c r="M106" i="17" s="1"/>
  <c r="P106" i="17" s="1"/>
  <c r="M25" i="17"/>
  <c r="N25" i="17"/>
  <c r="O25" i="17"/>
  <c r="L25" i="17"/>
  <c r="K25" i="17"/>
  <c r="N106" i="3"/>
  <c r="O106" i="3"/>
  <c r="L106" i="3"/>
  <c r="M106" i="3" s="1"/>
  <c r="M25" i="3"/>
  <c r="N25" i="3" s="1"/>
  <c r="K25" i="3"/>
  <c r="L25" i="3" s="1"/>
  <c r="W77" i="36"/>
  <c r="W78" i="36"/>
  <c r="W79" i="36"/>
  <c r="W80" i="36"/>
  <c r="W81" i="36"/>
  <c r="W82" i="36"/>
  <c r="W83" i="36"/>
  <c r="W84" i="36"/>
  <c r="F66" i="2"/>
  <c r="C66" i="2"/>
  <c r="P84" i="36"/>
  <c r="P83" i="36"/>
  <c r="P82" i="36"/>
  <c r="P81" i="36"/>
  <c r="P80" i="36"/>
  <c r="P79" i="36"/>
  <c r="P78" i="36"/>
  <c r="P77" i="36"/>
  <c r="M17" i="85"/>
  <c r="K17" i="85"/>
  <c r="C17" i="85"/>
  <c r="C17" i="86"/>
  <c r="C18" i="86" s="1"/>
  <c r="C19" i="86" s="1"/>
  <c r="C20" i="86" s="1"/>
  <c r="C21" i="86" s="1"/>
  <c r="C22" i="86" s="1"/>
  <c r="C23" i="86" s="1"/>
  <c r="C24" i="86" s="1"/>
  <c r="C25" i="86" s="1"/>
  <c r="C26" i="86" s="1"/>
  <c r="C27" i="86" s="1"/>
  <c r="C28" i="86" s="1"/>
  <c r="C29" i="86" s="1"/>
  <c r="C30" i="86" s="1"/>
  <c r="C31" i="86" s="1"/>
  <c r="C32" i="86" s="1"/>
  <c r="C33" i="86" s="1"/>
  <c r="C34" i="86" s="1"/>
  <c r="C35" i="86" s="1"/>
  <c r="C36" i="86" s="1"/>
  <c r="C37" i="86" s="1"/>
  <c r="C38" i="86" s="1"/>
  <c r="C39" i="86" s="1"/>
  <c r="C40" i="86" s="1"/>
  <c r="C41" i="86" s="1"/>
  <c r="C42" i="86" s="1"/>
  <c r="C43" i="86" s="1"/>
  <c r="C44" i="86" s="1"/>
  <c r="C45" i="86" s="1"/>
  <c r="C46" i="86" s="1"/>
  <c r="C47" i="86" s="1"/>
  <c r="C48" i="86" s="1"/>
  <c r="C49" i="86" s="1"/>
  <c r="C50" i="86" s="1"/>
  <c r="C51" i="86" s="1"/>
  <c r="C52" i="86" s="1"/>
  <c r="C53" i="86" s="1"/>
  <c r="C54" i="86" s="1"/>
  <c r="C55" i="86" s="1"/>
  <c r="C56" i="86" s="1"/>
  <c r="C57" i="86" s="1"/>
  <c r="C58" i="86" s="1"/>
  <c r="C59" i="86" s="1"/>
  <c r="C60" i="86" s="1"/>
  <c r="C61" i="86" s="1"/>
  <c r="C62" i="86" s="1"/>
  <c r="C63" i="86" s="1"/>
  <c r="C64" i="86" s="1"/>
  <c r="C65" i="86" s="1"/>
  <c r="C66" i="86" s="1"/>
  <c r="C67" i="86" s="1"/>
  <c r="C68" i="86" s="1"/>
  <c r="C69" i="86" s="1"/>
  <c r="C70" i="86" s="1"/>
  <c r="C71" i="86" s="1"/>
  <c r="C72" i="86" s="1"/>
  <c r="C17" i="87"/>
  <c r="C17" i="88"/>
  <c r="C17" i="89"/>
  <c r="C18" i="89" s="1"/>
  <c r="C17" i="90"/>
  <c r="C17" i="91"/>
  <c r="C17" i="92"/>
  <c r="E17" i="13"/>
  <c r="F17" i="13" s="1"/>
  <c r="C17" i="13"/>
  <c r="W76" i="36"/>
  <c r="P76" i="36"/>
  <c r="P1" i="92"/>
  <c r="P83" i="92" s="1"/>
  <c r="P1" i="91"/>
  <c r="P83" i="91" s="1"/>
  <c r="P1" i="90"/>
  <c r="P83" i="90" s="1"/>
  <c r="P1" i="89"/>
  <c r="P83" i="89" s="1"/>
  <c r="P1" i="88"/>
  <c r="P83" i="88" s="1"/>
  <c r="P1" i="87"/>
  <c r="P83" i="87" s="1"/>
  <c r="P1" i="86"/>
  <c r="P83" i="86" s="1"/>
  <c r="P1" i="85"/>
  <c r="P83" i="85" s="1"/>
  <c r="P1" i="84"/>
  <c r="P83" i="84" s="1"/>
  <c r="P154" i="92"/>
  <c r="O154" i="92"/>
  <c r="M154" i="92"/>
  <c r="J154" i="92"/>
  <c r="P153" i="92"/>
  <c r="O153" i="92"/>
  <c r="M153" i="92"/>
  <c r="J153" i="92"/>
  <c r="P152" i="92"/>
  <c r="O152" i="92"/>
  <c r="M152" i="92"/>
  <c r="J152" i="92"/>
  <c r="P151" i="92"/>
  <c r="O151" i="92"/>
  <c r="M151" i="92"/>
  <c r="J151" i="92"/>
  <c r="P150" i="92"/>
  <c r="O150" i="92"/>
  <c r="M150" i="92"/>
  <c r="J150" i="92"/>
  <c r="P149" i="92"/>
  <c r="O149" i="92"/>
  <c r="M149" i="92"/>
  <c r="J149" i="92"/>
  <c r="P148" i="92"/>
  <c r="O148" i="92"/>
  <c r="M148" i="92"/>
  <c r="J148" i="92"/>
  <c r="P147" i="92"/>
  <c r="O147" i="92"/>
  <c r="M147" i="92"/>
  <c r="J147" i="92"/>
  <c r="P146" i="92"/>
  <c r="O146" i="92"/>
  <c r="M146" i="92"/>
  <c r="J146" i="92"/>
  <c r="P145" i="92"/>
  <c r="O145" i="92"/>
  <c r="M145" i="92"/>
  <c r="J145" i="92"/>
  <c r="P144" i="92"/>
  <c r="O144" i="92"/>
  <c r="M144" i="92"/>
  <c r="J144" i="92"/>
  <c r="P143" i="92"/>
  <c r="O143" i="92"/>
  <c r="M143" i="92"/>
  <c r="J143" i="92"/>
  <c r="P142" i="92"/>
  <c r="O142" i="92"/>
  <c r="M142" i="92"/>
  <c r="J142" i="92"/>
  <c r="P141" i="92"/>
  <c r="O141" i="92"/>
  <c r="M141" i="92"/>
  <c r="J141" i="92"/>
  <c r="P140" i="92"/>
  <c r="O140" i="92"/>
  <c r="M140" i="92"/>
  <c r="J140" i="92"/>
  <c r="P139" i="92"/>
  <c r="O139" i="92"/>
  <c r="M139" i="92"/>
  <c r="J139" i="92"/>
  <c r="P138" i="92"/>
  <c r="O138" i="92"/>
  <c r="M138" i="92"/>
  <c r="J138" i="92"/>
  <c r="P137" i="92"/>
  <c r="O137" i="92"/>
  <c r="M137" i="92"/>
  <c r="J137" i="92"/>
  <c r="P136" i="92"/>
  <c r="O136" i="92"/>
  <c r="M136" i="92"/>
  <c r="J136" i="92"/>
  <c r="P135" i="92"/>
  <c r="O135" i="92"/>
  <c r="M135" i="92"/>
  <c r="J135" i="92"/>
  <c r="P134" i="92"/>
  <c r="O134" i="92"/>
  <c r="M134" i="92"/>
  <c r="J134" i="92"/>
  <c r="P133" i="92"/>
  <c r="O133" i="92"/>
  <c r="M133" i="92"/>
  <c r="J133" i="92"/>
  <c r="P132" i="92"/>
  <c r="O132" i="92"/>
  <c r="M132" i="92"/>
  <c r="J132" i="92"/>
  <c r="P131" i="92"/>
  <c r="O131" i="92"/>
  <c r="M131" i="92"/>
  <c r="J131" i="92"/>
  <c r="O130" i="92"/>
  <c r="M130" i="92"/>
  <c r="O129" i="92"/>
  <c r="M129" i="92"/>
  <c r="O128" i="92"/>
  <c r="M128" i="92"/>
  <c r="O127" i="92"/>
  <c r="M127" i="92"/>
  <c r="O126" i="92"/>
  <c r="M126" i="92"/>
  <c r="O125" i="92"/>
  <c r="M125" i="92"/>
  <c r="O124" i="92"/>
  <c r="M124" i="92"/>
  <c r="O123" i="92"/>
  <c r="M123" i="92"/>
  <c r="O122" i="92"/>
  <c r="M122" i="92"/>
  <c r="O121" i="92"/>
  <c r="M121" i="92"/>
  <c r="O120" i="92"/>
  <c r="M120" i="92"/>
  <c r="O119" i="92"/>
  <c r="M119" i="92"/>
  <c r="O118" i="92"/>
  <c r="M118" i="92"/>
  <c r="O117" i="92"/>
  <c r="M117" i="92"/>
  <c r="O116" i="92"/>
  <c r="M116" i="92"/>
  <c r="O115" i="92"/>
  <c r="M115" i="92"/>
  <c r="O114" i="92"/>
  <c r="M114" i="92"/>
  <c r="O113" i="92"/>
  <c r="M113" i="92"/>
  <c r="O112" i="92"/>
  <c r="M112" i="92"/>
  <c r="O111" i="92"/>
  <c r="M111" i="92"/>
  <c r="O110" i="92"/>
  <c r="M110" i="92"/>
  <c r="O109" i="92"/>
  <c r="M109" i="92"/>
  <c r="O108" i="92"/>
  <c r="M108" i="92"/>
  <c r="O107" i="92"/>
  <c r="M107" i="92"/>
  <c r="O106" i="92"/>
  <c r="M106" i="92"/>
  <c r="O105" i="92"/>
  <c r="M105" i="92"/>
  <c r="O104" i="92"/>
  <c r="M104" i="92"/>
  <c r="O103" i="92"/>
  <c r="M103" i="92"/>
  <c r="O102" i="92"/>
  <c r="M102" i="92"/>
  <c r="O101" i="92"/>
  <c r="O100" i="92"/>
  <c r="O99" i="92"/>
  <c r="D96" i="92"/>
  <c r="L93" i="92"/>
  <c r="J93" i="92"/>
  <c r="D91" i="92"/>
  <c r="D89" i="92"/>
  <c r="N72" i="92"/>
  <c r="L72" i="92"/>
  <c r="N71" i="92"/>
  <c r="L71" i="92"/>
  <c r="N70" i="92"/>
  <c r="L70" i="92"/>
  <c r="N69" i="92"/>
  <c r="L69" i="92"/>
  <c r="N68" i="92"/>
  <c r="L68" i="92"/>
  <c r="N67" i="92"/>
  <c r="L67" i="92"/>
  <c r="N66" i="92"/>
  <c r="L66" i="92"/>
  <c r="N65" i="92"/>
  <c r="L65" i="92"/>
  <c r="N64" i="92"/>
  <c r="L64" i="92"/>
  <c r="N63" i="92"/>
  <c r="L63" i="92"/>
  <c r="N62" i="92"/>
  <c r="L62" i="92"/>
  <c r="N61" i="92"/>
  <c r="L61" i="92"/>
  <c r="N60" i="92"/>
  <c r="L60" i="92"/>
  <c r="N59" i="92"/>
  <c r="L59" i="92"/>
  <c r="N58" i="92"/>
  <c r="L58" i="92"/>
  <c r="N57" i="92"/>
  <c r="L57" i="92"/>
  <c r="N56" i="92"/>
  <c r="L56" i="92"/>
  <c r="N55" i="92"/>
  <c r="L55" i="92"/>
  <c r="N54" i="92"/>
  <c r="L54" i="92"/>
  <c r="N53" i="92"/>
  <c r="L53" i="92"/>
  <c r="N52" i="92"/>
  <c r="L52" i="92"/>
  <c r="N51" i="92"/>
  <c r="L51" i="92"/>
  <c r="N50" i="92"/>
  <c r="L50" i="92"/>
  <c r="N49" i="92"/>
  <c r="L49" i="92"/>
  <c r="N48" i="92"/>
  <c r="L48" i="92"/>
  <c r="N47" i="92"/>
  <c r="L47" i="92"/>
  <c r="N46" i="92"/>
  <c r="L46" i="92"/>
  <c r="N45" i="92"/>
  <c r="L45" i="92"/>
  <c r="N44" i="92"/>
  <c r="L44" i="92"/>
  <c r="N43" i="92"/>
  <c r="L43" i="92"/>
  <c r="N42" i="92"/>
  <c r="L42" i="92"/>
  <c r="N41" i="92"/>
  <c r="L41" i="92"/>
  <c r="N40" i="92"/>
  <c r="L40" i="92"/>
  <c r="N39" i="92"/>
  <c r="L39" i="92"/>
  <c r="N38" i="92"/>
  <c r="L38" i="92"/>
  <c r="N37" i="92"/>
  <c r="L37" i="92"/>
  <c r="N36" i="92"/>
  <c r="L36" i="92"/>
  <c r="N35" i="92"/>
  <c r="L35" i="92"/>
  <c r="N34" i="92"/>
  <c r="L34" i="92"/>
  <c r="N33" i="92"/>
  <c r="L33" i="92"/>
  <c r="N32" i="92"/>
  <c r="L32" i="92"/>
  <c r="N31" i="92"/>
  <c r="L31" i="92"/>
  <c r="N30" i="92"/>
  <c r="L30" i="92"/>
  <c r="N29" i="92"/>
  <c r="L29" i="92"/>
  <c r="N28" i="92"/>
  <c r="L28" i="92"/>
  <c r="N27" i="92"/>
  <c r="L27" i="92"/>
  <c r="N26" i="92"/>
  <c r="L26" i="92"/>
  <c r="N25" i="92"/>
  <c r="L25" i="92"/>
  <c r="N24" i="92"/>
  <c r="L24" i="92"/>
  <c r="N23" i="92"/>
  <c r="L23" i="92"/>
  <c r="N22" i="92"/>
  <c r="L22" i="92"/>
  <c r="N21" i="92"/>
  <c r="L21" i="92"/>
  <c r="N20" i="92"/>
  <c r="N19" i="92"/>
  <c r="N17" i="92"/>
  <c r="L17" i="92"/>
  <c r="C18" i="92"/>
  <c r="C19" i="92"/>
  <c r="C20" i="92"/>
  <c r="C21" i="92" s="1"/>
  <c r="C22" i="92" s="1"/>
  <c r="C23" i="92"/>
  <c r="C24" i="92" s="1"/>
  <c r="C25" i="92" s="1"/>
  <c r="C26" i="92" s="1"/>
  <c r="C27" i="92" s="1"/>
  <c r="C28" i="92" s="1"/>
  <c r="C29" i="92" s="1"/>
  <c r="C30" i="92" s="1"/>
  <c r="C31" i="92" s="1"/>
  <c r="C32" i="92" s="1"/>
  <c r="C33" i="92" s="1"/>
  <c r="C34" i="92" s="1"/>
  <c r="C35" i="92" s="1"/>
  <c r="C36" i="92" s="1"/>
  <c r="C37" i="92" s="1"/>
  <c r="C38" i="92" s="1"/>
  <c r="C39" i="92" s="1"/>
  <c r="C40" i="92" s="1"/>
  <c r="C41" i="92" s="1"/>
  <c r="C42" i="92" s="1"/>
  <c r="C43" i="92" s="1"/>
  <c r="C44" i="92" s="1"/>
  <c r="C45" i="92" s="1"/>
  <c r="C46" i="92" s="1"/>
  <c r="C47" i="92" s="1"/>
  <c r="C48" i="92" s="1"/>
  <c r="C49" i="92" s="1"/>
  <c r="C50" i="92" s="1"/>
  <c r="C51" i="92" s="1"/>
  <c r="C52" i="92" s="1"/>
  <c r="C53" i="92" s="1"/>
  <c r="C54" i="92" s="1"/>
  <c r="C55" i="92" s="1"/>
  <c r="C56" i="92" s="1"/>
  <c r="C57" i="92" s="1"/>
  <c r="C58" i="92" s="1"/>
  <c r="C59" i="92" s="1"/>
  <c r="C60" i="92" s="1"/>
  <c r="C61" i="92" s="1"/>
  <c r="C62" i="92" s="1"/>
  <c r="C63" i="92" s="1"/>
  <c r="C64" i="92" s="1"/>
  <c r="C65" i="92" s="1"/>
  <c r="C66" i="92" s="1"/>
  <c r="C67" i="92" s="1"/>
  <c r="C68" i="92" s="1"/>
  <c r="C69" i="92" s="1"/>
  <c r="C70" i="92" s="1"/>
  <c r="C71" i="92" s="1"/>
  <c r="C72" i="92" s="1"/>
  <c r="K11" i="92"/>
  <c r="I11" i="92"/>
  <c r="D8" i="92"/>
  <c r="D90" i="92" s="1"/>
  <c r="P154" i="91"/>
  <c r="O154" i="91"/>
  <c r="M154" i="91"/>
  <c r="J154" i="91"/>
  <c r="P153" i="91"/>
  <c r="O153" i="91"/>
  <c r="M153" i="91"/>
  <c r="J153" i="91"/>
  <c r="P152" i="91"/>
  <c r="O152" i="91"/>
  <c r="M152" i="91"/>
  <c r="J152" i="91"/>
  <c r="P151" i="91"/>
  <c r="O151" i="91"/>
  <c r="M151" i="91"/>
  <c r="J151" i="91"/>
  <c r="P150" i="91"/>
  <c r="O150" i="91"/>
  <c r="M150" i="91"/>
  <c r="J150" i="91"/>
  <c r="P149" i="91"/>
  <c r="O149" i="91"/>
  <c r="M149" i="91"/>
  <c r="J149" i="91"/>
  <c r="P148" i="91"/>
  <c r="O148" i="91"/>
  <c r="M148" i="91"/>
  <c r="J148" i="91"/>
  <c r="P147" i="91"/>
  <c r="O147" i="91"/>
  <c r="M147" i="91"/>
  <c r="J147" i="91"/>
  <c r="P146" i="91"/>
  <c r="O146" i="91"/>
  <c r="M146" i="91"/>
  <c r="J146" i="91"/>
  <c r="P145" i="91"/>
  <c r="O145" i="91"/>
  <c r="M145" i="91"/>
  <c r="J145" i="91"/>
  <c r="P144" i="91"/>
  <c r="O144" i="91"/>
  <c r="M144" i="91"/>
  <c r="J144" i="91"/>
  <c r="P143" i="91"/>
  <c r="O143" i="91"/>
  <c r="M143" i="91"/>
  <c r="J143" i="91"/>
  <c r="P142" i="91"/>
  <c r="O142" i="91"/>
  <c r="M142" i="91"/>
  <c r="J142" i="91"/>
  <c r="P141" i="91"/>
  <c r="O141" i="91"/>
  <c r="M141" i="91"/>
  <c r="J141" i="91"/>
  <c r="P140" i="91"/>
  <c r="O140" i="91"/>
  <c r="M140" i="91"/>
  <c r="J140" i="91"/>
  <c r="P139" i="91"/>
  <c r="O139" i="91"/>
  <c r="M139" i="91"/>
  <c r="J139" i="91"/>
  <c r="P138" i="91"/>
  <c r="O138" i="91"/>
  <c r="M138" i="91"/>
  <c r="J138" i="91"/>
  <c r="P137" i="91"/>
  <c r="O137" i="91"/>
  <c r="M137" i="91"/>
  <c r="J137" i="91"/>
  <c r="P136" i="91"/>
  <c r="O136" i="91"/>
  <c r="M136" i="91"/>
  <c r="J136" i="91"/>
  <c r="P135" i="91"/>
  <c r="O135" i="91"/>
  <c r="M135" i="91"/>
  <c r="J135" i="91"/>
  <c r="P134" i="91"/>
  <c r="O134" i="91"/>
  <c r="M134" i="91"/>
  <c r="J134" i="91"/>
  <c r="P133" i="91"/>
  <c r="O133" i="91"/>
  <c r="M133" i="91"/>
  <c r="J133" i="91"/>
  <c r="P132" i="91"/>
  <c r="O132" i="91"/>
  <c r="M132" i="91"/>
  <c r="J132" i="91"/>
  <c r="P131" i="91"/>
  <c r="O131" i="91"/>
  <c r="M131" i="91"/>
  <c r="J131" i="91"/>
  <c r="O130" i="91"/>
  <c r="M130" i="91"/>
  <c r="O129" i="91"/>
  <c r="M129" i="91"/>
  <c r="O128" i="91"/>
  <c r="M128" i="91"/>
  <c r="O127" i="91"/>
  <c r="M127" i="91"/>
  <c r="O126" i="91"/>
  <c r="M126" i="91"/>
  <c r="O125" i="91"/>
  <c r="M125" i="91"/>
  <c r="O124" i="91"/>
  <c r="M124" i="91"/>
  <c r="O123" i="91"/>
  <c r="M123" i="91"/>
  <c r="O122" i="91"/>
  <c r="M122" i="91"/>
  <c r="O121" i="91"/>
  <c r="M121" i="91"/>
  <c r="O120" i="91"/>
  <c r="M120" i="91"/>
  <c r="O119" i="91"/>
  <c r="M119" i="91"/>
  <c r="O118" i="91"/>
  <c r="M118" i="91"/>
  <c r="O117" i="91"/>
  <c r="M117" i="91"/>
  <c r="O116" i="91"/>
  <c r="M116" i="91"/>
  <c r="O115" i="91"/>
  <c r="M115" i="91"/>
  <c r="O114" i="91"/>
  <c r="M114" i="91"/>
  <c r="O113" i="91"/>
  <c r="M113" i="91"/>
  <c r="O112" i="91"/>
  <c r="M112" i="91"/>
  <c r="O111" i="91"/>
  <c r="M111" i="91"/>
  <c r="O110" i="91"/>
  <c r="M110" i="91"/>
  <c r="O109" i="91"/>
  <c r="M109" i="91"/>
  <c r="O108" i="91"/>
  <c r="M108" i="91"/>
  <c r="O107" i="91"/>
  <c r="M107" i="91"/>
  <c r="O106" i="91"/>
  <c r="M106" i="91"/>
  <c r="O105" i="91"/>
  <c r="M105" i="91"/>
  <c r="O104" i="91"/>
  <c r="M104" i="91"/>
  <c r="O103" i="91"/>
  <c r="M103" i="91"/>
  <c r="O102" i="91"/>
  <c r="M102" i="91"/>
  <c r="O101" i="91"/>
  <c r="O100" i="91"/>
  <c r="O99" i="91"/>
  <c r="M99" i="91"/>
  <c r="D96" i="91"/>
  <c r="L93" i="91"/>
  <c r="J93" i="91"/>
  <c r="D91" i="91"/>
  <c r="D89" i="91"/>
  <c r="N72" i="91"/>
  <c r="L72" i="91"/>
  <c r="N71" i="91"/>
  <c r="L71" i="91"/>
  <c r="N70" i="91"/>
  <c r="L70" i="91"/>
  <c r="N69" i="91"/>
  <c r="L69" i="91"/>
  <c r="N68" i="91"/>
  <c r="L68" i="91"/>
  <c r="N67" i="91"/>
  <c r="L67" i="91"/>
  <c r="N66" i="91"/>
  <c r="L66" i="91"/>
  <c r="N65" i="91"/>
  <c r="L65" i="91"/>
  <c r="N64" i="91"/>
  <c r="L64" i="91"/>
  <c r="N63" i="91"/>
  <c r="L63" i="91"/>
  <c r="N62" i="91"/>
  <c r="L62" i="91"/>
  <c r="N61" i="91"/>
  <c r="L61" i="91"/>
  <c r="N60" i="91"/>
  <c r="L60" i="91"/>
  <c r="N59" i="91"/>
  <c r="L59" i="91"/>
  <c r="N58" i="91"/>
  <c r="L58" i="91"/>
  <c r="N57" i="91"/>
  <c r="L57" i="91"/>
  <c r="N56" i="91"/>
  <c r="L56" i="91"/>
  <c r="N55" i="91"/>
  <c r="L55" i="91"/>
  <c r="N54" i="91"/>
  <c r="L54" i="91"/>
  <c r="N53" i="91"/>
  <c r="L53" i="91"/>
  <c r="N52" i="91"/>
  <c r="L52" i="91"/>
  <c r="N51" i="91"/>
  <c r="L51" i="91"/>
  <c r="N50" i="91"/>
  <c r="L50" i="91"/>
  <c r="N49" i="91"/>
  <c r="L49" i="91"/>
  <c r="N48" i="91"/>
  <c r="L48" i="91"/>
  <c r="N47" i="91"/>
  <c r="L47" i="91"/>
  <c r="N46" i="91"/>
  <c r="L46" i="91"/>
  <c r="N45" i="91"/>
  <c r="L45" i="91"/>
  <c r="N44" i="91"/>
  <c r="L44" i="91"/>
  <c r="N43" i="91"/>
  <c r="L43" i="91"/>
  <c r="N42" i="91"/>
  <c r="L42" i="91"/>
  <c r="N41" i="91"/>
  <c r="L41" i="91"/>
  <c r="N40" i="91"/>
  <c r="L40" i="91"/>
  <c r="N39" i="91"/>
  <c r="L39" i="91"/>
  <c r="N38" i="91"/>
  <c r="L38" i="91"/>
  <c r="N37" i="91"/>
  <c r="L37" i="91"/>
  <c r="N36" i="91"/>
  <c r="L36" i="91"/>
  <c r="N35" i="91"/>
  <c r="L35" i="91"/>
  <c r="N34" i="91"/>
  <c r="L34" i="91"/>
  <c r="N33" i="91"/>
  <c r="L33" i="91"/>
  <c r="N32" i="91"/>
  <c r="L32" i="91"/>
  <c r="N31" i="91"/>
  <c r="L31" i="91"/>
  <c r="N30" i="91"/>
  <c r="L30" i="91"/>
  <c r="N29" i="91"/>
  <c r="L29" i="91"/>
  <c r="N28" i="91"/>
  <c r="L28" i="91"/>
  <c r="N27" i="91"/>
  <c r="L27" i="91"/>
  <c r="N26" i="91"/>
  <c r="L26" i="91"/>
  <c r="N25" i="91"/>
  <c r="L25" i="91"/>
  <c r="N24" i="91"/>
  <c r="L24" i="91"/>
  <c r="N23" i="91"/>
  <c r="L23" i="91"/>
  <c r="N22" i="91"/>
  <c r="L22" i="91"/>
  <c r="N21" i="91"/>
  <c r="L21" i="91"/>
  <c r="N20" i="91"/>
  <c r="N19" i="91"/>
  <c r="O19" i="91"/>
  <c r="N18" i="91"/>
  <c r="O18" i="91" s="1"/>
  <c r="N17" i="91"/>
  <c r="C18" i="91"/>
  <c r="C19" i="91" s="1"/>
  <c r="C20" i="91"/>
  <c r="C21" i="91"/>
  <c r="C22" i="91" s="1"/>
  <c r="C23" i="91" s="1"/>
  <c r="C24" i="91" s="1"/>
  <c r="C25" i="91" s="1"/>
  <c r="C26" i="91" s="1"/>
  <c r="C27" i="91" s="1"/>
  <c r="C28" i="91" s="1"/>
  <c r="C29" i="91" s="1"/>
  <c r="C30" i="91" s="1"/>
  <c r="C31" i="91" s="1"/>
  <c r="C32" i="91" s="1"/>
  <c r="C33" i="91" s="1"/>
  <c r="C34" i="91" s="1"/>
  <c r="C35" i="91" s="1"/>
  <c r="C36" i="91" s="1"/>
  <c r="C37" i="91" s="1"/>
  <c r="C38" i="91" s="1"/>
  <c r="C39" i="91" s="1"/>
  <c r="C40" i="91" s="1"/>
  <c r="C41" i="91" s="1"/>
  <c r="C42" i="91" s="1"/>
  <c r="C43" i="91" s="1"/>
  <c r="C44" i="91" s="1"/>
  <c r="C45" i="91" s="1"/>
  <c r="C46" i="91" s="1"/>
  <c r="C47" i="91" s="1"/>
  <c r="C48" i="91" s="1"/>
  <c r="C49" i="91" s="1"/>
  <c r="C50" i="91" s="1"/>
  <c r="C51" i="91" s="1"/>
  <c r="C52" i="91" s="1"/>
  <c r="C53" i="91" s="1"/>
  <c r="C54" i="91" s="1"/>
  <c r="C55" i="91" s="1"/>
  <c r="C56" i="91" s="1"/>
  <c r="C57" i="91" s="1"/>
  <c r="C58" i="91" s="1"/>
  <c r="C59" i="91" s="1"/>
  <c r="C60" i="91" s="1"/>
  <c r="C61" i="91" s="1"/>
  <c r="C62" i="91" s="1"/>
  <c r="C63" i="91" s="1"/>
  <c r="C64" i="91" s="1"/>
  <c r="C65" i="91" s="1"/>
  <c r="C66" i="91" s="1"/>
  <c r="C67" i="91" s="1"/>
  <c r="C68" i="91" s="1"/>
  <c r="C69" i="91" s="1"/>
  <c r="C70" i="91" s="1"/>
  <c r="C71" i="91" s="1"/>
  <c r="C72" i="91" s="1"/>
  <c r="K11" i="91"/>
  <c r="I11" i="91"/>
  <c r="D8" i="91"/>
  <c r="D90" i="91" s="1"/>
  <c r="P154" i="90"/>
  <c r="O154" i="90"/>
  <c r="M154" i="90"/>
  <c r="J154" i="90"/>
  <c r="P153" i="90"/>
  <c r="O153" i="90"/>
  <c r="M153" i="90"/>
  <c r="J153" i="90"/>
  <c r="P152" i="90"/>
  <c r="O152" i="90"/>
  <c r="M152" i="90"/>
  <c r="J152" i="90"/>
  <c r="P151" i="90"/>
  <c r="O151" i="90"/>
  <c r="M151" i="90"/>
  <c r="J151" i="90"/>
  <c r="P150" i="90"/>
  <c r="O150" i="90"/>
  <c r="M150" i="90"/>
  <c r="J150" i="90"/>
  <c r="P149" i="90"/>
  <c r="O149" i="90"/>
  <c r="M149" i="90"/>
  <c r="J149" i="90"/>
  <c r="P148" i="90"/>
  <c r="O148" i="90"/>
  <c r="M148" i="90"/>
  <c r="J148" i="90"/>
  <c r="P147" i="90"/>
  <c r="O147" i="90"/>
  <c r="M147" i="90"/>
  <c r="J147" i="90"/>
  <c r="P146" i="90"/>
  <c r="O146" i="90"/>
  <c r="M146" i="90"/>
  <c r="J146" i="90"/>
  <c r="P145" i="90"/>
  <c r="O145" i="90"/>
  <c r="M145" i="90"/>
  <c r="J145" i="90"/>
  <c r="P144" i="90"/>
  <c r="O144" i="90"/>
  <c r="M144" i="90"/>
  <c r="J144" i="90"/>
  <c r="P143" i="90"/>
  <c r="O143" i="90"/>
  <c r="M143" i="90"/>
  <c r="J143" i="90"/>
  <c r="P142" i="90"/>
  <c r="O142" i="90"/>
  <c r="M142" i="90"/>
  <c r="J142" i="90"/>
  <c r="P141" i="90"/>
  <c r="O141" i="90"/>
  <c r="M141" i="90"/>
  <c r="J141" i="90"/>
  <c r="P140" i="90"/>
  <c r="O140" i="90"/>
  <c r="M140" i="90"/>
  <c r="J140" i="90"/>
  <c r="P139" i="90"/>
  <c r="O139" i="90"/>
  <c r="M139" i="90"/>
  <c r="J139" i="90"/>
  <c r="P138" i="90"/>
  <c r="O138" i="90"/>
  <c r="M138" i="90"/>
  <c r="J138" i="90"/>
  <c r="P137" i="90"/>
  <c r="O137" i="90"/>
  <c r="M137" i="90"/>
  <c r="J137" i="90"/>
  <c r="P136" i="90"/>
  <c r="O136" i="90"/>
  <c r="M136" i="90"/>
  <c r="J136" i="90"/>
  <c r="P135" i="90"/>
  <c r="O135" i="90"/>
  <c r="M135" i="90"/>
  <c r="J135" i="90"/>
  <c r="P134" i="90"/>
  <c r="O134" i="90"/>
  <c r="M134" i="90"/>
  <c r="J134" i="90"/>
  <c r="P133" i="90"/>
  <c r="O133" i="90"/>
  <c r="M133" i="90"/>
  <c r="J133" i="90"/>
  <c r="P132" i="90"/>
  <c r="O132" i="90"/>
  <c r="M132" i="90"/>
  <c r="J132" i="90"/>
  <c r="P131" i="90"/>
  <c r="O131" i="90"/>
  <c r="M131" i="90"/>
  <c r="J131" i="90"/>
  <c r="O130" i="90"/>
  <c r="M130" i="90"/>
  <c r="O129" i="90"/>
  <c r="M129" i="90"/>
  <c r="O128" i="90"/>
  <c r="M128" i="90"/>
  <c r="O127" i="90"/>
  <c r="M127" i="90"/>
  <c r="O126" i="90"/>
  <c r="M126" i="90"/>
  <c r="O125" i="90"/>
  <c r="M125" i="90"/>
  <c r="O124" i="90"/>
  <c r="M124" i="90"/>
  <c r="O123" i="90"/>
  <c r="M123" i="90"/>
  <c r="O122" i="90"/>
  <c r="M122" i="90"/>
  <c r="O121" i="90"/>
  <c r="M121" i="90"/>
  <c r="O120" i="90"/>
  <c r="M120" i="90"/>
  <c r="O119" i="90"/>
  <c r="M119" i="90"/>
  <c r="O118" i="90"/>
  <c r="M118" i="90"/>
  <c r="O117" i="90"/>
  <c r="M117" i="90"/>
  <c r="O116" i="90"/>
  <c r="M116" i="90"/>
  <c r="O115" i="90"/>
  <c r="M115" i="90"/>
  <c r="O114" i="90"/>
  <c r="M114" i="90"/>
  <c r="O113" i="90"/>
  <c r="M113" i="90"/>
  <c r="O112" i="90"/>
  <c r="M112" i="90"/>
  <c r="O111" i="90"/>
  <c r="M111" i="90"/>
  <c r="O110" i="90"/>
  <c r="M110" i="90"/>
  <c r="O109" i="90"/>
  <c r="M109" i="90"/>
  <c r="O108" i="90"/>
  <c r="M108" i="90"/>
  <c r="O107" i="90"/>
  <c r="M107" i="90"/>
  <c r="O106" i="90"/>
  <c r="M106" i="90"/>
  <c r="O105" i="90"/>
  <c r="M105" i="90"/>
  <c r="O104" i="90"/>
  <c r="M104" i="90"/>
  <c r="O103" i="90"/>
  <c r="M103" i="90"/>
  <c r="O102" i="90"/>
  <c r="M102" i="90"/>
  <c r="O101" i="90"/>
  <c r="O100" i="90"/>
  <c r="M99" i="90"/>
  <c r="D96" i="90"/>
  <c r="L93" i="90"/>
  <c r="J93" i="90"/>
  <c r="D91" i="90"/>
  <c r="D89" i="90"/>
  <c r="N72" i="90"/>
  <c r="L72" i="90"/>
  <c r="N71" i="90"/>
  <c r="L71" i="90"/>
  <c r="N70" i="90"/>
  <c r="L70" i="90"/>
  <c r="N69" i="90"/>
  <c r="L69" i="90"/>
  <c r="N68" i="90"/>
  <c r="L68" i="90"/>
  <c r="N67" i="90"/>
  <c r="L67" i="90"/>
  <c r="N66" i="90"/>
  <c r="L66" i="90"/>
  <c r="N65" i="90"/>
  <c r="L65" i="90"/>
  <c r="N64" i="90"/>
  <c r="L64" i="90"/>
  <c r="N63" i="90"/>
  <c r="L63" i="90"/>
  <c r="N62" i="90"/>
  <c r="L62" i="90"/>
  <c r="N61" i="90"/>
  <c r="L61" i="90"/>
  <c r="N60" i="90"/>
  <c r="L60" i="90"/>
  <c r="N59" i="90"/>
  <c r="L59" i="90"/>
  <c r="N58" i="90"/>
  <c r="L58" i="90"/>
  <c r="N57" i="90"/>
  <c r="L57" i="90"/>
  <c r="N56" i="90"/>
  <c r="L56" i="90"/>
  <c r="N55" i="90"/>
  <c r="L55" i="90"/>
  <c r="N54" i="90"/>
  <c r="L54" i="90"/>
  <c r="N53" i="90"/>
  <c r="L53" i="90"/>
  <c r="N52" i="90"/>
  <c r="L52" i="90"/>
  <c r="N51" i="90"/>
  <c r="L51" i="90"/>
  <c r="N50" i="90"/>
  <c r="L50" i="90"/>
  <c r="N49" i="90"/>
  <c r="L49" i="90"/>
  <c r="N48" i="90"/>
  <c r="L48" i="90"/>
  <c r="N47" i="90"/>
  <c r="L47" i="90"/>
  <c r="N46" i="90"/>
  <c r="L46" i="90"/>
  <c r="N45" i="90"/>
  <c r="L45" i="90"/>
  <c r="N44" i="90"/>
  <c r="L44" i="90"/>
  <c r="N43" i="90"/>
  <c r="L43" i="90"/>
  <c r="N42" i="90"/>
  <c r="L42" i="90"/>
  <c r="N41" i="90"/>
  <c r="L41" i="90"/>
  <c r="N40" i="90"/>
  <c r="L40" i="90"/>
  <c r="N39" i="90"/>
  <c r="L39" i="90"/>
  <c r="N38" i="90"/>
  <c r="L38" i="90"/>
  <c r="N37" i="90"/>
  <c r="L37" i="90"/>
  <c r="N36" i="90"/>
  <c r="L36" i="90"/>
  <c r="N35" i="90"/>
  <c r="L35" i="90"/>
  <c r="N34" i="90"/>
  <c r="L34" i="90"/>
  <c r="N33" i="90"/>
  <c r="L33" i="90"/>
  <c r="N32" i="90"/>
  <c r="L32" i="90"/>
  <c r="N31" i="90"/>
  <c r="L31" i="90"/>
  <c r="N30" i="90"/>
  <c r="L30" i="90"/>
  <c r="N29" i="90"/>
  <c r="L29" i="90"/>
  <c r="N28" i="90"/>
  <c r="L28" i="90"/>
  <c r="N27" i="90"/>
  <c r="L27" i="90"/>
  <c r="N26" i="90"/>
  <c r="L26" i="90"/>
  <c r="N25" i="90"/>
  <c r="L25" i="90"/>
  <c r="N24" i="90"/>
  <c r="L24" i="90"/>
  <c r="N23" i="90"/>
  <c r="L23" i="90"/>
  <c r="N22" i="90"/>
  <c r="L22" i="90"/>
  <c r="N21" i="90"/>
  <c r="L21" i="90"/>
  <c r="N20" i="90"/>
  <c r="N19" i="90"/>
  <c r="N18" i="90"/>
  <c r="L18" i="90"/>
  <c r="N17" i="90"/>
  <c r="L17" i="90"/>
  <c r="C18" i="90"/>
  <c r="C19" i="90" s="1"/>
  <c r="C20" i="90" s="1"/>
  <c r="C21" i="90" s="1"/>
  <c r="C22" i="90" s="1"/>
  <c r="C23" i="90" s="1"/>
  <c r="C24" i="90" s="1"/>
  <c r="C25" i="90" s="1"/>
  <c r="C26" i="90" s="1"/>
  <c r="C27" i="90" s="1"/>
  <c r="C28" i="90" s="1"/>
  <c r="C29" i="90" s="1"/>
  <c r="C30" i="90" s="1"/>
  <c r="C31" i="90" s="1"/>
  <c r="C32" i="90" s="1"/>
  <c r="C33" i="90" s="1"/>
  <c r="C34" i="90" s="1"/>
  <c r="C35" i="90" s="1"/>
  <c r="C36" i="90" s="1"/>
  <c r="C37" i="90" s="1"/>
  <c r="C38" i="90" s="1"/>
  <c r="C39" i="90" s="1"/>
  <c r="C40" i="90" s="1"/>
  <c r="C41" i="90" s="1"/>
  <c r="C42" i="90"/>
  <c r="C43" i="90" s="1"/>
  <c r="C44" i="90" s="1"/>
  <c r="C45" i="90" s="1"/>
  <c r="C46" i="90" s="1"/>
  <c r="C47" i="90" s="1"/>
  <c r="C48" i="90" s="1"/>
  <c r="C49" i="90" s="1"/>
  <c r="C50" i="90" s="1"/>
  <c r="C51" i="90" s="1"/>
  <c r="C52" i="90" s="1"/>
  <c r="C53" i="90" s="1"/>
  <c r="C54" i="90" s="1"/>
  <c r="C55" i="90" s="1"/>
  <c r="C56" i="90" s="1"/>
  <c r="C57" i="90" s="1"/>
  <c r="C58" i="90" s="1"/>
  <c r="C59" i="90" s="1"/>
  <c r="C60" i="90" s="1"/>
  <c r="C61" i="90" s="1"/>
  <c r="C62" i="90" s="1"/>
  <c r="C63" i="90" s="1"/>
  <c r="C64" i="90" s="1"/>
  <c r="C65" i="90" s="1"/>
  <c r="C66" i="90" s="1"/>
  <c r="C67" i="90" s="1"/>
  <c r="C68" i="90" s="1"/>
  <c r="C69" i="90" s="1"/>
  <c r="C70" i="90" s="1"/>
  <c r="C71" i="90" s="1"/>
  <c r="C72" i="90" s="1"/>
  <c r="K11" i="90"/>
  <c r="I11" i="90"/>
  <c r="D8" i="90"/>
  <c r="D90" i="90" s="1"/>
  <c r="P154" i="89"/>
  <c r="O154" i="89"/>
  <c r="M154" i="89"/>
  <c r="J154" i="89"/>
  <c r="P153" i="89"/>
  <c r="O153" i="89"/>
  <c r="M153" i="89"/>
  <c r="J153" i="89"/>
  <c r="P152" i="89"/>
  <c r="O152" i="89"/>
  <c r="M152" i="89"/>
  <c r="J152" i="89"/>
  <c r="P151" i="89"/>
  <c r="O151" i="89"/>
  <c r="M151" i="89"/>
  <c r="J151" i="89"/>
  <c r="P150" i="89"/>
  <c r="O150" i="89"/>
  <c r="M150" i="89"/>
  <c r="J150" i="89"/>
  <c r="P149" i="89"/>
  <c r="O149" i="89"/>
  <c r="M149" i="89"/>
  <c r="J149" i="89"/>
  <c r="P148" i="89"/>
  <c r="O148" i="89"/>
  <c r="M148" i="89"/>
  <c r="J148" i="89"/>
  <c r="P147" i="89"/>
  <c r="O147" i="89"/>
  <c r="M147" i="89"/>
  <c r="J147" i="89"/>
  <c r="P146" i="89"/>
  <c r="O146" i="89"/>
  <c r="M146" i="89"/>
  <c r="J146" i="89"/>
  <c r="P145" i="89"/>
  <c r="O145" i="89"/>
  <c r="M145" i="89"/>
  <c r="J145" i="89"/>
  <c r="P144" i="89"/>
  <c r="O144" i="89"/>
  <c r="M144" i="89"/>
  <c r="J144" i="89"/>
  <c r="P143" i="89"/>
  <c r="O143" i="89"/>
  <c r="M143" i="89"/>
  <c r="J143" i="89"/>
  <c r="P142" i="89"/>
  <c r="O142" i="89"/>
  <c r="M142" i="89"/>
  <c r="J142" i="89"/>
  <c r="P141" i="89"/>
  <c r="O141" i="89"/>
  <c r="M141" i="89"/>
  <c r="J141" i="89"/>
  <c r="P140" i="89"/>
  <c r="O140" i="89"/>
  <c r="M140" i="89"/>
  <c r="J140" i="89"/>
  <c r="P139" i="89"/>
  <c r="O139" i="89"/>
  <c r="M139" i="89"/>
  <c r="J139" i="89"/>
  <c r="P138" i="89"/>
  <c r="O138" i="89"/>
  <c r="M138" i="89"/>
  <c r="J138" i="89"/>
  <c r="P137" i="89"/>
  <c r="O137" i="89"/>
  <c r="M137" i="89"/>
  <c r="J137" i="89"/>
  <c r="P136" i="89"/>
  <c r="O136" i="89"/>
  <c r="M136" i="89"/>
  <c r="J136" i="89"/>
  <c r="P135" i="89"/>
  <c r="O135" i="89"/>
  <c r="M135" i="89"/>
  <c r="J135" i="89"/>
  <c r="P134" i="89"/>
  <c r="O134" i="89"/>
  <c r="M134" i="89"/>
  <c r="J134" i="89"/>
  <c r="P133" i="89"/>
  <c r="O133" i="89"/>
  <c r="M133" i="89"/>
  <c r="J133" i="89"/>
  <c r="P132" i="89"/>
  <c r="O132" i="89"/>
  <c r="M132" i="89"/>
  <c r="J132" i="89"/>
  <c r="P131" i="89"/>
  <c r="O131" i="89"/>
  <c r="M131" i="89"/>
  <c r="J131" i="89"/>
  <c r="O130" i="89"/>
  <c r="M130" i="89"/>
  <c r="O129" i="89"/>
  <c r="M129" i="89"/>
  <c r="O128" i="89"/>
  <c r="M128" i="89"/>
  <c r="O127" i="89"/>
  <c r="M127" i="89"/>
  <c r="O126" i="89"/>
  <c r="M126" i="89"/>
  <c r="O125" i="89"/>
  <c r="M125" i="89"/>
  <c r="O124" i="89"/>
  <c r="M124" i="89"/>
  <c r="O123" i="89"/>
  <c r="M123" i="89"/>
  <c r="O122" i="89"/>
  <c r="M122" i="89"/>
  <c r="O121" i="89"/>
  <c r="M121" i="89"/>
  <c r="O120" i="89"/>
  <c r="M120" i="89"/>
  <c r="O119" i="89"/>
  <c r="M119" i="89"/>
  <c r="O118" i="89"/>
  <c r="M118" i="89"/>
  <c r="O117" i="89"/>
  <c r="M117" i="89"/>
  <c r="O116" i="89"/>
  <c r="M116" i="89"/>
  <c r="O115" i="89"/>
  <c r="M115" i="89"/>
  <c r="O114" i="89"/>
  <c r="M114" i="89"/>
  <c r="O113" i="89"/>
  <c r="M113" i="89"/>
  <c r="O112" i="89"/>
  <c r="M112" i="89"/>
  <c r="O111" i="89"/>
  <c r="M111" i="89"/>
  <c r="O110" i="89"/>
  <c r="M110" i="89"/>
  <c r="O109" i="89"/>
  <c r="M109" i="89"/>
  <c r="O108" i="89"/>
  <c r="M108" i="89"/>
  <c r="O107" i="89"/>
  <c r="M107" i="89"/>
  <c r="O106" i="89"/>
  <c r="M106" i="89"/>
  <c r="O105" i="89"/>
  <c r="M105" i="89"/>
  <c r="O104" i="89"/>
  <c r="M104" i="89"/>
  <c r="O103" i="89"/>
  <c r="M103" i="89"/>
  <c r="O102" i="89"/>
  <c r="M102" i="89"/>
  <c r="O101" i="89"/>
  <c r="O100" i="89"/>
  <c r="O99" i="89"/>
  <c r="M99" i="89"/>
  <c r="D96" i="89"/>
  <c r="L93" i="89"/>
  <c r="J93" i="89"/>
  <c r="D91" i="89"/>
  <c r="D89" i="89"/>
  <c r="N72" i="89"/>
  <c r="L72" i="89"/>
  <c r="N71" i="89"/>
  <c r="L71" i="89"/>
  <c r="N70" i="89"/>
  <c r="L70" i="89"/>
  <c r="N69" i="89"/>
  <c r="L69" i="89"/>
  <c r="N68" i="89"/>
  <c r="L68" i="89"/>
  <c r="N67" i="89"/>
  <c r="L67" i="89"/>
  <c r="N66" i="89"/>
  <c r="L66" i="89"/>
  <c r="N65" i="89"/>
  <c r="L65" i="89"/>
  <c r="N64" i="89"/>
  <c r="L64" i="89"/>
  <c r="N63" i="89"/>
  <c r="L63" i="89"/>
  <c r="N62" i="89"/>
  <c r="L62" i="89"/>
  <c r="N61" i="89"/>
  <c r="L61" i="89"/>
  <c r="N60" i="89"/>
  <c r="L60" i="89"/>
  <c r="N59" i="89"/>
  <c r="L59" i="89"/>
  <c r="N58" i="89"/>
  <c r="L58" i="89"/>
  <c r="N57" i="89"/>
  <c r="L57" i="89"/>
  <c r="N56" i="89"/>
  <c r="L56" i="89"/>
  <c r="N55" i="89"/>
  <c r="L55" i="89"/>
  <c r="N54" i="89"/>
  <c r="L54" i="89"/>
  <c r="N53" i="89"/>
  <c r="L53" i="89"/>
  <c r="N52" i="89"/>
  <c r="L52" i="89"/>
  <c r="N51" i="89"/>
  <c r="L51" i="89"/>
  <c r="N50" i="89"/>
  <c r="L50" i="89"/>
  <c r="N49" i="89"/>
  <c r="L49" i="89"/>
  <c r="N48" i="89"/>
  <c r="L48" i="89"/>
  <c r="N47" i="89"/>
  <c r="L47" i="89"/>
  <c r="N46" i="89"/>
  <c r="L46" i="89"/>
  <c r="N45" i="89"/>
  <c r="L45" i="89"/>
  <c r="N44" i="89"/>
  <c r="L44" i="89"/>
  <c r="N43" i="89"/>
  <c r="L43" i="89"/>
  <c r="N42" i="89"/>
  <c r="L42" i="89"/>
  <c r="N41" i="89"/>
  <c r="L41" i="89"/>
  <c r="N40" i="89"/>
  <c r="L40" i="89"/>
  <c r="N39" i="89"/>
  <c r="L39" i="89"/>
  <c r="N38" i="89"/>
  <c r="L38" i="89"/>
  <c r="N37" i="89"/>
  <c r="L37" i="89"/>
  <c r="N36" i="89"/>
  <c r="L36" i="89"/>
  <c r="N35" i="89"/>
  <c r="L35" i="89"/>
  <c r="N34" i="89"/>
  <c r="L34" i="89"/>
  <c r="N33" i="89"/>
  <c r="L33" i="89"/>
  <c r="N32" i="89"/>
  <c r="L32" i="89"/>
  <c r="N31" i="89"/>
  <c r="L31" i="89"/>
  <c r="N30" i="89"/>
  <c r="L30" i="89"/>
  <c r="N29" i="89"/>
  <c r="L29" i="89"/>
  <c r="N28" i="89"/>
  <c r="L28" i="89"/>
  <c r="N27" i="89"/>
  <c r="L27" i="89"/>
  <c r="N26" i="89"/>
  <c r="L26" i="89"/>
  <c r="N25" i="89"/>
  <c r="L25" i="89"/>
  <c r="N24" i="89"/>
  <c r="L24" i="89"/>
  <c r="N23" i="89"/>
  <c r="L23" i="89"/>
  <c r="N22" i="89"/>
  <c r="L22" i="89"/>
  <c r="N21" i="89"/>
  <c r="L21" i="89"/>
  <c r="N20" i="89"/>
  <c r="N19" i="89"/>
  <c r="N18" i="89"/>
  <c r="L17" i="89"/>
  <c r="C19" i="89"/>
  <c r="C20" i="89" s="1"/>
  <c r="C21" i="89" s="1"/>
  <c r="C22" i="89" s="1"/>
  <c r="C23" i="89" s="1"/>
  <c r="C24" i="89" s="1"/>
  <c r="C25" i="89" s="1"/>
  <c r="C26" i="89" s="1"/>
  <c r="C27" i="89"/>
  <c r="C28" i="89" s="1"/>
  <c r="C29" i="89" s="1"/>
  <c r="C30" i="89" s="1"/>
  <c r="C31" i="89" s="1"/>
  <c r="C32" i="89" s="1"/>
  <c r="C33" i="89" s="1"/>
  <c r="C34" i="89" s="1"/>
  <c r="C35" i="89" s="1"/>
  <c r="C36" i="89" s="1"/>
  <c r="C37" i="89" s="1"/>
  <c r="C38" i="89" s="1"/>
  <c r="C39" i="89" s="1"/>
  <c r="C40" i="89" s="1"/>
  <c r="C41" i="89" s="1"/>
  <c r="C42" i="89" s="1"/>
  <c r="C43" i="89" s="1"/>
  <c r="C44" i="89" s="1"/>
  <c r="C45" i="89" s="1"/>
  <c r="C46" i="89" s="1"/>
  <c r="C47" i="89" s="1"/>
  <c r="C48" i="89" s="1"/>
  <c r="C49" i="89" s="1"/>
  <c r="C50" i="89" s="1"/>
  <c r="C51" i="89" s="1"/>
  <c r="C52" i="89" s="1"/>
  <c r="C53" i="89" s="1"/>
  <c r="C54" i="89" s="1"/>
  <c r="C55" i="89" s="1"/>
  <c r="C56" i="89" s="1"/>
  <c r="C57" i="89" s="1"/>
  <c r="C58" i="89" s="1"/>
  <c r="C59" i="89" s="1"/>
  <c r="C60" i="89" s="1"/>
  <c r="C61" i="89" s="1"/>
  <c r="C62" i="89" s="1"/>
  <c r="C63" i="89" s="1"/>
  <c r="C64" i="89" s="1"/>
  <c r="C65" i="89" s="1"/>
  <c r="C66" i="89" s="1"/>
  <c r="C67" i="89" s="1"/>
  <c r="C68" i="89" s="1"/>
  <c r="C69" i="89" s="1"/>
  <c r="C70" i="89" s="1"/>
  <c r="C71" i="89" s="1"/>
  <c r="C72" i="89" s="1"/>
  <c r="K11" i="89"/>
  <c r="I11" i="89"/>
  <c r="D8" i="89"/>
  <c r="D90" i="89" s="1"/>
  <c r="P154" i="88"/>
  <c r="O154" i="88"/>
  <c r="M154" i="88"/>
  <c r="J154" i="88"/>
  <c r="P153" i="88"/>
  <c r="O153" i="88"/>
  <c r="M153" i="88"/>
  <c r="J153" i="88"/>
  <c r="P152" i="88"/>
  <c r="O152" i="88"/>
  <c r="M152" i="88"/>
  <c r="J152" i="88"/>
  <c r="P151" i="88"/>
  <c r="O151" i="88"/>
  <c r="M151" i="88"/>
  <c r="J151" i="88"/>
  <c r="P150" i="88"/>
  <c r="O150" i="88"/>
  <c r="M150" i="88"/>
  <c r="J150" i="88"/>
  <c r="P149" i="88"/>
  <c r="O149" i="88"/>
  <c r="M149" i="88"/>
  <c r="J149" i="88"/>
  <c r="P148" i="88"/>
  <c r="O148" i="88"/>
  <c r="M148" i="88"/>
  <c r="J148" i="88"/>
  <c r="P147" i="88"/>
  <c r="O147" i="88"/>
  <c r="M147" i="88"/>
  <c r="J147" i="88"/>
  <c r="P146" i="88"/>
  <c r="O146" i="88"/>
  <c r="M146" i="88"/>
  <c r="J146" i="88"/>
  <c r="P145" i="88"/>
  <c r="O145" i="88"/>
  <c r="M145" i="88"/>
  <c r="J145" i="88"/>
  <c r="P144" i="88"/>
  <c r="O144" i="88"/>
  <c r="M144" i="88"/>
  <c r="J144" i="88"/>
  <c r="P143" i="88"/>
  <c r="O143" i="88"/>
  <c r="M143" i="88"/>
  <c r="J143" i="88"/>
  <c r="P142" i="88"/>
  <c r="O142" i="88"/>
  <c r="M142" i="88"/>
  <c r="J142" i="88"/>
  <c r="P141" i="88"/>
  <c r="O141" i="88"/>
  <c r="M141" i="88"/>
  <c r="J141" i="88"/>
  <c r="P140" i="88"/>
  <c r="O140" i="88"/>
  <c r="M140" i="88"/>
  <c r="J140" i="88"/>
  <c r="P139" i="88"/>
  <c r="O139" i="88"/>
  <c r="M139" i="88"/>
  <c r="J139" i="88"/>
  <c r="P138" i="88"/>
  <c r="O138" i="88"/>
  <c r="M138" i="88"/>
  <c r="J138" i="88"/>
  <c r="P137" i="88"/>
  <c r="O137" i="88"/>
  <c r="M137" i="88"/>
  <c r="J137" i="88"/>
  <c r="P136" i="88"/>
  <c r="O136" i="88"/>
  <c r="M136" i="88"/>
  <c r="J136" i="88"/>
  <c r="P135" i="88"/>
  <c r="O135" i="88"/>
  <c r="M135" i="88"/>
  <c r="J135" i="88"/>
  <c r="P134" i="88"/>
  <c r="O134" i="88"/>
  <c r="M134" i="88"/>
  <c r="J134" i="88"/>
  <c r="P133" i="88"/>
  <c r="O133" i="88"/>
  <c r="M133" i="88"/>
  <c r="J133" i="88"/>
  <c r="P132" i="88"/>
  <c r="O132" i="88"/>
  <c r="M132" i="88"/>
  <c r="J132" i="88"/>
  <c r="P131" i="88"/>
  <c r="O131" i="88"/>
  <c r="M131" i="88"/>
  <c r="J131" i="88"/>
  <c r="O130" i="88"/>
  <c r="M130" i="88"/>
  <c r="O129" i="88"/>
  <c r="M129" i="88"/>
  <c r="O128" i="88"/>
  <c r="M128" i="88"/>
  <c r="O127" i="88"/>
  <c r="M127" i="88"/>
  <c r="O126" i="88"/>
  <c r="M126" i="88"/>
  <c r="O125" i="88"/>
  <c r="M125" i="88"/>
  <c r="O124" i="88"/>
  <c r="M124" i="88"/>
  <c r="O123" i="88"/>
  <c r="M123" i="88"/>
  <c r="O122" i="88"/>
  <c r="M122" i="88"/>
  <c r="O121" i="88"/>
  <c r="M121" i="88"/>
  <c r="O120" i="88"/>
  <c r="M120" i="88"/>
  <c r="O119" i="88"/>
  <c r="M119" i="88"/>
  <c r="O118" i="88"/>
  <c r="M118" i="88"/>
  <c r="O117" i="88"/>
  <c r="M117" i="88"/>
  <c r="O116" i="88"/>
  <c r="M116" i="88"/>
  <c r="O115" i="88"/>
  <c r="M115" i="88"/>
  <c r="O114" i="88"/>
  <c r="M114" i="88"/>
  <c r="O113" i="88"/>
  <c r="M113" i="88"/>
  <c r="O112" i="88"/>
  <c r="M112" i="88"/>
  <c r="O111" i="88"/>
  <c r="M111" i="88"/>
  <c r="O110" i="88"/>
  <c r="M110" i="88"/>
  <c r="O109" i="88"/>
  <c r="M109" i="88"/>
  <c r="O108" i="88"/>
  <c r="M108" i="88"/>
  <c r="O107" i="88"/>
  <c r="M107" i="88"/>
  <c r="O106" i="88"/>
  <c r="M106" i="88"/>
  <c r="O105" i="88"/>
  <c r="M105" i="88"/>
  <c r="O104" i="88"/>
  <c r="M104" i="88"/>
  <c r="O103" i="88"/>
  <c r="M103" i="88"/>
  <c r="O102" i="88"/>
  <c r="M102" i="88"/>
  <c r="O101" i="88"/>
  <c r="O100" i="88"/>
  <c r="O99" i="88"/>
  <c r="M99" i="88"/>
  <c r="D96" i="88"/>
  <c r="L93" i="88"/>
  <c r="J93" i="88"/>
  <c r="D91" i="88"/>
  <c r="D89" i="88"/>
  <c r="N72" i="88"/>
  <c r="L72" i="88"/>
  <c r="N71" i="88"/>
  <c r="L71" i="88"/>
  <c r="N70" i="88"/>
  <c r="L70" i="88"/>
  <c r="N69" i="88"/>
  <c r="L69" i="88"/>
  <c r="N68" i="88"/>
  <c r="L68" i="88"/>
  <c r="N67" i="88"/>
  <c r="L67" i="88"/>
  <c r="N66" i="88"/>
  <c r="L66" i="88"/>
  <c r="N65" i="88"/>
  <c r="L65" i="88"/>
  <c r="N64" i="88"/>
  <c r="L64" i="88"/>
  <c r="N63" i="88"/>
  <c r="L63" i="88"/>
  <c r="O63" i="88" s="1"/>
  <c r="N62" i="88"/>
  <c r="L62" i="88"/>
  <c r="N61" i="88"/>
  <c r="L61" i="88"/>
  <c r="N60" i="88"/>
  <c r="L60" i="88"/>
  <c r="N59" i="88"/>
  <c r="L59" i="88"/>
  <c r="N58" i="88"/>
  <c r="L58" i="88"/>
  <c r="N57" i="88"/>
  <c r="L57" i="88"/>
  <c r="N56" i="88"/>
  <c r="L56" i="88"/>
  <c r="N55" i="88"/>
  <c r="L55" i="88"/>
  <c r="N54" i="88"/>
  <c r="L54" i="88"/>
  <c r="N53" i="88"/>
  <c r="L53" i="88"/>
  <c r="N52" i="88"/>
  <c r="L52" i="88"/>
  <c r="N51" i="88"/>
  <c r="L51" i="88"/>
  <c r="N50" i="88"/>
  <c r="L50" i="88"/>
  <c r="N49" i="88"/>
  <c r="L49" i="88"/>
  <c r="N48" i="88"/>
  <c r="L48" i="88"/>
  <c r="N47" i="88"/>
  <c r="L47" i="88"/>
  <c r="N46" i="88"/>
  <c r="L46" i="88"/>
  <c r="N45" i="88"/>
  <c r="L45" i="88"/>
  <c r="N44" i="88"/>
  <c r="L44" i="88"/>
  <c r="N43" i="88"/>
  <c r="L43" i="88"/>
  <c r="N42" i="88"/>
  <c r="L42" i="88"/>
  <c r="N41" i="88"/>
  <c r="L41" i="88"/>
  <c r="N40" i="88"/>
  <c r="L40" i="88"/>
  <c r="N39" i="88"/>
  <c r="L39" i="88"/>
  <c r="N38" i="88"/>
  <c r="L38" i="88"/>
  <c r="N37" i="88"/>
  <c r="L37" i="88"/>
  <c r="N36" i="88"/>
  <c r="L36" i="88"/>
  <c r="N35" i="88"/>
  <c r="L35" i="88"/>
  <c r="N34" i="88"/>
  <c r="L34" i="88"/>
  <c r="N33" i="88"/>
  <c r="L33" i="88"/>
  <c r="N32" i="88"/>
  <c r="L32" i="88"/>
  <c r="N31" i="88"/>
  <c r="L31" i="88"/>
  <c r="N30" i="88"/>
  <c r="L30" i="88"/>
  <c r="N29" i="88"/>
  <c r="L29" i="88"/>
  <c r="N28" i="88"/>
  <c r="L28" i="88"/>
  <c r="N27" i="88"/>
  <c r="L27" i="88"/>
  <c r="N26" i="88"/>
  <c r="L26" i="88"/>
  <c r="N25" i="88"/>
  <c r="L25" i="88"/>
  <c r="N24" i="88"/>
  <c r="L24" i="88"/>
  <c r="N23" i="88"/>
  <c r="L23" i="88"/>
  <c r="O23" i="88" s="1"/>
  <c r="N22" i="88"/>
  <c r="L22" i="88"/>
  <c r="N21" i="88"/>
  <c r="L21" i="88"/>
  <c r="N20" i="88"/>
  <c r="N19" i="88"/>
  <c r="N18" i="88"/>
  <c r="O18" i="88" s="1"/>
  <c r="L18" i="88"/>
  <c r="N17" i="88"/>
  <c r="C18" i="88"/>
  <c r="C19" i="88" s="1"/>
  <c r="C20" i="88" s="1"/>
  <c r="C21" i="88" s="1"/>
  <c r="C22" i="88" s="1"/>
  <c r="C23" i="88" s="1"/>
  <c r="C24" i="88" s="1"/>
  <c r="C25" i="88" s="1"/>
  <c r="C26" i="88" s="1"/>
  <c r="C27" i="88" s="1"/>
  <c r="C28" i="88" s="1"/>
  <c r="C29" i="88" s="1"/>
  <c r="C30" i="88" s="1"/>
  <c r="C31" i="88" s="1"/>
  <c r="C32" i="88"/>
  <c r="C33" i="88" s="1"/>
  <c r="C34" i="88" s="1"/>
  <c r="C35" i="88" s="1"/>
  <c r="C36" i="88" s="1"/>
  <c r="C37" i="88" s="1"/>
  <c r="C38" i="88" s="1"/>
  <c r="C39" i="88" s="1"/>
  <c r="C40" i="88" s="1"/>
  <c r="C41" i="88" s="1"/>
  <c r="C42" i="88" s="1"/>
  <c r="C43" i="88" s="1"/>
  <c r="C44" i="88" s="1"/>
  <c r="C45" i="88" s="1"/>
  <c r="C46" i="88" s="1"/>
  <c r="C47" i="88" s="1"/>
  <c r="C48" i="88" s="1"/>
  <c r="C49" i="88" s="1"/>
  <c r="C50" i="88" s="1"/>
  <c r="C51" i="88" s="1"/>
  <c r="C52" i="88" s="1"/>
  <c r="C53" i="88" s="1"/>
  <c r="C54" i="88" s="1"/>
  <c r="C55" i="88" s="1"/>
  <c r="C56" i="88" s="1"/>
  <c r="C57" i="88" s="1"/>
  <c r="C58" i="88" s="1"/>
  <c r="C59" i="88" s="1"/>
  <c r="C60" i="88" s="1"/>
  <c r="C61" i="88" s="1"/>
  <c r="C62" i="88" s="1"/>
  <c r="C63" i="88" s="1"/>
  <c r="C64" i="88" s="1"/>
  <c r="C65" i="88" s="1"/>
  <c r="C66" i="88" s="1"/>
  <c r="C67" i="88" s="1"/>
  <c r="C68" i="88" s="1"/>
  <c r="C69" i="88" s="1"/>
  <c r="C70" i="88" s="1"/>
  <c r="C71" i="88" s="1"/>
  <c r="C72" i="88" s="1"/>
  <c r="K11" i="88"/>
  <c r="I11" i="88"/>
  <c r="D8" i="88"/>
  <c r="D90" i="88" s="1"/>
  <c r="P154" i="87"/>
  <c r="O154" i="87"/>
  <c r="M154" i="87"/>
  <c r="J154" i="87"/>
  <c r="P153" i="87"/>
  <c r="O153" i="87"/>
  <c r="M153" i="87"/>
  <c r="J153" i="87"/>
  <c r="P152" i="87"/>
  <c r="O152" i="87"/>
  <c r="M152" i="87"/>
  <c r="J152" i="87"/>
  <c r="P151" i="87"/>
  <c r="O151" i="87"/>
  <c r="M151" i="87"/>
  <c r="J151" i="87"/>
  <c r="P150" i="87"/>
  <c r="O150" i="87"/>
  <c r="M150" i="87"/>
  <c r="J150" i="87"/>
  <c r="P149" i="87"/>
  <c r="O149" i="87"/>
  <c r="M149" i="87"/>
  <c r="J149" i="87"/>
  <c r="P148" i="87"/>
  <c r="O148" i="87"/>
  <c r="M148" i="87"/>
  <c r="J148" i="87"/>
  <c r="P147" i="87"/>
  <c r="O147" i="87"/>
  <c r="M147" i="87"/>
  <c r="J147" i="87"/>
  <c r="P146" i="87"/>
  <c r="O146" i="87"/>
  <c r="M146" i="87"/>
  <c r="J146" i="87"/>
  <c r="P145" i="87"/>
  <c r="O145" i="87"/>
  <c r="M145" i="87"/>
  <c r="J145" i="87"/>
  <c r="P144" i="87"/>
  <c r="O144" i="87"/>
  <c r="M144" i="87"/>
  <c r="J144" i="87"/>
  <c r="P143" i="87"/>
  <c r="O143" i="87"/>
  <c r="M143" i="87"/>
  <c r="J143" i="87"/>
  <c r="P142" i="87"/>
  <c r="O142" i="87"/>
  <c r="M142" i="87"/>
  <c r="J142" i="87"/>
  <c r="P141" i="87"/>
  <c r="O141" i="87"/>
  <c r="M141" i="87"/>
  <c r="J141" i="87"/>
  <c r="P140" i="87"/>
  <c r="O140" i="87"/>
  <c r="M140" i="87"/>
  <c r="J140" i="87"/>
  <c r="P139" i="87"/>
  <c r="O139" i="87"/>
  <c r="M139" i="87"/>
  <c r="J139" i="87"/>
  <c r="P138" i="87"/>
  <c r="O138" i="87"/>
  <c r="M138" i="87"/>
  <c r="J138" i="87"/>
  <c r="P137" i="87"/>
  <c r="O137" i="87"/>
  <c r="M137" i="87"/>
  <c r="J137" i="87"/>
  <c r="P136" i="87"/>
  <c r="O136" i="87"/>
  <c r="M136" i="87"/>
  <c r="J136" i="87"/>
  <c r="P135" i="87"/>
  <c r="O135" i="87"/>
  <c r="M135" i="87"/>
  <c r="J135" i="87"/>
  <c r="P134" i="87"/>
  <c r="O134" i="87"/>
  <c r="M134" i="87"/>
  <c r="J134" i="87"/>
  <c r="P133" i="87"/>
  <c r="O133" i="87"/>
  <c r="M133" i="87"/>
  <c r="J133" i="87"/>
  <c r="P132" i="87"/>
  <c r="O132" i="87"/>
  <c r="M132" i="87"/>
  <c r="J132" i="87"/>
  <c r="P131" i="87"/>
  <c r="O131" i="87"/>
  <c r="M131" i="87"/>
  <c r="J131" i="87"/>
  <c r="O130" i="87"/>
  <c r="M130" i="87"/>
  <c r="O129" i="87"/>
  <c r="M129" i="87"/>
  <c r="O128" i="87"/>
  <c r="M128" i="87"/>
  <c r="O127" i="87"/>
  <c r="M127" i="87"/>
  <c r="O126" i="87"/>
  <c r="M126" i="87"/>
  <c r="O125" i="87"/>
  <c r="M125" i="87"/>
  <c r="O124" i="87"/>
  <c r="M124" i="87"/>
  <c r="O123" i="87"/>
  <c r="M123" i="87"/>
  <c r="O122" i="87"/>
  <c r="M122" i="87"/>
  <c r="O121" i="87"/>
  <c r="M121" i="87"/>
  <c r="O120" i="87"/>
  <c r="M120" i="87"/>
  <c r="O119" i="87"/>
  <c r="M119" i="87"/>
  <c r="O118" i="87"/>
  <c r="M118" i="87"/>
  <c r="O117" i="87"/>
  <c r="M117" i="87"/>
  <c r="O116" i="87"/>
  <c r="M116" i="87"/>
  <c r="O115" i="87"/>
  <c r="M115" i="87"/>
  <c r="O114" i="87"/>
  <c r="M114" i="87"/>
  <c r="O113" i="87"/>
  <c r="M113" i="87"/>
  <c r="O112" i="87"/>
  <c r="M112" i="87"/>
  <c r="O111" i="87"/>
  <c r="M111" i="87"/>
  <c r="O110" i="87"/>
  <c r="M110" i="87"/>
  <c r="O109" i="87"/>
  <c r="M109" i="87"/>
  <c r="O108" i="87"/>
  <c r="M108" i="87"/>
  <c r="O107" i="87"/>
  <c r="M107" i="87"/>
  <c r="O106" i="87"/>
  <c r="M106" i="87"/>
  <c r="O105" i="87"/>
  <c r="M105" i="87"/>
  <c r="O104" i="87"/>
  <c r="M104" i="87"/>
  <c r="O103" i="87"/>
  <c r="M103" i="87"/>
  <c r="O102" i="87"/>
  <c r="M102" i="87"/>
  <c r="O101" i="87"/>
  <c r="O100" i="87"/>
  <c r="O99" i="87"/>
  <c r="P99" i="87"/>
  <c r="M99" i="87"/>
  <c r="D96" i="87"/>
  <c r="L93" i="87"/>
  <c r="J93" i="87"/>
  <c r="D91" i="87"/>
  <c r="D89" i="87"/>
  <c r="N72" i="87"/>
  <c r="L72" i="87"/>
  <c r="O72" i="87" s="1"/>
  <c r="N71" i="87"/>
  <c r="L71" i="87"/>
  <c r="N70" i="87"/>
  <c r="L70" i="87"/>
  <c r="N69" i="87"/>
  <c r="L69" i="87"/>
  <c r="N68" i="87"/>
  <c r="L68" i="87"/>
  <c r="N67" i="87"/>
  <c r="L67" i="87"/>
  <c r="N66" i="87"/>
  <c r="L66" i="87"/>
  <c r="N65" i="87"/>
  <c r="L65" i="87"/>
  <c r="N64" i="87"/>
  <c r="L64" i="87"/>
  <c r="N63" i="87"/>
  <c r="L63" i="87"/>
  <c r="N62" i="87"/>
  <c r="L62" i="87"/>
  <c r="N61" i="87"/>
  <c r="L61" i="87"/>
  <c r="N60" i="87"/>
  <c r="L60" i="87"/>
  <c r="N59" i="87"/>
  <c r="L59" i="87"/>
  <c r="N58" i="87"/>
  <c r="L58" i="87"/>
  <c r="N57" i="87"/>
  <c r="L57" i="87"/>
  <c r="N56" i="87"/>
  <c r="L56" i="87"/>
  <c r="N55" i="87"/>
  <c r="L55" i="87"/>
  <c r="N54" i="87"/>
  <c r="L54" i="87"/>
  <c r="N53" i="87"/>
  <c r="L53" i="87"/>
  <c r="N52" i="87"/>
  <c r="L52" i="87"/>
  <c r="N51" i="87"/>
  <c r="L51" i="87"/>
  <c r="N50" i="87"/>
  <c r="L50" i="87"/>
  <c r="N49" i="87"/>
  <c r="L49" i="87"/>
  <c r="N48" i="87"/>
  <c r="L48" i="87"/>
  <c r="N47" i="87"/>
  <c r="L47" i="87"/>
  <c r="N46" i="87"/>
  <c r="L46" i="87"/>
  <c r="N45" i="87"/>
  <c r="L45" i="87"/>
  <c r="N44" i="87"/>
  <c r="L44" i="87"/>
  <c r="N43" i="87"/>
  <c r="L43" i="87"/>
  <c r="N42" i="87"/>
  <c r="L42" i="87"/>
  <c r="N41" i="87"/>
  <c r="L41" i="87"/>
  <c r="N40" i="87"/>
  <c r="L40" i="87"/>
  <c r="N39" i="87"/>
  <c r="L39" i="87"/>
  <c r="N38" i="87"/>
  <c r="L38" i="87"/>
  <c r="N37" i="87"/>
  <c r="L37" i="87"/>
  <c r="N36" i="87"/>
  <c r="L36" i="87"/>
  <c r="N35" i="87"/>
  <c r="L35" i="87"/>
  <c r="N34" i="87"/>
  <c r="L34" i="87"/>
  <c r="N33" i="87"/>
  <c r="L33" i="87"/>
  <c r="N32" i="87"/>
  <c r="L32" i="87"/>
  <c r="N31" i="87"/>
  <c r="L31" i="87"/>
  <c r="N30" i="87"/>
  <c r="L30" i="87"/>
  <c r="N29" i="87"/>
  <c r="L29" i="87"/>
  <c r="N28" i="87"/>
  <c r="L28" i="87"/>
  <c r="N27" i="87"/>
  <c r="L27" i="87"/>
  <c r="N26" i="87"/>
  <c r="L26" i="87"/>
  <c r="N25" i="87"/>
  <c r="L25" i="87"/>
  <c r="N24" i="87"/>
  <c r="L24" i="87"/>
  <c r="N23" i="87"/>
  <c r="L23" i="87"/>
  <c r="O23" i="87" s="1"/>
  <c r="N22" i="87"/>
  <c r="L22" i="87"/>
  <c r="N21" i="87"/>
  <c r="L21" i="87"/>
  <c r="N20" i="87"/>
  <c r="N19" i="87"/>
  <c r="N18" i="87"/>
  <c r="N17" i="87"/>
  <c r="L17" i="87"/>
  <c r="C18" i="87"/>
  <c r="C19" i="87"/>
  <c r="C20" i="87" s="1"/>
  <c r="C21" i="87" s="1"/>
  <c r="C22" i="87" s="1"/>
  <c r="C23" i="87" s="1"/>
  <c r="C24" i="87" s="1"/>
  <c r="C25" i="87" s="1"/>
  <c r="C26" i="87" s="1"/>
  <c r="C27" i="87" s="1"/>
  <c r="C28" i="87" s="1"/>
  <c r="C29" i="87" s="1"/>
  <c r="C30" i="87" s="1"/>
  <c r="C31" i="87" s="1"/>
  <c r="C32" i="87" s="1"/>
  <c r="C33" i="87" s="1"/>
  <c r="C34" i="87" s="1"/>
  <c r="C35" i="87" s="1"/>
  <c r="C36" i="87" s="1"/>
  <c r="C37" i="87" s="1"/>
  <c r="C38" i="87" s="1"/>
  <c r="C39" i="87" s="1"/>
  <c r="C40" i="87" s="1"/>
  <c r="C41" i="87" s="1"/>
  <c r="C42" i="87" s="1"/>
  <c r="C43" i="87" s="1"/>
  <c r="C44" i="87" s="1"/>
  <c r="C45" i="87" s="1"/>
  <c r="C46" i="87" s="1"/>
  <c r="C47" i="87" s="1"/>
  <c r="C48" i="87" s="1"/>
  <c r="C49" i="87" s="1"/>
  <c r="C50" i="87" s="1"/>
  <c r="C51" i="87" s="1"/>
  <c r="C52" i="87" s="1"/>
  <c r="C53" i="87" s="1"/>
  <c r="C54" i="87" s="1"/>
  <c r="C55" i="87" s="1"/>
  <c r="C56" i="87" s="1"/>
  <c r="C57" i="87" s="1"/>
  <c r="C58" i="87" s="1"/>
  <c r="C59" i="87" s="1"/>
  <c r="C60" i="87" s="1"/>
  <c r="C61" i="87" s="1"/>
  <c r="C62" i="87" s="1"/>
  <c r="C63" i="87" s="1"/>
  <c r="C64" i="87" s="1"/>
  <c r="C65" i="87" s="1"/>
  <c r="C66" i="87" s="1"/>
  <c r="C67" i="87" s="1"/>
  <c r="C68" i="87" s="1"/>
  <c r="C69" i="87" s="1"/>
  <c r="C70" i="87" s="1"/>
  <c r="C71" i="87" s="1"/>
  <c r="C72" i="87" s="1"/>
  <c r="K11" i="87"/>
  <c r="I11" i="87"/>
  <c r="D8" i="87"/>
  <c r="D90" i="87" s="1"/>
  <c r="P154" i="86"/>
  <c r="O154" i="86"/>
  <c r="M154" i="86"/>
  <c r="J154" i="86"/>
  <c r="P153" i="86"/>
  <c r="O153" i="86"/>
  <c r="M153" i="86"/>
  <c r="J153" i="86"/>
  <c r="P152" i="86"/>
  <c r="O152" i="86"/>
  <c r="M152" i="86"/>
  <c r="J152" i="86"/>
  <c r="P151" i="86"/>
  <c r="O151" i="86"/>
  <c r="M151" i="86"/>
  <c r="J151" i="86"/>
  <c r="P150" i="86"/>
  <c r="O150" i="86"/>
  <c r="M150" i="86"/>
  <c r="J150" i="86"/>
  <c r="P149" i="86"/>
  <c r="O149" i="86"/>
  <c r="M149" i="86"/>
  <c r="J149" i="86"/>
  <c r="P148" i="86"/>
  <c r="O148" i="86"/>
  <c r="M148" i="86"/>
  <c r="J148" i="86"/>
  <c r="P147" i="86"/>
  <c r="O147" i="86"/>
  <c r="M147" i="86"/>
  <c r="J147" i="86"/>
  <c r="P146" i="86"/>
  <c r="O146" i="86"/>
  <c r="M146" i="86"/>
  <c r="J146" i="86"/>
  <c r="P145" i="86"/>
  <c r="O145" i="86"/>
  <c r="M145" i="86"/>
  <c r="J145" i="86"/>
  <c r="P144" i="86"/>
  <c r="O144" i="86"/>
  <c r="M144" i="86"/>
  <c r="J144" i="86"/>
  <c r="P143" i="86"/>
  <c r="O143" i="86"/>
  <c r="M143" i="86"/>
  <c r="J143" i="86"/>
  <c r="P142" i="86"/>
  <c r="O142" i="86"/>
  <c r="M142" i="86"/>
  <c r="J142" i="86"/>
  <c r="P141" i="86"/>
  <c r="O141" i="86"/>
  <c r="M141" i="86"/>
  <c r="J141" i="86"/>
  <c r="P140" i="86"/>
  <c r="O140" i="86"/>
  <c r="M140" i="86"/>
  <c r="J140" i="86"/>
  <c r="P139" i="86"/>
  <c r="O139" i="86"/>
  <c r="M139" i="86"/>
  <c r="J139" i="86"/>
  <c r="P138" i="86"/>
  <c r="O138" i="86"/>
  <c r="M138" i="86"/>
  <c r="J138" i="86"/>
  <c r="P137" i="86"/>
  <c r="O137" i="86"/>
  <c r="M137" i="86"/>
  <c r="J137" i="86"/>
  <c r="P136" i="86"/>
  <c r="O136" i="86"/>
  <c r="M136" i="86"/>
  <c r="J136" i="86"/>
  <c r="P135" i="86"/>
  <c r="O135" i="86"/>
  <c r="M135" i="86"/>
  <c r="J135" i="86"/>
  <c r="P134" i="86"/>
  <c r="O134" i="86"/>
  <c r="M134" i="86"/>
  <c r="J134" i="86"/>
  <c r="P133" i="86"/>
  <c r="O133" i="86"/>
  <c r="M133" i="86"/>
  <c r="J133" i="86"/>
  <c r="P132" i="86"/>
  <c r="O132" i="86"/>
  <c r="M132" i="86"/>
  <c r="J132" i="86"/>
  <c r="P131" i="86"/>
  <c r="O131" i="86"/>
  <c r="M131" i="86"/>
  <c r="J131" i="86"/>
  <c r="O130" i="86"/>
  <c r="M130" i="86"/>
  <c r="O129" i="86"/>
  <c r="M129" i="86"/>
  <c r="O128" i="86"/>
  <c r="M128" i="86"/>
  <c r="O127" i="86"/>
  <c r="M127" i="86"/>
  <c r="O126" i="86"/>
  <c r="M126" i="86"/>
  <c r="O125" i="86"/>
  <c r="M125" i="86"/>
  <c r="O124" i="86"/>
  <c r="M124" i="86"/>
  <c r="O123" i="86"/>
  <c r="M123" i="86"/>
  <c r="O122" i="86"/>
  <c r="M122" i="86"/>
  <c r="O121" i="86"/>
  <c r="M121" i="86"/>
  <c r="O120" i="86"/>
  <c r="M120" i="86"/>
  <c r="O119" i="86"/>
  <c r="M119" i="86"/>
  <c r="O118" i="86"/>
  <c r="M118" i="86"/>
  <c r="O117" i="86"/>
  <c r="M117" i="86"/>
  <c r="O116" i="86"/>
  <c r="M116" i="86"/>
  <c r="O115" i="86"/>
  <c r="M115" i="86"/>
  <c r="O114" i="86"/>
  <c r="M114" i="86"/>
  <c r="O113" i="86"/>
  <c r="M113" i="86"/>
  <c r="O112" i="86"/>
  <c r="M112" i="86"/>
  <c r="O111" i="86"/>
  <c r="M111" i="86"/>
  <c r="O110" i="86"/>
  <c r="M110" i="86"/>
  <c r="O109" i="86"/>
  <c r="M109" i="86"/>
  <c r="O108" i="86"/>
  <c r="M108" i="86"/>
  <c r="O107" i="86"/>
  <c r="M107" i="86"/>
  <c r="O106" i="86"/>
  <c r="M106" i="86"/>
  <c r="O105" i="86"/>
  <c r="M105" i="86"/>
  <c r="O104" i="86"/>
  <c r="M104" i="86"/>
  <c r="O103" i="86"/>
  <c r="M103" i="86"/>
  <c r="O102" i="86"/>
  <c r="O101" i="86"/>
  <c r="O100" i="86"/>
  <c r="M99" i="86"/>
  <c r="D96" i="86"/>
  <c r="L93" i="86"/>
  <c r="J93" i="86"/>
  <c r="D91" i="86"/>
  <c r="D89" i="86"/>
  <c r="N72" i="86"/>
  <c r="L72" i="86"/>
  <c r="N71" i="86"/>
  <c r="L71" i="86"/>
  <c r="N70" i="86"/>
  <c r="L70" i="86"/>
  <c r="N69" i="86"/>
  <c r="L69" i="86"/>
  <c r="N68" i="86"/>
  <c r="L68" i="86"/>
  <c r="N67" i="86"/>
  <c r="L67" i="86"/>
  <c r="N66" i="86"/>
  <c r="L66" i="86"/>
  <c r="N65" i="86"/>
  <c r="L65" i="86"/>
  <c r="N64" i="86"/>
  <c r="L64" i="86"/>
  <c r="N63" i="86"/>
  <c r="L63" i="86"/>
  <c r="N62" i="86"/>
  <c r="L62" i="86"/>
  <c r="N61" i="86"/>
  <c r="L61" i="86"/>
  <c r="N60" i="86"/>
  <c r="L60" i="86"/>
  <c r="N59" i="86"/>
  <c r="L59" i="86"/>
  <c r="N58" i="86"/>
  <c r="L58" i="86"/>
  <c r="N57" i="86"/>
  <c r="L57" i="86"/>
  <c r="N56" i="86"/>
  <c r="L56" i="86"/>
  <c r="N55" i="86"/>
  <c r="L55" i="86"/>
  <c r="N54" i="86"/>
  <c r="L54" i="86"/>
  <c r="N53" i="86"/>
  <c r="L53" i="86"/>
  <c r="N52" i="86"/>
  <c r="L52" i="86"/>
  <c r="N51" i="86"/>
  <c r="L51" i="86"/>
  <c r="N50" i="86"/>
  <c r="L50" i="86"/>
  <c r="N49" i="86"/>
  <c r="L49" i="86"/>
  <c r="N48" i="86"/>
  <c r="L48" i="86"/>
  <c r="N47" i="86"/>
  <c r="L47" i="86"/>
  <c r="N46" i="86"/>
  <c r="L46" i="86"/>
  <c r="N45" i="86"/>
  <c r="L45" i="86"/>
  <c r="N44" i="86"/>
  <c r="L44" i="86"/>
  <c r="N43" i="86"/>
  <c r="L43" i="86"/>
  <c r="N42" i="86"/>
  <c r="L42" i="86"/>
  <c r="N41" i="86"/>
  <c r="L41" i="86"/>
  <c r="N40" i="86"/>
  <c r="L40" i="86"/>
  <c r="N39" i="86"/>
  <c r="L39" i="86"/>
  <c r="N38" i="86"/>
  <c r="L38" i="86"/>
  <c r="N37" i="86"/>
  <c r="L37" i="86"/>
  <c r="N36" i="86"/>
  <c r="L36" i="86"/>
  <c r="N35" i="86"/>
  <c r="L35" i="86"/>
  <c r="N34" i="86"/>
  <c r="L34" i="86"/>
  <c r="N33" i="86"/>
  <c r="L33" i="86"/>
  <c r="N32" i="86"/>
  <c r="L32" i="86"/>
  <c r="N31" i="86"/>
  <c r="L31" i="86"/>
  <c r="N30" i="86"/>
  <c r="L30" i="86"/>
  <c r="N29" i="86"/>
  <c r="L29" i="86"/>
  <c r="N28" i="86"/>
  <c r="L28" i="86"/>
  <c r="N27" i="86"/>
  <c r="L27" i="86"/>
  <c r="N26" i="86"/>
  <c r="L26" i="86"/>
  <c r="N25" i="86"/>
  <c r="L25" i="86"/>
  <c r="N24" i="86"/>
  <c r="L24" i="86"/>
  <c r="N23" i="86"/>
  <c r="L23" i="86"/>
  <c r="N22" i="86"/>
  <c r="L22" i="86"/>
  <c r="N21" i="86"/>
  <c r="N20" i="86"/>
  <c r="O20" i="86" s="1"/>
  <c r="N19" i="86"/>
  <c r="N18" i="86"/>
  <c r="N17" i="86"/>
  <c r="K11" i="86"/>
  <c r="I11" i="86"/>
  <c r="D8" i="86"/>
  <c r="D90" i="86" s="1"/>
  <c r="P154" i="85"/>
  <c r="O154" i="85"/>
  <c r="M154" i="85"/>
  <c r="J154" i="85"/>
  <c r="P153" i="85"/>
  <c r="O153" i="85"/>
  <c r="M153" i="85"/>
  <c r="J153" i="85"/>
  <c r="P152" i="85"/>
  <c r="O152" i="85"/>
  <c r="M152" i="85"/>
  <c r="J152" i="85"/>
  <c r="P151" i="85"/>
  <c r="O151" i="85"/>
  <c r="M151" i="85"/>
  <c r="J151" i="85"/>
  <c r="P150" i="85"/>
  <c r="O150" i="85"/>
  <c r="M150" i="85"/>
  <c r="J150" i="85"/>
  <c r="P149" i="85"/>
  <c r="O149" i="85"/>
  <c r="M149" i="85"/>
  <c r="J149" i="85"/>
  <c r="P148" i="85"/>
  <c r="O148" i="85"/>
  <c r="M148" i="85"/>
  <c r="J148" i="85"/>
  <c r="P147" i="85"/>
  <c r="O147" i="85"/>
  <c r="M147" i="85"/>
  <c r="J147" i="85"/>
  <c r="P146" i="85"/>
  <c r="O146" i="85"/>
  <c r="M146" i="85"/>
  <c r="J146" i="85"/>
  <c r="P145" i="85"/>
  <c r="O145" i="85"/>
  <c r="M145" i="85"/>
  <c r="J145" i="85"/>
  <c r="P144" i="85"/>
  <c r="O144" i="85"/>
  <c r="M144" i="85"/>
  <c r="J144" i="85"/>
  <c r="P143" i="85"/>
  <c r="O143" i="85"/>
  <c r="M143" i="85"/>
  <c r="J143" i="85"/>
  <c r="P142" i="85"/>
  <c r="O142" i="85"/>
  <c r="M142" i="85"/>
  <c r="J142" i="85"/>
  <c r="P141" i="85"/>
  <c r="O141" i="85"/>
  <c r="M141" i="85"/>
  <c r="J141" i="85"/>
  <c r="P140" i="85"/>
  <c r="O140" i="85"/>
  <c r="M140" i="85"/>
  <c r="J140" i="85"/>
  <c r="P139" i="85"/>
  <c r="O139" i="85"/>
  <c r="M139" i="85"/>
  <c r="J139" i="85"/>
  <c r="P138" i="85"/>
  <c r="O138" i="85"/>
  <c r="M138" i="85"/>
  <c r="J138" i="85"/>
  <c r="P137" i="85"/>
  <c r="O137" i="85"/>
  <c r="M137" i="85"/>
  <c r="J137" i="85"/>
  <c r="P136" i="85"/>
  <c r="O136" i="85"/>
  <c r="M136" i="85"/>
  <c r="J136" i="85"/>
  <c r="P135" i="85"/>
  <c r="O135" i="85"/>
  <c r="M135" i="85"/>
  <c r="J135" i="85"/>
  <c r="P134" i="85"/>
  <c r="O134" i="85"/>
  <c r="M134" i="85"/>
  <c r="J134" i="85"/>
  <c r="P133" i="85"/>
  <c r="O133" i="85"/>
  <c r="M133" i="85"/>
  <c r="J133" i="85"/>
  <c r="P132" i="85"/>
  <c r="O132" i="85"/>
  <c r="M132" i="85"/>
  <c r="J132" i="85"/>
  <c r="P131" i="85"/>
  <c r="O131" i="85"/>
  <c r="M131" i="85"/>
  <c r="J131" i="85"/>
  <c r="O130" i="85"/>
  <c r="M130" i="85"/>
  <c r="O129" i="85"/>
  <c r="M129" i="85"/>
  <c r="O128" i="85"/>
  <c r="M128" i="85"/>
  <c r="O127" i="85"/>
  <c r="M127" i="85"/>
  <c r="O126" i="85"/>
  <c r="M126" i="85"/>
  <c r="O125" i="85"/>
  <c r="M125" i="85"/>
  <c r="O124" i="85"/>
  <c r="M124" i="85"/>
  <c r="O123" i="85"/>
  <c r="M123" i="85"/>
  <c r="O122" i="85"/>
  <c r="M122" i="85"/>
  <c r="O121" i="85"/>
  <c r="M121" i="85"/>
  <c r="O120" i="85"/>
  <c r="M120" i="85"/>
  <c r="O119" i="85"/>
  <c r="M119" i="85"/>
  <c r="O118" i="85"/>
  <c r="M118" i="85"/>
  <c r="O117" i="85"/>
  <c r="M117" i="85"/>
  <c r="O116" i="85"/>
  <c r="M116" i="85"/>
  <c r="O115" i="85"/>
  <c r="M115" i="85"/>
  <c r="O114" i="85"/>
  <c r="M114" i="85"/>
  <c r="O113" i="85"/>
  <c r="M113" i="85"/>
  <c r="O112" i="85"/>
  <c r="M112" i="85"/>
  <c r="O111" i="85"/>
  <c r="M111" i="85"/>
  <c r="O110" i="85"/>
  <c r="M110" i="85"/>
  <c r="O109" i="85"/>
  <c r="M109" i="85"/>
  <c r="O108" i="85"/>
  <c r="M108" i="85"/>
  <c r="O107" i="85"/>
  <c r="M107" i="85"/>
  <c r="O106" i="85"/>
  <c r="M106" i="85"/>
  <c r="O105" i="85"/>
  <c r="M105" i="85"/>
  <c r="O104" i="85"/>
  <c r="M104" i="85"/>
  <c r="O103" i="85"/>
  <c r="M103" i="85"/>
  <c r="O102" i="85"/>
  <c r="O101" i="85"/>
  <c r="O100" i="85"/>
  <c r="M100" i="85"/>
  <c r="O99" i="85"/>
  <c r="M99" i="85"/>
  <c r="D96" i="85"/>
  <c r="L93" i="85"/>
  <c r="J93" i="85"/>
  <c r="D91" i="85"/>
  <c r="D89" i="85"/>
  <c r="N72" i="85"/>
  <c r="L72" i="85"/>
  <c r="N71" i="85"/>
  <c r="L71" i="85"/>
  <c r="N70" i="85"/>
  <c r="L70" i="85"/>
  <c r="N69" i="85"/>
  <c r="L69" i="85"/>
  <c r="N68" i="85"/>
  <c r="L68" i="85"/>
  <c r="N67" i="85"/>
  <c r="L67" i="85"/>
  <c r="N66" i="85"/>
  <c r="L66" i="85"/>
  <c r="N65" i="85"/>
  <c r="L65" i="85"/>
  <c r="N64" i="85"/>
  <c r="L64" i="85"/>
  <c r="N63" i="85"/>
  <c r="L63" i="85"/>
  <c r="N62" i="85"/>
  <c r="L62" i="85"/>
  <c r="N61" i="85"/>
  <c r="L61" i="85"/>
  <c r="N60" i="85"/>
  <c r="L60" i="85"/>
  <c r="N59" i="85"/>
  <c r="L59" i="85"/>
  <c r="N58" i="85"/>
  <c r="L58" i="85"/>
  <c r="N57" i="85"/>
  <c r="L57" i="85"/>
  <c r="N56" i="85"/>
  <c r="L56" i="85"/>
  <c r="N55" i="85"/>
  <c r="L55" i="85"/>
  <c r="N54" i="85"/>
  <c r="L54" i="85"/>
  <c r="N53" i="85"/>
  <c r="L53" i="85"/>
  <c r="N52" i="85"/>
  <c r="L52" i="85"/>
  <c r="N51" i="85"/>
  <c r="L51" i="85"/>
  <c r="N50" i="85"/>
  <c r="L50" i="85"/>
  <c r="N49" i="85"/>
  <c r="L49" i="85"/>
  <c r="N48" i="85"/>
  <c r="L48" i="85"/>
  <c r="N47" i="85"/>
  <c r="L47" i="85"/>
  <c r="N46" i="85"/>
  <c r="L46" i="85"/>
  <c r="N45" i="85"/>
  <c r="L45" i="85"/>
  <c r="N44" i="85"/>
  <c r="L44" i="85"/>
  <c r="N43" i="85"/>
  <c r="L43" i="85"/>
  <c r="N42" i="85"/>
  <c r="L42" i="85"/>
  <c r="N41" i="85"/>
  <c r="L41" i="85"/>
  <c r="N40" i="85"/>
  <c r="L40" i="85"/>
  <c r="N39" i="85"/>
  <c r="L39" i="85"/>
  <c r="N38" i="85"/>
  <c r="L38" i="85"/>
  <c r="N37" i="85"/>
  <c r="L37" i="85"/>
  <c r="N36" i="85"/>
  <c r="L36" i="85"/>
  <c r="N35" i="85"/>
  <c r="L35" i="85"/>
  <c r="N34" i="85"/>
  <c r="L34" i="85"/>
  <c r="N33" i="85"/>
  <c r="L33" i="85"/>
  <c r="N32" i="85"/>
  <c r="L32" i="85"/>
  <c r="N31" i="85"/>
  <c r="L31" i="85"/>
  <c r="N30" i="85"/>
  <c r="L30" i="85"/>
  <c r="N29" i="85"/>
  <c r="L29" i="85"/>
  <c r="N28" i="85"/>
  <c r="L28" i="85"/>
  <c r="N27" i="85"/>
  <c r="L27" i="85"/>
  <c r="N26" i="85"/>
  <c r="L26" i="85"/>
  <c r="N25" i="85"/>
  <c r="L25" i="85"/>
  <c r="N24" i="85"/>
  <c r="L24" i="85"/>
  <c r="N23" i="85"/>
  <c r="L23" i="85"/>
  <c r="N22" i="85"/>
  <c r="L22" i="85"/>
  <c r="N21" i="85"/>
  <c r="N20" i="85"/>
  <c r="O20" i="85" s="1"/>
  <c r="N18" i="85"/>
  <c r="L18" i="85"/>
  <c r="N17" i="85"/>
  <c r="L17" i="85"/>
  <c r="C18" i="85"/>
  <c r="C19" i="85" s="1"/>
  <c r="C20" i="85" s="1"/>
  <c r="C21" i="85" s="1"/>
  <c r="C22" i="85" s="1"/>
  <c r="C23" i="85" s="1"/>
  <c r="C24" i="85" s="1"/>
  <c r="C25" i="85" s="1"/>
  <c r="C26" i="85" s="1"/>
  <c r="C27" i="85" s="1"/>
  <c r="C28" i="85" s="1"/>
  <c r="C29" i="85" s="1"/>
  <c r="C30" i="85" s="1"/>
  <c r="C31" i="85" s="1"/>
  <c r="C32" i="85" s="1"/>
  <c r="C33" i="85" s="1"/>
  <c r="C34" i="85" s="1"/>
  <c r="C35" i="85" s="1"/>
  <c r="C36" i="85" s="1"/>
  <c r="C37" i="85" s="1"/>
  <c r="C38" i="85" s="1"/>
  <c r="C39" i="85" s="1"/>
  <c r="C40" i="85" s="1"/>
  <c r="C41" i="85" s="1"/>
  <c r="C42" i="85" s="1"/>
  <c r="C43" i="85" s="1"/>
  <c r="C44" i="85" s="1"/>
  <c r="K11" i="85"/>
  <c r="I11" i="85"/>
  <c r="D8" i="85"/>
  <c r="D90" i="85" s="1"/>
  <c r="C99" i="86"/>
  <c r="M17" i="84"/>
  <c r="K17" i="84"/>
  <c r="M17" i="83"/>
  <c r="K17" i="83"/>
  <c r="M17" i="82"/>
  <c r="K17" i="82"/>
  <c r="M17" i="81"/>
  <c r="K17" i="81"/>
  <c r="M17" i="80"/>
  <c r="K17" i="80"/>
  <c r="N99" i="79"/>
  <c r="L99" i="79"/>
  <c r="M18" i="79"/>
  <c r="N18" i="79"/>
  <c r="O18" i="79" s="1"/>
  <c r="L18" i="79"/>
  <c r="K18" i="79"/>
  <c r="N99" i="78"/>
  <c r="L99" i="78"/>
  <c r="M18" i="78"/>
  <c r="N18" i="78" s="1"/>
  <c r="K18" i="78"/>
  <c r="L18" i="78"/>
  <c r="N99" i="77"/>
  <c r="L99" i="77"/>
  <c r="M18" i="77"/>
  <c r="N18" i="77"/>
  <c r="L18" i="77"/>
  <c r="K18" i="77"/>
  <c r="N99" i="76"/>
  <c r="L99" i="76"/>
  <c r="N18" i="76"/>
  <c r="M18" i="76"/>
  <c r="K18" i="76"/>
  <c r="L18" i="76"/>
  <c r="N99" i="75"/>
  <c r="L99" i="75"/>
  <c r="M18" i="75"/>
  <c r="N18" i="75"/>
  <c r="O18" i="75" s="1"/>
  <c r="L18" i="75"/>
  <c r="K18" i="75"/>
  <c r="N103" i="74"/>
  <c r="L103" i="74"/>
  <c r="N104" i="73"/>
  <c r="L104" i="73"/>
  <c r="M23" i="73"/>
  <c r="N23" i="73" s="1"/>
  <c r="K23" i="73"/>
  <c r="L23" i="73" s="1"/>
  <c r="N102" i="72"/>
  <c r="L102" i="72"/>
  <c r="M21" i="72"/>
  <c r="N21" i="72" s="1"/>
  <c r="K21" i="72"/>
  <c r="L21" i="72" s="1"/>
  <c r="N106" i="71"/>
  <c r="L106" i="71"/>
  <c r="M25" i="71"/>
  <c r="N25" i="71"/>
  <c r="O25" i="71" s="1"/>
  <c r="K25" i="71"/>
  <c r="L25" i="71"/>
  <c r="N107" i="69"/>
  <c r="O107" i="69" s="1"/>
  <c r="L107" i="69"/>
  <c r="N107" i="70"/>
  <c r="L107" i="70"/>
  <c r="M26" i="70"/>
  <c r="N26" i="70" s="1"/>
  <c r="O26" i="70" s="1"/>
  <c r="K26" i="70"/>
  <c r="L26" i="70" s="1"/>
  <c r="M26" i="69"/>
  <c r="N26" i="69" s="1"/>
  <c r="K26" i="69"/>
  <c r="L26" i="69" s="1"/>
  <c r="M19" i="68"/>
  <c r="N19" i="68" s="1"/>
  <c r="O19" i="68"/>
  <c r="L19" i="68"/>
  <c r="K19" i="68"/>
  <c r="N100" i="68"/>
  <c r="O100" i="68"/>
  <c r="P100" i="68" s="1"/>
  <c r="L100" i="68"/>
  <c r="M100" i="68" s="1"/>
  <c r="N100" i="67"/>
  <c r="O100" i="67"/>
  <c r="L100" i="67"/>
  <c r="M100" i="67" s="1"/>
  <c r="M19" i="67"/>
  <c r="N19" i="67" s="1"/>
  <c r="K19" i="67"/>
  <c r="L19" i="67" s="1"/>
  <c r="N100" i="66"/>
  <c r="O100" i="66" s="1"/>
  <c r="P100" i="66" s="1"/>
  <c r="L100" i="66"/>
  <c r="M100" i="66" s="1"/>
  <c r="M19" i="66"/>
  <c r="N19" i="66" s="1"/>
  <c r="O19" i="66" s="1"/>
  <c r="K19" i="66"/>
  <c r="L19" i="66"/>
  <c r="N100" i="65"/>
  <c r="O100" i="65" s="1"/>
  <c r="P100" i="65"/>
  <c r="M100" i="65"/>
  <c r="L100" i="65"/>
  <c r="M19" i="65"/>
  <c r="N19" i="65"/>
  <c r="O19" i="65" s="1"/>
  <c r="K19" i="65"/>
  <c r="L19" i="65"/>
  <c r="N101" i="64"/>
  <c r="O101" i="64" s="1"/>
  <c r="L101" i="64"/>
  <c r="M101" i="64" s="1"/>
  <c r="M20" i="64"/>
  <c r="N20" i="64"/>
  <c r="O20" i="64" s="1"/>
  <c r="K20" i="64"/>
  <c r="L20" i="64"/>
  <c r="N101" i="60"/>
  <c r="O101" i="60" s="1"/>
  <c r="M101" i="60"/>
  <c r="L101" i="60"/>
  <c r="M20" i="60"/>
  <c r="N20" i="60" s="1"/>
  <c r="K20" i="60"/>
  <c r="L20" i="60"/>
  <c r="N101" i="62"/>
  <c r="O101" i="62"/>
  <c r="P101" i="62" s="1"/>
  <c r="L101" i="62"/>
  <c r="M101" i="62" s="1"/>
  <c r="M20" i="62"/>
  <c r="N20" i="62" s="1"/>
  <c r="O20" i="62" s="1"/>
  <c r="K20" i="62"/>
  <c r="L20" i="62"/>
  <c r="N101" i="63"/>
  <c r="O101" i="63"/>
  <c r="L101" i="63"/>
  <c r="M101" i="63" s="1"/>
  <c r="M20" i="63"/>
  <c r="N20" i="63" s="1"/>
  <c r="K20" i="63"/>
  <c r="L20" i="63" s="1"/>
  <c r="N101" i="59"/>
  <c r="O101" i="59" s="1"/>
  <c r="P101" i="59" s="1"/>
  <c r="L101" i="59"/>
  <c r="M101" i="59"/>
  <c r="M20" i="59"/>
  <c r="N20" i="59"/>
  <c r="K20" i="59"/>
  <c r="L20" i="59" s="1"/>
  <c r="M21" i="58"/>
  <c r="N21" i="58"/>
  <c r="O21" i="58" s="1"/>
  <c r="K21" i="58"/>
  <c r="L21" i="58" s="1"/>
  <c r="N102" i="57"/>
  <c r="O102" i="57" s="1"/>
  <c r="L102" i="57"/>
  <c r="M102" i="57" s="1"/>
  <c r="M21" i="57"/>
  <c r="N21" i="57"/>
  <c r="K21" i="57"/>
  <c r="L21" i="57"/>
  <c r="N102" i="56"/>
  <c r="O102" i="56"/>
  <c r="P102" i="56" s="1"/>
  <c r="M102" i="56"/>
  <c r="L102" i="56"/>
  <c r="M21" i="56"/>
  <c r="N21" i="56" s="1"/>
  <c r="O21" i="56" s="1"/>
  <c r="K21" i="56"/>
  <c r="L21" i="56"/>
  <c r="N102" i="55"/>
  <c r="O102" i="55"/>
  <c r="M102" i="55"/>
  <c r="L102" i="55"/>
  <c r="M21" i="55"/>
  <c r="N21" i="55" s="1"/>
  <c r="O21" i="55" s="1"/>
  <c r="K21" i="55"/>
  <c r="L21" i="55"/>
  <c r="N102" i="54"/>
  <c r="O102" i="54"/>
  <c r="L102" i="54"/>
  <c r="M102" i="54" s="1"/>
  <c r="M21" i="54"/>
  <c r="N21" i="54"/>
  <c r="O21" i="54" s="1"/>
  <c r="K21" i="54"/>
  <c r="L21" i="54" s="1"/>
  <c r="N102" i="53"/>
  <c r="O102" i="53" s="1"/>
  <c r="P102" i="53" s="1"/>
  <c r="L102" i="53"/>
  <c r="M102" i="53" s="1"/>
  <c r="M21" i="53"/>
  <c r="N21" i="53"/>
  <c r="K21" i="53"/>
  <c r="L21" i="53"/>
  <c r="N102" i="46"/>
  <c r="O102" i="46"/>
  <c r="L102" i="46"/>
  <c r="M102" i="46"/>
  <c r="M21" i="46"/>
  <c r="N21" i="46"/>
  <c r="K21" i="46"/>
  <c r="L21" i="46" s="1"/>
  <c r="N103" i="45"/>
  <c r="O103" i="45"/>
  <c r="P103" i="45" s="1"/>
  <c r="L103" i="45"/>
  <c r="M103" i="45" s="1"/>
  <c r="M22" i="45"/>
  <c r="N22" i="45" s="1"/>
  <c r="K22" i="45"/>
  <c r="L22" i="45" s="1"/>
  <c r="N104" i="44"/>
  <c r="O104" i="44"/>
  <c r="P104" i="44" s="1"/>
  <c r="L104" i="44"/>
  <c r="M104" i="44" s="1"/>
  <c r="M23" i="44"/>
  <c r="N23" i="44" s="1"/>
  <c r="K23" i="44"/>
  <c r="L23" i="44" s="1"/>
  <c r="N104" i="43"/>
  <c r="O104" i="43" s="1"/>
  <c r="L104" i="43"/>
  <c r="M104" i="43"/>
  <c r="M23" i="43"/>
  <c r="N23" i="43"/>
  <c r="O23" i="43" s="1"/>
  <c r="L23" i="43"/>
  <c r="K23" i="43"/>
  <c r="N104" i="42"/>
  <c r="O104" i="42" s="1"/>
  <c r="L104" i="42"/>
  <c r="M104" i="42" s="1"/>
  <c r="M23" i="42"/>
  <c r="N23" i="42" s="1"/>
  <c r="O23" i="42"/>
  <c r="K23" i="42"/>
  <c r="L23" i="42" s="1"/>
  <c r="N104" i="41"/>
  <c r="O104" i="41"/>
  <c r="L104" i="41"/>
  <c r="M104" i="41" s="1"/>
  <c r="M23" i="41"/>
  <c r="N23" i="41" s="1"/>
  <c r="K23" i="41"/>
  <c r="L23" i="41" s="1"/>
  <c r="N104" i="39"/>
  <c r="O104" i="39"/>
  <c r="L104" i="39"/>
  <c r="M104" i="39"/>
  <c r="M23" i="39"/>
  <c r="N23" i="39"/>
  <c r="O23" i="39" s="1"/>
  <c r="K23" i="39"/>
  <c r="L23" i="39" s="1"/>
  <c r="N106" i="34"/>
  <c r="O106" i="34" s="1"/>
  <c r="L106" i="34"/>
  <c r="M106" i="34" s="1"/>
  <c r="M25" i="34"/>
  <c r="N25" i="34" s="1"/>
  <c r="O25" i="34" s="1"/>
  <c r="K25" i="34"/>
  <c r="L25" i="34" s="1"/>
  <c r="N106" i="32"/>
  <c r="O106" i="32"/>
  <c r="P106" i="32" s="1"/>
  <c r="L106" i="32"/>
  <c r="M106" i="32" s="1"/>
  <c r="M25" i="32"/>
  <c r="N25" i="32" s="1"/>
  <c r="O25" i="32" s="1"/>
  <c r="K25" i="32"/>
  <c r="L25" i="32" s="1"/>
  <c r="N106" i="31"/>
  <c r="O106" i="31"/>
  <c r="L106" i="31"/>
  <c r="M106" i="31"/>
  <c r="M25" i="31"/>
  <c r="N25" i="31"/>
  <c r="L25" i="31"/>
  <c r="K25" i="31"/>
  <c r="N107" i="30"/>
  <c r="O107" i="30" s="1"/>
  <c r="P107" i="30" s="1"/>
  <c r="L107" i="30"/>
  <c r="M107" i="30"/>
  <c r="M26" i="30"/>
  <c r="N26" i="30"/>
  <c r="O26" i="30" s="1"/>
  <c r="L26" i="30"/>
  <c r="K26" i="30"/>
  <c r="N107" i="29"/>
  <c r="O107" i="29" s="1"/>
  <c r="L107" i="29"/>
  <c r="M107" i="29" s="1"/>
  <c r="M26" i="29"/>
  <c r="N26" i="29" s="1"/>
  <c r="O26" i="29" s="1"/>
  <c r="K26" i="29"/>
  <c r="L26" i="29" s="1"/>
  <c r="N108" i="28"/>
  <c r="O108" i="28"/>
  <c r="L108" i="28"/>
  <c r="M108" i="28" s="1"/>
  <c r="M27" i="28"/>
  <c r="N27" i="28" s="1"/>
  <c r="K27" i="28"/>
  <c r="L27" i="28" s="1"/>
  <c r="N107" i="27"/>
  <c r="O107" i="27" s="1"/>
  <c r="P107" i="27"/>
  <c r="L107" i="27"/>
  <c r="M107" i="27" s="1"/>
  <c r="M26" i="27"/>
  <c r="N26" i="27"/>
  <c r="K26" i="27"/>
  <c r="L26" i="27"/>
  <c r="N106" i="24"/>
  <c r="O106" i="24"/>
  <c r="P106" i="24" s="1"/>
  <c r="M106" i="24"/>
  <c r="L106" i="24"/>
  <c r="M25" i="24"/>
  <c r="N25" i="24" s="1"/>
  <c r="O25" i="24" s="1"/>
  <c r="K25" i="24"/>
  <c r="L25" i="24"/>
  <c r="N106" i="23"/>
  <c r="O106" i="23"/>
  <c r="P106" i="23" s="1"/>
  <c r="M106" i="23"/>
  <c r="L106" i="23"/>
  <c r="M25" i="23"/>
  <c r="N25" i="23" s="1"/>
  <c r="K25" i="23"/>
  <c r="L25" i="23" s="1"/>
  <c r="M24" i="22"/>
  <c r="N24" i="22"/>
  <c r="O24" i="22" s="1"/>
  <c r="K24" i="22"/>
  <c r="L24" i="22" s="1"/>
  <c r="N105" i="22"/>
  <c r="O105" i="22" s="1"/>
  <c r="P105" i="22" s="1"/>
  <c r="L105" i="22"/>
  <c r="M105" i="22"/>
  <c r="N105" i="21"/>
  <c r="O105" i="21"/>
  <c r="P105" i="21" s="1"/>
  <c r="M105" i="21"/>
  <c r="L105" i="21"/>
  <c r="M24" i="21"/>
  <c r="N24" i="21" s="1"/>
  <c r="K24" i="21"/>
  <c r="L24" i="21" s="1"/>
  <c r="N105" i="20"/>
  <c r="O105" i="20" s="1"/>
  <c r="P105" i="20"/>
  <c r="L105" i="20"/>
  <c r="M105" i="20" s="1"/>
  <c r="M24" i="20"/>
  <c r="N24" i="20"/>
  <c r="K24" i="20"/>
  <c r="L24" i="20" s="1"/>
  <c r="N105" i="19"/>
  <c r="O105" i="19" s="1"/>
  <c r="L105" i="19"/>
  <c r="M105" i="19" s="1"/>
  <c r="M24" i="19"/>
  <c r="N24" i="19"/>
  <c r="K24" i="19"/>
  <c r="L24" i="19"/>
  <c r="N105" i="18"/>
  <c r="O105" i="18"/>
  <c r="P105" i="18" s="1"/>
  <c r="M105" i="18"/>
  <c r="L105" i="18"/>
  <c r="N24" i="18"/>
  <c r="M24" i="18"/>
  <c r="K24" i="18"/>
  <c r="L24" i="18" s="1"/>
  <c r="N105" i="17"/>
  <c r="O105" i="17" s="1"/>
  <c r="P105" i="17" s="1"/>
  <c r="L105" i="17"/>
  <c r="M105" i="17"/>
  <c r="M24" i="17"/>
  <c r="N24" i="17"/>
  <c r="O24" i="17" s="1"/>
  <c r="L24" i="17"/>
  <c r="K24" i="17"/>
  <c r="N105" i="3"/>
  <c r="O105" i="3" s="1"/>
  <c r="L105" i="3"/>
  <c r="M105" i="3" s="1"/>
  <c r="M24" i="3"/>
  <c r="N24" i="3" s="1"/>
  <c r="O24" i="3" s="1"/>
  <c r="K24" i="3"/>
  <c r="L24" i="3" s="1"/>
  <c r="D90" i="70"/>
  <c r="D90" i="71"/>
  <c r="D90" i="72" s="1"/>
  <c r="D90" i="73"/>
  <c r="D88" i="74" s="1"/>
  <c r="P1" i="83"/>
  <c r="P83" i="83" s="1"/>
  <c r="P1" i="82"/>
  <c r="P83" i="82" s="1"/>
  <c r="P1" i="81"/>
  <c r="P83" i="81" s="1"/>
  <c r="P1" i="80"/>
  <c r="P83" i="80" s="1"/>
  <c r="D10" i="18"/>
  <c r="B18" i="79"/>
  <c r="W75" i="36"/>
  <c r="P75" i="36"/>
  <c r="W74" i="36"/>
  <c r="P74" i="36"/>
  <c r="W73" i="36"/>
  <c r="P73" i="36"/>
  <c r="W72" i="36"/>
  <c r="P72" i="36"/>
  <c r="P154" i="84"/>
  <c r="O154" i="84"/>
  <c r="M154" i="84"/>
  <c r="J154" i="84"/>
  <c r="P153" i="84"/>
  <c r="O153" i="84"/>
  <c r="M153" i="84"/>
  <c r="J153" i="84"/>
  <c r="P152" i="84"/>
  <c r="O152" i="84"/>
  <c r="M152" i="84"/>
  <c r="J152" i="84"/>
  <c r="P151" i="84"/>
  <c r="O151" i="84"/>
  <c r="M151" i="84"/>
  <c r="J151" i="84"/>
  <c r="P150" i="84"/>
  <c r="O150" i="84"/>
  <c r="M150" i="84"/>
  <c r="J150" i="84"/>
  <c r="P149" i="84"/>
  <c r="O149" i="84"/>
  <c r="M149" i="84"/>
  <c r="J149" i="84"/>
  <c r="P148" i="84"/>
  <c r="O148" i="84"/>
  <c r="M148" i="84"/>
  <c r="J148" i="84"/>
  <c r="P147" i="84"/>
  <c r="O147" i="84"/>
  <c r="M147" i="84"/>
  <c r="J147" i="84"/>
  <c r="P146" i="84"/>
  <c r="O146" i="84"/>
  <c r="M146" i="84"/>
  <c r="J146" i="84"/>
  <c r="P145" i="84"/>
  <c r="O145" i="84"/>
  <c r="M145" i="84"/>
  <c r="J145" i="84"/>
  <c r="P144" i="84"/>
  <c r="O144" i="84"/>
  <c r="M144" i="84"/>
  <c r="J144" i="84"/>
  <c r="P143" i="84"/>
  <c r="O143" i="84"/>
  <c r="M143" i="84"/>
  <c r="J143" i="84"/>
  <c r="P142" i="84"/>
  <c r="O142" i="84"/>
  <c r="M142" i="84"/>
  <c r="J142" i="84"/>
  <c r="P141" i="84"/>
  <c r="O141" i="84"/>
  <c r="M141" i="84"/>
  <c r="J141" i="84"/>
  <c r="P140" i="84"/>
  <c r="O140" i="84"/>
  <c r="M140" i="84"/>
  <c r="J140" i="84"/>
  <c r="P139" i="84"/>
  <c r="O139" i="84"/>
  <c r="M139" i="84"/>
  <c r="J139" i="84"/>
  <c r="P138" i="84"/>
  <c r="O138" i="84"/>
  <c r="M138" i="84"/>
  <c r="J138" i="84"/>
  <c r="P137" i="84"/>
  <c r="O137" i="84"/>
  <c r="M137" i="84"/>
  <c r="J137" i="84"/>
  <c r="P136" i="84"/>
  <c r="O136" i="84"/>
  <c r="M136" i="84"/>
  <c r="J136" i="84"/>
  <c r="P135" i="84"/>
  <c r="O135" i="84"/>
  <c r="M135" i="84"/>
  <c r="J135" i="84"/>
  <c r="P134" i="84"/>
  <c r="O134" i="84"/>
  <c r="M134" i="84"/>
  <c r="J134" i="84"/>
  <c r="P133" i="84"/>
  <c r="O133" i="84"/>
  <c r="M133" i="84"/>
  <c r="J133" i="84"/>
  <c r="P132" i="84"/>
  <c r="O132" i="84"/>
  <c r="M132" i="84"/>
  <c r="J132" i="84"/>
  <c r="P131" i="84"/>
  <c r="O131" i="84"/>
  <c r="M131" i="84"/>
  <c r="J131" i="84"/>
  <c r="O130" i="84"/>
  <c r="M130" i="84"/>
  <c r="O129" i="84"/>
  <c r="M129" i="84"/>
  <c r="O128" i="84"/>
  <c r="M128" i="84"/>
  <c r="O127" i="84"/>
  <c r="M127" i="84"/>
  <c r="O126" i="84"/>
  <c r="M126" i="84"/>
  <c r="O125" i="84"/>
  <c r="M125" i="84"/>
  <c r="O124" i="84"/>
  <c r="M124" i="84"/>
  <c r="O123" i="84"/>
  <c r="M123" i="84"/>
  <c r="O122" i="84"/>
  <c r="M122" i="84"/>
  <c r="O121" i="84"/>
  <c r="M121" i="84"/>
  <c r="O120" i="84"/>
  <c r="M120" i="84"/>
  <c r="O119" i="84"/>
  <c r="M119" i="84"/>
  <c r="O118" i="84"/>
  <c r="M118" i="84"/>
  <c r="O117" i="84"/>
  <c r="M117" i="84"/>
  <c r="O116" i="84"/>
  <c r="M116" i="84"/>
  <c r="O115" i="84"/>
  <c r="M115" i="84"/>
  <c r="O114" i="84"/>
  <c r="M114" i="84"/>
  <c r="O113" i="84"/>
  <c r="M113" i="84"/>
  <c r="O112" i="84"/>
  <c r="M112" i="84"/>
  <c r="O111" i="84"/>
  <c r="M111" i="84"/>
  <c r="O110" i="84"/>
  <c r="M110" i="84"/>
  <c r="O109" i="84"/>
  <c r="M109" i="84"/>
  <c r="O108" i="84"/>
  <c r="M108" i="84"/>
  <c r="O107" i="84"/>
  <c r="M107" i="84"/>
  <c r="O106" i="84"/>
  <c r="M106" i="84"/>
  <c r="O105" i="84"/>
  <c r="M105" i="84"/>
  <c r="O104" i="84"/>
  <c r="M104" i="84"/>
  <c r="O103" i="84"/>
  <c r="M103" i="84"/>
  <c r="O102" i="84"/>
  <c r="M102" i="84"/>
  <c r="O101" i="84"/>
  <c r="O99" i="84"/>
  <c r="M99" i="84"/>
  <c r="P99" i="84"/>
  <c r="D96" i="84"/>
  <c r="L93" i="84"/>
  <c r="J93" i="84"/>
  <c r="D91" i="84"/>
  <c r="D89" i="84"/>
  <c r="N72" i="84"/>
  <c r="L72" i="84"/>
  <c r="N71" i="84"/>
  <c r="L71" i="84"/>
  <c r="N70" i="84"/>
  <c r="L70" i="84"/>
  <c r="N69" i="84"/>
  <c r="L69" i="84"/>
  <c r="N68" i="84"/>
  <c r="L68" i="84"/>
  <c r="N67" i="84"/>
  <c r="L67" i="84"/>
  <c r="N66" i="84"/>
  <c r="L66" i="84"/>
  <c r="N65" i="84"/>
  <c r="L65" i="84"/>
  <c r="N64" i="84"/>
  <c r="L64" i="84"/>
  <c r="N63" i="84"/>
  <c r="L63" i="84"/>
  <c r="N62" i="84"/>
  <c r="L62" i="84"/>
  <c r="N61" i="84"/>
  <c r="L61" i="84"/>
  <c r="N60" i="84"/>
  <c r="L60" i="84"/>
  <c r="N59" i="84"/>
  <c r="L59" i="84"/>
  <c r="N58" i="84"/>
  <c r="L58" i="84"/>
  <c r="N57" i="84"/>
  <c r="L57" i="84"/>
  <c r="N56" i="84"/>
  <c r="L56" i="84"/>
  <c r="N55" i="84"/>
  <c r="L55" i="84"/>
  <c r="N54" i="84"/>
  <c r="L54" i="84"/>
  <c r="N53" i="84"/>
  <c r="L53" i="84"/>
  <c r="N52" i="84"/>
  <c r="L52" i="84"/>
  <c r="N51" i="84"/>
  <c r="L51" i="84"/>
  <c r="N50" i="84"/>
  <c r="L50" i="84"/>
  <c r="N49" i="84"/>
  <c r="L49" i="84"/>
  <c r="N48" i="84"/>
  <c r="L48" i="84"/>
  <c r="N47" i="84"/>
  <c r="L47" i="84"/>
  <c r="N46" i="84"/>
  <c r="L46" i="84"/>
  <c r="N45" i="84"/>
  <c r="L45" i="84"/>
  <c r="N44" i="84"/>
  <c r="L44" i="84"/>
  <c r="N43" i="84"/>
  <c r="L43" i="84"/>
  <c r="N42" i="84"/>
  <c r="L42" i="84"/>
  <c r="N41" i="84"/>
  <c r="L41" i="84"/>
  <c r="N40" i="84"/>
  <c r="L40" i="84"/>
  <c r="N39" i="84"/>
  <c r="L39" i="84"/>
  <c r="N38" i="84"/>
  <c r="L38" i="84"/>
  <c r="N37" i="84"/>
  <c r="L37" i="84"/>
  <c r="N36" i="84"/>
  <c r="L36" i="84"/>
  <c r="N35" i="84"/>
  <c r="L35" i="84"/>
  <c r="N34" i="84"/>
  <c r="L34" i="84"/>
  <c r="N33" i="84"/>
  <c r="L33" i="84"/>
  <c r="N32" i="84"/>
  <c r="L32" i="84"/>
  <c r="N31" i="84"/>
  <c r="L31" i="84"/>
  <c r="N30" i="84"/>
  <c r="L30" i="84"/>
  <c r="N29" i="84"/>
  <c r="L29" i="84"/>
  <c r="N28" i="84"/>
  <c r="L28" i="84"/>
  <c r="N27" i="84"/>
  <c r="L27" i="84"/>
  <c r="N26" i="84"/>
  <c r="L26" i="84"/>
  <c r="N25" i="84"/>
  <c r="L25" i="84"/>
  <c r="N24" i="84"/>
  <c r="L24" i="84"/>
  <c r="N23" i="84"/>
  <c r="L23" i="84"/>
  <c r="N22" i="84"/>
  <c r="L22" i="84"/>
  <c r="N21" i="84"/>
  <c r="N20" i="84"/>
  <c r="O20" i="84"/>
  <c r="N17" i="84"/>
  <c r="O17" i="84" s="1"/>
  <c r="L17" i="84"/>
  <c r="C18" i="84"/>
  <c r="C19" i="84"/>
  <c r="C20" i="84" s="1"/>
  <c r="C21" i="84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C65" i="84" s="1"/>
  <c r="C66" i="84" s="1"/>
  <c r="C67" i="84" s="1"/>
  <c r="C68" i="84" s="1"/>
  <c r="C69" i="84" s="1"/>
  <c r="C70" i="84" s="1"/>
  <c r="C71" i="84" s="1"/>
  <c r="C72" i="84" s="1"/>
  <c r="K11" i="84"/>
  <c r="I11" i="84"/>
  <c r="D8" i="84"/>
  <c r="D90" i="84" s="1"/>
  <c r="P154" i="83"/>
  <c r="O154" i="83"/>
  <c r="M154" i="83"/>
  <c r="J154" i="83"/>
  <c r="P153" i="83"/>
  <c r="O153" i="83"/>
  <c r="M153" i="83"/>
  <c r="J153" i="83"/>
  <c r="P152" i="83"/>
  <c r="O152" i="83"/>
  <c r="M152" i="83"/>
  <c r="J152" i="83"/>
  <c r="P151" i="83"/>
  <c r="O151" i="83"/>
  <c r="M151" i="83"/>
  <c r="J151" i="83"/>
  <c r="P150" i="83"/>
  <c r="O150" i="83"/>
  <c r="M150" i="83"/>
  <c r="J150" i="83"/>
  <c r="P149" i="83"/>
  <c r="O149" i="83"/>
  <c r="M149" i="83"/>
  <c r="J149" i="83"/>
  <c r="P148" i="83"/>
  <c r="O148" i="83"/>
  <c r="M148" i="83"/>
  <c r="J148" i="83"/>
  <c r="P147" i="83"/>
  <c r="O147" i="83"/>
  <c r="M147" i="83"/>
  <c r="J147" i="83"/>
  <c r="P146" i="83"/>
  <c r="O146" i="83"/>
  <c r="M146" i="83"/>
  <c r="J146" i="83"/>
  <c r="P145" i="83"/>
  <c r="O145" i="83"/>
  <c r="M145" i="83"/>
  <c r="J145" i="83"/>
  <c r="P144" i="83"/>
  <c r="O144" i="83"/>
  <c r="M144" i="83"/>
  <c r="J144" i="83"/>
  <c r="P143" i="83"/>
  <c r="O143" i="83"/>
  <c r="M143" i="83"/>
  <c r="J143" i="83"/>
  <c r="P142" i="83"/>
  <c r="O142" i="83"/>
  <c r="M142" i="83"/>
  <c r="J142" i="83"/>
  <c r="P141" i="83"/>
  <c r="O141" i="83"/>
  <c r="M141" i="83"/>
  <c r="J141" i="83"/>
  <c r="P140" i="83"/>
  <c r="O140" i="83"/>
  <c r="M140" i="83"/>
  <c r="J140" i="83"/>
  <c r="P139" i="83"/>
  <c r="O139" i="83"/>
  <c r="M139" i="83"/>
  <c r="J139" i="83"/>
  <c r="P138" i="83"/>
  <c r="O138" i="83"/>
  <c r="M138" i="83"/>
  <c r="J138" i="83"/>
  <c r="P137" i="83"/>
  <c r="O137" i="83"/>
  <c r="M137" i="83"/>
  <c r="J137" i="83"/>
  <c r="P136" i="83"/>
  <c r="O136" i="83"/>
  <c r="M136" i="83"/>
  <c r="J136" i="83"/>
  <c r="P135" i="83"/>
  <c r="O135" i="83"/>
  <c r="M135" i="83"/>
  <c r="J135" i="83"/>
  <c r="P134" i="83"/>
  <c r="O134" i="83"/>
  <c r="M134" i="83"/>
  <c r="J134" i="83"/>
  <c r="P133" i="83"/>
  <c r="O133" i="83"/>
  <c r="M133" i="83"/>
  <c r="J133" i="83"/>
  <c r="P132" i="83"/>
  <c r="O132" i="83"/>
  <c r="M132" i="83"/>
  <c r="J132" i="83"/>
  <c r="P131" i="83"/>
  <c r="O131" i="83"/>
  <c r="M131" i="83"/>
  <c r="J131" i="83"/>
  <c r="O130" i="83"/>
  <c r="M130" i="83"/>
  <c r="O129" i="83"/>
  <c r="M129" i="83"/>
  <c r="O128" i="83"/>
  <c r="M128" i="83"/>
  <c r="O127" i="83"/>
  <c r="M127" i="83"/>
  <c r="O126" i="83"/>
  <c r="M126" i="83"/>
  <c r="O125" i="83"/>
  <c r="M125" i="83"/>
  <c r="O124" i="83"/>
  <c r="M124" i="83"/>
  <c r="O123" i="83"/>
  <c r="M123" i="83"/>
  <c r="O122" i="83"/>
  <c r="M122" i="83"/>
  <c r="O121" i="83"/>
  <c r="M121" i="83"/>
  <c r="O120" i="83"/>
  <c r="M120" i="83"/>
  <c r="O119" i="83"/>
  <c r="M119" i="83"/>
  <c r="O118" i="83"/>
  <c r="M118" i="83"/>
  <c r="O117" i="83"/>
  <c r="M117" i="83"/>
  <c r="O116" i="83"/>
  <c r="M116" i="83"/>
  <c r="O115" i="83"/>
  <c r="M115" i="83"/>
  <c r="O114" i="83"/>
  <c r="M114" i="83"/>
  <c r="O113" i="83"/>
  <c r="M113" i="83"/>
  <c r="O112" i="83"/>
  <c r="M112" i="83"/>
  <c r="O111" i="83"/>
  <c r="M111" i="83"/>
  <c r="O110" i="83"/>
  <c r="M110" i="83"/>
  <c r="O109" i="83"/>
  <c r="M109" i="83"/>
  <c r="O108" i="83"/>
  <c r="M108" i="83"/>
  <c r="O107" i="83"/>
  <c r="M107" i="83"/>
  <c r="O106" i="83"/>
  <c r="M106" i="83"/>
  <c r="O105" i="83"/>
  <c r="M105" i="83"/>
  <c r="O104" i="83"/>
  <c r="M104" i="83"/>
  <c r="O103" i="83"/>
  <c r="M103" i="83"/>
  <c r="O102" i="83"/>
  <c r="O101" i="83"/>
  <c r="O100" i="83"/>
  <c r="M100" i="83"/>
  <c r="O99" i="83"/>
  <c r="P99" i="83" s="1"/>
  <c r="M99" i="83"/>
  <c r="D96" i="83"/>
  <c r="L93" i="83"/>
  <c r="J93" i="83"/>
  <c r="D91" i="83"/>
  <c r="D89" i="83"/>
  <c r="N72" i="83"/>
  <c r="L72" i="83"/>
  <c r="N71" i="83"/>
  <c r="L71" i="83"/>
  <c r="N70" i="83"/>
  <c r="L70" i="83"/>
  <c r="N69" i="83"/>
  <c r="L69" i="83"/>
  <c r="N68" i="83"/>
  <c r="L68" i="83"/>
  <c r="N67" i="83"/>
  <c r="L67" i="83"/>
  <c r="N66" i="83"/>
  <c r="L66" i="83"/>
  <c r="N65" i="83"/>
  <c r="L65" i="83"/>
  <c r="N64" i="83"/>
  <c r="L64" i="83"/>
  <c r="N63" i="83"/>
  <c r="L63" i="83"/>
  <c r="N62" i="83"/>
  <c r="L62" i="83"/>
  <c r="N61" i="83"/>
  <c r="L61" i="83"/>
  <c r="N60" i="83"/>
  <c r="L60" i="83"/>
  <c r="N59" i="83"/>
  <c r="L59" i="83"/>
  <c r="N58" i="83"/>
  <c r="L58" i="83"/>
  <c r="N57" i="83"/>
  <c r="L57" i="83"/>
  <c r="N56" i="83"/>
  <c r="L56" i="83"/>
  <c r="N55" i="83"/>
  <c r="L55" i="83"/>
  <c r="N54" i="83"/>
  <c r="L54" i="83"/>
  <c r="N53" i="83"/>
  <c r="L53" i="83"/>
  <c r="N52" i="83"/>
  <c r="L52" i="83"/>
  <c r="N51" i="83"/>
  <c r="L51" i="83"/>
  <c r="N50" i="83"/>
  <c r="L50" i="83"/>
  <c r="N49" i="83"/>
  <c r="L49" i="83"/>
  <c r="N48" i="83"/>
  <c r="L48" i="83"/>
  <c r="N47" i="83"/>
  <c r="L47" i="83"/>
  <c r="O47" i="83" s="1"/>
  <c r="N46" i="83"/>
  <c r="L46" i="83"/>
  <c r="N45" i="83"/>
  <c r="L45" i="83"/>
  <c r="N44" i="83"/>
  <c r="L44" i="83"/>
  <c r="N43" i="83"/>
  <c r="L43" i="83"/>
  <c r="N42" i="83"/>
  <c r="L42" i="83"/>
  <c r="N41" i="83"/>
  <c r="L41" i="83"/>
  <c r="N40" i="83"/>
  <c r="L40" i="83"/>
  <c r="N39" i="83"/>
  <c r="L39" i="83"/>
  <c r="N38" i="83"/>
  <c r="L38" i="83"/>
  <c r="N37" i="83"/>
  <c r="L37" i="83"/>
  <c r="N36" i="83"/>
  <c r="L36" i="83"/>
  <c r="N35" i="83"/>
  <c r="L35" i="83"/>
  <c r="N34" i="83"/>
  <c r="L34" i="83"/>
  <c r="N33" i="83"/>
  <c r="L33" i="83"/>
  <c r="N32" i="83"/>
  <c r="L32" i="83"/>
  <c r="N31" i="83"/>
  <c r="L31" i="83"/>
  <c r="N30" i="83"/>
  <c r="L30" i="83"/>
  <c r="N29" i="83"/>
  <c r="L29" i="83"/>
  <c r="N28" i="83"/>
  <c r="L28" i="83"/>
  <c r="N27" i="83"/>
  <c r="L27" i="83"/>
  <c r="N26" i="83"/>
  <c r="L26" i="83"/>
  <c r="N25" i="83"/>
  <c r="L25" i="83"/>
  <c r="N24" i="83"/>
  <c r="L24" i="83"/>
  <c r="N23" i="83"/>
  <c r="L23" i="83"/>
  <c r="N22" i="83"/>
  <c r="L22" i="83"/>
  <c r="N21" i="83"/>
  <c r="N20" i="83"/>
  <c r="N17" i="83"/>
  <c r="L17" i="83"/>
  <c r="C17" i="83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36" i="83" s="1"/>
  <c r="C37" i="83" s="1"/>
  <c r="C38" i="83" s="1"/>
  <c r="C39" i="83" s="1"/>
  <c r="C40" i="83" s="1"/>
  <c r="C41" i="83" s="1"/>
  <c r="C42" i="83" s="1"/>
  <c r="C43" i="83" s="1"/>
  <c r="C44" i="83" s="1"/>
  <c r="K11" i="83"/>
  <c r="I11" i="83"/>
  <c r="D8" i="83"/>
  <c r="D90" i="83" s="1"/>
  <c r="P154" i="82"/>
  <c r="O154" i="82"/>
  <c r="M154" i="82"/>
  <c r="J154" i="82"/>
  <c r="P153" i="82"/>
  <c r="O153" i="82"/>
  <c r="M153" i="82"/>
  <c r="J153" i="82"/>
  <c r="P152" i="82"/>
  <c r="O152" i="82"/>
  <c r="M152" i="82"/>
  <c r="J152" i="82"/>
  <c r="P151" i="82"/>
  <c r="O151" i="82"/>
  <c r="M151" i="82"/>
  <c r="J151" i="82"/>
  <c r="P150" i="82"/>
  <c r="O150" i="82"/>
  <c r="M150" i="82"/>
  <c r="J150" i="82"/>
  <c r="P149" i="82"/>
  <c r="O149" i="82"/>
  <c r="M149" i="82"/>
  <c r="J149" i="82"/>
  <c r="P148" i="82"/>
  <c r="O148" i="82"/>
  <c r="M148" i="82"/>
  <c r="J148" i="82"/>
  <c r="P147" i="82"/>
  <c r="O147" i="82"/>
  <c r="M147" i="82"/>
  <c r="J147" i="82"/>
  <c r="P146" i="82"/>
  <c r="O146" i="82"/>
  <c r="M146" i="82"/>
  <c r="J146" i="82"/>
  <c r="P145" i="82"/>
  <c r="O145" i="82"/>
  <c r="M145" i="82"/>
  <c r="J145" i="82"/>
  <c r="P144" i="82"/>
  <c r="O144" i="82"/>
  <c r="M144" i="82"/>
  <c r="J144" i="82"/>
  <c r="P143" i="82"/>
  <c r="O143" i="82"/>
  <c r="M143" i="82"/>
  <c r="J143" i="82"/>
  <c r="P142" i="82"/>
  <c r="O142" i="82"/>
  <c r="M142" i="82"/>
  <c r="J142" i="82"/>
  <c r="P141" i="82"/>
  <c r="O141" i="82"/>
  <c r="M141" i="82"/>
  <c r="J141" i="82"/>
  <c r="P140" i="82"/>
  <c r="O140" i="82"/>
  <c r="M140" i="82"/>
  <c r="J140" i="82"/>
  <c r="P139" i="82"/>
  <c r="O139" i="82"/>
  <c r="M139" i="82"/>
  <c r="J139" i="82"/>
  <c r="P138" i="82"/>
  <c r="O138" i="82"/>
  <c r="M138" i="82"/>
  <c r="J138" i="82"/>
  <c r="P137" i="82"/>
  <c r="O137" i="82"/>
  <c r="M137" i="82"/>
  <c r="J137" i="82"/>
  <c r="P136" i="82"/>
  <c r="O136" i="82"/>
  <c r="M136" i="82"/>
  <c r="J136" i="82"/>
  <c r="P135" i="82"/>
  <c r="O135" i="82"/>
  <c r="M135" i="82"/>
  <c r="J135" i="82"/>
  <c r="P134" i="82"/>
  <c r="O134" i="82"/>
  <c r="M134" i="82"/>
  <c r="J134" i="82"/>
  <c r="P133" i="82"/>
  <c r="O133" i="82"/>
  <c r="M133" i="82"/>
  <c r="J133" i="82"/>
  <c r="P132" i="82"/>
  <c r="O132" i="82"/>
  <c r="M132" i="82"/>
  <c r="J132" i="82"/>
  <c r="P131" i="82"/>
  <c r="O131" i="82"/>
  <c r="M131" i="82"/>
  <c r="J131" i="82"/>
  <c r="O130" i="82"/>
  <c r="M130" i="82"/>
  <c r="O129" i="82"/>
  <c r="M129" i="82"/>
  <c r="O128" i="82"/>
  <c r="M128" i="82"/>
  <c r="O127" i="82"/>
  <c r="M127" i="82"/>
  <c r="O126" i="82"/>
  <c r="M126" i="82"/>
  <c r="O125" i="82"/>
  <c r="M125" i="82"/>
  <c r="O124" i="82"/>
  <c r="M124" i="82"/>
  <c r="O123" i="82"/>
  <c r="M123" i="82"/>
  <c r="O122" i="82"/>
  <c r="M122" i="82"/>
  <c r="O121" i="82"/>
  <c r="M121" i="82"/>
  <c r="O120" i="82"/>
  <c r="M120" i="82"/>
  <c r="O119" i="82"/>
  <c r="M119" i="82"/>
  <c r="O118" i="82"/>
  <c r="M118" i="82"/>
  <c r="O117" i="82"/>
  <c r="M117" i="82"/>
  <c r="O116" i="82"/>
  <c r="M116" i="82"/>
  <c r="O115" i="82"/>
  <c r="M115" i="82"/>
  <c r="O114" i="82"/>
  <c r="M114" i="82"/>
  <c r="O113" i="82"/>
  <c r="M113" i="82"/>
  <c r="O112" i="82"/>
  <c r="M112" i="82"/>
  <c r="O111" i="82"/>
  <c r="M111" i="82"/>
  <c r="O110" i="82"/>
  <c r="M110" i="82"/>
  <c r="O109" i="82"/>
  <c r="M109" i="82"/>
  <c r="O108" i="82"/>
  <c r="M108" i="82"/>
  <c r="O107" i="82"/>
  <c r="M107" i="82"/>
  <c r="O106" i="82"/>
  <c r="M106" i="82"/>
  <c r="O105" i="82"/>
  <c r="M105" i="82"/>
  <c r="O104" i="82"/>
  <c r="M104" i="82"/>
  <c r="O103" i="82"/>
  <c r="M103" i="82"/>
  <c r="O102" i="82"/>
  <c r="O100" i="82"/>
  <c r="M100" i="82"/>
  <c r="O99" i="82"/>
  <c r="P99" i="82" s="1"/>
  <c r="M99" i="82"/>
  <c r="D96" i="82"/>
  <c r="L93" i="82"/>
  <c r="J93" i="82"/>
  <c r="D91" i="82"/>
  <c r="D89" i="82"/>
  <c r="N72" i="82"/>
  <c r="L72" i="82"/>
  <c r="N71" i="82"/>
  <c r="L71" i="82"/>
  <c r="N70" i="82"/>
  <c r="L70" i="82"/>
  <c r="N69" i="82"/>
  <c r="L69" i="82"/>
  <c r="N68" i="82"/>
  <c r="L68" i="82"/>
  <c r="N67" i="82"/>
  <c r="L67" i="82"/>
  <c r="O67" i="82" s="1"/>
  <c r="N66" i="82"/>
  <c r="L66" i="82"/>
  <c r="N65" i="82"/>
  <c r="L65" i="82"/>
  <c r="N64" i="82"/>
  <c r="L64" i="82"/>
  <c r="N63" i="82"/>
  <c r="L63" i="82"/>
  <c r="N62" i="82"/>
  <c r="L62" i="82"/>
  <c r="N61" i="82"/>
  <c r="L61" i="82"/>
  <c r="N60" i="82"/>
  <c r="L60" i="82"/>
  <c r="N59" i="82"/>
  <c r="L59" i="82"/>
  <c r="O59" i="82" s="1"/>
  <c r="N58" i="82"/>
  <c r="L58" i="82"/>
  <c r="N57" i="82"/>
  <c r="L57" i="82"/>
  <c r="N56" i="82"/>
  <c r="L56" i="82"/>
  <c r="N55" i="82"/>
  <c r="L55" i="82"/>
  <c r="N54" i="82"/>
  <c r="L54" i="82"/>
  <c r="N53" i="82"/>
  <c r="L53" i="82"/>
  <c r="N52" i="82"/>
  <c r="L52" i="82"/>
  <c r="N51" i="82"/>
  <c r="L51" i="82"/>
  <c r="N50" i="82"/>
  <c r="L50" i="82"/>
  <c r="N49" i="82"/>
  <c r="L49" i="82"/>
  <c r="N48" i="82"/>
  <c r="L48" i="82"/>
  <c r="N47" i="82"/>
  <c r="L47" i="82"/>
  <c r="N46" i="82"/>
  <c r="L46" i="82"/>
  <c r="N45" i="82"/>
  <c r="L45" i="82"/>
  <c r="N44" i="82"/>
  <c r="L44" i="82"/>
  <c r="N43" i="82"/>
  <c r="L43" i="82"/>
  <c r="N42" i="82"/>
  <c r="L42" i="82"/>
  <c r="N41" i="82"/>
  <c r="L41" i="82"/>
  <c r="N40" i="82"/>
  <c r="L40" i="82"/>
  <c r="N39" i="82"/>
  <c r="L39" i="82"/>
  <c r="N38" i="82"/>
  <c r="L38" i="82"/>
  <c r="N37" i="82"/>
  <c r="L37" i="82"/>
  <c r="N36" i="82"/>
  <c r="L36" i="82"/>
  <c r="N35" i="82"/>
  <c r="L35" i="82"/>
  <c r="N34" i="82"/>
  <c r="L34" i="82"/>
  <c r="N33" i="82"/>
  <c r="L33" i="82"/>
  <c r="N32" i="82"/>
  <c r="L32" i="82"/>
  <c r="N31" i="82"/>
  <c r="L31" i="82"/>
  <c r="N30" i="82"/>
  <c r="L30" i="82"/>
  <c r="N29" i="82"/>
  <c r="L29" i="82"/>
  <c r="N28" i="82"/>
  <c r="L28" i="82"/>
  <c r="N27" i="82"/>
  <c r="L27" i="82"/>
  <c r="N26" i="82"/>
  <c r="L26" i="82"/>
  <c r="N25" i="82"/>
  <c r="L25" i="82"/>
  <c r="N24" i="82"/>
  <c r="L24" i="82"/>
  <c r="N23" i="82"/>
  <c r="L23" i="82"/>
  <c r="N22" i="82"/>
  <c r="L22" i="82"/>
  <c r="N21" i="82"/>
  <c r="N20" i="82"/>
  <c r="N17" i="82"/>
  <c r="L17" i="82"/>
  <c r="C17" i="82"/>
  <c r="C18" i="82" s="1"/>
  <c r="C19" i="82" s="1"/>
  <c r="C20" i="82" s="1"/>
  <c r="C21" i="82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39" i="82" s="1"/>
  <c r="C40" i="82" s="1"/>
  <c r="C41" i="82" s="1"/>
  <c r="C42" i="82" s="1"/>
  <c r="C43" i="82" s="1"/>
  <c r="C44" i="82" s="1"/>
  <c r="K11" i="82"/>
  <c r="I11" i="82"/>
  <c r="D8" i="82"/>
  <c r="D90" i="82" s="1"/>
  <c r="P154" i="81"/>
  <c r="O154" i="81"/>
  <c r="M154" i="81"/>
  <c r="J154" i="81"/>
  <c r="P153" i="81"/>
  <c r="O153" i="81"/>
  <c r="M153" i="81"/>
  <c r="J153" i="81"/>
  <c r="P152" i="81"/>
  <c r="O152" i="81"/>
  <c r="M152" i="81"/>
  <c r="J152" i="81"/>
  <c r="P151" i="81"/>
  <c r="O151" i="81"/>
  <c r="M151" i="81"/>
  <c r="J151" i="81"/>
  <c r="P150" i="81"/>
  <c r="O150" i="81"/>
  <c r="M150" i="81"/>
  <c r="J150" i="81"/>
  <c r="P149" i="81"/>
  <c r="O149" i="81"/>
  <c r="M149" i="81"/>
  <c r="J149" i="81"/>
  <c r="P148" i="81"/>
  <c r="O148" i="81"/>
  <c r="M148" i="81"/>
  <c r="J148" i="81"/>
  <c r="P147" i="81"/>
  <c r="O147" i="81"/>
  <c r="M147" i="81"/>
  <c r="J147" i="81"/>
  <c r="P146" i="81"/>
  <c r="O146" i="81"/>
  <c r="M146" i="81"/>
  <c r="J146" i="81"/>
  <c r="P145" i="81"/>
  <c r="O145" i="81"/>
  <c r="M145" i="81"/>
  <c r="J145" i="81"/>
  <c r="P144" i="81"/>
  <c r="O144" i="81"/>
  <c r="M144" i="81"/>
  <c r="J144" i="81"/>
  <c r="P143" i="81"/>
  <c r="O143" i="81"/>
  <c r="M143" i="81"/>
  <c r="J143" i="81"/>
  <c r="P142" i="81"/>
  <c r="O142" i="81"/>
  <c r="M142" i="81"/>
  <c r="J142" i="81"/>
  <c r="P141" i="81"/>
  <c r="O141" i="81"/>
  <c r="M141" i="81"/>
  <c r="J141" i="81"/>
  <c r="P140" i="81"/>
  <c r="O140" i="81"/>
  <c r="M140" i="81"/>
  <c r="J140" i="81"/>
  <c r="P139" i="81"/>
  <c r="O139" i="81"/>
  <c r="M139" i="81"/>
  <c r="J139" i="81"/>
  <c r="P138" i="81"/>
  <c r="O138" i="81"/>
  <c r="M138" i="81"/>
  <c r="J138" i="81"/>
  <c r="P137" i="81"/>
  <c r="O137" i="81"/>
  <c r="M137" i="81"/>
  <c r="J137" i="81"/>
  <c r="P136" i="81"/>
  <c r="O136" i="81"/>
  <c r="M136" i="81"/>
  <c r="J136" i="81"/>
  <c r="P135" i="81"/>
  <c r="O135" i="81"/>
  <c r="M135" i="81"/>
  <c r="J135" i="81"/>
  <c r="P134" i="81"/>
  <c r="O134" i="81"/>
  <c r="M134" i="81"/>
  <c r="J134" i="81"/>
  <c r="P133" i="81"/>
  <c r="O133" i="81"/>
  <c r="M133" i="81"/>
  <c r="J133" i="81"/>
  <c r="P132" i="81"/>
  <c r="O132" i="81"/>
  <c r="M132" i="81"/>
  <c r="J132" i="81"/>
  <c r="P131" i="81"/>
  <c r="O131" i="81"/>
  <c r="M131" i="81"/>
  <c r="J131" i="81"/>
  <c r="O130" i="81"/>
  <c r="M130" i="81"/>
  <c r="O129" i="81"/>
  <c r="M129" i="81"/>
  <c r="O128" i="81"/>
  <c r="M128" i="81"/>
  <c r="O127" i="81"/>
  <c r="M127" i="81"/>
  <c r="O126" i="81"/>
  <c r="M126" i="81"/>
  <c r="O125" i="81"/>
  <c r="M125" i="81"/>
  <c r="O124" i="81"/>
  <c r="M124" i="81"/>
  <c r="O123" i="81"/>
  <c r="M123" i="81"/>
  <c r="O122" i="81"/>
  <c r="M122" i="81"/>
  <c r="O121" i="81"/>
  <c r="M121" i="81"/>
  <c r="O120" i="81"/>
  <c r="M120" i="81"/>
  <c r="O119" i="81"/>
  <c r="M119" i="81"/>
  <c r="O118" i="81"/>
  <c r="M118" i="81"/>
  <c r="O117" i="81"/>
  <c r="M117" i="81"/>
  <c r="O116" i="81"/>
  <c r="M116" i="81"/>
  <c r="O115" i="81"/>
  <c r="M115" i="81"/>
  <c r="O114" i="81"/>
  <c r="M114" i="81"/>
  <c r="O113" i="81"/>
  <c r="M113" i="81"/>
  <c r="O112" i="81"/>
  <c r="M112" i="81"/>
  <c r="O111" i="81"/>
  <c r="M111" i="81"/>
  <c r="O110" i="81"/>
  <c r="M110" i="81"/>
  <c r="O109" i="81"/>
  <c r="M109" i="81"/>
  <c r="O108" i="81"/>
  <c r="M108" i="81"/>
  <c r="O107" i="81"/>
  <c r="M107" i="81"/>
  <c r="O106" i="81"/>
  <c r="M106" i="81"/>
  <c r="O105" i="81"/>
  <c r="M105" i="81"/>
  <c r="O104" i="81"/>
  <c r="M104" i="81"/>
  <c r="O103" i="81"/>
  <c r="M103" i="81"/>
  <c r="O102" i="81"/>
  <c r="O99" i="81"/>
  <c r="M99" i="81"/>
  <c r="D96" i="81"/>
  <c r="L93" i="81"/>
  <c r="J93" i="81"/>
  <c r="D91" i="81"/>
  <c r="D89" i="81"/>
  <c r="N72" i="81"/>
  <c r="L72" i="81"/>
  <c r="N71" i="81"/>
  <c r="L71" i="81"/>
  <c r="N70" i="81"/>
  <c r="L70" i="81"/>
  <c r="N69" i="81"/>
  <c r="L69" i="81"/>
  <c r="N68" i="81"/>
  <c r="L68" i="81"/>
  <c r="N67" i="81"/>
  <c r="L67" i="81"/>
  <c r="N66" i="81"/>
  <c r="L66" i="81"/>
  <c r="N65" i="81"/>
  <c r="L65" i="81"/>
  <c r="N64" i="81"/>
  <c r="L64" i="81"/>
  <c r="N63" i="81"/>
  <c r="L63" i="81"/>
  <c r="N62" i="81"/>
  <c r="L62" i="81"/>
  <c r="N61" i="81"/>
  <c r="L61" i="81"/>
  <c r="N60" i="81"/>
  <c r="L60" i="81"/>
  <c r="N59" i="81"/>
  <c r="L59" i="81"/>
  <c r="N58" i="81"/>
  <c r="L58" i="81"/>
  <c r="N57" i="81"/>
  <c r="L57" i="81"/>
  <c r="N56" i="81"/>
  <c r="O56" i="81" s="1"/>
  <c r="L56" i="81"/>
  <c r="N55" i="81"/>
  <c r="L55" i="81"/>
  <c r="N54" i="81"/>
  <c r="L54" i="81"/>
  <c r="N53" i="81"/>
  <c r="L53" i="81"/>
  <c r="N52" i="81"/>
  <c r="L52" i="81"/>
  <c r="N51" i="81"/>
  <c r="L51" i="81"/>
  <c r="N50" i="81"/>
  <c r="L50" i="81"/>
  <c r="N49" i="81"/>
  <c r="L49" i="81"/>
  <c r="N48" i="81"/>
  <c r="L48" i="81"/>
  <c r="N47" i="81"/>
  <c r="L47" i="81"/>
  <c r="N46" i="81"/>
  <c r="L46" i="81"/>
  <c r="N45" i="81"/>
  <c r="L45" i="81"/>
  <c r="N44" i="81"/>
  <c r="L44" i="81"/>
  <c r="N43" i="81"/>
  <c r="L43" i="81"/>
  <c r="N42" i="81"/>
  <c r="L42" i="81"/>
  <c r="N41" i="81"/>
  <c r="L41" i="81"/>
  <c r="N40" i="81"/>
  <c r="L40" i="81"/>
  <c r="N39" i="81"/>
  <c r="L39" i="81"/>
  <c r="N38" i="81"/>
  <c r="L38" i="81"/>
  <c r="N37" i="81"/>
  <c r="L37" i="81"/>
  <c r="N36" i="81"/>
  <c r="O36" i="81" s="1"/>
  <c r="L36" i="81"/>
  <c r="N35" i="81"/>
  <c r="L35" i="81"/>
  <c r="N34" i="81"/>
  <c r="L34" i="81"/>
  <c r="N33" i="81"/>
  <c r="L33" i="81"/>
  <c r="N32" i="81"/>
  <c r="L32" i="81"/>
  <c r="N31" i="81"/>
  <c r="L31" i="81"/>
  <c r="N30" i="81"/>
  <c r="L30" i="81"/>
  <c r="N29" i="81"/>
  <c r="L29" i="81"/>
  <c r="N28" i="81"/>
  <c r="L28" i="81"/>
  <c r="N27" i="81"/>
  <c r="L27" i="81"/>
  <c r="N26" i="81"/>
  <c r="L26" i="81"/>
  <c r="N25" i="81"/>
  <c r="L25" i="81"/>
  <c r="N24" i="81"/>
  <c r="L24" i="81"/>
  <c r="N23" i="81"/>
  <c r="L23" i="81"/>
  <c r="N22" i="81"/>
  <c r="L22" i="81"/>
  <c r="N21" i="81"/>
  <c r="N20" i="81"/>
  <c r="N17" i="81"/>
  <c r="L17" i="81"/>
  <c r="C17" i="81"/>
  <c r="C18" i="81"/>
  <c r="C19" i="81" s="1"/>
  <c r="C20" i="81" s="1"/>
  <c r="C21" i="81" s="1"/>
  <c r="C22" i="8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C37" i="81" s="1"/>
  <c r="C38" i="81" s="1"/>
  <c r="C39" i="81" s="1"/>
  <c r="C40" i="81" s="1"/>
  <c r="C41" i="81" s="1"/>
  <c r="C42" i="81" s="1"/>
  <c r="C43" i="81" s="1"/>
  <c r="C44" i="81" s="1"/>
  <c r="C45" i="81" s="1"/>
  <c r="C46" i="81" s="1"/>
  <c r="C47" i="81" s="1"/>
  <c r="C48" i="81" s="1"/>
  <c r="C49" i="81" s="1"/>
  <c r="C50" i="81" s="1"/>
  <c r="C51" i="81" s="1"/>
  <c r="C52" i="81" s="1"/>
  <c r="C53" i="81" s="1"/>
  <c r="C54" i="81" s="1"/>
  <c r="C55" i="81" s="1"/>
  <c r="C56" i="81" s="1"/>
  <c r="C57" i="81" s="1"/>
  <c r="C58" i="81" s="1"/>
  <c r="C59" i="81" s="1"/>
  <c r="C60" i="81" s="1"/>
  <c r="C61" i="81" s="1"/>
  <c r="C62" i="81" s="1"/>
  <c r="C63" i="81" s="1"/>
  <c r="C64" i="81" s="1"/>
  <c r="C65" i="81" s="1"/>
  <c r="C66" i="81" s="1"/>
  <c r="C67" i="81" s="1"/>
  <c r="C68" i="81" s="1"/>
  <c r="C69" i="81" s="1"/>
  <c r="C70" i="81" s="1"/>
  <c r="C71" i="81" s="1"/>
  <c r="C72" i="81" s="1"/>
  <c r="K11" i="81"/>
  <c r="I11" i="81"/>
  <c r="D8" i="81"/>
  <c r="D90" i="81"/>
  <c r="P154" i="80"/>
  <c r="O154" i="80"/>
  <c r="M154" i="80"/>
  <c r="J154" i="80"/>
  <c r="P153" i="80"/>
  <c r="O153" i="80"/>
  <c r="M153" i="80"/>
  <c r="J153" i="80"/>
  <c r="P152" i="80"/>
  <c r="O152" i="80"/>
  <c r="M152" i="80"/>
  <c r="J152" i="80"/>
  <c r="P151" i="80"/>
  <c r="O151" i="80"/>
  <c r="M151" i="80"/>
  <c r="J151" i="80"/>
  <c r="P150" i="80"/>
  <c r="O150" i="80"/>
  <c r="M150" i="80"/>
  <c r="J150" i="80"/>
  <c r="P149" i="80"/>
  <c r="O149" i="80"/>
  <c r="M149" i="80"/>
  <c r="J149" i="80"/>
  <c r="P148" i="80"/>
  <c r="O148" i="80"/>
  <c r="M148" i="80"/>
  <c r="J148" i="80"/>
  <c r="P147" i="80"/>
  <c r="O147" i="80"/>
  <c r="M147" i="80"/>
  <c r="J147" i="80"/>
  <c r="P146" i="80"/>
  <c r="O146" i="80"/>
  <c r="M146" i="80"/>
  <c r="J146" i="80"/>
  <c r="P145" i="80"/>
  <c r="O145" i="80"/>
  <c r="M145" i="80"/>
  <c r="J145" i="80"/>
  <c r="P144" i="80"/>
  <c r="O144" i="80"/>
  <c r="M144" i="80"/>
  <c r="J144" i="80"/>
  <c r="P143" i="80"/>
  <c r="O143" i="80"/>
  <c r="M143" i="80"/>
  <c r="J143" i="80"/>
  <c r="P142" i="80"/>
  <c r="O142" i="80"/>
  <c r="M142" i="80"/>
  <c r="J142" i="80"/>
  <c r="P141" i="80"/>
  <c r="O141" i="80"/>
  <c r="M141" i="80"/>
  <c r="J141" i="80"/>
  <c r="P140" i="80"/>
  <c r="O140" i="80"/>
  <c r="M140" i="80"/>
  <c r="J140" i="80"/>
  <c r="P139" i="80"/>
  <c r="O139" i="80"/>
  <c r="M139" i="80"/>
  <c r="J139" i="80"/>
  <c r="P138" i="80"/>
  <c r="O138" i="80"/>
  <c r="M138" i="80"/>
  <c r="J138" i="80"/>
  <c r="P137" i="80"/>
  <c r="O137" i="80"/>
  <c r="M137" i="80"/>
  <c r="J137" i="80"/>
  <c r="P136" i="80"/>
  <c r="O136" i="80"/>
  <c r="M136" i="80"/>
  <c r="J136" i="80"/>
  <c r="P135" i="80"/>
  <c r="O135" i="80"/>
  <c r="M135" i="80"/>
  <c r="J135" i="80"/>
  <c r="P134" i="80"/>
  <c r="O134" i="80"/>
  <c r="M134" i="80"/>
  <c r="J134" i="80"/>
  <c r="P133" i="80"/>
  <c r="O133" i="80"/>
  <c r="M133" i="80"/>
  <c r="J133" i="80"/>
  <c r="P132" i="80"/>
  <c r="O132" i="80"/>
  <c r="M132" i="80"/>
  <c r="J132" i="80"/>
  <c r="P131" i="80"/>
  <c r="O131" i="80"/>
  <c r="M131" i="80"/>
  <c r="J131" i="80"/>
  <c r="O130" i="80"/>
  <c r="M130" i="80"/>
  <c r="O129" i="80"/>
  <c r="M129" i="80"/>
  <c r="O128" i="80"/>
  <c r="M128" i="80"/>
  <c r="O127" i="80"/>
  <c r="M127" i="80"/>
  <c r="O126" i="80"/>
  <c r="M126" i="80"/>
  <c r="O125" i="80"/>
  <c r="M125" i="80"/>
  <c r="O124" i="80"/>
  <c r="M124" i="80"/>
  <c r="O123" i="80"/>
  <c r="M123" i="80"/>
  <c r="O122" i="80"/>
  <c r="M122" i="80"/>
  <c r="O121" i="80"/>
  <c r="M121" i="80"/>
  <c r="O120" i="80"/>
  <c r="M120" i="80"/>
  <c r="O119" i="80"/>
  <c r="M119" i="80"/>
  <c r="O118" i="80"/>
  <c r="M118" i="80"/>
  <c r="O117" i="80"/>
  <c r="M117" i="80"/>
  <c r="O116" i="80"/>
  <c r="M116" i="80"/>
  <c r="O115" i="80"/>
  <c r="M115" i="80"/>
  <c r="O114" i="80"/>
  <c r="M114" i="80"/>
  <c r="O113" i="80"/>
  <c r="M113" i="80"/>
  <c r="O112" i="80"/>
  <c r="M112" i="80"/>
  <c r="O111" i="80"/>
  <c r="M111" i="80"/>
  <c r="O110" i="80"/>
  <c r="M110" i="80"/>
  <c r="O109" i="80"/>
  <c r="M109" i="80"/>
  <c r="O108" i="80"/>
  <c r="M108" i="80"/>
  <c r="O107" i="80"/>
  <c r="M107" i="80"/>
  <c r="O106" i="80"/>
  <c r="M106" i="80"/>
  <c r="O105" i="80"/>
  <c r="M105" i="80"/>
  <c r="O104" i="80"/>
  <c r="M104" i="80"/>
  <c r="O103" i="80"/>
  <c r="M103" i="80"/>
  <c r="O102" i="80"/>
  <c r="O100" i="80"/>
  <c r="M100" i="80"/>
  <c r="O99" i="80"/>
  <c r="P99" i="80" s="1"/>
  <c r="M99" i="80"/>
  <c r="D96" i="80"/>
  <c r="L93" i="80"/>
  <c r="J93" i="80"/>
  <c r="D91" i="80"/>
  <c r="D89" i="80"/>
  <c r="N72" i="80"/>
  <c r="L72" i="80"/>
  <c r="N71" i="80"/>
  <c r="L71" i="80"/>
  <c r="N70" i="80"/>
  <c r="L70" i="80"/>
  <c r="N69" i="80"/>
  <c r="L69" i="80"/>
  <c r="N68" i="80"/>
  <c r="L68" i="80"/>
  <c r="N67" i="80"/>
  <c r="L67" i="80"/>
  <c r="N66" i="80"/>
  <c r="L66" i="80"/>
  <c r="N65" i="80"/>
  <c r="L65" i="80"/>
  <c r="N64" i="80"/>
  <c r="L64" i="80"/>
  <c r="N63" i="80"/>
  <c r="L63" i="80"/>
  <c r="N62" i="80"/>
  <c r="L62" i="80"/>
  <c r="N61" i="80"/>
  <c r="L61" i="80"/>
  <c r="N60" i="80"/>
  <c r="L60" i="80"/>
  <c r="O60" i="80" s="1"/>
  <c r="N59" i="80"/>
  <c r="L59" i="80"/>
  <c r="N58" i="80"/>
  <c r="L58" i="80"/>
  <c r="O58" i="80" s="1"/>
  <c r="N57" i="80"/>
  <c r="L57" i="80"/>
  <c r="N56" i="80"/>
  <c r="L56" i="80"/>
  <c r="O56" i="80" s="1"/>
  <c r="N55" i="80"/>
  <c r="L55" i="80"/>
  <c r="N54" i="80"/>
  <c r="L54" i="80"/>
  <c r="O54" i="80" s="1"/>
  <c r="N53" i="80"/>
  <c r="L53" i="80"/>
  <c r="N52" i="80"/>
  <c r="L52" i="80"/>
  <c r="N51" i="80"/>
  <c r="L51" i="80"/>
  <c r="N50" i="80"/>
  <c r="L50" i="80"/>
  <c r="N49" i="80"/>
  <c r="L49" i="80"/>
  <c r="N48" i="80"/>
  <c r="L48" i="80"/>
  <c r="N47" i="80"/>
  <c r="L47" i="80"/>
  <c r="N46" i="80"/>
  <c r="L46" i="80"/>
  <c r="N45" i="80"/>
  <c r="L45" i="80"/>
  <c r="N44" i="80"/>
  <c r="L44" i="80"/>
  <c r="O44" i="80" s="1"/>
  <c r="N43" i="80"/>
  <c r="L43" i="80"/>
  <c r="N42" i="80"/>
  <c r="L42" i="80"/>
  <c r="O42" i="80" s="1"/>
  <c r="N41" i="80"/>
  <c r="L41" i="80"/>
  <c r="N40" i="80"/>
  <c r="L40" i="80"/>
  <c r="N39" i="80"/>
  <c r="L39" i="80"/>
  <c r="N38" i="80"/>
  <c r="L38" i="80"/>
  <c r="N37" i="80"/>
  <c r="L37" i="80"/>
  <c r="N36" i="80"/>
  <c r="L36" i="80"/>
  <c r="N35" i="80"/>
  <c r="L35" i="80"/>
  <c r="N34" i="80"/>
  <c r="L34" i="80"/>
  <c r="N33" i="80"/>
  <c r="L33" i="80"/>
  <c r="N32" i="80"/>
  <c r="L32" i="80"/>
  <c r="N31" i="80"/>
  <c r="L31" i="80"/>
  <c r="N30" i="80"/>
  <c r="L30" i="80"/>
  <c r="N29" i="80"/>
  <c r="L29" i="80"/>
  <c r="N28" i="80"/>
  <c r="L28" i="80"/>
  <c r="N27" i="80"/>
  <c r="L27" i="80"/>
  <c r="N26" i="80"/>
  <c r="L26" i="80"/>
  <c r="N25" i="80"/>
  <c r="L25" i="80"/>
  <c r="N24" i="80"/>
  <c r="L24" i="80"/>
  <c r="N23" i="80"/>
  <c r="L23" i="80"/>
  <c r="N22" i="80"/>
  <c r="L22" i="80"/>
  <c r="N21" i="80"/>
  <c r="N20" i="80"/>
  <c r="N17" i="80"/>
  <c r="O17" i="80"/>
  <c r="L17" i="80"/>
  <c r="C17" i="80"/>
  <c r="C18" i="80" s="1"/>
  <c r="C19" i="80"/>
  <c r="C20" i="80" s="1"/>
  <c r="C21" i="80" s="1"/>
  <c r="C22" i="80" s="1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/>
  <c r="C36" i="80" s="1"/>
  <c r="C37" i="80" s="1"/>
  <c r="C38" i="80" s="1"/>
  <c r="C39" i="80" s="1"/>
  <c r="C40" i="80" s="1"/>
  <c r="C41" i="80" s="1"/>
  <c r="C42" i="80" s="1"/>
  <c r="C43" i="80" s="1"/>
  <c r="C44" i="80" s="1"/>
  <c r="K11" i="80"/>
  <c r="I11" i="80"/>
  <c r="D8" i="80"/>
  <c r="D90" i="80" s="1"/>
  <c r="M17" i="79"/>
  <c r="N17" i="79" s="1"/>
  <c r="K17" i="79"/>
  <c r="L17" i="79" s="1"/>
  <c r="M17" i="78"/>
  <c r="N17" i="78" s="1"/>
  <c r="K17" i="78"/>
  <c r="L17" i="78" s="1"/>
  <c r="M17" i="77"/>
  <c r="N17" i="77" s="1"/>
  <c r="O17" i="77" s="1"/>
  <c r="K17" i="77"/>
  <c r="L17" i="77" s="1"/>
  <c r="M17" i="76"/>
  <c r="N17" i="76"/>
  <c r="O17" i="76" s="1"/>
  <c r="L17" i="76"/>
  <c r="K17" i="76"/>
  <c r="D94" i="74"/>
  <c r="C99" i="74"/>
  <c r="C100" i="74" s="1"/>
  <c r="C101" i="74" s="1"/>
  <c r="C102" i="74" s="1"/>
  <c r="C103" i="74" s="1"/>
  <c r="C104" i="74" s="1"/>
  <c r="C105" i="74" s="1"/>
  <c r="C106" i="74" s="1"/>
  <c r="C107" i="74" s="1"/>
  <c r="C108" i="74" s="1"/>
  <c r="C109" i="74" s="1"/>
  <c r="C110" i="74" s="1"/>
  <c r="C111" i="74" s="1"/>
  <c r="C112" i="74" s="1"/>
  <c r="C113" i="74" s="1"/>
  <c r="C114" i="74" s="1"/>
  <c r="C115" i="74" s="1"/>
  <c r="C116" i="74" s="1"/>
  <c r="C117" i="74" s="1"/>
  <c r="C118" i="74" s="1"/>
  <c r="C119" i="74" s="1"/>
  <c r="C120" i="74" s="1"/>
  <c r="C121" i="74" s="1"/>
  <c r="C122" i="74" s="1"/>
  <c r="C123" i="74" s="1"/>
  <c r="C124" i="74" s="1"/>
  <c r="C125" i="74" s="1"/>
  <c r="C126" i="74" s="1"/>
  <c r="C127" i="74" s="1"/>
  <c r="C128" i="74" s="1"/>
  <c r="C129" i="74" s="1"/>
  <c r="C130" i="74" s="1"/>
  <c r="C131" i="74" s="1"/>
  <c r="C132" i="74" s="1"/>
  <c r="C133" i="74" s="1"/>
  <c r="C134" i="74" s="1"/>
  <c r="C135" i="74" s="1"/>
  <c r="C136" i="74" s="1"/>
  <c r="C137" i="74" s="1"/>
  <c r="C138" i="74" s="1"/>
  <c r="C139" i="74" s="1"/>
  <c r="C140" i="74" s="1"/>
  <c r="C141" i="74" s="1"/>
  <c r="C142" i="74" s="1"/>
  <c r="C143" i="74" s="1"/>
  <c r="C144" i="74" s="1"/>
  <c r="C145" i="74" s="1"/>
  <c r="C146" i="74" s="1"/>
  <c r="C147" i="74" s="1"/>
  <c r="C148" i="74" s="1"/>
  <c r="C149" i="74" s="1"/>
  <c r="C150" i="74" s="1"/>
  <c r="C151" i="74" s="1"/>
  <c r="C152" i="74" s="1"/>
  <c r="C153" i="74" s="1"/>
  <c r="C154" i="74" s="1"/>
  <c r="D94" i="73"/>
  <c r="D93" i="73"/>
  <c r="M22" i="73"/>
  <c r="N22" i="73"/>
  <c r="K22" i="73"/>
  <c r="L22" i="73" s="1"/>
  <c r="D94" i="72"/>
  <c r="D93" i="72"/>
  <c r="M20" i="72"/>
  <c r="N20" i="72" s="1"/>
  <c r="K20" i="72"/>
  <c r="L20" i="72" s="1"/>
  <c r="D94" i="71"/>
  <c r="D93" i="71"/>
  <c r="M24" i="71"/>
  <c r="N24" i="71"/>
  <c r="O24" i="71" s="1"/>
  <c r="L24" i="71"/>
  <c r="K24" i="71"/>
  <c r="D94" i="70"/>
  <c r="D93" i="70"/>
  <c r="M25" i="70"/>
  <c r="N25" i="70" s="1"/>
  <c r="K25" i="70"/>
  <c r="L25" i="70" s="1"/>
  <c r="M17" i="75"/>
  <c r="N17" i="75"/>
  <c r="O17" i="75" s="1"/>
  <c r="K17" i="75"/>
  <c r="L17" i="75" s="1"/>
  <c r="D94" i="69"/>
  <c r="M25" i="69"/>
  <c r="N25" i="69"/>
  <c r="O25" i="69" s="1"/>
  <c r="L25" i="69"/>
  <c r="K25" i="69"/>
  <c r="B19" i="68"/>
  <c r="N99" i="68"/>
  <c r="O99" i="68" s="1"/>
  <c r="L99" i="68"/>
  <c r="M99" i="68"/>
  <c r="M18" i="68"/>
  <c r="N18" i="68"/>
  <c r="O18" i="68" s="1"/>
  <c r="L18" i="68"/>
  <c r="K18" i="68"/>
  <c r="B19" i="67"/>
  <c r="M18" i="67"/>
  <c r="N18" i="67" s="1"/>
  <c r="K18" i="67"/>
  <c r="L18" i="67"/>
  <c r="O99" i="66"/>
  <c r="N99" i="66"/>
  <c r="L99" i="66"/>
  <c r="M99" i="66" s="1"/>
  <c r="M18" i="66"/>
  <c r="N18" i="66" s="1"/>
  <c r="L18" i="66"/>
  <c r="K18" i="66"/>
  <c r="N99" i="65"/>
  <c r="O99" i="65" s="1"/>
  <c r="P99" i="65"/>
  <c r="L99" i="65"/>
  <c r="M99" i="65"/>
  <c r="M18" i="65"/>
  <c r="N18" i="65"/>
  <c r="K18" i="65"/>
  <c r="L18" i="65"/>
  <c r="N100" i="64"/>
  <c r="O100" i="64"/>
  <c r="L100" i="64"/>
  <c r="M100" i="64"/>
  <c r="M19" i="64"/>
  <c r="N19" i="64"/>
  <c r="K19" i="64"/>
  <c r="L19" i="64" s="1"/>
  <c r="M19" i="60"/>
  <c r="N19" i="60"/>
  <c r="K19" i="60"/>
  <c r="L19" i="60" s="1"/>
  <c r="O100" i="60"/>
  <c r="P100" i="60" s="1"/>
  <c r="N100" i="60"/>
  <c r="L100" i="60"/>
  <c r="M100" i="60"/>
  <c r="N100" i="62"/>
  <c r="O100" i="62"/>
  <c r="P100" i="62" s="1"/>
  <c r="L100" i="62"/>
  <c r="M100" i="62" s="1"/>
  <c r="M19" i="62"/>
  <c r="N19" i="62" s="1"/>
  <c r="O19" i="62"/>
  <c r="K19" i="62"/>
  <c r="L19" i="62" s="1"/>
  <c r="N100" i="63"/>
  <c r="O100" i="63"/>
  <c r="P100" i="63" s="1"/>
  <c r="L100" i="63"/>
  <c r="M100" i="63"/>
  <c r="N19" i="63"/>
  <c r="M19" i="63"/>
  <c r="K19" i="63"/>
  <c r="L19" i="63" s="1"/>
  <c r="O19" i="63" s="1"/>
  <c r="N101" i="61"/>
  <c r="O101" i="61"/>
  <c r="L101" i="61"/>
  <c r="M101" i="61"/>
  <c r="M20" i="61"/>
  <c r="N20" i="61"/>
  <c r="K20" i="61"/>
  <c r="L20" i="61" s="1"/>
  <c r="N100" i="61"/>
  <c r="O100" i="61"/>
  <c r="M100" i="61"/>
  <c r="L100" i="61"/>
  <c r="M19" i="61"/>
  <c r="N19" i="61" s="1"/>
  <c r="O19" i="61" s="1"/>
  <c r="K19" i="61"/>
  <c r="L19" i="61"/>
  <c r="N100" i="59"/>
  <c r="O100" i="59"/>
  <c r="L100" i="59"/>
  <c r="M100" i="59" s="1"/>
  <c r="M19" i="59"/>
  <c r="N19" i="59" s="1"/>
  <c r="O19" i="59" s="1"/>
  <c r="K19" i="59"/>
  <c r="L19" i="59" s="1"/>
  <c r="N101" i="58"/>
  <c r="O101" i="58"/>
  <c r="L101" i="58"/>
  <c r="M101" i="58"/>
  <c r="M20" i="58"/>
  <c r="N20" i="58"/>
  <c r="O20" i="58" s="1"/>
  <c r="K20" i="58"/>
  <c r="L20" i="58"/>
  <c r="N101" i="57"/>
  <c r="O101" i="57" s="1"/>
  <c r="P101" i="57"/>
  <c r="L101" i="57"/>
  <c r="M101" i="57"/>
  <c r="M20" i="57"/>
  <c r="N20" i="57"/>
  <c r="K20" i="57"/>
  <c r="L20" i="57" s="1"/>
  <c r="N101" i="56"/>
  <c r="O101" i="56" s="1"/>
  <c r="P101" i="56" s="1"/>
  <c r="L101" i="56"/>
  <c r="M101" i="56" s="1"/>
  <c r="M20" i="56"/>
  <c r="N20" i="56"/>
  <c r="O20" i="56" s="1"/>
  <c r="K20" i="56"/>
  <c r="L20" i="56"/>
  <c r="N101" i="55"/>
  <c r="O101" i="55" s="1"/>
  <c r="P101" i="55"/>
  <c r="L101" i="55"/>
  <c r="M101" i="55"/>
  <c r="M20" i="55"/>
  <c r="N20" i="55"/>
  <c r="K20" i="55"/>
  <c r="L20" i="55"/>
  <c r="N101" i="54"/>
  <c r="O101" i="54"/>
  <c r="L101" i="54"/>
  <c r="M101" i="54"/>
  <c r="M20" i="54"/>
  <c r="N20" i="54" s="1"/>
  <c r="K20" i="54"/>
  <c r="L20" i="54"/>
  <c r="N101" i="53"/>
  <c r="O101" i="53"/>
  <c r="L101" i="53"/>
  <c r="M101" i="53"/>
  <c r="M20" i="53"/>
  <c r="N20" i="53"/>
  <c r="O20" i="53" s="1"/>
  <c r="L20" i="53"/>
  <c r="K20" i="53"/>
  <c r="N101" i="46"/>
  <c r="O101" i="46" s="1"/>
  <c r="L101" i="46"/>
  <c r="M101" i="46" s="1"/>
  <c r="P101" i="46"/>
  <c r="M20" i="46"/>
  <c r="N20" i="46"/>
  <c r="K20" i="46"/>
  <c r="L20" i="46" s="1"/>
  <c r="N102" i="45"/>
  <c r="O102" i="45" s="1"/>
  <c r="L102" i="45"/>
  <c r="M102" i="45" s="1"/>
  <c r="M21" i="45"/>
  <c r="N21" i="45" s="1"/>
  <c r="L21" i="45"/>
  <c r="K21" i="45"/>
  <c r="N103" i="44"/>
  <c r="O103" i="44" s="1"/>
  <c r="P103" i="44" s="1"/>
  <c r="L103" i="44"/>
  <c r="M103" i="44"/>
  <c r="M22" i="44"/>
  <c r="N22" i="44"/>
  <c r="K22" i="44"/>
  <c r="L22" i="44"/>
  <c r="N103" i="43"/>
  <c r="O103" i="43" s="1"/>
  <c r="L103" i="43"/>
  <c r="M103" i="43"/>
  <c r="M22" i="43"/>
  <c r="N22" i="43"/>
  <c r="O22" i="43" s="1"/>
  <c r="L22" i="43"/>
  <c r="K22" i="43"/>
  <c r="N103" i="42"/>
  <c r="O103" i="42" s="1"/>
  <c r="P103" i="42" s="1"/>
  <c r="L103" i="42"/>
  <c r="M103" i="42" s="1"/>
  <c r="M22" i="42"/>
  <c r="N22" i="42"/>
  <c r="O22" i="42" s="1"/>
  <c r="K22" i="42"/>
  <c r="L22" i="42" s="1"/>
  <c r="N103" i="41"/>
  <c r="O103" i="41" s="1"/>
  <c r="L103" i="41"/>
  <c r="M103" i="41" s="1"/>
  <c r="M22" i="41"/>
  <c r="N22" i="41" s="1"/>
  <c r="K22" i="41"/>
  <c r="L22" i="41" s="1"/>
  <c r="N103" i="39"/>
  <c r="O103" i="39" s="1"/>
  <c r="L103" i="39"/>
  <c r="M103" i="39" s="1"/>
  <c r="P103" i="39" s="1"/>
  <c r="M22" i="39"/>
  <c r="N22" i="39"/>
  <c r="O22" i="39" s="1"/>
  <c r="K22" i="39"/>
  <c r="L22" i="39"/>
  <c r="N105" i="34"/>
  <c r="O105" i="34" s="1"/>
  <c r="P105" i="34" s="1"/>
  <c r="L105" i="34"/>
  <c r="M105" i="34"/>
  <c r="M24" i="34"/>
  <c r="N24" i="34"/>
  <c r="K24" i="34"/>
  <c r="L24" i="34"/>
  <c r="N105" i="32"/>
  <c r="O105" i="32"/>
  <c r="L105" i="32"/>
  <c r="M105" i="32" s="1"/>
  <c r="M24" i="32"/>
  <c r="N24" i="32"/>
  <c r="O24" i="32" s="1"/>
  <c r="K24" i="32"/>
  <c r="L24" i="32"/>
  <c r="O105" i="31"/>
  <c r="N105" i="31"/>
  <c r="L105" i="31"/>
  <c r="M105" i="31" s="1"/>
  <c r="P105" i="31" s="1"/>
  <c r="M24" i="31"/>
  <c r="N24" i="31"/>
  <c r="K24" i="31"/>
  <c r="L24" i="31" s="1"/>
  <c r="N106" i="30"/>
  <c r="O106" i="30"/>
  <c r="P106" i="30" s="1"/>
  <c r="M106" i="30"/>
  <c r="L106" i="30"/>
  <c r="M25" i="30"/>
  <c r="N25" i="30" s="1"/>
  <c r="O25" i="30" s="1"/>
  <c r="K25" i="30"/>
  <c r="L25" i="30"/>
  <c r="O106" i="29"/>
  <c r="N106" i="29"/>
  <c r="L106" i="29"/>
  <c r="M106" i="29" s="1"/>
  <c r="P106" i="29" s="1"/>
  <c r="M25" i="29"/>
  <c r="N25" i="29" s="1"/>
  <c r="K25" i="29"/>
  <c r="L25" i="29" s="1"/>
  <c r="N107" i="28"/>
  <c r="O107" i="28" s="1"/>
  <c r="P107" i="28" s="1"/>
  <c r="L107" i="28"/>
  <c r="M107" i="28" s="1"/>
  <c r="M26" i="28"/>
  <c r="N26" i="28"/>
  <c r="O26" i="28" s="1"/>
  <c r="K26" i="28"/>
  <c r="L26" i="28" s="1"/>
  <c r="N106" i="27"/>
  <c r="O106" i="27" s="1"/>
  <c r="L106" i="27"/>
  <c r="M106" i="27"/>
  <c r="M25" i="27"/>
  <c r="N25" i="27" s="1"/>
  <c r="K25" i="27"/>
  <c r="L25" i="27" s="1"/>
  <c r="N105" i="24"/>
  <c r="O105" i="24"/>
  <c r="P105" i="24" s="1"/>
  <c r="M105" i="24"/>
  <c r="L105" i="24"/>
  <c r="M24" i="24"/>
  <c r="N24" i="24" s="1"/>
  <c r="O24" i="24" s="1"/>
  <c r="K24" i="24"/>
  <c r="L24" i="24"/>
  <c r="N105" i="23"/>
  <c r="O105" i="23"/>
  <c r="P105" i="23" s="1"/>
  <c r="L105" i="23"/>
  <c r="M105" i="23" s="1"/>
  <c r="M24" i="23"/>
  <c r="N24" i="23" s="1"/>
  <c r="K24" i="23"/>
  <c r="L24" i="23" s="1"/>
  <c r="N104" i="22"/>
  <c r="O104" i="22"/>
  <c r="M104" i="22"/>
  <c r="L104" i="22"/>
  <c r="M23" i="22"/>
  <c r="N23" i="22" s="1"/>
  <c r="O23" i="22" s="1"/>
  <c r="K23" i="22"/>
  <c r="L23" i="22"/>
  <c r="N104" i="21"/>
  <c r="O104" i="21"/>
  <c r="L104" i="21"/>
  <c r="M104" i="21" s="1"/>
  <c r="N23" i="21"/>
  <c r="M23" i="21"/>
  <c r="L23" i="21"/>
  <c r="K23" i="21"/>
  <c r="N104" i="20"/>
  <c r="O104" i="20" s="1"/>
  <c r="P104" i="20" s="1"/>
  <c r="L104" i="20"/>
  <c r="M104" i="20" s="1"/>
  <c r="M23" i="20"/>
  <c r="N23" i="20"/>
  <c r="K23" i="20"/>
  <c r="L23" i="20" s="1"/>
  <c r="N104" i="19"/>
  <c r="O104" i="19" s="1"/>
  <c r="P104" i="19" s="1"/>
  <c r="L104" i="19"/>
  <c r="M104" i="19"/>
  <c r="M23" i="19"/>
  <c r="N23" i="19"/>
  <c r="O23" i="19" s="1"/>
  <c r="L23" i="19"/>
  <c r="K23" i="19"/>
  <c r="N104" i="18"/>
  <c r="O104" i="18" s="1"/>
  <c r="P104" i="18" s="1"/>
  <c r="L104" i="18"/>
  <c r="M104" i="18"/>
  <c r="M23" i="18"/>
  <c r="N23" i="18"/>
  <c r="O23" i="18" s="1"/>
  <c r="L23" i="18"/>
  <c r="K23" i="18"/>
  <c r="O104" i="17"/>
  <c r="N104" i="17"/>
  <c r="L104" i="17"/>
  <c r="M104" i="17" s="1"/>
  <c r="M23" i="17"/>
  <c r="N23" i="17" s="1"/>
  <c r="O23" i="17"/>
  <c r="K23" i="17"/>
  <c r="L23" i="17" s="1"/>
  <c r="N104" i="3"/>
  <c r="O104" i="3"/>
  <c r="L104" i="3"/>
  <c r="M104" i="3" s="1"/>
  <c r="M23" i="3"/>
  <c r="N23" i="3" s="1"/>
  <c r="K23" i="3"/>
  <c r="L23" i="3" s="1"/>
  <c r="O105" i="69"/>
  <c r="P105" i="69" s="1"/>
  <c r="M105" i="69"/>
  <c r="O104" i="69"/>
  <c r="P104" i="69"/>
  <c r="M104" i="69"/>
  <c r="O103" i="69"/>
  <c r="M103" i="69"/>
  <c r="P103" i="69"/>
  <c r="O102" i="69"/>
  <c r="P102" i="69"/>
  <c r="M102" i="69"/>
  <c r="O101" i="69"/>
  <c r="P101" i="69" s="1"/>
  <c r="M101" i="69"/>
  <c r="O100" i="69"/>
  <c r="P100" i="69"/>
  <c r="M100" i="69"/>
  <c r="O99" i="69"/>
  <c r="M99" i="69"/>
  <c r="P99" i="69"/>
  <c r="D92" i="64"/>
  <c r="D92" i="62"/>
  <c r="D92" i="63"/>
  <c r="D92" i="61"/>
  <c r="D92" i="59"/>
  <c r="D92" i="57"/>
  <c r="D92" i="21"/>
  <c r="M24" i="69"/>
  <c r="N24" i="69" s="1"/>
  <c r="L24" i="69"/>
  <c r="K24" i="69"/>
  <c r="M23" i="69"/>
  <c r="N23" i="69" s="1"/>
  <c r="K23" i="69"/>
  <c r="L23" i="69" s="1"/>
  <c r="N22" i="69"/>
  <c r="M22" i="69"/>
  <c r="K22" i="69"/>
  <c r="L22" i="69"/>
  <c r="M21" i="69"/>
  <c r="N21" i="69"/>
  <c r="K21" i="69"/>
  <c r="L21" i="69"/>
  <c r="M20" i="69"/>
  <c r="N20" i="69"/>
  <c r="K20" i="69"/>
  <c r="L20" i="69"/>
  <c r="M19" i="69"/>
  <c r="N19" i="69"/>
  <c r="K19" i="69"/>
  <c r="L19" i="69" s="1"/>
  <c r="M18" i="69"/>
  <c r="N18" i="69" s="1"/>
  <c r="K18" i="69"/>
  <c r="L18" i="69" s="1"/>
  <c r="M17" i="69"/>
  <c r="N17" i="69" s="1"/>
  <c r="O17" i="69"/>
  <c r="K17" i="69"/>
  <c r="L17" i="69"/>
  <c r="W71" i="36"/>
  <c r="W70" i="36"/>
  <c r="W69" i="36"/>
  <c r="W68" i="36"/>
  <c r="W67" i="36"/>
  <c r="W66" i="36"/>
  <c r="W65" i="36"/>
  <c r="W64" i="36"/>
  <c r="W63" i="36"/>
  <c r="W62" i="36"/>
  <c r="W61" i="36"/>
  <c r="P71" i="36"/>
  <c r="P70" i="36"/>
  <c r="P69" i="36"/>
  <c r="P68" i="36"/>
  <c r="P67" i="36"/>
  <c r="P66" i="36"/>
  <c r="P65" i="36"/>
  <c r="P64" i="36"/>
  <c r="P63" i="36"/>
  <c r="P62" i="36"/>
  <c r="P61" i="36"/>
  <c r="P154" i="79"/>
  <c r="O154" i="79"/>
  <c r="M154" i="79"/>
  <c r="P153" i="79"/>
  <c r="O153" i="79"/>
  <c r="M153" i="79"/>
  <c r="P152" i="79"/>
  <c r="O152" i="79"/>
  <c r="M152" i="79"/>
  <c r="P151" i="79"/>
  <c r="O151" i="79"/>
  <c r="M151" i="79"/>
  <c r="P150" i="79"/>
  <c r="O150" i="79"/>
  <c r="M150" i="79"/>
  <c r="P149" i="79"/>
  <c r="O149" i="79"/>
  <c r="M149" i="79"/>
  <c r="P148" i="79"/>
  <c r="O148" i="79"/>
  <c r="M148" i="79"/>
  <c r="P147" i="79"/>
  <c r="O147" i="79"/>
  <c r="M147" i="79"/>
  <c r="P146" i="79"/>
  <c r="O146" i="79"/>
  <c r="M146" i="79"/>
  <c r="P145" i="79"/>
  <c r="O145" i="79"/>
  <c r="M145" i="79"/>
  <c r="P144" i="79"/>
  <c r="O144" i="79"/>
  <c r="M144" i="79"/>
  <c r="P143" i="79"/>
  <c r="O143" i="79"/>
  <c r="M143" i="79"/>
  <c r="P142" i="79"/>
  <c r="O142" i="79"/>
  <c r="M142" i="79"/>
  <c r="P141" i="79"/>
  <c r="O141" i="79"/>
  <c r="M141" i="79"/>
  <c r="P140" i="79"/>
  <c r="O140" i="79"/>
  <c r="M140" i="79"/>
  <c r="P139" i="79"/>
  <c r="O139" i="79"/>
  <c r="M139" i="79"/>
  <c r="P138" i="79"/>
  <c r="O138" i="79"/>
  <c r="M138" i="79"/>
  <c r="P137" i="79"/>
  <c r="O137" i="79"/>
  <c r="M137" i="79"/>
  <c r="P136" i="79"/>
  <c r="O136" i="79"/>
  <c r="M136" i="79"/>
  <c r="P135" i="79"/>
  <c r="O135" i="79"/>
  <c r="M135" i="79"/>
  <c r="P134" i="79"/>
  <c r="O134" i="79"/>
  <c r="M134" i="79"/>
  <c r="P133" i="79"/>
  <c r="O133" i="79"/>
  <c r="M133" i="79"/>
  <c r="P132" i="79"/>
  <c r="O132" i="79"/>
  <c r="M132" i="79"/>
  <c r="P131" i="79"/>
  <c r="O131" i="79"/>
  <c r="M131" i="79"/>
  <c r="O130" i="79"/>
  <c r="M130" i="79"/>
  <c r="O129" i="79"/>
  <c r="M129" i="79"/>
  <c r="O128" i="79"/>
  <c r="M128" i="79"/>
  <c r="O127" i="79"/>
  <c r="M127" i="79"/>
  <c r="O126" i="79"/>
  <c r="M126" i="79"/>
  <c r="O125" i="79"/>
  <c r="M125" i="79"/>
  <c r="O124" i="79"/>
  <c r="M124" i="79"/>
  <c r="O123" i="79"/>
  <c r="M123" i="79"/>
  <c r="O122" i="79"/>
  <c r="M122" i="79"/>
  <c r="O121" i="79"/>
  <c r="M121" i="79"/>
  <c r="O120" i="79"/>
  <c r="M120" i="79"/>
  <c r="O119" i="79"/>
  <c r="M119" i="79"/>
  <c r="O118" i="79"/>
  <c r="M118" i="79"/>
  <c r="O117" i="79"/>
  <c r="M117" i="79"/>
  <c r="O116" i="79"/>
  <c r="M116" i="79"/>
  <c r="O115" i="79"/>
  <c r="M115" i="79"/>
  <c r="O114" i="79"/>
  <c r="M114" i="79"/>
  <c r="O113" i="79"/>
  <c r="M113" i="79"/>
  <c r="O112" i="79"/>
  <c r="M112" i="79"/>
  <c r="O111" i="79"/>
  <c r="M111" i="79"/>
  <c r="O110" i="79"/>
  <c r="M110" i="79"/>
  <c r="O109" i="79"/>
  <c r="M109" i="79"/>
  <c r="O108" i="79"/>
  <c r="M108" i="79"/>
  <c r="O107" i="79"/>
  <c r="M107" i="79"/>
  <c r="O106" i="79"/>
  <c r="M106" i="79"/>
  <c r="O105" i="79"/>
  <c r="M105" i="79"/>
  <c r="O104" i="79"/>
  <c r="M104" i="79"/>
  <c r="O103" i="79"/>
  <c r="O99" i="79"/>
  <c r="M99" i="79"/>
  <c r="D96" i="79"/>
  <c r="L93" i="79"/>
  <c r="J93" i="79"/>
  <c r="D91" i="79"/>
  <c r="D89" i="79"/>
  <c r="N72" i="79"/>
  <c r="L72" i="79"/>
  <c r="N71" i="79"/>
  <c r="L71" i="79"/>
  <c r="N70" i="79"/>
  <c r="L70" i="79"/>
  <c r="N69" i="79"/>
  <c r="L69" i="79"/>
  <c r="O69" i="79" s="1"/>
  <c r="N68" i="79"/>
  <c r="L68" i="79"/>
  <c r="N67" i="79"/>
  <c r="L67" i="79"/>
  <c r="N66" i="79"/>
  <c r="L66" i="79"/>
  <c r="N65" i="79"/>
  <c r="L65" i="79"/>
  <c r="N64" i="79"/>
  <c r="L64" i="79"/>
  <c r="N63" i="79"/>
  <c r="L63" i="79"/>
  <c r="N62" i="79"/>
  <c r="L62" i="79"/>
  <c r="N61" i="79"/>
  <c r="L61" i="79"/>
  <c r="N60" i="79"/>
  <c r="L60" i="79"/>
  <c r="N59" i="79"/>
  <c r="L59" i="79"/>
  <c r="N58" i="79"/>
  <c r="L58" i="79"/>
  <c r="N57" i="79"/>
  <c r="L57" i="79"/>
  <c r="N56" i="79"/>
  <c r="L56" i="79"/>
  <c r="N55" i="79"/>
  <c r="L55" i="79"/>
  <c r="N54" i="79"/>
  <c r="L54" i="79"/>
  <c r="N53" i="79"/>
  <c r="L53" i="79"/>
  <c r="O53" i="79" s="1"/>
  <c r="N52" i="79"/>
  <c r="L52" i="79"/>
  <c r="N51" i="79"/>
  <c r="L51" i="79"/>
  <c r="N50" i="79"/>
  <c r="L50" i="79"/>
  <c r="N49" i="79"/>
  <c r="L49" i="79"/>
  <c r="N48" i="79"/>
  <c r="L48" i="79"/>
  <c r="N47" i="79"/>
  <c r="L47" i="79"/>
  <c r="O47" i="79" s="1"/>
  <c r="N46" i="79"/>
  <c r="L46" i="79"/>
  <c r="N45" i="79"/>
  <c r="L45" i="79"/>
  <c r="N44" i="79"/>
  <c r="L44" i="79"/>
  <c r="N43" i="79"/>
  <c r="L43" i="79"/>
  <c r="N42" i="79"/>
  <c r="L42" i="79"/>
  <c r="N41" i="79"/>
  <c r="L41" i="79"/>
  <c r="O41" i="79" s="1"/>
  <c r="N40" i="79"/>
  <c r="L40" i="79"/>
  <c r="N39" i="79"/>
  <c r="L39" i="79"/>
  <c r="N38" i="79"/>
  <c r="L38" i="79"/>
  <c r="N37" i="79"/>
  <c r="L37" i="79"/>
  <c r="O37" i="79" s="1"/>
  <c r="N36" i="79"/>
  <c r="L36" i="79"/>
  <c r="N35" i="79"/>
  <c r="L35" i="79"/>
  <c r="O35" i="79" s="1"/>
  <c r="N34" i="79"/>
  <c r="L34" i="79"/>
  <c r="N33" i="79"/>
  <c r="L33" i="79"/>
  <c r="N32" i="79"/>
  <c r="L32" i="79"/>
  <c r="O32" i="79" s="1"/>
  <c r="N31" i="79"/>
  <c r="L31" i="79"/>
  <c r="N30" i="79"/>
  <c r="L30" i="79"/>
  <c r="N29" i="79"/>
  <c r="L29" i="79"/>
  <c r="N28" i="79"/>
  <c r="L28" i="79"/>
  <c r="N27" i="79"/>
  <c r="L27" i="79"/>
  <c r="N26" i="79"/>
  <c r="L26" i="79"/>
  <c r="N25" i="79"/>
  <c r="L25" i="79"/>
  <c r="N24" i="79"/>
  <c r="L24" i="79"/>
  <c r="N23" i="79"/>
  <c r="L23" i="79"/>
  <c r="N22" i="79"/>
  <c r="N21" i="79"/>
  <c r="C17" i="79"/>
  <c r="C18" i="79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C43" i="79" s="1"/>
  <c r="C44" i="79" s="1"/>
  <c r="K11" i="79"/>
  <c r="I11" i="79"/>
  <c r="D8" i="79"/>
  <c r="D90" i="79"/>
  <c r="P1" i="79"/>
  <c r="P83" i="79" s="1"/>
  <c r="P154" i="78"/>
  <c r="O154" i="78"/>
  <c r="M154" i="78"/>
  <c r="P153" i="78"/>
  <c r="O153" i="78"/>
  <c r="M153" i="78"/>
  <c r="P152" i="78"/>
  <c r="O152" i="78"/>
  <c r="M152" i="78"/>
  <c r="P151" i="78"/>
  <c r="O151" i="78"/>
  <c r="M151" i="78"/>
  <c r="P150" i="78"/>
  <c r="O150" i="78"/>
  <c r="M150" i="78"/>
  <c r="P149" i="78"/>
  <c r="O149" i="78"/>
  <c r="M149" i="78"/>
  <c r="P148" i="78"/>
  <c r="O148" i="78"/>
  <c r="M148" i="78"/>
  <c r="P147" i="78"/>
  <c r="O147" i="78"/>
  <c r="M147" i="78"/>
  <c r="P146" i="78"/>
  <c r="O146" i="78"/>
  <c r="M146" i="78"/>
  <c r="P145" i="78"/>
  <c r="O145" i="78"/>
  <c r="M145" i="78"/>
  <c r="P144" i="78"/>
  <c r="O144" i="78"/>
  <c r="M144" i="78"/>
  <c r="P143" i="78"/>
  <c r="O143" i="78"/>
  <c r="M143" i="78"/>
  <c r="P142" i="78"/>
  <c r="O142" i="78"/>
  <c r="M142" i="78"/>
  <c r="P141" i="78"/>
  <c r="O141" i="78"/>
  <c r="M141" i="78"/>
  <c r="P140" i="78"/>
  <c r="O140" i="78"/>
  <c r="M140" i="78"/>
  <c r="P139" i="78"/>
  <c r="O139" i="78"/>
  <c r="M139" i="78"/>
  <c r="P138" i="78"/>
  <c r="O138" i="78"/>
  <c r="M138" i="78"/>
  <c r="P137" i="78"/>
  <c r="O137" i="78"/>
  <c r="M137" i="78"/>
  <c r="P136" i="78"/>
  <c r="O136" i="78"/>
  <c r="M136" i="78"/>
  <c r="P135" i="78"/>
  <c r="O135" i="78"/>
  <c r="M135" i="78"/>
  <c r="P134" i="78"/>
  <c r="O134" i="78"/>
  <c r="M134" i="78"/>
  <c r="P133" i="78"/>
  <c r="O133" i="78"/>
  <c r="M133" i="78"/>
  <c r="P132" i="78"/>
  <c r="O132" i="78"/>
  <c r="M132" i="78"/>
  <c r="P131" i="78"/>
  <c r="O131" i="78"/>
  <c r="M131" i="78"/>
  <c r="O130" i="78"/>
  <c r="M130" i="78"/>
  <c r="O129" i="78"/>
  <c r="M129" i="78"/>
  <c r="O128" i="78"/>
  <c r="M128" i="78"/>
  <c r="O127" i="78"/>
  <c r="M127" i="78"/>
  <c r="O126" i="78"/>
  <c r="M126" i="78"/>
  <c r="O125" i="78"/>
  <c r="M125" i="78"/>
  <c r="O124" i="78"/>
  <c r="M124" i="78"/>
  <c r="O123" i="78"/>
  <c r="M123" i="78"/>
  <c r="O122" i="78"/>
  <c r="M122" i="78"/>
  <c r="O121" i="78"/>
  <c r="M121" i="78"/>
  <c r="O120" i="78"/>
  <c r="M120" i="78"/>
  <c r="O119" i="78"/>
  <c r="M119" i="78"/>
  <c r="O118" i="78"/>
  <c r="M118" i="78"/>
  <c r="O117" i="78"/>
  <c r="M117" i="78"/>
  <c r="O116" i="78"/>
  <c r="M116" i="78"/>
  <c r="O115" i="78"/>
  <c r="M115" i="78"/>
  <c r="O114" i="78"/>
  <c r="M114" i="78"/>
  <c r="O113" i="78"/>
  <c r="M113" i="78"/>
  <c r="O112" i="78"/>
  <c r="M112" i="78"/>
  <c r="O111" i="78"/>
  <c r="M111" i="78"/>
  <c r="O110" i="78"/>
  <c r="M110" i="78"/>
  <c r="O109" i="78"/>
  <c r="M109" i="78"/>
  <c r="O108" i="78"/>
  <c r="M108" i="78"/>
  <c r="O107" i="78"/>
  <c r="M107" i="78"/>
  <c r="O106" i="78"/>
  <c r="M106" i="78"/>
  <c r="O105" i="78"/>
  <c r="M105" i="78"/>
  <c r="O104" i="78"/>
  <c r="M104" i="78"/>
  <c r="O103" i="78"/>
  <c r="O99" i="78"/>
  <c r="P99" i="78" s="1"/>
  <c r="M99" i="78"/>
  <c r="D96" i="78"/>
  <c r="L93" i="78"/>
  <c r="J93" i="78"/>
  <c r="D91" i="78"/>
  <c r="D89" i="78"/>
  <c r="N72" i="78"/>
  <c r="L72" i="78"/>
  <c r="N71" i="78"/>
  <c r="L71" i="78"/>
  <c r="N70" i="78"/>
  <c r="L70" i="78"/>
  <c r="N69" i="78"/>
  <c r="L69" i="78"/>
  <c r="N68" i="78"/>
  <c r="L68" i="78"/>
  <c r="N67" i="78"/>
  <c r="L67" i="78"/>
  <c r="N66" i="78"/>
  <c r="L66" i="78"/>
  <c r="N65" i="78"/>
  <c r="L65" i="78"/>
  <c r="N64" i="78"/>
  <c r="L64" i="78"/>
  <c r="N63" i="78"/>
  <c r="L63" i="78"/>
  <c r="N62" i="78"/>
  <c r="L62" i="78"/>
  <c r="N61" i="78"/>
  <c r="L61" i="78"/>
  <c r="N60" i="78"/>
  <c r="L60" i="78"/>
  <c r="N59" i="78"/>
  <c r="L59" i="78"/>
  <c r="N58" i="78"/>
  <c r="L58" i="78"/>
  <c r="N57" i="78"/>
  <c r="L57" i="78"/>
  <c r="N56" i="78"/>
  <c r="L56" i="78"/>
  <c r="N55" i="78"/>
  <c r="L55" i="78"/>
  <c r="N54" i="78"/>
  <c r="L54" i="78"/>
  <c r="N53" i="78"/>
  <c r="L53" i="78"/>
  <c r="N52" i="78"/>
  <c r="L52" i="78"/>
  <c r="N51" i="78"/>
  <c r="L51" i="78"/>
  <c r="N50" i="78"/>
  <c r="L50" i="78"/>
  <c r="N49" i="78"/>
  <c r="L49" i="78"/>
  <c r="N48" i="78"/>
  <c r="L48" i="78"/>
  <c r="N47" i="78"/>
  <c r="L47" i="78"/>
  <c r="N46" i="78"/>
  <c r="L46" i="78"/>
  <c r="N45" i="78"/>
  <c r="L45" i="78"/>
  <c r="N44" i="78"/>
  <c r="L44" i="78"/>
  <c r="N43" i="78"/>
  <c r="L43" i="78"/>
  <c r="N42" i="78"/>
  <c r="L42" i="78"/>
  <c r="N41" i="78"/>
  <c r="L41" i="78"/>
  <c r="N40" i="78"/>
  <c r="L40" i="78"/>
  <c r="N39" i="78"/>
  <c r="L39" i="78"/>
  <c r="N38" i="78"/>
  <c r="L38" i="78"/>
  <c r="N37" i="78"/>
  <c r="L37" i="78"/>
  <c r="N36" i="78"/>
  <c r="L36" i="78"/>
  <c r="N35" i="78"/>
  <c r="L35" i="78"/>
  <c r="N34" i="78"/>
  <c r="L34" i="78"/>
  <c r="N33" i="78"/>
  <c r="L33" i="78"/>
  <c r="N32" i="78"/>
  <c r="L32" i="78"/>
  <c r="N31" i="78"/>
  <c r="L31" i="78"/>
  <c r="N30" i="78"/>
  <c r="L30" i="78"/>
  <c r="N29" i="78"/>
  <c r="L29" i="78"/>
  <c r="N28" i="78"/>
  <c r="L28" i="78"/>
  <c r="N27" i="78"/>
  <c r="L27" i="78"/>
  <c r="N26" i="78"/>
  <c r="L26" i="78"/>
  <c r="N25" i="78"/>
  <c r="L25" i="78"/>
  <c r="N24" i="78"/>
  <c r="L24" i="78"/>
  <c r="N23" i="78"/>
  <c r="L23" i="78"/>
  <c r="N22" i="78"/>
  <c r="N21" i="78"/>
  <c r="C17" i="78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/>
  <c r="C34" i="78" s="1"/>
  <c r="C35" i="78" s="1"/>
  <c r="C36" i="78" s="1"/>
  <c r="C37" i="78" s="1"/>
  <c r="C38" i="78" s="1"/>
  <c r="C39" i="78" s="1"/>
  <c r="C40" i="78" s="1"/>
  <c r="C41" i="78" s="1"/>
  <c r="C42" i="78" s="1"/>
  <c r="C43" i="78" s="1"/>
  <c r="C44" i="78" s="1"/>
  <c r="K11" i="78"/>
  <c r="I11" i="78"/>
  <c r="D8" i="78"/>
  <c r="D90" i="78" s="1"/>
  <c r="P1" i="78"/>
  <c r="P83" i="78" s="1"/>
  <c r="P154" i="77"/>
  <c r="O154" i="77"/>
  <c r="M154" i="77"/>
  <c r="P153" i="77"/>
  <c r="O153" i="77"/>
  <c r="M153" i="77"/>
  <c r="P152" i="77"/>
  <c r="O152" i="77"/>
  <c r="M152" i="77"/>
  <c r="P151" i="77"/>
  <c r="O151" i="77"/>
  <c r="M151" i="77"/>
  <c r="P150" i="77"/>
  <c r="O150" i="77"/>
  <c r="M150" i="77"/>
  <c r="P149" i="77"/>
  <c r="O149" i="77"/>
  <c r="M149" i="77"/>
  <c r="P148" i="77"/>
  <c r="O148" i="77"/>
  <c r="M148" i="77"/>
  <c r="P147" i="77"/>
  <c r="O147" i="77"/>
  <c r="M147" i="77"/>
  <c r="P146" i="77"/>
  <c r="O146" i="77"/>
  <c r="M146" i="77"/>
  <c r="P145" i="77"/>
  <c r="O145" i="77"/>
  <c r="M145" i="77"/>
  <c r="P144" i="77"/>
  <c r="O144" i="77"/>
  <c r="M144" i="77"/>
  <c r="P143" i="77"/>
  <c r="O143" i="77"/>
  <c r="M143" i="77"/>
  <c r="P142" i="77"/>
  <c r="O142" i="77"/>
  <c r="M142" i="77"/>
  <c r="P141" i="77"/>
  <c r="O141" i="77"/>
  <c r="M141" i="77"/>
  <c r="P140" i="77"/>
  <c r="O140" i="77"/>
  <c r="M140" i="77"/>
  <c r="P139" i="77"/>
  <c r="O139" i="77"/>
  <c r="M139" i="77"/>
  <c r="P138" i="77"/>
  <c r="O138" i="77"/>
  <c r="M138" i="77"/>
  <c r="P137" i="77"/>
  <c r="O137" i="77"/>
  <c r="M137" i="77"/>
  <c r="P136" i="77"/>
  <c r="O136" i="77"/>
  <c r="M136" i="77"/>
  <c r="P135" i="77"/>
  <c r="O135" i="77"/>
  <c r="M135" i="77"/>
  <c r="P134" i="77"/>
  <c r="O134" i="77"/>
  <c r="M134" i="77"/>
  <c r="P133" i="77"/>
  <c r="O133" i="77"/>
  <c r="M133" i="77"/>
  <c r="P132" i="77"/>
  <c r="O132" i="77"/>
  <c r="M132" i="77"/>
  <c r="P131" i="77"/>
  <c r="O131" i="77"/>
  <c r="M131" i="77"/>
  <c r="O130" i="77"/>
  <c r="M130" i="77"/>
  <c r="O129" i="77"/>
  <c r="M129" i="77"/>
  <c r="O128" i="77"/>
  <c r="M128" i="77"/>
  <c r="O127" i="77"/>
  <c r="M127" i="77"/>
  <c r="O126" i="77"/>
  <c r="M126" i="77"/>
  <c r="O125" i="77"/>
  <c r="M125" i="77"/>
  <c r="O124" i="77"/>
  <c r="M124" i="77"/>
  <c r="O123" i="77"/>
  <c r="M123" i="77"/>
  <c r="O122" i="77"/>
  <c r="M122" i="77"/>
  <c r="O121" i="77"/>
  <c r="M121" i="77"/>
  <c r="O120" i="77"/>
  <c r="M120" i="77"/>
  <c r="O119" i="77"/>
  <c r="M119" i="77"/>
  <c r="O118" i="77"/>
  <c r="M118" i="77"/>
  <c r="O117" i="77"/>
  <c r="M117" i="77"/>
  <c r="O116" i="77"/>
  <c r="M116" i="77"/>
  <c r="O115" i="77"/>
  <c r="M115" i="77"/>
  <c r="O114" i="77"/>
  <c r="M114" i="77"/>
  <c r="O113" i="77"/>
  <c r="M113" i="77"/>
  <c r="O112" i="77"/>
  <c r="M112" i="77"/>
  <c r="O111" i="77"/>
  <c r="M111" i="77"/>
  <c r="O110" i="77"/>
  <c r="M110" i="77"/>
  <c r="O109" i="77"/>
  <c r="M109" i="77"/>
  <c r="O108" i="77"/>
  <c r="M108" i="77"/>
  <c r="O107" i="77"/>
  <c r="M107" i="77"/>
  <c r="O106" i="77"/>
  <c r="M106" i="77"/>
  <c r="O105" i="77"/>
  <c r="M105" i="77"/>
  <c r="O104" i="77"/>
  <c r="M104" i="77"/>
  <c r="O103" i="77"/>
  <c r="O99" i="77"/>
  <c r="P99" i="77"/>
  <c r="M99" i="77"/>
  <c r="D96" i="77"/>
  <c r="L93" i="77"/>
  <c r="J93" i="77"/>
  <c r="D91" i="77"/>
  <c r="D89" i="77"/>
  <c r="N72" i="77"/>
  <c r="L72" i="77"/>
  <c r="N71" i="77"/>
  <c r="L71" i="77"/>
  <c r="N70" i="77"/>
  <c r="L70" i="77"/>
  <c r="N69" i="77"/>
  <c r="L69" i="77"/>
  <c r="N68" i="77"/>
  <c r="L68" i="77"/>
  <c r="N67" i="77"/>
  <c r="L67" i="77"/>
  <c r="N66" i="77"/>
  <c r="L66" i="77"/>
  <c r="N65" i="77"/>
  <c r="L65" i="77"/>
  <c r="N64" i="77"/>
  <c r="L64" i="77"/>
  <c r="N63" i="77"/>
  <c r="L63" i="77"/>
  <c r="N62" i="77"/>
  <c r="L62" i="77"/>
  <c r="N61" i="77"/>
  <c r="L61" i="77"/>
  <c r="N60" i="77"/>
  <c r="L60" i="77"/>
  <c r="N59" i="77"/>
  <c r="L59" i="77"/>
  <c r="N58" i="77"/>
  <c r="L58" i="77"/>
  <c r="N57" i="77"/>
  <c r="L57" i="77"/>
  <c r="N56" i="77"/>
  <c r="L56" i="77"/>
  <c r="N55" i="77"/>
  <c r="L55" i="77"/>
  <c r="N54" i="77"/>
  <c r="L54" i="77"/>
  <c r="N53" i="77"/>
  <c r="L53" i="77"/>
  <c r="N52" i="77"/>
  <c r="L52" i="77"/>
  <c r="N51" i="77"/>
  <c r="L51" i="77"/>
  <c r="N50" i="77"/>
  <c r="L50" i="77"/>
  <c r="N49" i="77"/>
  <c r="L49" i="77"/>
  <c r="N48" i="77"/>
  <c r="L48" i="77"/>
  <c r="N47" i="77"/>
  <c r="L47" i="77"/>
  <c r="N46" i="77"/>
  <c r="L46" i="77"/>
  <c r="N45" i="77"/>
  <c r="L45" i="77"/>
  <c r="N44" i="77"/>
  <c r="L44" i="77"/>
  <c r="N43" i="77"/>
  <c r="L43" i="77"/>
  <c r="N42" i="77"/>
  <c r="L42" i="77"/>
  <c r="N41" i="77"/>
  <c r="L41" i="77"/>
  <c r="N40" i="77"/>
  <c r="L40" i="77"/>
  <c r="N39" i="77"/>
  <c r="L39" i="77"/>
  <c r="N38" i="77"/>
  <c r="L38" i="77"/>
  <c r="N37" i="77"/>
  <c r="L37" i="77"/>
  <c r="N36" i="77"/>
  <c r="L36" i="77"/>
  <c r="N35" i="77"/>
  <c r="L35" i="77"/>
  <c r="N34" i="77"/>
  <c r="L34" i="77"/>
  <c r="N33" i="77"/>
  <c r="L33" i="77"/>
  <c r="N32" i="77"/>
  <c r="L32" i="77"/>
  <c r="N31" i="77"/>
  <c r="L31" i="77"/>
  <c r="N30" i="77"/>
  <c r="L30" i="77"/>
  <c r="N29" i="77"/>
  <c r="L29" i="77"/>
  <c r="O29" i="77" s="1"/>
  <c r="N28" i="77"/>
  <c r="L28" i="77"/>
  <c r="N27" i="77"/>
  <c r="L27" i="77"/>
  <c r="N26" i="77"/>
  <c r="L26" i="77"/>
  <c r="N25" i="77"/>
  <c r="L25" i="77"/>
  <c r="O25" i="77" s="1"/>
  <c r="N24" i="77"/>
  <c r="L24" i="77"/>
  <c r="N23" i="77"/>
  <c r="L23" i="77"/>
  <c r="N22" i="77"/>
  <c r="N21" i="77"/>
  <c r="C17" i="77"/>
  <c r="C18" i="77"/>
  <c r="C19" i="77" s="1"/>
  <c r="C20" i="77"/>
  <c r="C21" i="77" s="1"/>
  <c r="C22" i="77" s="1"/>
  <c r="C23" i="77" s="1"/>
  <c r="C24" i="77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K11" i="77"/>
  <c r="I11" i="77"/>
  <c r="D8" i="77"/>
  <c r="D90" i="77"/>
  <c r="P1" i="77"/>
  <c r="P83" i="77" s="1"/>
  <c r="P154" i="76"/>
  <c r="O154" i="76"/>
  <c r="M154" i="76"/>
  <c r="P153" i="76"/>
  <c r="O153" i="76"/>
  <c r="M153" i="76"/>
  <c r="P152" i="76"/>
  <c r="O152" i="76"/>
  <c r="M152" i="76"/>
  <c r="P151" i="76"/>
  <c r="O151" i="76"/>
  <c r="M151" i="76"/>
  <c r="P150" i="76"/>
  <c r="O150" i="76"/>
  <c r="M150" i="76"/>
  <c r="P149" i="76"/>
  <c r="O149" i="76"/>
  <c r="M149" i="76"/>
  <c r="P148" i="76"/>
  <c r="O148" i="76"/>
  <c r="M148" i="76"/>
  <c r="P147" i="76"/>
  <c r="O147" i="76"/>
  <c r="M147" i="76"/>
  <c r="P146" i="76"/>
  <c r="O146" i="76"/>
  <c r="M146" i="76"/>
  <c r="P145" i="76"/>
  <c r="O145" i="76"/>
  <c r="M145" i="76"/>
  <c r="P144" i="76"/>
  <c r="O144" i="76"/>
  <c r="M144" i="76"/>
  <c r="P143" i="76"/>
  <c r="O143" i="76"/>
  <c r="M143" i="76"/>
  <c r="P142" i="76"/>
  <c r="O142" i="76"/>
  <c r="M142" i="76"/>
  <c r="P141" i="76"/>
  <c r="O141" i="76"/>
  <c r="M141" i="76"/>
  <c r="P140" i="76"/>
  <c r="O140" i="76"/>
  <c r="M140" i="76"/>
  <c r="P139" i="76"/>
  <c r="O139" i="76"/>
  <c r="M139" i="76"/>
  <c r="P138" i="76"/>
  <c r="O138" i="76"/>
  <c r="M138" i="76"/>
  <c r="P137" i="76"/>
  <c r="O137" i="76"/>
  <c r="M137" i="76"/>
  <c r="P136" i="76"/>
  <c r="O136" i="76"/>
  <c r="M136" i="76"/>
  <c r="P135" i="76"/>
  <c r="O135" i="76"/>
  <c r="M135" i="76"/>
  <c r="P134" i="76"/>
  <c r="O134" i="76"/>
  <c r="M134" i="76"/>
  <c r="P133" i="76"/>
  <c r="O133" i="76"/>
  <c r="M133" i="76"/>
  <c r="P132" i="76"/>
  <c r="O132" i="76"/>
  <c r="M132" i="76"/>
  <c r="P131" i="76"/>
  <c r="O131" i="76"/>
  <c r="M131" i="76"/>
  <c r="O130" i="76"/>
  <c r="M130" i="76"/>
  <c r="O129" i="76"/>
  <c r="M129" i="76"/>
  <c r="O128" i="76"/>
  <c r="M128" i="76"/>
  <c r="O127" i="76"/>
  <c r="M127" i="76"/>
  <c r="O126" i="76"/>
  <c r="M126" i="76"/>
  <c r="O125" i="76"/>
  <c r="M125" i="76"/>
  <c r="O124" i="76"/>
  <c r="M124" i="76"/>
  <c r="O123" i="76"/>
  <c r="M123" i="76"/>
  <c r="O122" i="76"/>
  <c r="M122" i="76"/>
  <c r="O121" i="76"/>
  <c r="M121" i="76"/>
  <c r="O120" i="76"/>
  <c r="M120" i="76"/>
  <c r="O119" i="76"/>
  <c r="M119" i="76"/>
  <c r="O118" i="76"/>
  <c r="M118" i="76"/>
  <c r="O117" i="76"/>
  <c r="M117" i="76"/>
  <c r="O116" i="76"/>
  <c r="M116" i="76"/>
  <c r="O115" i="76"/>
  <c r="M115" i="76"/>
  <c r="O114" i="76"/>
  <c r="M114" i="76"/>
  <c r="O113" i="76"/>
  <c r="M113" i="76"/>
  <c r="O112" i="76"/>
  <c r="M112" i="76"/>
  <c r="O111" i="76"/>
  <c r="M111" i="76"/>
  <c r="O110" i="76"/>
  <c r="M110" i="76"/>
  <c r="O109" i="76"/>
  <c r="M109" i="76"/>
  <c r="O108" i="76"/>
  <c r="M108" i="76"/>
  <c r="O107" i="76"/>
  <c r="M107" i="76"/>
  <c r="O106" i="76"/>
  <c r="M106" i="76"/>
  <c r="O105" i="76"/>
  <c r="M105" i="76"/>
  <c r="O104" i="76"/>
  <c r="M104" i="76"/>
  <c r="O103" i="76"/>
  <c r="O99" i="76"/>
  <c r="P99" i="76" s="1"/>
  <c r="M99" i="76"/>
  <c r="D96" i="76"/>
  <c r="L93" i="76"/>
  <c r="J93" i="76"/>
  <c r="D91" i="76"/>
  <c r="D89" i="76"/>
  <c r="N72" i="76"/>
  <c r="L72" i="76"/>
  <c r="N71" i="76"/>
  <c r="L71" i="76"/>
  <c r="N70" i="76"/>
  <c r="L70" i="76"/>
  <c r="N69" i="76"/>
  <c r="L69" i="76"/>
  <c r="N68" i="76"/>
  <c r="L68" i="76"/>
  <c r="N67" i="76"/>
  <c r="L67" i="76"/>
  <c r="N66" i="76"/>
  <c r="L66" i="76"/>
  <c r="N65" i="76"/>
  <c r="L65" i="76"/>
  <c r="N64" i="76"/>
  <c r="L64" i="76"/>
  <c r="N63" i="76"/>
  <c r="L63" i="76"/>
  <c r="N62" i="76"/>
  <c r="L62" i="76"/>
  <c r="N61" i="76"/>
  <c r="L61" i="76"/>
  <c r="N60" i="76"/>
  <c r="L60" i="76"/>
  <c r="N59" i="76"/>
  <c r="L59" i="76"/>
  <c r="N58" i="76"/>
  <c r="L58" i="76"/>
  <c r="N57" i="76"/>
  <c r="L57" i="76"/>
  <c r="N56" i="76"/>
  <c r="L56" i="76"/>
  <c r="N55" i="76"/>
  <c r="L55" i="76"/>
  <c r="N54" i="76"/>
  <c r="L54" i="76"/>
  <c r="N53" i="76"/>
  <c r="L53" i="76"/>
  <c r="N52" i="76"/>
  <c r="L52" i="76"/>
  <c r="N51" i="76"/>
  <c r="L51" i="76"/>
  <c r="N50" i="76"/>
  <c r="L50" i="76"/>
  <c r="N49" i="76"/>
  <c r="L49" i="76"/>
  <c r="N48" i="76"/>
  <c r="L48" i="76"/>
  <c r="N47" i="76"/>
  <c r="L47" i="76"/>
  <c r="N46" i="76"/>
  <c r="L46" i="76"/>
  <c r="N45" i="76"/>
  <c r="L45" i="76"/>
  <c r="N44" i="76"/>
  <c r="L44" i="76"/>
  <c r="N43" i="76"/>
  <c r="L43" i="76"/>
  <c r="N42" i="76"/>
  <c r="L42" i="76"/>
  <c r="N41" i="76"/>
  <c r="L41" i="76"/>
  <c r="N40" i="76"/>
  <c r="L40" i="76"/>
  <c r="N39" i="76"/>
  <c r="L39" i="76"/>
  <c r="N38" i="76"/>
  <c r="L38" i="76"/>
  <c r="N37" i="76"/>
  <c r="L37" i="76"/>
  <c r="N36" i="76"/>
  <c r="L36" i="76"/>
  <c r="N35" i="76"/>
  <c r="L35" i="76"/>
  <c r="N34" i="76"/>
  <c r="L34" i="76"/>
  <c r="N33" i="76"/>
  <c r="L33" i="76"/>
  <c r="N32" i="76"/>
  <c r="L32" i="76"/>
  <c r="N31" i="76"/>
  <c r="L31" i="76"/>
  <c r="N30" i="76"/>
  <c r="L30" i="76"/>
  <c r="N29" i="76"/>
  <c r="L29" i="76"/>
  <c r="N28" i="76"/>
  <c r="L28" i="76"/>
  <c r="N27" i="76"/>
  <c r="L27" i="76"/>
  <c r="N26" i="76"/>
  <c r="L26" i="76"/>
  <c r="N25" i="76"/>
  <c r="L25" i="76"/>
  <c r="N24" i="76"/>
  <c r="L24" i="76"/>
  <c r="N23" i="76"/>
  <c r="L23" i="76"/>
  <c r="N22" i="76"/>
  <c r="N21" i="76"/>
  <c r="O21" i="76" s="1"/>
  <c r="C17" i="76"/>
  <c r="C18" i="76"/>
  <c r="C19" i="76" s="1"/>
  <c r="C20" i="76" s="1"/>
  <c r="C21" i="76" s="1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C33" i="76" s="1"/>
  <c r="C34" i="76" s="1"/>
  <c r="C35" i="76" s="1"/>
  <c r="C36" i="76" s="1"/>
  <c r="C37" i="76" s="1"/>
  <c r="C38" i="76" s="1"/>
  <c r="C39" i="76" s="1"/>
  <c r="C40" i="76" s="1"/>
  <c r="C41" i="76" s="1"/>
  <c r="C42" i="76" s="1"/>
  <c r="C43" i="76" s="1"/>
  <c r="C44" i="76" s="1"/>
  <c r="K11" i="76"/>
  <c r="I11" i="76"/>
  <c r="D8" i="76"/>
  <c r="D90" i="76" s="1"/>
  <c r="P1" i="76"/>
  <c r="P83" i="76" s="1"/>
  <c r="P154" i="75"/>
  <c r="O154" i="75"/>
  <c r="M154" i="75"/>
  <c r="P153" i="75"/>
  <c r="O153" i="75"/>
  <c r="M153" i="75"/>
  <c r="P152" i="75"/>
  <c r="O152" i="75"/>
  <c r="M152" i="75"/>
  <c r="P151" i="75"/>
  <c r="O151" i="75"/>
  <c r="M151" i="75"/>
  <c r="P150" i="75"/>
  <c r="O150" i="75"/>
  <c r="M150" i="75"/>
  <c r="P149" i="75"/>
  <c r="O149" i="75"/>
  <c r="M149" i="75"/>
  <c r="P148" i="75"/>
  <c r="O148" i="75"/>
  <c r="M148" i="75"/>
  <c r="P147" i="75"/>
  <c r="O147" i="75"/>
  <c r="M147" i="75"/>
  <c r="P146" i="75"/>
  <c r="O146" i="75"/>
  <c r="M146" i="75"/>
  <c r="P145" i="75"/>
  <c r="O145" i="75"/>
  <c r="M145" i="75"/>
  <c r="P144" i="75"/>
  <c r="O144" i="75"/>
  <c r="M144" i="75"/>
  <c r="P143" i="75"/>
  <c r="O143" i="75"/>
  <c r="M143" i="75"/>
  <c r="P142" i="75"/>
  <c r="O142" i="75"/>
  <c r="M142" i="75"/>
  <c r="P141" i="75"/>
  <c r="O141" i="75"/>
  <c r="M141" i="75"/>
  <c r="P140" i="75"/>
  <c r="O140" i="75"/>
  <c r="M140" i="75"/>
  <c r="P139" i="75"/>
  <c r="O139" i="75"/>
  <c r="M139" i="75"/>
  <c r="P138" i="75"/>
  <c r="O138" i="75"/>
  <c r="M138" i="75"/>
  <c r="P137" i="75"/>
  <c r="O137" i="75"/>
  <c r="M137" i="75"/>
  <c r="P136" i="75"/>
  <c r="O136" i="75"/>
  <c r="M136" i="75"/>
  <c r="P135" i="75"/>
  <c r="O135" i="75"/>
  <c r="M135" i="75"/>
  <c r="P134" i="75"/>
  <c r="O134" i="75"/>
  <c r="M134" i="75"/>
  <c r="P133" i="75"/>
  <c r="O133" i="75"/>
  <c r="M133" i="75"/>
  <c r="P132" i="75"/>
  <c r="O132" i="75"/>
  <c r="M132" i="75"/>
  <c r="P131" i="75"/>
  <c r="O131" i="75"/>
  <c r="M131" i="75"/>
  <c r="O130" i="75"/>
  <c r="M130" i="75"/>
  <c r="O129" i="75"/>
  <c r="M129" i="75"/>
  <c r="O128" i="75"/>
  <c r="M128" i="75"/>
  <c r="O127" i="75"/>
  <c r="M127" i="75"/>
  <c r="O126" i="75"/>
  <c r="M126" i="75"/>
  <c r="O125" i="75"/>
  <c r="M125" i="75"/>
  <c r="O124" i="75"/>
  <c r="M124" i="75"/>
  <c r="O123" i="75"/>
  <c r="M123" i="75"/>
  <c r="O122" i="75"/>
  <c r="M122" i="75"/>
  <c r="O121" i="75"/>
  <c r="M121" i="75"/>
  <c r="O120" i="75"/>
  <c r="M120" i="75"/>
  <c r="O119" i="75"/>
  <c r="M119" i="75"/>
  <c r="O118" i="75"/>
  <c r="M118" i="75"/>
  <c r="O117" i="75"/>
  <c r="M117" i="75"/>
  <c r="O116" i="75"/>
  <c r="M116" i="75"/>
  <c r="O115" i="75"/>
  <c r="M115" i="75"/>
  <c r="O114" i="75"/>
  <c r="M114" i="75"/>
  <c r="O113" i="75"/>
  <c r="M113" i="75"/>
  <c r="O112" i="75"/>
  <c r="M112" i="75"/>
  <c r="O111" i="75"/>
  <c r="M111" i="75"/>
  <c r="O110" i="75"/>
  <c r="M110" i="75"/>
  <c r="O109" i="75"/>
  <c r="M109" i="75"/>
  <c r="O108" i="75"/>
  <c r="M108" i="75"/>
  <c r="O107" i="75"/>
  <c r="M107" i="75"/>
  <c r="O106" i="75"/>
  <c r="M106" i="75"/>
  <c r="O105" i="75"/>
  <c r="M105" i="75"/>
  <c r="O104" i="75"/>
  <c r="M104" i="75"/>
  <c r="O103" i="75"/>
  <c r="O99" i="75"/>
  <c r="M99" i="75"/>
  <c r="D96" i="75"/>
  <c r="L93" i="75"/>
  <c r="J93" i="75"/>
  <c r="D91" i="75"/>
  <c r="D89" i="75"/>
  <c r="N72" i="75"/>
  <c r="L72" i="75"/>
  <c r="N71" i="75"/>
  <c r="L71" i="75"/>
  <c r="N70" i="75"/>
  <c r="L70" i="75"/>
  <c r="N69" i="75"/>
  <c r="L69" i="75"/>
  <c r="N68" i="75"/>
  <c r="L68" i="75"/>
  <c r="N67" i="75"/>
  <c r="L67" i="75"/>
  <c r="N66" i="75"/>
  <c r="L66" i="75"/>
  <c r="N65" i="75"/>
  <c r="L65" i="75"/>
  <c r="N64" i="75"/>
  <c r="L64" i="75"/>
  <c r="N63" i="75"/>
  <c r="L63" i="75"/>
  <c r="N62" i="75"/>
  <c r="L62" i="75"/>
  <c r="N61" i="75"/>
  <c r="L61" i="75"/>
  <c r="N60" i="75"/>
  <c r="L60" i="75"/>
  <c r="N59" i="75"/>
  <c r="L59" i="75"/>
  <c r="N58" i="75"/>
  <c r="L58" i="75"/>
  <c r="N57" i="75"/>
  <c r="L57" i="75"/>
  <c r="N56" i="75"/>
  <c r="L56" i="75"/>
  <c r="N55" i="75"/>
  <c r="L55" i="75"/>
  <c r="N54" i="75"/>
  <c r="L54" i="75"/>
  <c r="N53" i="75"/>
  <c r="L53" i="75"/>
  <c r="N52" i="75"/>
  <c r="L52" i="75"/>
  <c r="N51" i="75"/>
  <c r="L51" i="75"/>
  <c r="N50" i="75"/>
  <c r="L50" i="75"/>
  <c r="N49" i="75"/>
  <c r="L49" i="75"/>
  <c r="N48" i="75"/>
  <c r="L48" i="75"/>
  <c r="N47" i="75"/>
  <c r="L47" i="75"/>
  <c r="N46" i="75"/>
  <c r="L46" i="75"/>
  <c r="N45" i="75"/>
  <c r="L45" i="75"/>
  <c r="N44" i="75"/>
  <c r="L44" i="75"/>
  <c r="N43" i="75"/>
  <c r="L43" i="75"/>
  <c r="N42" i="75"/>
  <c r="L42" i="75"/>
  <c r="N41" i="75"/>
  <c r="L41" i="75"/>
  <c r="N40" i="75"/>
  <c r="L40" i="75"/>
  <c r="N39" i="75"/>
  <c r="L39" i="75"/>
  <c r="N38" i="75"/>
  <c r="L38" i="75"/>
  <c r="N37" i="75"/>
  <c r="L37" i="75"/>
  <c r="N36" i="75"/>
  <c r="L36" i="75"/>
  <c r="N35" i="75"/>
  <c r="L35" i="75"/>
  <c r="N34" i="75"/>
  <c r="L34" i="75"/>
  <c r="N33" i="75"/>
  <c r="L33" i="75"/>
  <c r="N32" i="75"/>
  <c r="L32" i="75"/>
  <c r="N31" i="75"/>
  <c r="L31" i="75"/>
  <c r="N30" i="75"/>
  <c r="L30" i="75"/>
  <c r="N29" i="75"/>
  <c r="L29" i="75"/>
  <c r="N28" i="75"/>
  <c r="L28" i="75"/>
  <c r="N27" i="75"/>
  <c r="L27" i="75"/>
  <c r="N26" i="75"/>
  <c r="L26" i="75"/>
  <c r="N25" i="75"/>
  <c r="L25" i="75"/>
  <c r="N24" i="75"/>
  <c r="L24" i="75"/>
  <c r="N23" i="75"/>
  <c r="L23" i="75"/>
  <c r="N22" i="75"/>
  <c r="N21" i="75"/>
  <c r="C17" i="75"/>
  <c r="C18" i="75"/>
  <c r="C19" i="75" s="1"/>
  <c r="C20" i="75" s="1"/>
  <c r="C21" i="75" s="1"/>
  <c r="C22" i="75"/>
  <c r="C23" i="75" s="1"/>
  <c r="C24" i="75" s="1"/>
  <c r="C25" i="75" s="1"/>
  <c r="C26" i="75" s="1"/>
  <c r="C27" i="75" s="1"/>
  <c r="C28" i="75" s="1"/>
  <c r="C29" i="75" s="1"/>
  <c r="C30" i="75" s="1"/>
  <c r="C31" i="75" s="1"/>
  <c r="C32" i="75" s="1"/>
  <c r="C33" i="75" s="1"/>
  <c r="C34" i="75" s="1"/>
  <c r="C35" i="75" s="1"/>
  <c r="C36" i="75" s="1"/>
  <c r="C37" i="75" s="1"/>
  <c r="C38" i="75"/>
  <c r="C39" i="75" s="1"/>
  <c r="C40" i="75" s="1"/>
  <c r="C41" i="75" s="1"/>
  <c r="C42" i="75" s="1"/>
  <c r="C43" i="75" s="1"/>
  <c r="C44" i="75" s="1"/>
  <c r="K11" i="75"/>
  <c r="I11" i="75"/>
  <c r="D8" i="75"/>
  <c r="D90" i="75" s="1"/>
  <c r="P1" i="75"/>
  <c r="P83" i="75" s="1"/>
  <c r="P154" i="74"/>
  <c r="O154" i="74"/>
  <c r="M154" i="74"/>
  <c r="P153" i="74"/>
  <c r="O153" i="74"/>
  <c r="M153" i="74"/>
  <c r="P152" i="74"/>
  <c r="O152" i="74"/>
  <c r="M152" i="74"/>
  <c r="P151" i="74"/>
  <c r="O151" i="74"/>
  <c r="M151" i="74"/>
  <c r="P150" i="74"/>
  <c r="O150" i="74"/>
  <c r="M150" i="74"/>
  <c r="P149" i="74"/>
  <c r="O149" i="74"/>
  <c r="M149" i="74"/>
  <c r="P148" i="74"/>
  <c r="O148" i="74"/>
  <c r="M148" i="74"/>
  <c r="P147" i="74"/>
  <c r="O147" i="74"/>
  <c r="M147" i="74"/>
  <c r="P146" i="74"/>
  <c r="O146" i="74"/>
  <c r="M146" i="74"/>
  <c r="P145" i="74"/>
  <c r="O145" i="74"/>
  <c r="M145" i="74"/>
  <c r="P144" i="74"/>
  <c r="O144" i="74"/>
  <c r="M144" i="74"/>
  <c r="P143" i="74"/>
  <c r="O143" i="74"/>
  <c r="M143" i="74"/>
  <c r="P142" i="74"/>
  <c r="O142" i="74"/>
  <c r="M142" i="74"/>
  <c r="P141" i="74"/>
  <c r="O141" i="74"/>
  <c r="M141" i="74"/>
  <c r="P140" i="74"/>
  <c r="O140" i="74"/>
  <c r="M140" i="74"/>
  <c r="P139" i="74"/>
  <c r="O139" i="74"/>
  <c r="M139" i="74"/>
  <c r="P138" i="74"/>
  <c r="O138" i="74"/>
  <c r="M138" i="74"/>
  <c r="P137" i="74"/>
  <c r="O137" i="74"/>
  <c r="M137" i="74"/>
  <c r="P136" i="74"/>
  <c r="O136" i="74"/>
  <c r="M136" i="74"/>
  <c r="P135" i="74"/>
  <c r="O135" i="74"/>
  <c r="M135" i="74"/>
  <c r="P134" i="74"/>
  <c r="O134" i="74"/>
  <c r="M134" i="74"/>
  <c r="P133" i="74"/>
  <c r="O133" i="74"/>
  <c r="M133" i="74"/>
  <c r="P132" i="74"/>
  <c r="O132" i="74"/>
  <c r="M132" i="74"/>
  <c r="P131" i="74"/>
  <c r="O131" i="74"/>
  <c r="M131" i="74"/>
  <c r="O130" i="74"/>
  <c r="M130" i="74"/>
  <c r="O129" i="74"/>
  <c r="M129" i="74"/>
  <c r="O128" i="74"/>
  <c r="M128" i="74"/>
  <c r="O127" i="74"/>
  <c r="M127" i="74"/>
  <c r="O126" i="74"/>
  <c r="M126" i="74"/>
  <c r="O125" i="74"/>
  <c r="M125" i="74"/>
  <c r="O124" i="74"/>
  <c r="M124" i="74"/>
  <c r="O123" i="74"/>
  <c r="M123" i="74"/>
  <c r="O122" i="74"/>
  <c r="M122" i="74"/>
  <c r="O121" i="74"/>
  <c r="M121" i="74"/>
  <c r="O120" i="74"/>
  <c r="M120" i="74"/>
  <c r="O119" i="74"/>
  <c r="M119" i="74"/>
  <c r="O118" i="74"/>
  <c r="M118" i="74"/>
  <c r="O117" i="74"/>
  <c r="M117" i="74"/>
  <c r="O116" i="74"/>
  <c r="M116" i="74"/>
  <c r="O115" i="74"/>
  <c r="M115" i="74"/>
  <c r="O114" i="74"/>
  <c r="M114" i="74"/>
  <c r="O113" i="74"/>
  <c r="M113" i="74"/>
  <c r="O112" i="74"/>
  <c r="M112" i="74"/>
  <c r="O111" i="74"/>
  <c r="M111" i="74"/>
  <c r="O110" i="74"/>
  <c r="M110" i="74"/>
  <c r="O109" i="74"/>
  <c r="M109" i="74"/>
  <c r="O108" i="74"/>
  <c r="O107" i="74"/>
  <c r="O103" i="74"/>
  <c r="P103" i="74"/>
  <c r="M103" i="74"/>
  <c r="O102" i="74"/>
  <c r="M102" i="74"/>
  <c r="O101" i="74"/>
  <c r="M101" i="74"/>
  <c r="O100" i="74"/>
  <c r="M100" i="74"/>
  <c r="P100" i="74"/>
  <c r="O99" i="74"/>
  <c r="M99" i="74"/>
  <c r="D96" i="74"/>
  <c r="L93" i="74"/>
  <c r="J93" i="74"/>
  <c r="D91" i="74"/>
  <c r="D89" i="74"/>
  <c r="N72" i="74"/>
  <c r="L72" i="74"/>
  <c r="N71" i="74"/>
  <c r="L71" i="74"/>
  <c r="N70" i="74"/>
  <c r="L70" i="74"/>
  <c r="N69" i="74"/>
  <c r="O69" i="74" s="1"/>
  <c r="L69" i="74"/>
  <c r="N68" i="74"/>
  <c r="L68" i="74"/>
  <c r="N67" i="74"/>
  <c r="L67" i="74"/>
  <c r="N66" i="74"/>
  <c r="L66" i="74"/>
  <c r="N65" i="74"/>
  <c r="O65" i="74" s="1"/>
  <c r="L65" i="74"/>
  <c r="N64" i="74"/>
  <c r="L64" i="74"/>
  <c r="N63" i="74"/>
  <c r="L63" i="74"/>
  <c r="N62" i="74"/>
  <c r="L62" i="74"/>
  <c r="N61" i="74"/>
  <c r="L61" i="74"/>
  <c r="N60" i="74"/>
  <c r="L60" i="74"/>
  <c r="N59" i="74"/>
  <c r="L59" i="74"/>
  <c r="N58" i="74"/>
  <c r="L58" i="74"/>
  <c r="N57" i="74"/>
  <c r="L57" i="74"/>
  <c r="N56" i="74"/>
  <c r="L56" i="74"/>
  <c r="N55" i="74"/>
  <c r="O55" i="74" s="1"/>
  <c r="L55" i="74"/>
  <c r="N54" i="74"/>
  <c r="L54" i="74"/>
  <c r="N53" i="74"/>
  <c r="O53" i="74" s="1"/>
  <c r="L53" i="74"/>
  <c r="N52" i="74"/>
  <c r="L52" i="74"/>
  <c r="N51" i="74"/>
  <c r="O51" i="74" s="1"/>
  <c r="L51" i="74"/>
  <c r="N50" i="74"/>
  <c r="L50" i="74"/>
  <c r="N49" i="74"/>
  <c r="O49" i="74" s="1"/>
  <c r="L49" i="74"/>
  <c r="N48" i="74"/>
  <c r="L48" i="74"/>
  <c r="N47" i="74"/>
  <c r="O47" i="74" s="1"/>
  <c r="L47" i="74"/>
  <c r="N46" i="74"/>
  <c r="L46" i="74"/>
  <c r="N45" i="74"/>
  <c r="L45" i="74"/>
  <c r="N44" i="74"/>
  <c r="L44" i="74"/>
  <c r="N43" i="74"/>
  <c r="L43" i="74"/>
  <c r="N42" i="74"/>
  <c r="L42" i="74"/>
  <c r="N41" i="74"/>
  <c r="O41" i="74" s="1"/>
  <c r="L41" i="74"/>
  <c r="N40" i="74"/>
  <c r="L40" i="74"/>
  <c r="N39" i="74"/>
  <c r="O39" i="74" s="1"/>
  <c r="L39" i="74"/>
  <c r="N38" i="74"/>
  <c r="L38" i="74"/>
  <c r="N37" i="74"/>
  <c r="O37" i="74" s="1"/>
  <c r="L37" i="74"/>
  <c r="N36" i="74"/>
  <c r="L36" i="74"/>
  <c r="N35" i="74"/>
  <c r="O35" i="74" s="1"/>
  <c r="L35" i="74"/>
  <c r="N34" i="74"/>
  <c r="L34" i="74"/>
  <c r="N33" i="74"/>
  <c r="L33" i="74"/>
  <c r="N32" i="74"/>
  <c r="L32" i="74"/>
  <c r="N31" i="74"/>
  <c r="L31" i="74"/>
  <c r="N30" i="74"/>
  <c r="L30" i="74"/>
  <c r="N29" i="74"/>
  <c r="L29" i="74"/>
  <c r="N28" i="74"/>
  <c r="L28" i="74"/>
  <c r="N27" i="74"/>
  <c r="N26" i="74"/>
  <c r="N25" i="74"/>
  <c r="C17" i="74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C69" i="74" s="1"/>
  <c r="C70" i="74" s="1"/>
  <c r="C71" i="74" s="1"/>
  <c r="C72" i="74" s="1"/>
  <c r="K11" i="74"/>
  <c r="I11" i="74"/>
  <c r="D8" i="74"/>
  <c r="D90" i="74" s="1"/>
  <c r="P1" i="74"/>
  <c r="P83" i="74" s="1"/>
  <c r="P154" i="73"/>
  <c r="O154" i="73"/>
  <c r="M154" i="73"/>
  <c r="P153" i="73"/>
  <c r="O153" i="73"/>
  <c r="M153" i="73"/>
  <c r="P152" i="73"/>
  <c r="O152" i="73"/>
  <c r="M152" i="73"/>
  <c r="P151" i="73"/>
  <c r="O151" i="73"/>
  <c r="M151" i="73"/>
  <c r="P150" i="73"/>
  <c r="O150" i="73"/>
  <c r="M150" i="73"/>
  <c r="P149" i="73"/>
  <c r="O149" i="73"/>
  <c r="M149" i="73"/>
  <c r="P148" i="73"/>
  <c r="O148" i="73"/>
  <c r="M148" i="73"/>
  <c r="P147" i="73"/>
  <c r="O147" i="73"/>
  <c r="M147" i="73"/>
  <c r="P146" i="73"/>
  <c r="O146" i="73"/>
  <c r="M146" i="73"/>
  <c r="P145" i="73"/>
  <c r="O145" i="73"/>
  <c r="M145" i="73"/>
  <c r="P144" i="73"/>
  <c r="O144" i="73"/>
  <c r="M144" i="73"/>
  <c r="P143" i="73"/>
  <c r="O143" i="73"/>
  <c r="M143" i="73"/>
  <c r="P142" i="73"/>
  <c r="O142" i="73"/>
  <c r="M142" i="73"/>
  <c r="P141" i="73"/>
  <c r="O141" i="73"/>
  <c r="M141" i="73"/>
  <c r="P140" i="73"/>
  <c r="O140" i="73"/>
  <c r="M140" i="73"/>
  <c r="P139" i="73"/>
  <c r="O139" i="73"/>
  <c r="M139" i="73"/>
  <c r="P138" i="73"/>
  <c r="O138" i="73"/>
  <c r="M138" i="73"/>
  <c r="P137" i="73"/>
  <c r="O137" i="73"/>
  <c r="M137" i="73"/>
  <c r="P136" i="73"/>
  <c r="O136" i="73"/>
  <c r="M136" i="73"/>
  <c r="P135" i="73"/>
  <c r="O135" i="73"/>
  <c r="M135" i="73"/>
  <c r="P134" i="73"/>
  <c r="O134" i="73"/>
  <c r="M134" i="73"/>
  <c r="P133" i="73"/>
  <c r="O133" i="73"/>
  <c r="M133" i="73"/>
  <c r="P132" i="73"/>
  <c r="O132" i="73"/>
  <c r="M132" i="73"/>
  <c r="P131" i="73"/>
  <c r="O131" i="73"/>
  <c r="M131" i="73"/>
  <c r="O130" i="73"/>
  <c r="M130" i="73"/>
  <c r="O129" i="73"/>
  <c r="M129" i="73"/>
  <c r="O128" i="73"/>
  <c r="M128" i="73"/>
  <c r="O127" i="73"/>
  <c r="M127" i="73"/>
  <c r="O126" i="73"/>
  <c r="M126" i="73"/>
  <c r="O125" i="73"/>
  <c r="M125" i="73"/>
  <c r="O124" i="73"/>
  <c r="M124" i="73"/>
  <c r="O123" i="73"/>
  <c r="M123" i="73"/>
  <c r="O122" i="73"/>
  <c r="M122" i="73"/>
  <c r="O121" i="73"/>
  <c r="M121" i="73"/>
  <c r="O120" i="73"/>
  <c r="M120" i="73"/>
  <c r="O119" i="73"/>
  <c r="M119" i="73"/>
  <c r="O118" i="73"/>
  <c r="M118" i="73"/>
  <c r="O117" i="73"/>
  <c r="M117" i="73"/>
  <c r="O116" i="73"/>
  <c r="M116" i="73"/>
  <c r="O115" i="73"/>
  <c r="M115" i="73"/>
  <c r="O114" i="73"/>
  <c r="M114" i="73"/>
  <c r="O113" i="73"/>
  <c r="M113" i="73"/>
  <c r="O112" i="73"/>
  <c r="M112" i="73"/>
  <c r="O111" i="73"/>
  <c r="M111" i="73"/>
  <c r="O110" i="73"/>
  <c r="M110" i="73"/>
  <c r="O109" i="73"/>
  <c r="M109" i="73"/>
  <c r="O108" i="73"/>
  <c r="O104" i="73"/>
  <c r="P104" i="73"/>
  <c r="M104" i="73"/>
  <c r="O103" i="73"/>
  <c r="M103" i="73"/>
  <c r="O102" i="73"/>
  <c r="M102" i="73"/>
  <c r="O101" i="73"/>
  <c r="M101" i="73"/>
  <c r="P101" i="73"/>
  <c r="O100" i="73"/>
  <c r="M100" i="73"/>
  <c r="O99" i="73"/>
  <c r="M99" i="73"/>
  <c r="D96" i="73"/>
  <c r="L93" i="73"/>
  <c r="J93" i="73"/>
  <c r="D91" i="73"/>
  <c r="D89" i="73"/>
  <c r="N72" i="73"/>
  <c r="L72" i="73"/>
  <c r="N71" i="73"/>
  <c r="L71" i="73"/>
  <c r="N70" i="73"/>
  <c r="L70" i="73"/>
  <c r="N69" i="73"/>
  <c r="L69" i="73"/>
  <c r="N68" i="73"/>
  <c r="L68" i="73"/>
  <c r="N67" i="73"/>
  <c r="L67" i="73"/>
  <c r="N66" i="73"/>
  <c r="L66" i="73"/>
  <c r="N65" i="73"/>
  <c r="L65" i="73"/>
  <c r="N64" i="73"/>
  <c r="O64" i="73" s="1"/>
  <c r="L64" i="73"/>
  <c r="N63" i="73"/>
  <c r="L63" i="73"/>
  <c r="N62" i="73"/>
  <c r="O62" i="73" s="1"/>
  <c r="L62" i="73"/>
  <c r="N61" i="73"/>
  <c r="L61" i="73"/>
  <c r="N60" i="73"/>
  <c r="L60" i="73"/>
  <c r="N59" i="73"/>
  <c r="L59" i="73"/>
  <c r="N58" i="73"/>
  <c r="L58" i="73"/>
  <c r="N57" i="73"/>
  <c r="L57" i="73"/>
  <c r="N56" i="73"/>
  <c r="O56" i="73" s="1"/>
  <c r="L56" i="73"/>
  <c r="N55" i="73"/>
  <c r="L55" i="73"/>
  <c r="N54" i="73"/>
  <c r="O54" i="73" s="1"/>
  <c r="L54" i="73"/>
  <c r="N53" i="73"/>
  <c r="L53" i="73"/>
  <c r="N52" i="73"/>
  <c r="O52" i="73" s="1"/>
  <c r="L52" i="73"/>
  <c r="N51" i="73"/>
  <c r="L51" i="73"/>
  <c r="N50" i="73"/>
  <c r="O50" i="73" s="1"/>
  <c r="L50" i="73"/>
  <c r="N49" i="73"/>
  <c r="L49" i="73"/>
  <c r="N48" i="73"/>
  <c r="L48" i="73"/>
  <c r="N47" i="73"/>
  <c r="L47" i="73"/>
  <c r="N46" i="73"/>
  <c r="O46" i="73" s="1"/>
  <c r="L46" i="73"/>
  <c r="N45" i="73"/>
  <c r="L45" i="73"/>
  <c r="N44" i="73"/>
  <c r="O44" i="73" s="1"/>
  <c r="L44" i="73"/>
  <c r="N43" i="73"/>
  <c r="L43" i="73"/>
  <c r="N42" i="73"/>
  <c r="O42" i="73" s="1"/>
  <c r="L42" i="73"/>
  <c r="N41" i="73"/>
  <c r="L41" i="73"/>
  <c r="N40" i="73"/>
  <c r="O40" i="73" s="1"/>
  <c r="L40" i="73"/>
  <c r="N39" i="73"/>
  <c r="L39" i="73"/>
  <c r="N38" i="73"/>
  <c r="O38" i="73" s="1"/>
  <c r="L38" i="73"/>
  <c r="N37" i="73"/>
  <c r="L37" i="73"/>
  <c r="N36" i="73"/>
  <c r="O36" i="73" s="1"/>
  <c r="L36" i="73"/>
  <c r="N35" i="73"/>
  <c r="L35" i="73"/>
  <c r="N34" i="73"/>
  <c r="O34" i="73" s="1"/>
  <c r="L34" i="73"/>
  <c r="N33" i="73"/>
  <c r="L33" i="73"/>
  <c r="N32" i="73"/>
  <c r="L32" i="73"/>
  <c r="N31" i="73"/>
  <c r="L31" i="73"/>
  <c r="N30" i="73"/>
  <c r="O30" i="73" s="1"/>
  <c r="L30" i="73"/>
  <c r="N29" i="73"/>
  <c r="L29" i="73"/>
  <c r="N28" i="73"/>
  <c r="O28" i="73" s="1"/>
  <c r="L28" i="73"/>
  <c r="N27" i="73"/>
  <c r="N26" i="73"/>
  <c r="C17" i="73"/>
  <c r="C18" i="73" s="1"/>
  <c r="C19" i="73" s="1"/>
  <c r="C20" i="73" s="1"/>
  <c r="C21" i="73"/>
  <c r="C22" i="73" s="1"/>
  <c r="C23" i="73" s="1"/>
  <c r="C24" i="73" s="1"/>
  <c r="C25" i="73" s="1"/>
  <c r="C26" i="73" s="1"/>
  <c r="C27" i="73" s="1"/>
  <c r="C28" i="73" s="1"/>
  <c r="C29" i="73" s="1"/>
  <c r="C30" i="73" s="1"/>
  <c r="C31" i="73" s="1"/>
  <c r="C32" i="73" s="1"/>
  <c r="C33" i="73" s="1"/>
  <c r="C34" i="73" s="1"/>
  <c r="C35" i="73" s="1"/>
  <c r="C36" i="73" s="1"/>
  <c r="C37" i="73"/>
  <c r="C38" i="73" s="1"/>
  <c r="C39" i="73" s="1"/>
  <c r="C40" i="73" s="1"/>
  <c r="C41" i="73" s="1"/>
  <c r="C42" i="73" s="1"/>
  <c r="C43" i="73" s="1"/>
  <c r="C44" i="73" s="1"/>
  <c r="K11" i="73"/>
  <c r="I11" i="73"/>
  <c r="P1" i="73"/>
  <c r="P83" i="73" s="1"/>
  <c r="P154" i="72"/>
  <c r="O154" i="72"/>
  <c r="M154" i="72"/>
  <c r="P153" i="72"/>
  <c r="O153" i="72"/>
  <c r="M153" i="72"/>
  <c r="P152" i="72"/>
  <c r="O152" i="72"/>
  <c r="M152" i="72"/>
  <c r="P151" i="72"/>
  <c r="O151" i="72"/>
  <c r="M151" i="72"/>
  <c r="P150" i="72"/>
  <c r="O150" i="72"/>
  <c r="M150" i="72"/>
  <c r="P149" i="72"/>
  <c r="O149" i="72"/>
  <c r="M149" i="72"/>
  <c r="P148" i="72"/>
  <c r="O148" i="72"/>
  <c r="M148" i="72"/>
  <c r="P147" i="72"/>
  <c r="O147" i="72"/>
  <c r="M147" i="72"/>
  <c r="P146" i="72"/>
  <c r="O146" i="72"/>
  <c r="M146" i="72"/>
  <c r="P145" i="72"/>
  <c r="O145" i="72"/>
  <c r="M145" i="72"/>
  <c r="P144" i="72"/>
  <c r="O144" i="72"/>
  <c r="M144" i="72"/>
  <c r="P143" i="72"/>
  <c r="O143" i="72"/>
  <c r="M143" i="72"/>
  <c r="P142" i="72"/>
  <c r="O142" i="72"/>
  <c r="M142" i="72"/>
  <c r="P141" i="72"/>
  <c r="O141" i="72"/>
  <c r="M141" i="72"/>
  <c r="P140" i="72"/>
  <c r="O140" i="72"/>
  <c r="M140" i="72"/>
  <c r="P139" i="72"/>
  <c r="O139" i="72"/>
  <c r="M139" i="72"/>
  <c r="P138" i="72"/>
  <c r="O138" i="72"/>
  <c r="M138" i="72"/>
  <c r="P137" i="72"/>
  <c r="O137" i="72"/>
  <c r="M137" i="72"/>
  <c r="P136" i="72"/>
  <c r="O136" i="72"/>
  <c r="M136" i="72"/>
  <c r="P135" i="72"/>
  <c r="O135" i="72"/>
  <c r="M135" i="72"/>
  <c r="P134" i="72"/>
  <c r="O134" i="72"/>
  <c r="M134" i="72"/>
  <c r="P133" i="72"/>
  <c r="O133" i="72"/>
  <c r="M133" i="72"/>
  <c r="P132" i="72"/>
  <c r="O132" i="72"/>
  <c r="M132" i="72"/>
  <c r="P131" i="72"/>
  <c r="O131" i="72"/>
  <c r="M131" i="72"/>
  <c r="O130" i="72"/>
  <c r="M130" i="72"/>
  <c r="O129" i="72"/>
  <c r="M129" i="72"/>
  <c r="O128" i="72"/>
  <c r="M128" i="72"/>
  <c r="O127" i="72"/>
  <c r="M127" i="72"/>
  <c r="O126" i="72"/>
  <c r="M126" i="72"/>
  <c r="O125" i="72"/>
  <c r="M125" i="72"/>
  <c r="O124" i="72"/>
  <c r="M124" i="72"/>
  <c r="O123" i="72"/>
  <c r="M123" i="72"/>
  <c r="O122" i="72"/>
  <c r="M122" i="72"/>
  <c r="O121" i="72"/>
  <c r="M121" i="72"/>
  <c r="O120" i="72"/>
  <c r="M120" i="72"/>
  <c r="O119" i="72"/>
  <c r="M119" i="72"/>
  <c r="O118" i="72"/>
  <c r="M118" i="72"/>
  <c r="O117" i="72"/>
  <c r="M117" i="72"/>
  <c r="O116" i="72"/>
  <c r="M116" i="72"/>
  <c r="O115" i="72"/>
  <c r="M115" i="72"/>
  <c r="O114" i="72"/>
  <c r="M114" i="72"/>
  <c r="O113" i="72"/>
  <c r="M113" i="72"/>
  <c r="O112" i="72"/>
  <c r="M112" i="72"/>
  <c r="O111" i="72"/>
  <c r="M111" i="72"/>
  <c r="O110" i="72"/>
  <c r="M110" i="72"/>
  <c r="O109" i="72"/>
  <c r="M109" i="72"/>
  <c r="O108" i="72"/>
  <c r="M108" i="72"/>
  <c r="O107" i="72"/>
  <c r="M107" i="72"/>
  <c r="O106" i="72"/>
  <c r="O102" i="72"/>
  <c r="M102" i="72"/>
  <c r="O101" i="72"/>
  <c r="M101" i="72"/>
  <c r="O100" i="72"/>
  <c r="M100" i="72"/>
  <c r="O99" i="72"/>
  <c r="M99" i="72"/>
  <c r="D96" i="72"/>
  <c r="L93" i="72"/>
  <c r="J93" i="72"/>
  <c r="D91" i="72"/>
  <c r="D89" i="72"/>
  <c r="N72" i="72"/>
  <c r="L72" i="72"/>
  <c r="N71" i="72"/>
  <c r="L71" i="72"/>
  <c r="N70" i="72"/>
  <c r="L70" i="72"/>
  <c r="N69" i="72"/>
  <c r="L69" i="72"/>
  <c r="N68" i="72"/>
  <c r="L68" i="72"/>
  <c r="N67" i="72"/>
  <c r="L67" i="72"/>
  <c r="N66" i="72"/>
  <c r="L66" i="72"/>
  <c r="N65" i="72"/>
  <c r="L65" i="72"/>
  <c r="N64" i="72"/>
  <c r="L64" i="72"/>
  <c r="N63" i="72"/>
  <c r="L63" i="72"/>
  <c r="N62" i="72"/>
  <c r="L62" i="72"/>
  <c r="N61" i="72"/>
  <c r="L61" i="72"/>
  <c r="N60" i="72"/>
  <c r="L60" i="72"/>
  <c r="N59" i="72"/>
  <c r="L59" i="72"/>
  <c r="N58" i="72"/>
  <c r="L58" i="72"/>
  <c r="N57" i="72"/>
  <c r="L57" i="72"/>
  <c r="N56" i="72"/>
  <c r="L56" i="72"/>
  <c r="N55" i="72"/>
  <c r="L55" i="72"/>
  <c r="N54" i="72"/>
  <c r="L54" i="72"/>
  <c r="N53" i="72"/>
  <c r="L53" i="72"/>
  <c r="N52" i="72"/>
  <c r="L52" i="72"/>
  <c r="N51" i="72"/>
  <c r="L51" i="72"/>
  <c r="N50" i="72"/>
  <c r="L50" i="72"/>
  <c r="N49" i="72"/>
  <c r="L49" i="72"/>
  <c r="N48" i="72"/>
  <c r="L48" i="72"/>
  <c r="N47" i="72"/>
  <c r="L47" i="72"/>
  <c r="N46" i="72"/>
  <c r="L46" i="72"/>
  <c r="N45" i="72"/>
  <c r="L45" i="72"/>
  <c r="N44" i="72"/>
  <c r="L44" i="72"/>
  <c r="N43" i="72"/>
  <c r="L43" i="72"/>
  <c r="N42" i="72"/>
  <c r="L42" i="72"/>
  <c r="N41" i="72"/>
  <c r="L41" i="72"/>
  <c r="N40" i="72"/>
  <c r="L40" i="72"/>
  <c r="N39" i="72"/>
  <c r="L39" i="72"/>
  <c r="N38" i="72"/>
  <c r="L38" i="72"/>
  <c r="N37" i="72"/>
  <c r="L37" i="72"/>
  <c r="N36" i="72"/>
  <c r="L36" i="72"/>
  <c r="N35" i="72"/>
  <c r="L35" i="72"/>
  <c r="N34" i="72"/>
  <c r="L34" i="72"/>
  <c r="N33" i="72"/>
  <c r="L33" i="72"/>
  <c r="N32" i="72"/>
  <c r="L32" i="72"/>
  <c r="N31" i="72"/>
  <c r="L31" i="72"/>
  <c r="N30" i="72"/>
  <c r="L30" i="72"/>
  <c r="N29" i="72"/>
  <c r="L29" i="72"/>
  <c r="N28" i="72"/>
  <c r="L28" i="72"/>
  <c r="N27" i="72"/>
  <c r="L27" i="72"/>
  <c r="N26" i="72"/>
  <c r="L26" i="72"/>
  <c r="N25" i="72"/>
  <c r="N24" i="72"/>
  <c r="O24" i="72" s="1"/>
  <c r="C17" i="72"/>
  <c r="C18" i="72"/>
  <c r="C19" i="72" s="1"/>
  <c r="C20" i="72" s="1"/>
  <c r="C21" i="72" s="1"/>
  <c r="C22" i="72" s="1"/>
  <c r="C23" i="72" s="1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M17" i="72"/>
  <c r="N17" i="72"/>
  <c r="K11" i="72"/>
  <c r="I11" i="72"/>
  <c r="P1" i="72"/>
  <c r="P83" i="72" s="1"/>
  <c r="P154" i="71"/>
  <c r="O154" i="71"/>
  <c r="M154" i="71"/>
  <c r="P153" i="71"/>
  <c r="O153" i="71"/>
  <c r="M153" i="71"/>
  <c r="P152" i="71"/>
  <c r="O152" i="71"/>
  <c r="M152" i="71"/>
  <c r="P151" i="71"/>
  <c r="O151" i="71"/>
  <c r="M151" i="71"/>
  <c r="P150" i="71"/>
  <c r="O150" i="71"/>
  <c r="M150" i="71"/>
  <c r="P149" i="71"/>
  <c r="O149" i="71"/>
  <c r="M149" i="71"/>
  <c r="P148" i="71"/>
  <c r="O148" i="71"/>
  <c r="M148" i="71"/>
  <c r="P147" i="71"/>
  <c r="O147" i="71"/>
  <c r="M147" i="71"/>
  <c r="P146" i="71"/>
  <c r="O146" i="71"/>
  <c r="M146" i="71"/>
  <c r="P145" i="71"/>
  <c r="O145" i="71"/>
  <c r="M145" i="71"/>
  <c r="P144" i="71"/>
  <c r="O144" i="71"/>
  <c r="M144" i="71"/>
  <c r="P143" i="71"/>
  <c r="O143" i="71"/>
  <c r="M143" i="71"/>
  <c r="P142" i="71"/>
  <c r="O142" i="71"/>
  <c r="M142" i="71"/>
  <c r="P141" i="71"/>
  <c r="O141" i="71"/>
  <c r="M141" i="71"/>
  <c r="P140" i="71"/>
  <c r="O140" i="71"/>
  <c r="M140" i="71"/>
  <c r="P139" i="71"/>
  <c r="O139" i="71"/>
  <c r="M139" i="71"/>
  <c r="P138" i="71"/>
  <c r="O138" i="71"/>
  <c r="M138" i="71"/>
  <c r="P137" i="71"/>
  <c r="O137" i="71"/>
  <c r="M137" i="71"/>
  <c r="P136" i="71"/>
  <c r="O136" i="71"/>
  <c r="M136" i="71"/>
  <c r="P135" i="71"/>
  <c r="O135" i="71"/>
  <c r="M135" i="71"/>
  <c r="P134" i="71"/>
  <c r="O134" i="71"/>
  <c r="M134" i="71"/>
  <c r="P133" i="71"/>
  <c r="O133" i="71"/>
  <c r="M133" i="71"/>
  <c r="P132" i="71"/>
  <c r="O132" i="71"/>
  <c r="M132" i="71"/>
  <c r="P131" i="71"/>
  <c r="O131" i="71"/>
  <c r="M131" i="71"/>
  <c r="O130" i="71"/>
  <c r="M130" i="71"/>
  <c r="O129" i="71"/>
  <c r="M129" i="71"/>
  <c r="O128" i="71"/>
  <c r="M128" i="71"/>
  <c r="O127" i="71"/>
  <c r="M127" i="71"/>
  <c r="O126" i="71"/>
  <c r="M126" i="71"/>
  <c r="O125" i="71"/>
  <c r="M125" i="71"/>
  <c r="O124" i="71"/>
  <c r="M124" i="71"/>
  <c r="O123" i="71"/>
  <c r="M123" i="71"/>
  <c r="O122" i="71"/>
  <c r="M122" i="71"/>
  <c r="O121" i="71"/>
  <c r="M121" i="71"/>
  <c r="O120" i="71"/>
  <c r="M120" i="71"/>
  <c r="O119" i="71"/>
  <c r="M119" i="71"/>
  <c r="O118" i="71"/>
  <c r="M118" i="71"/>
  <c r="O117" i="71"/>
  <c r="M117" i="71"/>
  <c r="O116" i="71"/>
  <c r="M116" i="71"/>
  <c r="O115" i="71"/>
  <c r="M115" i="71"/>
  <c r="O114" i="71"/>
  <c r="M114" i="71"/>
  <c r="O113" i="71"/>
  <c r="M113" i="71"/>
  <c r="O112" i="71"/>
  <c r="M112" i="71"/>
  <c r="O111" i="71"/>
  <c r="M111" i="71"/>
  <c r="O110" i="71"/>
  <c r="O106" i="71"/>
  <c r="M106" i="71"/>
  <c r="O105" i="71"/>
  <c r="M105" i="71"/>
  <c r="O104" i="71"/>
  <c r="M104" i="71"/>
  <c r="O103" i="71"/>
  <c r="M103" i="71"/>
  <c r="O102" i="71"/>
  <c r="M102" i="71"/>
  <c r="O101" i="71"/>
  <c r="M101" i="71"/>
  <c r="O100" i="71"/>
  <c r="M100" i="71"/>
  <c r="O99" i="71"/>
  <c r="M99" i="71"/>
  <c r="D96" i="71"/>
  <c r="L93" i="71"/>
  <c r="J93" i="71"/>
  <c r="D91" i="71"/>
  <c r="D89" i="71"/>
  <c r="N72" i="71"/>
  <c r="L72" i="71"/>
  <c r="N71" i="71"/>
  <c r="L71" i="71"/>
  <c r="N70" i="71"/>
  <c r="L70" i="71"/>
  <c r="N69" i="71"/>
  <c r="L69" i="71"/>
  <c r="O69" i="71" s="1"/>
  <c r="N68" i="71"/>
  <c r="L68" i="71"/>
  <c r="N67" i="71"/>
  <c r="L67" i="71"/>
  <c r="O67" i="71" s="1"/>
  <c r="N66" i="71"/>
  <c r="L66" i="71"/>
  <c r="N65" i="71"/>
  <c r="L65" i="71"/>
  <c r="O65" i="71" s="1"/>
  <c r="N64" i="71"/>
  <c r="L64" i="71"/>
  <c r="N63" i="71"/>
  <c r="L63" i="71"/>
  <c r="O63" i="71" s="1"/>
  <c r="N62" i="71"/>
  <c r="L62" i="71"/>
  <c r="N61" i="71"/>
  <c r="L61" i="71"/>
  <c r="O61" i="71" s="1"/>
  <c r="N60" i="71"/>
  <c r="L60" i="71"/>
  <c r="N59" i="71"/>
  <c r="L59" i="71"/>
  <c r="N58" i="71"/>
  <c r="L58" i="71"/>
  <c r="N57" i="71"/>
  <c r="L57" i="71"/>
  <c r="N56" i="71"/>
  <c r="L56" i="71"/>
  <c r="N55" i="71"/>
  <c r="L55" i="71"/>
  <c r="N54" i="71"/>
  <c r="L54" i="71"/>
  <c r="N53" i="71"/>
  <c r="L53" i="71"/>
  <c r="N52" i="71"/>
  <c r="L52" i="71"/>
  <c r="N51" i="71"/>
  <c r="L51" i="71"/>
  <c r="N50" i="71"/>
  <c r="L50" i="71"/>
  <c r="N49" i="71"/>
  <c r="L49" i="71"/>
  <c r="N48" i="71"/>
  <c r="L48" i="71"/>
  <c r="N47" i="71"/>
  <c r="L47" i="71"/>
  <c r="N46" i="71"/>
  <c r="L46" i="71"/>
  <c r="N45" i="71"/>
  <c r="L45" i="71"/>
  <c r="N44" i="71"/>
  <c r="L44" i="71"/>
  <c r="N43" i="71"/>
  <c r="L43" i="71"/>
  <c r="O43" i="71" s="1"/>
  <c r="N42" i="71"/>
  <c r="L42" i="71"/>
  <c r="N41" i="71"/>
  <c r="L41" i="71"/>
  <c r="N40" i="71"/>
  <c r="L40" i="71"/>
  <c r="N39" i="71"/>
  <c r="L39" i="71"/>
  <c r="N38" i="71"/>
  <c r="L38" i="71"/>
  <c r="N37" i="71"/>
  <c r="L37" i="71"/>
  <c r="N36" i="71"/>
  <c r="L36" i="71"/>
  <c r="N35" i="71"/>
  <c r="L35" i="71"/>
  <c r="N34" i="71"/>
  <c r="L34" i="71"/>
  <c r="N33" i="71"/>
  <c r="L33" i="71"/>
  <c r="N32" i="71"/>
  <c r="L32" i="71"/>
  <c r="N31" i="71"/>
  <c r="L31" i="71"/>
  <c r="N30" i="71"/>
  <c r="L30" i="71"/>
  <c r="N29" i="71"/>
  <c r="N28" i="71"/>
  <c r="O28" i="71" s="1"/>
  <c r="C17" i="71"/>
  <c r="C18" i="71" s="1"/>
  <c r="C19" i="71" s="1"/>
  <c r="C20" i="71" s="1"/>
  <c r="C21" i="71"/>
  <c r="C22" i="71" s="1"/>
  <c r="C23" i="71" s="1"/>
  <c r="C24" i="71" s="1"/>
  <c r="C25" i="71" s="1"/>
  <c r="C26" i="71" s="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K11" i="71"/>
  <c r="I11" i="71"/>
  <c r="P1" i="71"/>
  <c r="P83" i="71" s="1"/>
  <c r="P154" i="70"/>
  <c r="O154" i="70"/>
  <c r="M154" i="70"/>
  <c r="P153" i="70"/>
  <c r="O153" i="70"/>
  <c r="M153" i="70"/>
  <c r="P152" i="70"/>
  <c r="O152" i="70"/>
  <c r="M152" i="70"/>
  <c r="P151" i="70"/>
  <c r="O151" i="70"/>
  <c r="M151" i="70"/>
  <c r="P150" i="70"/>
  <c r="O150" i="70"/>
  <c r="M150" i="70"/>
  <c r="P149" i="70"/>
  <c r="O149" i="70"/>
  <c r="M149" i="70"/>
  <c r="P148" i="70"/>
  <c r="O148" i="70"/>
  <c r="M148" i="70"/>
  <c r="P147" i="70"/>
  <c r="O147" i="70"/>
  <c r="M147" i="70"/>
  <c r="P146" i="70"/>
  <c r="O146" i="70"/>
  <c r="M146" i="70"/>
  <c r="P145" i="70"/>
  <c r="O145" i="70"/>
  <c r="M145" i="70"/>
  <c r="P144" i="70"/>
  <c r="O144" i="70"/>
  <c r="M144" i="70"/>
  <c r="P143" i="70"/>
  <c r="O143" i="70"/>
  <c r="M143" i="70"/>
  <c r="P142" i="70"/>
  <c r="O142" i="70"/>
  <c r="M142" i="70"/>
  <c r="P141" i="70"/>
  <c r="O141" i="70"/>
  <c r="M141" i="70"/>
  <c r="P140" i="70"/>
  <c r="O140" i="70"/>
  <c r="M140" i="70"/>
  <c r="P139" i="70"/>
  <c r="O139" i="70"/>
  <c r="M139" i="70"/>
  <c r="P138" i="70"/>
  <c r="O138" i="70"/>
  <c r="M138" i="70"/>
  <c r="P137" i="70"/>
  <c r="O137" i="70"/>
  <c r="M137" i="70"/>
  <c r="P136" i="70"/>
  <c r="O136" i="70"/>
  <c r="M136" i="70"/>
  <c r="P135" i="70"/>
  <c r="O135" i="70"/>
  <c r="M135" i="70"/>
  <c r="P134" i="70"/>
  <c r="O134" i="70"/>
  <c r="M134" i="70"/>
  <c r="P133" i="70"/>
  <c r="O133" i="70"/>
  <c r="M133" i="70"/>
  <c r="P132" i="70"/>
  <c r="O132" i="70"/>
  <c r="M132" i="70"/>
  <c r="P131" i="70"/>
  <c r="O131" i="70"/>
  <c r="M131" i="70"/>
  <c r="O130" i="70"/>
  <c r="M130" i="70"/>
  <c r="O129" i="70"/>
  <c r="M129" i="70"/>
  <c r="O128" i="70"/>
  <c r="M128" i="70"/>
  <c r="O127" i="70"/>
  <c r="M127" i="70"/>
  <c r="O126" i="70"/>
  <c r="M126" i="70"/>
  <c r="O125" i="70"/>
  <c r="M125" i="70"/>
  <c r="O124" i="70"/>
  <c r="M124" i="70"/>
  <c r="O123" i="70"/>
  <c r="M123" i="70"/>
  <c r="O122" i="70"/>
  <c r="M122" i="70"/>
  <c r="O121" i="70"/>
  <c r="M121" i="70"/>
  <c r="O120" i="70"/>
  <c r="M120" i="70"/>
  <c r="O119" i="70"/>
  <c r="M119" i="70"/>
  <c r="O118" i="70"/>
  <c r="M118" i="70"/>
  <c r="O117" i="70"/>
  <c r="M117" i="70"/>
  <c r="O116" i="70"/>
  <c r="M116" i="70"/>
  <c r="O115" i="70"/>
  <c r="M115" i="70"/>
  <c r="O114" i="70"/>
  <c r="M114" i="70"/>
  <c r="O113" i="70"/>
  <c r="M113" i="70"/>
  <c r="O112" i="70"/>
  <c r="M112" i="70"/>
  <c r="O111" i="70"/>
  <c r="O107" i="70"/>
  <c r="P107" i="70"/>
  <c r="M107" i="70"/>
  <c r="O106" i="70"/>
  <c r="M106" i="70"/>
  <c r="O105" i="70"/>
  <c r="M105" i="70"/>
  <c r="O104" i="70"/>
  <c r="P104" i="70" s="1"/>
  <c r="M104" i="70"/>
  <c r="O103" i="70"/>
  <c r="P103" i="70" s="1"/>
  <c r="M103" i="70"/>
  <c r="O102" i="70"/>
  <c r="P102" i="70" s="1"/>
  <c r="M102" i="70"/>
  <c r="O101" i="70"/>
  <c r="M101" i="70"/>
  <c r="O100" i="70"/>
  <c r="P100" i="70"/>
  <c r="M100" i="70"/>
  <c r="O99" i="70"/>
  <c r="M99" i="70"/>
  <c r="D96" i="70"/>
  <c r="L93" i="70"/>
  <c r="J93" i="70"/>
  <c r="D91" i="70"/>
  <c r="D89" i="70"/>
  <c r="N72" i="70"/>
  <c r="L72" i="70"/>
  <c r="N71" i="70"/>
  <c r="L71" i="70"/>
  <c r="N70" i="70"/>
  <c r="L70" i="70"/>
  <c r="N69" i="70"/>
  <c r="L69" i="70"/>
  <c r="N68" i="70"/>
  <c r="L68" i="70"/>
  <c r="N67" i="70"/>
  <c r="L67" i="70"/>
  <c r="N66" i="70"/>
  <c r="L66" i="70"/>
  <c r="N65" i="70"/>
  <c r="L65" i="70"/>
  <c r="N64" i="70"/>
  <c r="L64" i="70"/>
  <c r="N63" i="70"/>
  <c r="L63" i="70"/>
  <c r="N62" i="70"/>
  <c r="L62" i="70"/>
  <c r="N61" i="70"/>
  <c r="L61" i="70"/>
  <c r="N60" i="70"/>
  <c r="L60" i="70"/>
  <c r="N59" i="70"/>
  <c r="L59" i="70"/>
  <c r="N58" i="70"/>
  <c r="L58" i="70"/>
  <c r="N57" i="70"/>
  <c r="L57" i="70"/>
  <c r="N56" i="70"/>
  <c r="L56" i="70"/>
  <c r="N55" i="70"/>
  <c r="L55" i="70"/>
  <c r="N54" i="70"/>
  <c r="L54" i="70"/>
  <c r="N53" i="70"/>
  <c r="L53" i="70"/>
  <c r="N52" i="70"/>
  <c r="L52" i="70"/>
  <c r="N51" i="70"/>
  <c r="L51" i="70"/>
  <c r="N50" i="70"/>
  <c r="L50" i="70"/>
  <c r="N49" i="70"/>
  <c r="L49" i="70"/>
  <c r="N48" i="70"/>
  <c r="L48" i="70"/>
  <c r="N47" i="70"/>
  <c r="L47" i="70"/>
  <c r="N46" i="70"/>
  <c r="L46" i="70"/>
  <c r="N45" i="70"/>
  <c r="L45" i="70"/>
  <c r="N44" i="70"/>
  <c r="L44" i="70"/>
  <c r="N43" i="70"/>
  <c r="L43" i="70"/>
  <c r="N42" i="70"/>
  <c r="L42" i="70"/>
  <c r="N41" i="70"/>
  <c r="L41" i="70"/>
  <c r="N40" i="70"/>
  <c r="L40" i="70"/>
  <c r="N39" i="70"/>
  <c r="L39" i="70"/>
  <c r="N38" i="70"/>
  <c r="L38" i="70"/>
  <c r="N37" i="70"/>
  <c r="L37" i="70"/>
  <c r="N36" i="70"/>
  <c r="L36" i="70"/>
  <c r="N35" i="70"/>
  <c r="L35" i="70"/>
  <c r="N34" i="70"/>
  <c r="L34" i="70"/>
  <c r="N33" i="70"/>
  <c r="L33" i="70"/>
  <c r="N32" i="70"/>
  <c r="L32" i="70"/>
  <c r="N31" i="70"/>
  <c r="L31" i="70"/>
  <c r="N30" i="70"/>
  <c r="O30" i="70" s="1"/>
  <c r="N29" i="70"/>
  <c r="O29" i="70" s="1"/>
  <c r="C17" i="70"/>
  <c r="C18" i="70" s="1"/>
  <c r="C19" i="70"/>
  <c r="C20" i="70" s="1"/>
  <c r="C21" i="70" s="1"/>
  <c r="C22" i="70" s="1"/>
  <c r="C23" i="70" s="1"/>
  <c r="C24" i="70" s="1"/>
  <c r="C25" i="70" s="1"/>
  <c r="C26" i="70" s="1"/>
  <c r="C27" i="70" s="1"/>
  <c r="C28" i="70" s="1"/>
  <c r="C29" i="70" s="1"/>
  <c r="C30" i="70" s="1"/>
  <c r="C31" i="70" s="1"/>
  <c r="C32" i="70" s="1"/>
  <c r="C33" i="70" s="1"/>
  <c r="C34" i="70" s="1"/>
  <c r="C35" i="70" s="1"/>
  <c r="C36" i="70" s="1"/>
  <c r="C37" i="70" s="1"/>
  <c r="C38" i="70" s="1"/>
  <c r="C39" i="70" s="1"/>
  <c r="C40" i="70" s="1"/>
  <c r="C41" i="70" s="1"/>
  <c r="C42" i="70" s="1"/>
  <c r="C43" i="70" s="1"/>
  <c r="C44" i="70" s="1"/>
  <c r="K11" i="70"/>
  <c r="I11" i="70"/>
  <c r="P1" i="70"/>
  <c r="P83" i="70" s="1"/>
  <c r="D96" i="69"/>
  <c r="P154" i="69"/>
  <c r="O154" i="69"/>
  <c r="M154" i="69"/>
  <c r="P153" i="69"/>
  <c r="O153" i="69"/>
  <c r="M153" i="69"/>
  <c r="P152" i="69"/>
  <c r="O152" i="69"/>
  <c r="M152" i="69"/>
  <c r="P151" i="69"/>
  <c r="O151" i="69"/>
  <c r="M151" i="69"/>
  <c r="P150" i="69"/>
  <c r="O150" i="69"/>
  <c r="M150" i="69"/>
  <c r="P149" i="69"/>
  <c r="O149" i="69"/>
  <c r="M149" i="69"/>
  <c r="P148" i="69"/>
  <c r="O148" i="69"/>
  <c r="M148" i="69"/>
  <c r="P147" i="69"/>
  <c r="O147" i="69"/>
  <c r="M147" i="69"/>
  <c r="P146" i="69"/>
  <c r="O146" i="69"/>
  <c r="M146" i="69"/>
  <c r="P145" i="69"/>
  <c r="O145" i="69"/>
  <c r="M145" i="69"/>
  <c r="P144" i="69"/>
  <c r="O144" i="69"/>
  <c r="M144" i="69"/>
  <c r="P143" i="69"/>
  <c r="O143" i="69"/>
  <c r="M143" i="69"/>
  <c r="P142" i="69"/>
  <c r="O142" i="69"/>
  <c r="M142" i="69"/>
  <c r="P141" i="69"/>
  <c r="O141" i="69"/>
  <c r="M141" i="69"/>
  <c r="P140" i="69"/>
  <c r="O140" i="69"/>
  <c r="M140" i="69"/>
  <c r="P139" i="69"/>
  <c r="O139" i="69"/>
  <c r="M139" i="69"/>
  <c r="P138" i="69"/>
  <c r="O138" i="69"/>
  <c r="M138" i="69"/>
  <c r="P137" i="69"/>
  <c r="O137" i="69"/>
  <c r="M137" i="69"/>
  <c r="P136" i="69"/>
  <c r="O136" i="69"/>
  <c r="M136" i="69"/>
  <c r="P135" i="69"/>
  <c r="O135" i="69"/>
  <c r="M135" i="69"/>
  <c r="P134" i="69"/>
  <c r="O134" i="69"/>
  <c r="M134" i="69"/>
  <c r="P133" i="69"/>
  <c r="O133" i="69"/>
  <c r="M133" i="69"/>
  <c r="P132" i="69"/>
  <c r="O132" i="69"/>
  <c r="M132" i="69"/>
  <c r="P131" i="69"/>
  <c r="O131" i="69"/>
  <c r="M131" i="69"/>
  <c r="O130" i="69"/>
  <c r="M130" i="69"/>
  <c r="O129" i="69"/>
  <c r="M129" i="69"/>
  <c r="O128" i="69"/>
  <c r="M128" i="69"/>
  <c r="O127" i="69"/>
  <c r="M127" i="69"/>
  <c r="O126" i="69"/>
  <c r="M126" i="69"/>
  <c r="O125" i="69"/>
  <c r="M125" i="69"/>
  <c r="O124" i="69"/>
  <c r="M124" i="69"/>
  <c r="O123" i="69"/>
  <c r="M123" i="69"/>
  <c r="O122" i="69"/>
  <c r="M122" i="69"/>
  <c r="O121" i="69"/>
  <c r="M121" i="69"/>
  <c r="O120" i="69"/>
  <c r="M120" i="69"/>
  <c r="O119" i="69"/>
  <c r="M119" i="69"/>
  <c r="O118" i="69"/>
  <c r="M118" i="69"/>
  <c r="O117" i="69"/>
  <c r="M117" i="69"/>
  <c r="O116" i="69"/>
  <c r="M116" i="69"/>
  <c r="O115" i="69"/>
  <c r="M115" i="69"/>
  <c r="O114" i="69"/>
  <c r="M114" i="69"/>
  <c r="O113" i="69"/>
  <c r="M113" i="69"/>
  <c r="O112" i="69"/>
  <c r="M112" i="69"/>
  <c r="O111" i="69"/>
  <c r="M107" i="69"/>
  <c r="O106" i="69"/>
  <c r="M106" i="69"/>
  <c r="L93" i="69"/>
  <c r="J93" i="69"/>
  <c r="D91" i="69"/>
  <c r="D89" i="69"/>
  <c r="N72" i="69"/>
  <c r="L72" i="69"/>
  <c r="N71" i="69"/>
  <c r="L71" i="69"/>
  <c r="N70" i="69"/>
  <c r="O70" i="69" s="1"/>
  <c r="L70" i="69"/>
  <c r="N69" i="69"/>
  <c r="L69" i="69"/>
  <c r="N68" i="69"/>
  <c r="L68" i="69"/>
  <c r="N67" i="69"/>
  <c r="L67" i="69"/>
  <c r="N66" i="69"/>
  <c r="L66" i="69"/>
  <c r="N65" i="69"/>
  <c r="L65" i="69"/>
  <c r="N64" i="69"/>
  <c r="O64" i="69" s="1"/>
  <c r="L64" i="69"/>
  <c r="N63" i="69"/>
  <c r="L63" i="69"/>
  <c r="N62" i="69"/>
  <c r="O62" i="69" s="1"/>
  <c r="L62" i="69"/>
  <c r="N61" i="69"/>
  <c r="L61" i="69"/>
  <c r="N60" i="69"/>
  <c r="O60" i="69" s="1"/>
  <c r="L60" i="69"/>
  <c r="N59" i="69"/>
  <c r="L59" i="69"/>
  <c r="N58" i="69"/>
  <c r="L58" i="69"/>
  <c r="N57" i="69"/>
  <c r="L57" i="69"/>
  <c r="N56" i="69"/>
  <c r="O56" i="69" s="1"/>
  <c r="L56" i="69"/>
  <c r="N55" i="69"/>
  <c r="L55" i="69"/>
  <c r="N54" i="69"/>
  <c r="L54" i="69"/>
  <c r="N53" i="69"/>
  <c r="L53" i="69"/>
  <c r="N52" i="69"/>
  <c r="O52" i="69" s="1"/>
  <c r="L52" i="69"/>
  <c r="N51" i="69"/>
  <c r="L51" i="69"/>
  <c r="N50" i="69"/>
  <c r="L50" i="69"/>
  <c r="N49" i="69"/>
  <c r="L49" i="69"/>
  <c r="N48" i="69"/>
  <c r="O48" i="69" s="1"/>
  <c r="L48" i="69"/>
  <c r="N47" i="69"/>
  <c r="L47" i="69"/>
  <c r="N46" i="69"/>
  <c r="O46" i="69" s="1"/>
  <c r="L46" i="69"/>
  <c r="N45" i="69"/>
  <c r="L45" i="69"/>
  <c r="N44" i="69"/>
  <c r="L44" i="69"/>
  <c r="N43" i="69"/>
  <c r="L43" i="69"/>
  <c r="N42" i="69"/>
  <c r="L42" i="69"/>
  <c r="N41" i="69"/>
  <c r="L41" i="69"/>
  <c r="N40" i="69"/>
  <c r="O40" i="69" s="1"/>
  <c r="L40" i="69"/>
  <c r="N39" i="69"/>
  <c r="L39" i="69"/>
  <c r="N38" i="69"/>
  <c r="O38" i="69" s="1"/>
  <c r="L38" i="69"/>
  <c r="N37" i="69"/>
  <c r="L37" i="69"/>
  <c r="N36" i="69"/>
  <c r="O36" i="69" s="1"/>
  <c r="L36" i="69"/>
  <c r="N35" i="69"/>
  <c r="L35" i="69"/>
  <c r="N34" i="69"/>
  <c r="L34" i="69"/>
  <c r="N33" i="69"/>
  <c r="L33" i="69"/>
  <c r="N32" i="69"/>
  <c r="L32" i="69"/>
  <c r="N31" i="69"/>
  <c r="L31" i="69"/>
  <c r="N30" i="69"/>
  <c r="N29" i="69"/>
  <c r="C17" i="69"/>
  <c r="C18" i="69" s="1"/>
  <c r="C19" i="69"/>
  <c r="C20" i="69" s="1"/>
  <c r="C21" i="69" s="1"/>
  <c r="C22" i="69" s="1"/>
  <c r="C23" i="69" s="1"/>
  <c r="C24" i="69" s="1"/>
  <c r="C25" i="69" s="1"/>
  <c r="C26" i="69" s="1"/>
  <c r="C27" i="69" s="1"/>
  <c r="C28" i="69" s="1"/>
  <c r="C29" i="69" s="1"/>
  <c r="C30" i="69" s="1"/>
  <c r="C31" i="69" s="1"/>
  <c r="C32" i="69" s="1"/>
  <c r="C33" i="69" s="1"/>
  <c r="C34" i="69" s="1"/>
  <c r="C35" i="69" s="1"/>
  <c r="C36" i="69" s="1"/>
  <c r="C37" i="69" s="1"/>
  <c r="C38" i="69" s="1"/>
  <c r="C39" i="69" s="1"/>
  <c r="C40" i="69" s="1"/>
  <c r="C41" i="69" s="1"/>
  <c r="C42" i="69" s="1"/>
  <c r="C43" i="69" s="1"/>
  <c r="C44" i="69" s="1"/>
  <c r="K11" i="69"/>
  <c r="I11" i="69"/>
  <c r="P1" i="69"/>
  <c r="P83" i="69" s="1"/>
  <c r="M17" i="68"/>
  <c r="N17" i="68"/>
  <c r="K17" i="68"/>
  <c r="L17" i="68" s="1"/>
  <c r="M17" i="67"/>
  <c r="N17" i="67" s="1"/>
  <c r="O17" i="67"/>
  <c r="K17" i="67"/>
  <c r="L17" i="67" s="1"/>
  <c r="M17" i="66"/>
  <c r="N17" i="66"/>
  <c r="K17" i="66"/>
  <c r="L17" i="66" s="1"/>
  <c r="M17" i="65"/>
  <c r="N17" i="65" s="1"/>
  <c r="K17" i="65"/>
  <c r="L17" i="65" s="1"/>
  <c r="N99" i="64"/>
  <c r="O99" i="64" s="1"/>
  <c r="P99" i="64" s="1"/>
  <c r="L99" i="64"/>
  <c r="M99" i="64"/>
  <c r="M18" i="64"/>
  <c r="N18" i="64"/>
  <c r="K18" i="64"/>
  <c r="L18" i="64"/>
  <c r="M17" i="64"/>
  <c r="N17" i="64"/>
  <c r="K17" i="64"/>
  <c r="L17" i="64"/>
  <c r="N99" i="60"/>
  <c r="O99" i="60"/>
  <c r="M99" i="60"/>
  <c r="L99" i="60"/>
  <c r="M18" i="60"/>
  <c r="N18" i="60" s="1"/>
  <c r="O18" i="60" s="1"/>
  <c r="K18" i="60"/>
  <c r="L18" i="60"/>
  <c r="N99" i="62"/>
  <c r="O99" i="62"/>
  <c r="L99" i="62"/>
  <c r="M99" i="62"/>
  <c r="M18" i="62"/>
  <c r="N18" i="62"/>
  <c r="K18" i="62"/>
  <c r="L18" i="62" s="1"/>
  <c r="N99" i="63"/>
  <c r="O99" i="63" s="1"/>
  <c r="L99" i="63"/>
  <c r="M99" i="63"/>
  <c r="M18" i="63"/>
  <c r="N18" i="63"/>
  <c r="K18" i="63"/>
  <c r="L18" i="63" s="1"/>
  <c r="N99" i="61"/>
  <c r="O99" i="61" s="1"/>
  <c r="L99" i="61"/>
  <c r="M99" i="61" s="1"/>
  <c r="M18" i="61"/>
  <c r="N18" i="61" s="1"/>
  <c r="O18" i="61"/>
  <c r="K18" i="61"/>
  <c r="L18" i="61"/>
  <c r="N99" i="59"/>
  <c r="O99" i="59"/>
  <c r="P99" i="59" s="1"/>
  <c r="M99" i="59"/>
  <c r="L99" i="59"/>
  <c r="M18" i="59"/>
  <c r="N18" i="59" s="1"/>
  <c r="K18" i="59"/>
  <c r="L18" i="59"/>
  <c r="N100" i="58"/>
  <c r="O100" i="58"/>
  <c r="L100" i="58"/>
  <c r="M100" i="58"/>
  <c r="M19" i="58"/>
  <c r="N19" i="58"/>
  <c r="K19" i="58"/>
  <c r="L19" i="58" s="1"/>
  <c r="N100" i="57"/>
  <c r="O100" i="57" s="1"/>
  <c r="P100" i="57" s="1"/>
  <c r="L100" i="57"/>
  <c r="M100" i="57" s="1"/>
  <c r="M19" i="57"/>
  <c r="N19" i="57"/>
  <c r="O19" i="57" s="1"/>
  <c r="K19" i="57"/>
  <c r="L19" i="57" s="1"/>
  <c r="N100" i="56"/>
  <c r="O100" i="56" s="1"/>
  <c r="L100" i="56"/>
  <c r="M100" i="56"/>
  <c r="M19" i="56"/>
  <c r="N19" i="56"/>
  <c r="K19" i="56"/>
  <c r="L19" i="56" s="1"/>
  <c r="N100" i="55"/>
  <c r="O100" i="55" s="1"/>
  <c r="L100" i="55"/>
  <c r="M100" i="55" s="1"/>
  <c r="M19" i="55"/>
  <c r="N19" i="55" s="1"/>
  <c r="O19" i="55"/>
  <c r="K19" i="55"/>
  <c r="L19" i="55"/>
  <c r="N100" i="54"/>
  <c r="O100" i="54"/>
  <c r="P100" i="54" s="1"/>
  <c r="M100" i="54"/>
  <c r="L100" i="54"/>
  <c r="M19" i="54"/>
  <c r="N19" i="54" s="1"/>
  <c r="K19" i="54"/>
  <c r="L19" i="54"/>
  <c r="N100" i="53"/>
  <c r="O100" i="53"/>
  <c r="M100" i="53"/>
  <c r="L100" i="53"/>
  <c r="M19" i="53"/>
  <c r="N19" i="53" s="1"/>
  <c r="K19" i="53"/>
  <c r="L19" i="53" s="1"/>
  <c r="N100" i="46"/>
  <c r="O100" i="46" s="1"/>
  <c r="L100" i="46"/>
  <c r="M100" i="46" s="1"/>
  <c r="M19" i="46"/>
  <c r="N19" i="46" s="1"/>
  <c r="K19" i="46"/>
  <c r="L19" i="46" s="1"/>
  <c r="N101" i="45"/>
  <c r="O101" i="45" s="1"/>
  <c r="P101" i="45" s="1"/>
  <c r="L101" i="45"/>
  <c r="M101" i="45"/>
  <c r="M20" i="45"/>
  <c r="N20" i="45"/>
  <c r="O20" i="45" s="1"/>
  <c r="L20" i="45"/>
  <c r="K20" i="45"/>
  <c r="N102" i="44"/>
  <c r="O102" i="44" s="1"/>
  <c r="P102" i="44" s="1"/>
  <c r="L102" i="44"/>
  <c r="M102" i="44"/>
  <c r="M21" i="44"/>
  <c r="N21" i="44"/>
  <c r="K21" i="44"/>
  <c r="L21" i="44"/>
  <c r="N102" i="43"/>
  <c r="O102" i="43"/>
  <c r="P102" i="43" s="1"/>
  <c r="L102" i="43"/>
  <c r="M102" i="43" s="1"/>
  <c r="M21" i="43"/>
  <c r="N21" i="43" s="1"/>
  <c r="O21" i="43" s="1"/>
  <c r="K21" i="43"/>
  <c r="L21" i="43"/>
  <c r="N102" i="42"/>
  <c r="O102" i="42"/>
  <c r="L102" i="42"/>
  <c r="M102" i="42"/>
  <c r="M21" i="42"/>
  <c r="N21" i="42"/>
  <c r="K21" i="42"/>
  <c r="L21" i="42"/>
  <c r="N102" i="41"/>
  <c r="O102" i="41"/>
  <c r="L102" i="41"/>
  <c r="M102" i="41"/>
  <c r="M21" i="41"/>
  <c r="N21" i="41"/>
  <c r="K21" i="41"/>
  <c r="L21" i="41" s="1"/>
  <c r="B102" i="39"/>
  <c r="B103" i="39"/>
  <c r="M21" i="39"/>
  <c r="N21" i="39" s="1"/>
  <c r="K21" i="39"/>
  <c r="L21" i="39" s="1"/>
  <c r="D104" i="34"/>
  <c r="M23" i="34"/>
  <c r="N23" i="34"/>
  <c r="O23" i="34" s="1"/>
  <c r="L23" i="34"/>
  <c r="K23" i="34"/>
  <c r="N104" i="32"/>
  <c r="O104" i="32" s="1"/>
  <c r="L104" i="32"/>
  <c r="M104" i="32" s="1"/>
  <c r="M23" i="32"/>
  <c r="N23" i="32" s="1"/>
  <c r="K23" i="32"/>
  <c r="L23" i="32" s="1"/>
  <c r="N104" i="31"/>
  <c r="O104" i="31" s="1"/>
  <c r="L104" i="31"/>
  <c r="M104" i="31" s="1"/>
  <c r="M23" i="31"/>
  <c r="N23" i="31" s="1"/>
  <c r="O23" i="31" s="1"/>
  <c r="K23" i="31"/>
  <c r="L23" i="31"/>
  <c r="N105" i="30"/>
  <c r="O105" i="30"/>
  <c r="P105" i="30" s="1"/>
  <c r="L105" i="30"/>
  <c r="M105" i="30" s="1"/>
  <c r="M24" i="30"/>
  <c r="N24" i="30" s="1"/>
  <c r="K24" i="30"/>
  <c r="L24" i="30" s="1"/>
  <c r="N105" i="29"/>
  <c r="O105" i="29"/>
  <c r="P105" i="29" s="1"/>
  <c r="L105" i="29"/>
  <c r="M105" i="29" s="1"/>
  <c r="M24" i="29"/>
  <c r="N24" i="29" s="1"/>
  <c r="K24" i="29"/>
  <c r="L24" i="29" s="1"/>
  <c r="N106" i="28"/>
  <c r="O106" i="28" s="1"/>
  <c r="L106" i="28"/>
  <c r="M106" i="28" s="1"/>
  <c r="M25" i="28"/>
  <c r="N25" i="28" s="1"/>
  <c r="O25" i="28" s="1"/>
  <c r="K25" i="28"/>
  <c r="L25" i="28"/>
  <c r="N105" i="27"/>
  <c r="O105" i="27"/>
  <c r="P105" i="27" s="1"/>
  <c r="M105" i="27"/>
  <c r="L105" i="27"/>
  <c r="M24" i="27"/>
  <c r="N24" i="27" s="1"/>
  <c r="K24" i="27"/>
  <c r="L24" i="27" s="1"/>
  <c r="N104" i="24"/>
  <c r="O104" i="24" s="1"/>
  <c r="P104" i="24" s="1"/>
  <c r="L104" i="24"/>
  <c r="M104" i="24"/>
  <c r="M23" i="24"/>
  <c r="N23" i="24"/>
  <c r="O23" i="24" s="1"/>
  <c r="K23" i="24"/>
  <c r="L23" i="24" s="1"/>
  <c r="N104" i="23"/>
  <c r="O104" i="23" s="1"/>
  <c r="P104" i="23" s="1"/>
  <c r="L104" i="23"/>
  <c r="M104" i="23"/>
  <c r="M23" i="23"/>
  <c r="N23" i="23"/>
  <c r="O23" i="23" s="1"/>
  <c r="K23" i="23"/>
  <c r="L23" i="23" s="1"/>
  <c r="N103" i="22"/>
  <c r="O103" i="22" s="1"/>
  <c r="L103" i="22"/>
  <c r="M103" i="22" s="1"/>
  <c r="M22" i="22"/>
  <c r="N22" i="22" s="1"/>
  <c r="O22" i="22" s="1"/>
  <c r="K22" i="22"/>
  <c r="L22" i="22"/>
  <c r="N103" i="21"/>
  <c r="O103" i="21"/>
  <c r="L103" i="21"/>
  <c r="M103" i="21"/>
  <c r="M22" i="21"/>
  <c r="N22" i="21"/>
  <c r="K22" i="21"/>
  <c r="L22" i="21"/>
  <c r="N103" i="20"/>
  <c r="O103" i="20"/>
  <c r="L103" i="20"/>
  <c r="M103" i="20"/>
  <c r="M22" i="20"/>
  <c r="N22" i="20"/>
  <c r="K22" i="20"/>
  <c r="L22" i="20"/>
  <c r="N103" i="19"/>
  <c r="O103" i="19"/>
  <c r="L103" i="19"/>
  <c r="M103" i="19"/>
  <c r="M22" i="19"/>
  <c r="N22" i="19"/>
  <c r="O22" i="19" s="1"/>
  <c r="K22" i="19"/>
  <c r="L22" i="19" s="1"/>
  <c r="N103" i="18"/>
  <c r="O103" i="18" s="1"/>
  <c r="L103" i="18"/>
  <c r="M103" i="18" s="1"/>
  <c r="M22" i="18"/>
  <c r="N22" i="18" s="1"/>
  <c r="O22" i="18" s="1"/>
  <c r="K22" i="18"/>
  <c r="L22" i="18"/>
  <c r="N103" i="17"/>
  <c r="O103" i="17"/>
  <c r="P103" i="17" s="1"/>
  <c r="L103" i="17"/>
  <c r="M103" i="17" s="1"/>
  <c r="M22" i="17"/>
  <c r="N22" i="17" s="1"/>
  <c r="O22" i="17"/>
  <c r="K22" i="17"/>
  <c r="L22" i="17"/>
  <c r="N103" i="3"/>
  <c r="O103" i="3"/>
  <c r="P103" i="3" s="1"/>
  <c r="L103" i="3"/>
  <c r="M103" i="3" s="1"/>
  <c r="M22" i="3"/>
  <c r="N22" i="3" s="1"/>
  <c r="K22" i="3"/>
  <c r="L22" i="3" s="1"/>
  <c r="P1" i="65"/>
  <c r="P83" i="65" s="1"/>
  <c r="P1" i="66"/>
  <c r="P83" i="66" s="1"/>
  <c r="P1" i="67"/>
  <c r="P83" i="67" s="1"/>
  <c r="P1" i="68"/>
  <c r="P83" i="68" s="1"/>
  <c r="P1" i="64"/>
  <c r="P83" i="64" s="1"/>
  <c r="W60" i="36"/>
  <c r="P60" i="36"/>
  <c r="W59" i="36"/>
  <c r="P59" i="36"/>
  <c r="W58" i="36"/>
  <c r="P58" i="36"/>
  <c r="W57" i="36"/>
  <c r="P57" i="36"/>
  <c r="W56" i="36"/>
  <c r="P56" i="36"/>
  <c r="P154" i="68"/>
  <c r="O154" i="68"/>
  <c r="M154" i="68"/>
  <c r="P153" i="68"/>
  <c r="O153" i="68"/>
  <c r="M153" i="68"/>
  <c r="P152" i="68"/>
  <c r="O152" i="68"/>
  <c r="M152" i="68"/>
  <c r="P151" i="68"/>
  <c r="O151" i="68"/>
  <c r="M151" i="68"/>
  <c r="P150" i="68"/>
  <c r="O150" i="68"/>
  <c r="M150" i="68"/>
  <c r="P149" i="68"/>
  <c r="O149" i="68"/>
  <c r="M149" i="68"/>
  <c r="P148" i="68"/>
  <c r="O148" i="68"/>
  <c r="M148" i="68"/>
  <c r="P147" i="68"/>
  <c r="O147" i="68"/>
  <c r="M147" i="68"/>
  <c r="P146" i="68"/>
  <c r="O146" i="68"/>
  <c r="M146" i="68"/>
  <c r="P145" i="68"/>
  <c r="O145" i="68"/>
  <c r="M145" i="68"/>
  <c r="P144" i="68"/>
  <c r="O144" i="68"/>
  <c r="M144" i="68"/>
  <c r="P143" i="68"/>
  <c r="O143" i="68"/>
  <c r="M143" i="68"/>
  <c r="P142" i="68"/>
  <c r="O142" i="68"/>
  <c r="M142" i="68"/>
  <c r="P141" i="68"/>
  <c r="O141" i="68"/>
  <c r="M141" i="68"/>
  <c r="P140" i="68"/>
  <c r="O140" i="68"/>
  <c r="M140" i="68"/>
  <c r="P139" i="68"/>
  <c r="O139" i="68"/>
  <c r="M139" i="68"/>
  <c r="P138" i="68"/>
  <c r="O138" i="68"/>
  <c r="M138" i="68"/>
  <c r="P137" i="68"/>
  <c r="O137" i="68"/>
  <c r="M137" i="68"/>
  <c r="P136" i="68"/>
  <c r="O136" i="68"/>
  <c r="M136" i="68"/>
  <c r="P135" i="68"/>
  <c r="O135" i="68"/>
  <c r="M135" i="68"/>
  <c r="P134" i="68"/>
  <c r="O134" i="68"/>
  <c r="M134" i="68"/>
  <c r="P133" i="68"/>
  <c r="O133" i="68"/>
  <c r="M133" i="68"/>
  <c r="P132" i="68"/>
  <c r="O132" i="68"/>
  <c r="M132" i="68"/>
  <c r="P131" i="68"/>
  <c r="O131" i="68"/>
  <c r="M131" i="68"/>
  <c r="O130" i="68"/>
  <c r="M130" i="68"/>
  <c r="O129" i="68"/>
  <c r="M129" i="68"/>
  <c r="O128" i="68"/>
  <c r="M128" i="68"/>
  <c r="O127" i="68"/>
  <c r="M127" i="68"/>
  <c r="O126" i="68"/>
  <c r="M126" i="68"/>
  <c r="O125" i="68"/>
  <c r="M125" i="68"/>
  <c r="O124" i="68"/>
  <c r="M124" i="68"/>
  <c r="O123" i="68"/>
  <c r="M123" i="68"/>
  <c r="O122" i="68"/>
  <c r="M122" i="68"/>
  <c r="O121" i="68"/>
  <c r="M121" i="68"/>
  <c r="O120" i="68"/>
  <c r="M120" i="68"/>
  <c r="O119" i="68"/>
  <c r="M119" i="68"/>
  <c r="O118" i="68"/>
  <c r="M118" i="68"/>
  <c r="O117" i="68"/>
  <c r="M117" i="68"/>
  <c r="O116" i="68"/>
  <c r="M116" i="68"/>
  <c r="O115" i="68"/>
  <c r="M115" i="68"/>
  <c r="O114" i="68"/>
  <c r="M114" i="68"/>
  <c r="O113" i="68"/>
  <c r="M113" i="68"/>
  <c r="O112" i="68"/>
  <c r="M112" i="68"/>
  <c r="O111" i="68"/>
  <c r="M111" i="68"/>
  <c r="O110" i="68"/>
  <c r="M110" i="68"/>
  <c r="O109" i="68"/>
  <c r="M109" i="68"/>
  <c r="O108" i="68"/>
  <c r="M108" i="68"/>
  <c r="O107" i="68"/>
  <c r="M107" i="68"/>
  <c r="O106" i="68"/>
  <c r="M106" i="68"/>
  <c r="O105" i="68"/>
  <c r="M105" i="68"/>
  <c r="O104" i="68"/>
  <c r="D96" i="68"/>
  <c r="L93" i="68"/>
  <c r="J93" i="68"/>
  <c r="D91" i="68"/>
  <c r="D89" i="68"/>
  <c r="N72" i="68"/>
  <c r="L72" i="68"/>
  <c r="N71" i="68"/>
  <c r="L71" i="68"/>
  <c r="N70" i="68"/>
  <c r="L70" i="68"/>
  <c r="N69" i="68"/>
  <c r="L69" i="68"/>
  <c r="N68" i="68"/>
  <c r="L68" i="68"/>
  <c r="N67" i="68"/>
  <c r="L67" i="68"/>
  <c r="N66" i="68"/>
  <c r="L66" i="68"/>
  <c r="N65" i="68"/>
  <c r="L65" i="68"/>
  <c r="N64" i="68"/>
  <c r="L64" i="68"/>
  <c r="N63" i="68"/>
  <c r="L63" i="68"/>
  <c r="N62" i="68"/>
  <c r="L62" i="68"/>
  <c r="N61" i="68"/>
  <c r="L61" i="68"/>
  <c r="N60" i="68"/>
  <c r="L60" i="68"/>
  <c r="N59" i="68"/>
  <c r="L59" i="68"/>
  <c r="N58" i="68"/>
  <c r="L58" i="68"/>
  <c r="N57" i="68"/>
  <c r="L57" i="68"/>
  <c r="N56" i="68"/>
  <c r="L56" i="68"/>
  <c r="N55" i="68"/>
  <c r="L55" i="68"/>
  <c r="N54" i="68"/>
  <c r="L54" i="68"/>
  <c r="N53" i="68"/>
  <c r="L53" i="68"/>
  <c r="N52" i="68"/>
  <c r="L52" i="68"/>
  <c r="N51" i="68"/>
  <c r="L51" i="68"/>
  <c r="N50" i="68"/>
  <c r="L50" i="68"/>
  <c r="N49" i="68"/>
  <c r="L49" i="68"/>
  <c r="N48" i="68"/>
  <c r="L48" i="68"/>
  <c r="N47" i="68"/>
  <c r="L47" i="68"/>
  <c r="N46" i="68"/>
  <c r="L46" i="68"/>
  <c r="N45" i="68"/>
  <c r="L45" i="68"/>
  <c r="N44" i="68"/>
  <c r="L44" i="68"/>
  <c r="N43" i="68"/>
  <c r="L43" i="68"/>
  <c r="N42" i="68"/>
  <c r="L42" i="68"/>
  <c r="N41" i="68"/>
  <c r="L41" i="68"/>
  <c r="N40" i="68"/>
  <c r="L40" i="68"/>
  <c r="N39" i="68"/>
  <c r="L39" i="68"/>
  <c r="N38" i="68"/>
  <c r="L38" i="68"/>
  <c r="N37" i="68"/>
  <c r="L37" i="68"/>
  <c r="N36" i="68"/>
  <c r="L36" i="68"/>
  <c r="N35" i="68"/>
  <c r="L35" i="68"/>
  <c r="N34" i="68"/>
  <c r="L34" i="68"/>
  <c r="N33" i="68"/>
  <c r="L33" i="68"/>
  <c r="N32" i="68"/>
  <c r="L32" i="68"/>
  <c r="N31" i="68"/>
  <c r="L31" i="68"/>
  <c r="N30" i="68"/>
  <c r="L30" i="68"/>
  <c r="N29" i="68"/>
  <c r="L29" i="68"/>
  <c r="N28" i="68"/>
  <c r="L28" i="68"/>
  <c r="N27" i="68"/>
  <c r="L27" i="68"/>
  <c r="N26" i="68"/>
  <c r="L26" i="68"/>
  <c r="N25" i="68"/>
  <c r="L25" i="68"/>
  <c r="N24" i="68"/>
  <c r="L24" i="68"/>
  <c r="N23" i="68"/>
  <c r="N22" i="68"/>
  <c r="C17" i="68"/>
  <c r="C18" i="68" s="1"/>
  <c r="C19" i="68"/>
  <c r="C20" i="68" s="1"/>
  <c r="C21" i="68" s="1"/>
  <c r="C22" i="68" s="1"/>
  <c r="C23" i="68" s="1"/>
  <c r="C24" i="68" s="1"/>
  <c r="C25" i="68" s="1"/>
  <c r="C26" i="68" s="1"/>
  <c r="C27" i="68" s="1"/>
  <c r="C28" i="68" s="1"/>
  <c r="C29" i="68" s="1"/>
  <c r="C30" i="68" s="1"/>
  <c r="C31" i="68" s="1"/>
  <c r="C32" i="68" s="1"/>
  <c r="C33" i="68" s="1"/>
  <c r="C34" i="68" s="1"/>
  <c r="C35" i="68" s="1"/>
  <c r="C36" i="68" s="1"/>
  <c r="C37" i="68" s="1"/>
  <c r="C38" i="68" s="1"/>
  <c r="C39" i="68" s="1"/>
  <c r="C40" i="68" s="1"/>
  <c r="C41" i="68" s="1"/>
  <c r="C42" i="68" s="1"/>
  <c r="C43" i="68" s="1"/>
  <c r="C44" i="68" s="1"/>
  <c r="K11" i="68"/>
  <c r="I11" i="68"/>
  <c r="D8" i="68"/>
  <c r="D90" i="68" s="1"/>
  <c r="P154" i="67"/>
  <c r="O154" i="67"/>
  <c r="M154" i="67"/>
  <c r="P153" i="67"/>
  <c r="O153" i="67"/>
  <c r="M153" i="67"/>
  <c r="P152" i="67"/>
  <c r="O152" i="67"/>
  <c r="M152" i="67"/>
  <c r="P151" i="67"/>
  <c r="O151" i="67"/>
  <c r="M151" i="67"/>
  <c r="P150" i="67"/>
  <c r="O150" i="67"/>
  <c r="M150" i="67"/>
  <c r="P149" i="67"/>
  <c r="O149" i="67"/>
  <c r="M149" i="67"/>
  <c r="P148" i="67"/>
  <c r="O148" i="67"/>
  <c r="M148" i="67"/>
  <c r="P147" i="67"/>
  <c r="O147" i="67"/>
  <c r="M147" i="67"/>
  <c r="P146" i="67"/>
  <c r="O146" i="67"/>
  <c r="M146" i="67"/>
  <c r="P145" i="67"/>
  <c r="O145" i="67"/>
  <c r="M145" i="67"/>
  <c r="P144" i="67"/>
  <c r="O144" i="67"/>
  <c r="M144" i="67"/>
  <c r="P143" i="67"/>
  <c r="O143" i="67"/>
  <c r="M143" i="67"/>
  <c r="P142" i="67"/>
  <c r="O142" i="67"/>
  <c r="M142" i="67"/>
  <c r="P141" i="67"/>
  <c r="O141" i="67"/>
  <c r="M141" i="67"/>
  <c r="P140" i="67"/>
  <c r="O140" i="67"/>
  <c r="M140" i="67"/>
  <c r="P139" i="67"/>
  <c r="O139" i="67"/>
  <c r="M139" i="67"/>
  <c r="P138" i="67"/>
  <c r="O138" i="67"/>
  <c r="M138" i="67"/>
  <c r="P137" i="67"/>
  <c r="O137" i="67"/>
  <c r="M137" i="67"/>
  <c r="P136" i="67"/>
  <c r="O136" i="67"/>
  <c r="M136" i="67"/>
  <c r="P135" i="67"/>
  <c r="O135" i="67"/>
  <c r="M135" i="67"/>
  <c r="P134" i="67"/>
  <c r="O134" i="67"/>
  <c r="M134" i="67"/>
  <c r="P133" i="67"/>
  <c r="O133" i="67"/>
  <c r="M133" i="67"/>
  <c r="P132" i="67"/>
  <c r="O132" i="67"/>
  <c r="M132" i="67"/>
  <c r="P131" i="67"/>
  <c r="O131" i="67"/>
  <c r="M131" i="67"/>
  <c r="O130" i="67"/>
  <c r="M130" i="67"/>
  <c r="O129" i="67"/>
  <c r="M129" i="67"/>
  <c r="O128" i="67"/>
  <c r="M128" i="67"/>
  <c r="O127" i="67"/>
  <c r="M127" i="67"/>
  <c r="O126" i="67"/>
  <c r="M126" i="67"/>
  <c r="O125" i="67"/>
  <c r="M125" i="67"/>
  <c r="O124" i="67"/>
  <c r="M124" i="67"/>
  <c r="O123" i="67"/>
  <c r="M123" i="67"/>
  <c r="O122" i="67"/>
  <c r="M122" i="67"/>
  <c r="O121" i="67"/>
  <c r="M121" i="67"/>
  <c r="O120" i="67"/>
  <c r="M120" i="67"/>
  <c r="O119" i="67"/>
  <c r="M119" i="67"/>
  <c r="O118" i="67"/>
  <c r="M118" i="67"/>
  <c r="O117" i="67"/>
  <c r="M117" i="67"/>
  <c r="O116" i="67"/>
  <c r="M116" i="67"/>
  <c r="O115" i="67"/>
  <c r="M115" i="67"/>
  <c r="O114" i="67"/>
  <c r="M114" i="67"/>
  <c r="O113" i="67"/>
  <c r="M113" i="67"/>
  <c r="O112" i="67"/>
  <c r="M112" i="67"/>
  <c r="O111" i="67"/>
  <c r="M111" i="67"/>
  <c r="O110" i="67"/>
  <c r="M110" i="67"/>
  <c r="O109" i="67"/>
  <c r="M109" i="67"/>
  <c r="O108" i="67"/>
  <c r="M108" i="67"/>
  <c r="O107" i="67"/>
  <c r="M107" i="67"/>
  <c r="O106" i="67"/>
  <c r="M106" i="67"/>
  <c r="O105" i="67"/>
  <c r="M105" i="67"/>
  <c r="O104" i="67"/>
  <c r="O103" i="67"/>
  <c r="D96" i="67"/>
  <c r="L93" i="67"/>
  <c r="J93" i="67"/>
  <c r="D91" i="67"/>
  <c r="D89" i="67"/>
  <c r="N72" i="67"/>
  <c r="L72" i="67"/>
  <c r="N71" i="67"/>
  <c r="L71" i="67"/>
  <c r="N70" i="67"/>
  <c r="L70" i="67"/>
  <c r="O70" i="67" s="1"/>
  <c r="N69" i="67"/>
  <c r="L69" i="67"/>
  <c r="N68" i="67"/>
  <c r="L68" i="67"/>
  <c r="N67" i="67"/>
  <c r="L67" i="67"/>
  <c r="N66" i="67"/>
  <c r="L66" i="67"/>
  <c r="O66" i="67" s="1"/>
  <c r="N65" i="67"/>
  <c r="L65" i="67"/>
  <c r="N64" i="67"/>
  <c r="L64" i="67"/>
  <c r="O64" i="67" s="1"/>
  <c r="N63" i="67"/>
  <c r="L63" i="67"/>
  <c r="N62" i="67"/>
  <c r="L62" i="67"/>
  <c r="O62" i="67" s="1"/>
  <c r="N61" i="67"/>
  <c r="L61" i="67"/>
  <c r="N60" i="67"/>
  <c r="L60" i="67"/>
  <c r="O60" i="67" s="1"/>
  <c r="N59" i="67"/>
  <c r="L59" i="67"/>
  <c r="N58" i="67"/>
  <c r="L58" i="67"/>
  <c r="N57" i="67"/>
  <c r="L57" i="67"/>
  <c r="N56" i="67"/>
  <c r="L56" i="67"/>
  <c r="O56" i="67" s="1"/>
  <c r="N55" i="67"/>
  <c r="L55" i="67"/>
  <c r="N54" i="67"/>
  <c r="L54" i="67"/>
  <c r="N53" i="67"/>
  <c r="L53" i="67"/>
  <c r="N52" i="67"/>
  <c r="L52" i="67"/>
  <c r="O52" i="67" s="1"/>
  <c r="N51" i="67"/>
  <c r="L51" i="67"/>
  <c r="N50" i="67"/>
  <c r="L50" i="67"/>
  <c r="O50" i="67" s="1"/>
  <c r="N49" i="67"/>
  <c r="L49" i="67"/>
  <c r="N48" i="67"/>
  <c r="L48" i="67"/>
  <c r="O48" i="67" s="1"/>
  <c r="N47" i="67"/>
  <c r="L47" i="67"/>
  <c r="N46" i="67"/>
  <c r="L46" i="67"/>
  <c r="O46" i="67" s="1"/>
  <c r="N45" i="67"/>
  <c r="L45" i="67"/>
  <c r="N44" i="67"/>
  <c r="L44" i="67"/>
  <c r="O44" i="67" s="1"/>
  <c r="N43" i="67"/>
  <c r="L43" i="67"/>
  <c r="N42" i="67"/>
  <c r="L42" i="67"/>
  <c r="N41" i="67"/>
  <c r="L41" i="67"/>
  <c r="N40" i="67"/>
  <c r="L40" i="67"/>
  <c r="N39" i="67"/>
  <c r="L39" i="67"/>
  <c r="N38" i="67"/>
  <c r="L38" i="67"/>
  <c r="O38" i="67" s="1"/>
  <c r="N37" i="67"/>
  <c r="L37" i="67"/>
  <c r="N36" i="67"/>
  <c r="L36" i="67"/>
  <c r="O36" i="67" s="1"/>
  <c r="N35" i="67"/>
  <c r="L35" i="67"/>
  <c r="N34" i="67"/>
  <c r="L34" i="67"/>
  <c r="O34" i="67" s="1"/>
  <c r="N33" i="67"/>
  <c r="L33" i="67"/>
  <c r="N32" i="67"/>
  <c r="L32" i="67"/>
  <c r="N31" i="67"/>
  <c r="L31" i="67"/>
  <c r="N30" i="67"/>
  <c r="L30" i="67"/>
  <c r="N29" i="67"/>
  <c r="L29" i="67"/>
  <c r="N28" i="67"/>
  <c r="L28" i="67"/>
  <c r="N27" i="67"/>
  <c r="L27" i="67"/>
  <c r="N26" i="67"/>
  <c r="L26" i="67"/>
  <c r="O26" i="67" s="1"/>
  <c r="N25" i="67"/>
  <c r="L25" i="67"/>
  <c r="N24" i="67"/>
  <c r="L24" i="67"/>
  <c r="O24" i="67" s="1"/>
  <c r="N23" i="67"/>
  <c r="N22" i="67"/>
  <c r="C17" i="67"/>
  <c r="C18" i="67" s="1"/>
  <c r="C19" i="67" s="1"/>
  <c r="C20" i="67" s="1"/>
  <c r="C21" i="67" s="1"/>
  <c r="C22" i="67" s="1"/>
  <c r="C23" i="67" s="1"/>
  <c r="C24" i="67" s="1"/>
  <c r="C25" i="67" s="1"/>
  <c r="C26" i="67" s="1"/>
  <c r="C27" i="67" s="1"/>
  <c r="C28" i="67" s="1"/>
  <c r="C29" i="67" s="1"/>
  <c r="C30" i="67" s="1"/>
  <c r="C31" i="67" s="1"/>
  <c r="C32" i="67" s="1"/>
  <c r="C33" i="67"/>
  <c r="C34" i="67" s="1"/>
  <c r="C35" i="67" s="1"/>
  <c r="C36" i="67" s="1"/>
  <c r="C37" i="67" s="1"/>
  <c r="C38" i="67" s="1"/>
  <c r="C39" i="67" s="1"/>
  <c r="C40" i="67" s="1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C52" i="67" s="1"/>
  <c r="C53" i="67" s="1"/>
  <c r="C54" i="67" s="1"/>
  <c r="C55" i="67" s="1"/>
  <c r="C56" i="67" s="1"/>
  <c r="C57" i="67" s="1"/>
  <c r="C58" i="67" s="1"/>
  <c r="C59" i="67" s="1"/>
  <c r="C60" i="67" s="1"/>
  <c r="C61" i="67" s="1"/>
  <c r="C62" i="67" s="1"/>
  <c r="C63" i="67" s="1"/>
  <c r="C64" i="67" s="1"/>
  <c r="C65" i="67" s="1"/>
  <c r="C66" i="67" s="1"/>
  <c r="C67" i="67" s="1"/>
  <c r="C68" i="67" s="1"/>
  <c r="C69" i="67" s="1"/>
  <c r="C70" i="67" s="1"/>
  <c r="C71" i="67" s="1"/>
  <c r="C72" i="67" s="1"/>
  <c r="K11" i="67"/>
  <c r="I11" i="67"/>
  <c r="D8" i="67"/>
  <c r="D90" i="67" s="1"/>
  <c r="P154" i="66"/>
  <c r="O154" i="66"/>
  <c r="M154" i="66"/>
  <c r="P153" i="66"/>
  <c r="O153" i="66"/>
  <c r="M153" i="66"/>
  <c r="P152" i="66"/>
  <c r="O152" i="66"/>
  <c r="M152" i="66"/>
  <c r="P151" i="66"/>
  <c r="O151" i="66"/>
  <c r="M151" i="66"/>
  <c r="P150" i="66"/>
  <c r="O150" i="66"/>
  <c r="M150" i="66"/>
  <c r="P149" i="66"/>
  <c r="O149" i="66"/>
  <c r="M149" i="66"/>
  <c r="P148" i="66"/>
  <c r="O148" i="66"/>
  <c r="M148" i="66"/>
  <c r="P147" i="66"/>
  <c r="O147" i="66"/>
  <c r="M147" i="66"/>
  <c r="P146" i="66"/>
  <c r="O146" i="66"/>
  <c r="M146" i="66"/>
  <c r="P145" i="66"/>
  <c r="O145" i="66"/>
  <c r="M145" i="66"/>
  <c r="P144" i="66"/>
  <c r="O144" i="66"/>
  <c r="M144" i="66"/>
  <c r="P143" i="66"/>
  <c r="O143" i="66"/>
  <c r="M143" i="66"/>
  <c r="P142" i="66"/>
  <c r="O142" i="66"/>
  <c r="M142" i="66"/>
  <c r="P141" i="66"/>
  <c r="O141" i="66"/>
  <c r="M141" i="66"/>
  <c r="P140" i="66"/>
  <c r="O140" i="66"/>
  <c r="M140" i="66"/>
  <c r="P139" i="66"/>
  <c r="O139" i="66"/>
  <c r="M139" i="66"/>
  <c r="P138" i="66"/>
  <c r="O138" i="66"/>
  <c r="M138" i="66"/>
  <c r="P137" i="66"/>
  <c r="O137" i="66"/>
  <c r="M137" i="66"/>
  <c r="P136" i="66"/>
  <c r="O136" i="66"/>
  <c r="M136" i="66"/>
  <c r="P135" i="66"/>
  <c r="O135" i="66"/>
  <c r="M135" i="66"/>
  <c r="P134" i="66"/>
  <c r="O134" i="66"/>
  <c r="M134" i="66"/>
  <c r="P133" i="66"/>
  <c r="O133" i="66"/>
  <c r="M133" i="66"/>
  <c r="P132" i="66"/>
  <c r="O132" i="66"/>
  <c r="M132" i="66"/>
  <c r="P131" i="66"/>
  <c r="O131" i="66"/>
  <c r="M131" i="66"/>
  <c r="O130" i="66"/>
  <c r="M130" i="66"/>
  <c r="O129" i="66"/>
  <c r="M129" i="66"/>
  <c r="O128" i="66"/>
  <c r="M128" i="66"/>
  <c r="O127" i="66"/>
  <c r="M127" i="66"/>
  <c r="O126" i="66"/>
  <c r="M126" i="66"/>
  <c r="O125" i="66"/>
  <c r="M125" i="66"/>
  <c r="O124" i="66"/>
  <c r="M124" i="66"/>
  <c r="O123" i="66"/>
  <c r="M123" i="66"/>
  <c r="O122" i="66"/>
  <c r="M122" i="66"/>
  <c r="O121" i="66"/>
  <c r="M121" i="66"/>
  <c r="O120" i="66"/>
  <c r="M120" i="66"/>
  <c r="O119" i="66"/>
  <c r="M119" i="66"/>
  <c r="O118" i="66"/>
  <c r="M118" i="66"/>
  <c r="O117" i="66"/>
  <c r="M117" i="66"/>
  <c r="O116" i="66"/>
  <c r="M116" i="66"/>
  <c r="O115" i="66"/>
  <c r="M115" i="66"/>
  <c r="O114" i="66"/>
  <c r="M114" i="66"/>
  <c r="O113" i="66"/>
  <c r="M113" i="66"/>
  <c r="O112" i="66"/>
  <c r="M112" i="66"/>
  <c r="O111" i="66"/>
  <c r="M111" i="66"/>
  <c r="O110" i="66"/>
  <c r="M110" i="66"/>
  <c r="O109" i="66"/>
  <c r="M109" i="66"/>
  <c r="O108" i="66"/>
  <c r="M108" i="66"/>
  <c r="O107" i="66"/>
  <c r="M107" i="66"/>
  <c r="O106" i="66"/>
  <c r="M106" i="66"/>
  <c r="O105" i="66"/>
  <c r="M105" i="66"/>
  <c r="O104" i="66"/>
  <c r="D96" i="66"/>
  <c r="L93" i="66"/>
  <c r="J93" i="66"/>
  <c r="D91" i="66"/>
  <c r="D89" i="66"/>
  <c r="N72" i="66"/>
  <c r="L72" i="66"/>
  <c r="N71" i="66"/>
  <c r="L71" i="66"/>
  <c r="N70" i="66"/>
  <c r="L70" i="66"/>
  <c r="N69" i="66"/>
  <c r="L69" i="66"/>
  <c r="N68" i="66"/>
  <c r="L68" i="66"/>
  <c r="N67" i="66"/>
  <c r="L67" i="66"/>
  <c r="N66" i="66"/>
  <c r="L66" i="66"/>
  <c r="N65" i="66"/>
  <c r="L65" i="66"/>
  <c r="N64" i="66"/>
  <c r="L64" i="66"/>
  <c r="N63" i="66"/>
  <c r="L63" i="66"/>
  <c r="N62" i="66"/>
  <c r="L62" i="66"/>
  <c r="N61" i="66"/>
  <c r="L61" i="66"/>
  <c r="N60" i="66"/>
  <c r="L60" i="66"/>
  <c r="N59" i="66"/>
  <c r="L59" i="66"/>
  <c r="N58" i="66"/>
  <c r="L58" i="66"/>
  <c r="N57" i="66"/>
  <c r="L57" i="66"/>
  <c r="N56" i="66"/>
  <c r="L56" i="66"/>
  <c r="N55" i="66"/>
  <c r="L55" i="66"/>
  <c r="N54" i="66"/>
  <c r="L54" i="66"/>
  <c r="N53" i="66"/>
  <c r="L53" i="66"/>
  <c r="N52" i="66"/>
  <c r="L52" i="66"/>
  <c r="N51" i="66"/>
  <c r="L51" i="66"/>
  <c r="N50" i="66"/>
  <c r="L50" i="66"/>
  <c r="N49" i="66"/>
  <c r="L49" i="66"/>
  <c r="N48" i="66"/>
  <c r="L48" i="66"/>
  <c r="N47" i="66"/>
  <c r="L47" i="66"/>
  <c r="N46" i="66"/>
  <c r="L46" i="66"/>
  <c r="N45" i="66"/>
  <c r="O45" i="66" s="1"/>
  <c r="L45" i="66"/>
  <c r="N44" i="66"/>
  <c r="L44" i="66"/>
  <c r="N43" i="66"/>
  <c r="L43" i="66"/>
  <c r="N42" i="66"/>
  <c r="L42" i="66"/>
  <c r="N41" i="66"/>
  <c r="L41" i="66"/>
  <c r="N40" i="66"/>
  <c r="L40" i="66"/>
  <c r="N39" i="66"/>
  <c r="L39" i="66"/>
  <c r="N38" i="66"/>
  <c r="L38" i="66"/>
  <c r="N37" i="66"/>
  <c r="L37" i="66"/>
  <c r="N36" i="66"/>
  <c r="L36" i="66"/>
  <c r="N35" i="66"/>
  <c r="L35" i="66"/>
  <c r="N34" i="66"/>
  <c r="L34" i="66"/>
  <c r="N33" i="66"/>
  <c r="L33" i="66"/>
  <c r="N32" i="66"/>
  <c r="L32" i="66"/>
  <c r="N31" i="66"/>
  <c r="L31" i="66"/>
  <c r="N30" i="66"/>
  <c r="L30" i="66"/>
  <c r="N29" i="66"/>
  <c r="L29" i="66"/>
  <c r="N28" i="66"/>
  <c r="L28" i="66"/>
  <c r="N27" i="66"/>
  <c r="L27" i="66"/>
  <c r="N26" i="66"/>
  <c r="L26" i="66"/>
  <c r="N25" i="66"/>
  <c r="L25" i="66"/>
  <c r="N24" i="66"/>
  <c r="L24" i="66"/>
  <c r="N23" i="66"/>
  <c r="N22" i="66"/>
  <c r="C17" i="66"/>
  <c r="C18" i="66"/>
  <c r="C19" i="66" s="1"/>
  <c r="C20" i="66" s="1"/>
  <c r="C21" i="66" s="1"/>
  <c r="C22" i="66" s="1"/>
  <c r="C23" i="66" s="1"/>
  <c r="C24" i="66" s="1"/>
  <c r="C25" i="66" s="1"/>
  <c r="C26" i="66" s="1"/>
  <c r="C27" i="66" s="1"/>
  <c r="C28" i="66" s="1"/>
  <c r="C29" i="66" s="1"/>
  <c r="C30" i="66" s="1"/>
  <c r="C31" i="66" s="1"/>
  <c r="C32" i="66" s="1"/>
  <c r="C33" i="66" s="1"/>
  <c r="C34" i="66" s="1"/>
  <c r="C35" i="66" s="1"/>
  <c r="C36" i="66" s="1"/>
  <c r="C37" i="66" s="1"/>
  <c r="C38" i="66" s="1"/>
  <c r="C39" i="66" s="1"/>
  <c r="C40" i="66" s="1"/>
  <c r="C41" i="66" s="1"/>
  <c r="C42" i="66" s="1"/>
  <c r="C43" i="66" s="1"/>
  <c r="C44" i="66" s="1"/>
  <c r="K11" i="66"/>
  <c r="I11" i="66"/>
  <c r="D8" i="66"/>
  <c r="D90" i="66"/>
  <c r="P154" i="65"/>
  <c r="O154" i="65"/>
  <c r="M154" i="65"/>
  <c r="P153" i="65"/>
  <c r="O153" i="65"/>
  <c r="M153" i="65"/>
  <c r="P152" i="65"/>
  <c r="O152" i="65"/>
  <c r="M152" i="65"/>
  <c r="P151" i="65"/>
  <c r="O151" i="65"/>
  <c r="M151" i="65"/>
  <c r="P150" i="65"/>
  <c r="O150" i="65"/>
  <c r="M150" i="65"/>
  <c r="P149" i="65"/>
  <c r="O149" i="65"/>
  <c r="M149" i="65"/>
  <c r="P148" i="65"/>
  <c r="O148" i="65"/>
  <c r="M148" i="65"/>
  <c r="P147" i="65"/>
  <c r="O147" i="65"/>
  <c r="M147" i="65"/>
  <c r="P146" i="65"/>
  <c r="O146" i="65"/>
  <c r="M146" i="65"/>
  <c r="P145" i="65"/>
  <c r="O145" i="65"/>
  <c r="M145" i="65"/>
  <c r="P144" i="65"/>
  <c r="O144" i="65"/>
  <c r="M144" i="65"/>
  <c r="P143" i="65"/>
  <c r="O143" i="65"/>
  <c r="M143" i="65"/>
  <c r="P142" i="65"/>
  <c r="O142" i="65"/>
  <c r="M142" i="65"/>
  <c r="P141" i="65"/>
  <c r="O141" i="65"/>
  <c r="M141" i="65"/>
  <c r="P140" i="65"/>
  <c r="O140" i="65"/>
  <c r="M140" i="65"/>
  <c r="P139" i="65"/>
  <c r="O139" i="65"/>
  <c r="M139" i="65"/>
  <c r="P138" i="65"/>
  <c r="O138" i="65"/>
  <c r="M138" i="65"/>
  <c r="P137" i="65"/>
  <c r="O137" i="65"/>
  <c r="M137" i="65"/>
  <c r="P136" i="65"/>
  <c r="O136" i="65"/>
  <c r="M136" i="65"/>
  <c r="P135" i="65"/>
  <c r="O135" i="65"/>
  <c r="M135" i="65"/>
  <c r="P134" i="65"/>
  <c r="O134" i="65"/>
  <c r="M134" i="65"/>
  <c r="P133" i="65"/>
  <c r="O133" i="65"/>
  <c r="M133" i="65"/>
  <c r="P132" i="65"/>
  <c r="O132" i="65"/>
  <c r="M132" i="65"/>
  <c r="P131" i="65"/>
  <c r="O131" i="65"/>
  <c r="M131" i="65"/>
  <c r="O130" i="65"/>
  <c r="M130" i="65"/>
  <c r="O129" i="65"/>
  <c r="M129" i="65"/>
  <c r="O128" i="65"/>
  <c r="M128" i="65"/>
  <c r="O127" i="65"/>
  <c r="M127" i="65"/>
  <c r="O126" i="65"/>
  <c r="M126" i="65"/>
  <c r="O125" i="65"/>
  <c r="M125" i="65"/>
  <c r="O124" i="65"/>
  <c r="M124" i="65"/>
  <c r="O123" i="65"/>
  <c r="M123" i="65"/>
  <c r="O122" i="65"/>
  <c r="M122" i="65"/>
  <c r="O121" i="65"/>
  <c r="M121" i="65"/>
  <c r="O120" i="65"/>
  <c r="M120" i="65"/>
  <c r="O119" i="65"/>
  <c r="M119" i="65"/>
  <c r="O118" i="65"/>
  <c r="M118" i="65"/>
  <c r="O117" i="65"/>
  <c r="M117" i="65"/>
  <c r="O116" i="65"/>
  <c r="M116" i="65"/>
  <c r="O115" i="65"/>
  <c r="M115" i="65"/>
  <c r="O114" i="65"/>
  <c r="M114" i="65"/>
  <c r="O113" i="65"/>
  <c r="M113" i="65"/>
  <c r="O112" i="65"/>
  <c r="M112" i="65"/>
  <c r="O111" i="65"/>
  <c r="M111" i="65"/>
  <c r="O110" i="65"/>
  <c r="M110" i="65"/>
  <c r="O109" i="65"/>
  <c r="M109" i="65"/>
  <c r="O108" i="65"/>
  <c r="M108" i="65"/>
  <c r="O107" i="65"/>
  <c r="M107" i="65"/>
  <c r="O106" i="65"/>
  <c r="M106" i="65"/>
  <c r="O105" i="65"/>
  <c r="M105" i="65"/>
  <c r="O104" i="65"/>
  <c r="D96" i="65"/>
  <c r="L93" i="65"/>
  <c r="J93" i="65"/>
  <c r="D91" i="65"/>
  <c r="D89" i="65"/>
  <c r="N72" i="65"/>
  <c r="L72" i="65"/>
  <c r="N71" i="65"/>
  <c r="L71" i="65"/>
  <c r="N70" i="65"/>
  <c r="L70" i="65"/>
  <c r="N69" i="65"/>
  <c r="L69" i="65"/>
  <c r="N68" i="65"/>
  <c r="L68" i="65"/>
  <c r="N67" i="65"/>
  <c r="L67" i="65"/>
  <c r="N66" i="65"/>
  <c r="L66" i="65"/>
  <c r="N65" i="65"/>
  <c r="O65" i="65" s="1"/>
  <c r="L65" i="65"/>
  <c r="N64" i="65"/>
  <c r="L64" i="65"/>
  <c r="N63" i="65"/>
  <c r="O63" i="65" s="1"/>
  <c r="L63" i="65"/>
  <c r="N62" i="65"/>
  <c r="L62" i="65"/>
  <c r="N61" i="65"/>
  <c r="O61" i="65" s="1"/>
  <c r="L61" i="65"/>
  <c r="N60" i="65"/>
  <c r="L60" i="65"/>
  <c r="N59" i="65"/>
  <c r="L59" i="65"/>
  <c r="N58" i="65"/>
  <c r="L58" i="65"/>
  <c r="N57" i="65"/>
  <c r="O57" i="65" s="1"/>
  <c r="L57" i="65"/>
  <c r="N56" i="65"/>
  <c r="L56" i="65"/>
  <c r="N55" i="65"/>
  <c r="O55" i="65" s="1"/>
  <c r="L55" i="65"/>
  <c r="N54" i="65"/>
  <c r="L54" i="65"/>
  <c r="N53" i="65"/>
  <c r="O53" i="65" s="1"/>
  <c r="L53" i="65"/>
  <c r="N52" i="65"/>
  <c r="L52" i="65"/>
  <c r="N51" i="65"/>
  <c r="L51" i="65"/>
  <c r="N50" i="65"/>
  <c r="L50" i="65"/>
  <c r="N49" i="65"/>
  <c r="L49" i="65"/>
  <c r="N48" i="65"/>
  <c r="L48" i="65"/>
  <c r="N47" i="65"/>
  <c r="L47" i="65"/>
  <c r="N46" i="65"/>
  <c r="L46" i="65"/>
  <c r="N45" i="65"/>
  <c r="O45" i="65" s="1"/>
  <c r="L45" i="65"/>
  <c r="N44" i="65"/>
  <c r="L44" i="65"/>
  <c r="N43" i="65"/>
  <c r="O43" i="65" s="1"/>
  <c r="L43" i="65"/>
  <c r="N42" i="65"/>
  <c r="L42" i="65"/>
  <c r="N41" i="65"/>
  <c r="O41" i="65" s="1"/>
  <c r="L41" i="65"/>
  <c r="N40" i="65"/>
  <c r="L40" i="65"/>
  <c r="N39" i="65"/>
  <c r="O39" i="65" s="1"/>
  <c r="L39" i="65"/>
  <c r="N38" i="65"/>
  <c r="L38" i="65"/>
  <c r="N37" i="65"/>
  <c r="O37" i="65" s="1"/>
  <c r="L37" i="65"/>
  <c r="N36" i="65"/>
  <c r="L36" i="65"/>
  <c r="N35" i="65"/>
  <c r="O35" i="65" s="1"/>
  <c r="L35" i="65"/>
  <c r="N34" i="65"/>
  <c r="L34" i="65"/>
  <c r="N33" i="65"/>
  <c r="O33" i="65" s="1"/>
  <c r="L33" i="65"/>
  <c r="N32" i="65"/>
  <c r="L32" i="65"/>
  <c r="N31" i="65"/>
  <c r="L31" i="65"/>
  <c r="N30" i="65"/>
  <c r="L30" i="65"/>
  <c r="N29" i="65"/>
  <c r="O29" i="65" s="1"/>
  <c r="L29" i="65"/>
  <c r="N28" i="65"/>
  <c r="L28" i="65"/>
  <c r="N27" i="65"/>
  <c r="L27" i="65"/>
  <c r="N26" i="65"/>
  <c r="L26" i="65"/>
  <c r="N25" i="65"/>
  <c r="L25" i="65"/>
  <c r="N24" i="65"/>
  <c r="L24" i="65"/>
  <c r="N23" i="65"/>
  <c r="N22" i="65"/>
  <c r="C17" i="65"/>
  <c r="C18" i="65" s="1"/>
  <c r="C19" i="65" s="1"/>
  <c r="C20" i="65" s="1"/>
  <c r="C21" i="65" s="1"/>
  <c r="C22" i="65" s="1"/>
  <c r="C23" i="65" s="1"/>
  <c r="C24" i="65" s="1"/>
  <c r="C25" i="65" s="1"/>
  <c r="C26" i="65" s="1"/>
  <c r="C27" i="65" s="1"/>
  <c r="C28" i="65" s="1"/>
  <c r="C29" i="65" s="1"/>
  <c r="C30" i="65" s="1"/>
  <c r="C31" i="65" s="1"/>
  <c r="C32" i="65" s="1"/>
  <c r="C33" i="65" s="1"/>
  <c r="C34" i="65" s="1"/>
  <c r="C35" i="65" s="1"/>
  <c r="C36" i="65" s="1"/>
  <c r="C37" i="65" s="1"/>
  <c r="C38" i="65" s="1"/>
  <c r="C39" i="65" s="1"/>
  <c r="C40" i="65" s="1"/>
  <c r="C41" i="65" s="1"/>
  <c r="C42" i="65" s="1"/>
  <c r="C43" i="65" s="1"/>
  <c r="C44" i="65" s="1"/>
  <c r="C45" i="65" s="1"/>
  <c r="C46" i="65" s="1"/>
  <c r="C47" i="65" s="1"/>
  <c r="C48" i="65" s="1"/>
  <c r="C49" i="65" s="1"/>
  <c r="C50" i="65" s="1"/>
  <c r="C51" i="65" s="1"/>
  <c r="C52" i="65" s="1"/>
  <c r="C53" i="65" s="1"/>
  <c r="C54" i="65" s="1"/>
  <c r="C55" i="65" s="1"/>
  <c r="C56" i="65" s="1"/>
  <c r="C57" i="65" s="1"/>
  <c r="C58" i="65" s="1"/>
  <c r="C59" i="65" s="1"/>
  <c r="C60" i="65" s="1"/>
  <c r="C61" i="65" s="1"/>
  <c r="C62" i="65" s="1"/>
  <c r="C63" i="65" s="1"/>
  <c r="C64" i="65" s="1"/>
  <c r="C65" i="65" s="1"/>
  <c r="C66" i="65" s="1"/>
  <c r="C67" i="65" s="1"/>
  <c r="C68" i="65" s="1"/>
  <c r="C69" i="65" s="1"/>
  <c r="C70" i="65" s="1"/>
  <c r="C71" i="65" s="1"/>
  <c r="C72" i="65" s="1"/>
  <c r="K11" i="65"/>
  <c r="I11" i="65"/>
  <c r="D8" i="65"/>
  <c r="D90" i="65" s="1"/>
  <c r="P154" i="64"/>
  <c r="O154" i="64"/>
  <c r="M154" i="64"/>
  <c r="P153" i="64"/>
  <c r="O153" i="64"/>
  <c r="M153" i="64"/>
  <c r="P152" i="64"/>
  <c r="O152" i="64"/>
  <c r="M152" i="64"/>
  <c r="P151" i="64"/>
  <c r="O151" i="64"/>
  <c r="M151" i="64"/>
  <c r="P150" i="64"/>
  <c r="O150" i="64"/>
  <c r="M150" i="64"/>
  <c r="P149" i="64"/>
  <c r="O149" i="64"/>
  <c r="M149" i="64"/>
  <c r="P148" i="64"/>
  <c r="O148" i="64"/>
  <c r="M148" i="64"/>
  <c r="P147" i="64"/>
  <c r="O147" i="64"/>
  <c r="M147" i="64"/>
  <c r="P146" i="64"/>
  <c r="O146" i="64"/>
  <c r="M146" i="64"/>
  <c r="P145" i="64"/>
  <c r="O145" i="64"/>
  <c r="M145" i="64"/>
  <c r="P144" i="64"/>
  <c r="O144" i="64"/>
  <c r="M144" i="64"/>
  <c r="P143" i="64"/>
  <c r="O143" i="64"/>
  <c r="M143" i="64"/>
  <c r="P142" i="64"/>
  <c r="O142" i="64"/>
  <c r="M142" i="64"/>
  <c r="P141" i="64"/>
  <c r="O141" i="64"/>
  <c r="M141" i="64"/>
  <c r="P140" i="64"/>
  <c r="O140" i="64"/>
  <c r="M140" i="64"/>
  <c r="P139" i="64"/>
  <c r="O139" i="64"/>
  <c r="M139" i="64"/>
  <c r="P138" i="64"/>
  <c r="O138" i="64"/>
  <c r="M138" i="64"/>
  <c r="P137" i="64"/>
  <c r="O137" i="64"/>
  <c r="M137" i="64"/>
  <c r="P136" i="64"/>
  <c r="O136" i="64"/>
  <c r="M136" i="64"/>
  <c r="P135" i="64"/>
  <c r="O135" i="64"/>
  <c r="M135" i="64"/>
  <c r="P134" i="64"/>
  <c r="O134" i="64"/>
  <c r="M134" i="64"/>
  <c r="P133" i="64"/>
  <c r="O133" i="64"/>
  <c r="M133" i="64"/>
  <c r="P132" i="64"/>
  <c r="O132" i="64"/>
  <c r="M132" i="64"/>
  <c r="P131" i="64"/>
  <c r="O131" i="64"/>
  <c r="M131" i="64"/>
  <c r="O130" i="64"/>
  <c r="M130" i="64"/>
  <c r="O129" i="64"/>
  <c r="M129" i="64"/>
  <c r="O128" i="64"/>
  <c r="M128" i="64"/>
  <c r="O127" i="64"/>
  <c r="M127" i="64"/>
  <c r="O126" i="64"/>
  <c r="M126" i="64"/>
  <c r="O125" i="64"/>
  <c r="M125" i="64"/>
  <c r="O124" i="64"/>
  <c r="M124" i="64"/>
  <c r="O123" i="64"/>
  <c r="M123" i="64"/>
  <c r="O122" i="64"/>
  <c r="M122" i="64"/>
  <c r="O121" i="64"/>
  <c r="M121" i="64"/>
  <c r="O120" i="64"/>
  <c r="M120" i="64"/>
  <c r="O119" i="64"/>
  <c r="M119" i="64"/>
  <c r="O118" i="64"/>
  <c r="M118" i="64"/>
  <c r="O117" i="64"/>
  <c r="M117" i="64"/>
  <c r="O116" i="64"/>
  <c r="M116" i="64"/>
  <c r="O115" i="64"/>
  <c r="M115" i="64"/>
  <c r="O114" i="64"/>
  <c r="M114" i="64"/>
  <c r="O113" i="64"/>
  <c r="M113" i="64"/>
  <c r="O112" i="64"/>
  <c r="M112" i="64"/>
  <c r="O111" i="64"/>
  <c r="M111" i="64"/>
  <c r="O110" i="64"/>
  <c r="M110" i="64"/>
  <c r="O109" i="64"/>
  <c r="M109" i="64"/>
  <c r="O108" i="64"/>
  <c r="M108" i="64"/>
  <c r="O107" i="64"/>
  <c r="M107" i="64"/>
  <c r="O106" i="64"/>
  <c r="M106" i="64"/>
  <c r="O105" i="64"/>
  <c r="O104" i="64"/>
  <c r="D96" i="64"/>
  <c r="L93" i="64"/>
  <c r="J93" i="64"/>
  <c r="D91" i="64"/>
  <c r="D89" i="64"/>
  <c r="N72" i="64"/>
  <c r="L72" i="64"/>
  <c r="N71" i="64"/>
  <c r="L71" i="64"/>
  <c r="N70" i="64"/>
  <c r="L70" i="64"/>
  <c r="O70" i="64" s="1"/>
  <c r="N69" i="64"/>
  <c r="L69" i="64"/>
  <c r="N68" i="64"/>
  <c r="L68" i="64"/>
  <c r="N67" i="64"/>
  <c r="L67" i="64"/>
  <c r="O67" i="64" s="1"/>
  <c r="N66" i="64"/>
  <c r="L66" i="64"/>
  <c r="N65" i="64"/>
  <c r="L65" i="64"/>
  <c r="N64" i="64"/>
  <c r="L64" i="64"/>
  <c r="N63" i="64"/>
  <c r="L63" i="64"/>
  <c r="N62" i="64"/>
  <c r="L62" i="64"/>
  <c r="N61" i="64"/>
  <c r="L61" i="64"/>
  <c r="N60" i="64"/>
  <c r="L60" i="64"/>
  <c r="N59" i="64"/>
  <c r="L59" i="64"/>
  <c r="O59" i="64" s="1"/>
  <c r="N58" i="64"/>
  <c r="L58" i="64"/>
  <c r="N57" i="64"/>
  <c r="L57" i="64"/>
  <c r="O57" i="64" s="1"/>
  <c r="N56" i="64"/>
  <c r="L56" i="64"/>
  <c r="N55" i="64"/>
  <c r="L55" i="64"/>
  <c r="O55" i="64" s="1"/>
  <c r="N54" i="64"/>
  <c r="L54" i="64"/>
  <c r="N53" i="64"/>
  <c r="L53" i="64"/>
  <c r="O53" i="64" s="1"/>
  <c r="N52" i="64"/>
  <c r="L52" i="64"/>
  <c r="N51" i="64"/>
  <c r="L51" i="64"/>
  <c r="N50" i="64"/>
  <c r="L50" i="64"/>
  <c r="N49" i="64"/>
  <c r="L49" i="64"/>
  <c r="N48" i="64"/>
  <c r="L48" i="64"/>
  <c r="O48" i="64" s="1"/>
  <c r="N47" i="64"/>
  <c r="L47" i="64"/>
  <c r="N46" i="64"/>
  <c r="L46" i="64"/>
  <c r="N45" i="64"/>
  <c r="L45" i="64"/>
  <c r="N44" i="64"/>
  <c r="L44" i="64"/>
  <c r="N43" i="64"/>
  <c r="L43" i="64"/>
  <c r="O43" i="64" s="1"/>
  <c r="N42" i="64"/>
  <c r="L42" i="64"/>
  <c r="N41" i="64"/>
  <c r="L41" i="64"/>
  <c r="N40" i="64"/>
  <c r="L40" i="64"/>
  <c r="N39" i="64"/>
  <c r="L39" i="64"/>
  <c r="N38" i="64"/>
  <c r="L38" i="64"/>
  <c r="N37" i="64"/>
  <c r="L37" i="64"/>
  <c r="N36" i="64"/>
  <c r="L36" i="64"/>
  <c r="N35" i="64"/>
  <c r="L35" i="64"/>
  <c r="N34" i="64"/>
  <c r="L34" i="64"/>
  <c r="N33" i="64"/>
  <c r="L33" i="64"/>
  <c r="N32" i="64"/>
  <c r="L32" i="64"/>
  <c r="N31" i="64"/>
  <c r="L31" i="64"/>
  <c r="N30" i="64"/>
  <c r="L30" i="64"/>
  <c r="N29" i="64"/>
  <c r="L29" i="64"/>
  <c r="O29" i="64" s="1"/>
  <c r="N28" i="64"/>
  <c r="L28" i="64"/>
  <c r="N27" i="64"/>
  <c r="L27" i="64"/>
  <c r="N26" i="64"/>
  <c r="L26" i="64"/>
  <c r="N25" i="64"/>
  <c r="L25" i="64"/>
  <c r="N24" i="64"/>
  <c r="N23" i="64"/>
  <c r="O23" i="64" s="1"/>
  <c r="C17" i="64"/>
  <c r="C18" i="64" s="1"/>
  <c r="C19" i="64" s="1"/>
  <c r="C20" i="64" s="1"/>
  <c r="C21" i="64" s="1"/>
  <c r="C22" i="64" s="1"/>
  <c r="C23" i="64" s="1"/>
  <c r="C24" i="64" s="1"/>
  <c r="C25" i="64" s="1"/>
  <c r="C26" i="64" s="1"/>
  <c r="C27" i="64" s="1"/>
  <c r="C28" i="64" s="1"/>
  <c r="C29" i="64" s="1"/>
  <c r="C30" i="64" s="1"/>
  <c r="C31" i="64" s="1"/>
  <c r="C32" i="64" s="1"/>
  <c r="C33" i="64" s="1"/>
  <c r="C34" i="64" s="1"/>
  <c r="C35" i="64" s="1"/>
  <c r="C36" i="64" s="1"/>
  <c r="C37" i="64" s="1"/>
  <c r="C38" i="64" s="1"/>
  <c r="C39" i="64" s="1"/>
  <c r="C40" i="64" s="1"/>
  <c r="C41" i="64" s="1"/>
  <c r="C42" i="64" s="1"/>
  <c r="C43" i="64" s="1"/>
  <c r="C44" i="64" s="1"/>
  <c r="C45" i="64" s="1"/>
  <c r="C46" i="64" s="1"/>
  <c r="C47" i="64" s="1"/>
  <c r="C48" i="64" s="1"/>
  <c r="C49" i="64" s="1"/>
  <c r="C50" i="64" s="1"/>
  <c r="C51" i="64" s="1"/>
  <c r="C52" i="64" s="1"/>
  <c r="C53" i="64" s="1"/>
  <c r="C54" i="64" s="1"/>
  <c r="C55" i="64" s="1"/>
  <c r="C56" i="64" s="1"/>
  <c r="C57" i="64" s="1"/>
  <c r="C58" i="64" s="1"/>
  <c r="C59" i="64" s="1"/>
  <c r="C60" i="64" s="1"/>
  <c r="C61" i="64" s="1"/>
  <c r="C62" i="64" s="1"/>
  <c r="C63" i="64" s="1"/>
  <c r="C64" i="64" s="1"/>
  <c r="C65" i="64" s="1"/>
  <c r="C66" i="64" s="1"/>
  <c r="C67" i="64" s="1"/>
  <c r="C68" i="64" s="1"/>
  <c r="C69" i="64" s="1"/>
  <c r="C70" i="64" s="1"/>
  <c r="C71" i="64" s="1"/>
  <c r="C72" i="64" s="1"/>
  <c r="K11" i="64"/>
  <c r="I11" i="64"/>
  <c r="D8" i="64"/>
  <c r="D90" i="64" s="1"/>
  <c r="D94" i="60"/>
  <c r="D92" i="60"/>
  <c r="D94" i="62"/>
  <c r="D94" i="63"/>
  <c r="D94" i="61"/>
  <c r="D93" i="61"/>
  <c r="D94" i="59"/>
  <c r="D93" i="59"/>
  <c r="M22" i="34"/>
  <c r="N22" i="34" s="1"/>
  <c r="O22" i="34" s="1"/>
  <c r="K22" i="34"/>
  <c r="L22" i="34" s="1"/>
  <c r="M21" i="22"/>
  <c r="N21" i="22"/>
  <c r="O21" i="22" s="1"/>
  <c r="K21" i="22"/>
  <c r="L21" i="22" s="1"/>
  <c r="M22" i="23"/>
  <c r="N22" i="23" s="1"/>
  <c r="K22" i="23"/>
  <c r="L22" i="23" s="1"/>
  <c r="O22" i="23"/>
  <c r="M22" i="24"/>
  <c r="N22" i="24" s="1"/>
  <c r="K22" i="24"/>
  <c r="L22" i="24" s="1"/>
  <c r="M23" i="27"/>
  <c r="N23" i="27" s="1"/>
  <c r="K23" i="27"/>
  <c r="L23" i="27" s="1"/>
  <c r="M24" i="28"/>
  <c r="N24" i="28" s="1"/>
  <c r="O24" i="28"/>
  <c r="L24" i="28"/>
  <c r="K24" i="28"/>
  <c r="M23" i="29"/>
  <c r="N23" i="29"/>
  <c r="O23" i="29" s="1"/>
  <c r="K23" i="29"/>
  <c r="L23" i="29" s="1"/>
  <c r="M23" i="30"/>
  <c r="N23" i="30" s="1"/>
  <c r="O23" i="30" s="1"/>
  <c r="K23" i="30"/>
  <c r="L23" i="30"/>
  <c r="M22" i="31"/>
  <c r="N22" i="31" s="1"/>
  <c r="K22" i="31"/>
  <c r="L22" i="31"/>
  <c r="M22" i="32"/>
  <c r="N22" i="32" s="1"/>
  <c r="O22" i="32" s="1"/>
  <c r="L22" i="32"/>
  <c r="K22" i="32"/>
  <c r="M20" i="39"/>
  <c r="N20" i="39" s="1"/>
  <c r="O20" i="39"/>
  <c r="K20" i="39"/>
  <c r="L20" i="39" s="1"/>
  <c r="M20" i="41"/>
  <c r="N20" i="41"/>
  <c r="O20" i="41" s="1"/>
  <c r="L20" i="41"/>
  <c r="K20" i="41"/>
  <c r="M20" i="42"/>
  <c r="N20" i="42" s="1"/>
  <c r="K20" i="42"/>
  <c r="L20" i="42" s="1"/>
  <c r="M20" i="43"/>
  <c r="N20" i="43" s="1"/>
  <c r="K20" i="43"/>
  <c r="L20" i="43" s="1"/>
  <c r="M20" i="44"/>
  <c r="N20" i="44" s="1"/>
  <c r="O20" i="44" s="1"/>
  <c r="K20" i="44"/>
  <c r="L20" i="44" s="1"/>
  <c r="N19" i="45"/>
  <c r="M19" i="45"/>
  <c r="K19" i="45"/>
  <c r="L19" i="45"/>
  <c r="O19" i="45" s="1"/>
  <c r="M18" i="46"/>
  <c r="N18" i="46" s="1"/>
  <c r="K18" i="46"/>
  <c r="L18" i="46" s="1"/>
  <c r="M18" i="53"/>
  <c r="N18" i="53" s="1"/>
  <c r="K18" i="53"/>
  <c r="L18" i="53" s="1"/>
  <c r="M18" i="54"/>
  <c r="N18" i="54" s="1"/>
  <c r="O18" i="54" s="1"/>
  <c r="L18" i="54"/>
  <c r="K18" i="54"/>
  <c r="M18" i="55"/>
  <c r="N18" i="55"/>
  <c r="K18" i="55"/>
  <c r="L18" i="55" s="1"/>
  <c r="M18" i="56"/>
  <c r="N18" i="56"/>
  <c r="K18" i="56"/>
  <c r="L18" i="56" s="1"/>
  <c r="M18" i="57"/>
  <c r="N18" i="57"/>
  <c r="K18" i="57"/>
  <c r="L18" i="57" s="1"/>
  <c r="M18" i="58"/>
  <c r="N18" i="58"/>
  <c r="K18" i="58"/>
  <c r="L18" i="58" s="1"/>
  <c r="M17" i="59"/>
  <c r="N17" i="59"/>
  <c r="K17" i="59"/>
  <c r="L17" i="59" s="1"/>
  <c r="M17" i="61"/>
  <c r="N17" i="61"/>
  <c r="K17" i="61"/>
  <c r="L17" i="61" s="1"/>
  <c r="M17" i="63"/>
  <c r="N17" i="63"/>
  <c r="K17" i="63"/>
  <c r="L17" i="63" s="1"/>
  <c r="M17" i="62"/>
  <c r="N17" i="62"/>
  <c r="K17" i="62"/>
  <c r="L17" i="62" s="1"/>
  <c r="M17" i="60"/>
  <c r="N17" i="60"/>
  <c r="O17" i="60" s="1"/>
  <c r="L17" i="60"/>
  <c r="K17" i="60"/>
  <c r="N99" i="58"/>
  <c r="L99" i="58"/>
  <c r="N99" i="57"/>
  <c r="L99" i="57"/>
  <c r="N99" i="56"/>
  <c r="L99" i="56"/>
  <c r="N99" i="55"/>
  <c r="L99" i="55"/>
  <c r="N99" i="54"/>
  <c r="O99" i="54" s="1"/>
  <c r="L99" i="54"/>
  <c r="N99" i="53"/>
  <c r="L99" i="53"/>
  <c r="N99" i="46"/>
  <c r="L99" i="46"/>
  <c r="N100" i="45"/>
  <c r="L100" i="45"/>
  <c r="N101" i="44"/>
  <c r="L101" i="44"/>
  <c r="N101" i="43"/>
  <c r="L101" i="43"/>
  <c r="N101" i="42"/>
  <c r="L101" i="42"/>
  <c r="N101" i="41"/>
  <c r="L101" i="41"/>
  <c r="N101" i="39"/>
  <c r="L101" i="39"/>
  <c r="N103" i="35"/>
  <c r="L103" i="35"/>
  <c r="N103" i="34"/>
  <c r="L103" i="34"/>
  <c r="N103" i="32"/>
  <c r="L103" i="32"/>
  <c r="N103" i="31"/>
  <c r="L103" i="31"/>
  <c r="N104" i="30"/>
  <c r="L104" i="30"/>
  <c r="N104" i="29"/>
  <c r="L104" i="29"/>
  <c r="N105" i="28"/>
  <c r="L105" i="28"/>
  <c r="N104" i="27"/>
  <c r="L104" i="27"/>
  <c r="N103" i="24"/>
  <c r="L103" i="24"/>
  <c r="N103" i="23"/>
  <c r="L103" i="23"/>
  <c r="N102" i="22"/>
  <c r="L102" i="22"/>
  <c r="N102" i="21"/>
  <c r="L102" i="21"/>
  <c r="M21" i="21"/>
  <c r="N21" i="21"/>
  <c r="K21" i="21"/>
  <c r="L21" i="21" s="1"/>
  <c r="M21" i="20"/>
  <c r="N21" i="20"/>
  <c r="K21" i="20"/>
  <c r="L21" i="20" s="1"/>
  <c r="N102" i="20"/>
  <c r="L102" i="20"/>
  <c r="N102" i="19"/>
  <c r="L102" i="19"/>
  <c r="M21" i="19"/>
  <c r="N21" i="19"/>
  <c r="K21" i="19"/>
  <c r="L21" i="19" s="1"/>
  <c r="N102" i="18"/>
  <c r="L102" i="18"/>
  <c r="M21" i="18"/>
  <c r="N21" i="18" s="1"/>
  <c r="K21" i="18"/>
  <c r="L21" i="18"/>
  <c r="N102" i="17"/>
  <c r="L102" i="17"/>
  <c r="M21" i="17"/>
  <c r="N21" i="17"/>
  <c r="K21" i="17"/>
  <c r="L21" i="17" s="1"/>
  <c r="N102" i="3"/>
  <c r="O102" i="3"/>
  <c r="L102" i="3"/>
  <c r="M102" i="3" s="1"/>
  <c r="M21" i="3"/>
  <c r="N21" i="3"/>
  <c r="K21" i="3"/>
  <c r="L21" i="3" s="1"/>
  <c r="Q60" i="1"/>
  <c r="Q60" i="2"/>
  <c r="Q58" i="3"/>
  <c r="Q58" i="17"/>
  <c r="Q58" i="18"/>
  <c r="Q58" i="19"/>
  <c r="Q58" i="20"/>
  <c r="Q58" i="21"/>
  <c r="Q58" i="22"/>
  <c r="Q58" i="23"/>
  <c r="Q58" i="24"/>
  <c r="Q58" i="25"/>
  <c r="Q58" i="26"/>
  <c r="Q58" i="27"/>
  <c r="Q58" i="28"/>
  <c r="Q58" i="29"/>
  <c r="Q58" i="30"/>
  <c r="Q58" i="31"/>
  <c r="Q58" i="32"/>
  <c r="Q58" i="33"/>
  <c r="Q58" i="34"/>
  <c r="Q58" i="35"/>
  <c r="Q58" i="39"/>
  <c r="Q58" i="41"/>
  <c r="Q58" i="42"/>
  <c r="Q58" i="43"/>
  <c r="Q58" i="44"/>
  <c r="Q58" i="45"/>
  <c r="Q58" i="46"/>
  <c r="Q58" i="53"/>
  <c r="Q58" i="54"/>
  <c r="Q58" i="55"/>
  <c r="Q58" i="56"/>
  <c r="Q58" i="57"/>
  <c r="Q58" i="58"/>
  <c r="Q58" i="59"/>
  <c r="Q58" i="61"/>
  <c r="Q58" i="63"/>
  <c r="Q58" i="62"/>
  <c r="Q58" i="60"/>
  <c r="P1" i="60"/>
  <c r="P83" i="60" s="1"/>
  <c r="P1" i="62"/>
  <c r="P83" i="62" s="1"/>
  <c r="P1" i="63"/>
  <c r="P83" i="63" s="1"/>
  <c r="P1" i="61"/>
  <c r="P83" i="61" s="1"/>
  <c r="P1" i="59"/>
  <c r="P83" i="59" s="1"/>
  <c r="P1" i="58"/>
  <c r="P83" i="58" s="1"/>
  <c r="B21" i="21"/>
  <c r="N101" i="21"/>
  <c r="L101" i="21"/>
  <c r="M101" i="21"/>
  <c r="I18" i="21"/>
  <c r="I19" i="21"/>
  <c r="M20" i="21"/>
  <c r="N20" i="21"/>
  <c r="K20" i="21"/>
  <c r="W55" i="36"/>
  <c r="P55" i="36"/>
  <c r="W54" i="36"/>
  <c r="P54" i="36"/>
  <c r="W53" i="36"/>
  <c r="P53" i="36"/>
  <c r="W52" i="36"/>
  <c r="P52" i="36"/>
  <c r="W51" i="36"/>
  <c r="P51" i="36"/>
  <c r="P154" i="63"/>
  <c r="O154" i="63"/>
  <c r="M154" i="63"/>
  <c r="P153" i="63"/>
  <c r="O153" i="63"/>
  <c r="M153" i="63"/>
  <c r="P152" i="63"/>
  <c r="O152" i="63"/>
  <c r="M152" i="63"/>
  <c r="P151" i="63"/>
  <c r="O151" i="63"/>
  <c r="M151" i="63"/>
  <c r="P150" i="63"/>
  <c r="O150" i="63"/>
  <c r="M150" i="63"/>
  <c r="P149" i="63"/>
  <c r="O149" i="63"/>
  <c r="M149" i="63"/>
  <c r="P148" i="63"/>
  <c r="O148" i="63"/>
  <c r="M148" i="63"/>
  <c r="P147" i="63"/>
  <c r="O147" i="63"/>
  <c r="M147" i="63"/>
  <c r="P146" i="63"/>
  <c r="O146" i="63"/>
  <c r="M146" i="63"/>
  <c r="P145" i="63"/>
  <c r="O145" i="63"/>
  <c r="M145" i="63"/>
  <c r="P144" i="63"/>
  <c r="O144" i="63"/>
  <c r="M144" i="63"/>
  <c r="P143" i="63"/>
  <c r="O143" i="63"/>
  <c r="M143" i="63"/>
  <c r="P142" i="63"/>
  <c r="O142" i="63"/>
  <c r="M142" i="63"/>
  <c r="P141" i="63"/>
  <c r="O141" i="63"/>
  <c r="M141" i="63"/>
  <c r="P140" i="63"/>
  <c r="O140" i="63"/>
  <c r="M140" i="63"/>
  <c r="P139" i="63"/>
  <c r="O139" i="63"/>
  <c r="M139" i="63"/>
  <c r="P138" i="63"/>
  <c r="O138" i="63"/>
  <c r="M138" i="63"/>
  <c r="P137" i="63"/>
  <c r="O137" i="63"/>
  <c r="M137" i="63"/>
  <c r="P136" i="63"/>
  <c r="O136" i="63"/>
  <c r="M136" i="63"/>
  <c r="P135" i="63"/>
  <c r="O135" i="63"/>
  <c r="M135" i="63"/>
  <c r="P134" i="63"/>
  <c r="O134" i="63"/>
  <c r="M134" i="63"/>
  <c r="P133" i="63"/>
  <c r="O133" i="63"/>
  <c r="M133" i="63"/>
  <c r="P132" i="63"/>
  <c r="O132" i="63"/>
  <c r="M132" i="63"/>
  <c r="P131" i="63"/>
  <c r="O131" i="63"/>
  <c r="M131" i="63"/>
  <c r="O130" i="63"/>
  <c r="M130" i="63"/>
  <c r="O129" i="63"/>
  <c r="M129" i="63"/>
  <c r="O128" i="63"/>
  <c r="M128" i="63"/>
  <c r="O127" i="63"/>
  <c r="M127" i="63"/>
  <c r="O126" i="63"/>
  <c r="M126" i="63"/>
  <c r="O125" i="63"/>
  <c r="M125" i="63"/>
  <c r="O124" i="63"/>
  <c r="M124" i="63"/>
  <c r="O123" i="63"/>
  <c r="M123" i="63"/>
  <c r="O122" i="63"/>
  <c r="M122" i="63"/>
  <c r="O121" i="63"/>
  <c r="M121" i="63"/>
  <c r="O120" i="63"/>
  <c r="M120" i="63"/>
  <c r="O119" i="63"/>
  <c r="M119" i="63"/>
  <c r="O118" i="63"/>
  <c r="M118" i="63"/>
  <c r="O117" i="63"/>
  <c r="M117" i="63"/>
  <c r="O116" i="63"/>
  <c r="M116" i="63"/>
  <c r="O115" i="63"/>
  <c r="M115" i="63"/>
  <c r="O114" i="63"/>
  <c r="M114" i="63"/>
  <c r="O113" i="63"/>
  <c r="M113" i="63"/>
  <c r="O112" i="63"/>
  <c r="M112" i="63"/>
  <c r="O111" i="63"/>
  <c r="M111" i="63"/>
  <c r="O110" i="63"/>
  <c r="M110" i="63"/>
  <c r="O109" i="63"/>
  <c r="M109" i="63"/>
  <c r="O108" i="63"/>
  <c r="M108" i="63"/>
  <c r="O107" i="63"/>
  <c r="M107" i="63"/>
  <c r="O106" i="63"/>
  <c r="M106" i="63"/>
  <c r="O105" i="63"/>
  <c r="O104" i="63"/>
  <c r="D96" i="63"/>
  <c r="L93" i="63"/>
  <c r="J93" i="63"/>
  <c r="D91" i="63"/>
  <c r="D89" i="63"/>
  <c r="N72" i="63"/>
  <c r="L72" i="63"/>
  <c r="N71" i="63"/>
  <c r="L71" i="63"/>
  <c r="N70" i="63"/>
  <c r="L70" i="63"/>
  <c r="N69" i="63"/>
  <c r="L69" i="63"/>
  <c r="N68" i="63"/>
  <c r="L68" i="63"/>
  <c r="N67" i="63"/>
  <c r="L67" i="63"/>
  <c r="N66" i="63"/>
  <c r="L66" i="63"/>
  <c r="N65" i="63"/>
  <c r="L65" i="63"/>
  <c r="N64" i="63"/>
  <c r="L64" i="63"/>
  <c r="N63" i="63"/>
  <c r="L63" i="63"/>
  <c r="N62" i="63"/>
  <c r="L62" i="63"/>
  <c r="N61" i="63"/>
  <c r="L61" i="63"/>
  <c r="N60" i="63"/>
  <c r="L60" i="63"/>
  <c r="N59" i="63"/>
  <c r="L59" i="63"/>
  <c r="N58" i="63"/>
  <c r="L58" i="63"/>
  <c r="N57" i="63"/>
  <c r="L57" i="63"/>
  <c r="N56" i="63"/>
  <c r="L56" i="63"/>
  <c r="N55" i="63"/>
  <c r="L55" i="63"/>
  <c r="N54" i="63"/>
  <c r="L54" i="63"/>
  <c r="N53" i="63"/>
  <c r="L53" i="63"/>
  <c r="N52" i="63"/>
  <c r="L52" i="63"/>
  <c r="N51" i="63"/>
  <c r="L51" i="63"/>
  <c r="N50" i="63"/>
  <c r="L50" i="63"/>
  <c r="N49" i="63"/>
  <c r="L49" i="63"/>
  <c r="N48" i="63"/>
  <c r="L48" i="63"/>
  <c r="N47" i="63"/>
  <c r="L47" i="63"/>
  <c r="N46" i="63"/>
  <c r="L46" i="63"/>
  <c r="N45" i="63"/>
  <c r="L45" i="63"/>
  <c r="N44" i="63"/>
  <c r="L44" i="63"/>
  <c r="N43" i="63"/>
  <c r="O43" i="63" s="1"/>
  <c r="L43" i="63"/>
  <c r="N42" i="63"/>
  <c r="L42" i="63"/>
  <c r="N41" i="63"/>
  <c r="L41" i="63"/>
  <c r="N40" i="63"/>
  <c r="L40" i="63"/>
  <c r="N39" i="63"/>
  <c r="L39" i="63"/>
  <c r="N38" i="63"/>
  <c r="L38" i="63"/>
  <c r="N37" i="63"/>
  <c r="L37" i="63"/>
  <c r="N36" i="63"/>
  <c r="L36" i="63"/>
  <c r="N35" i="63"/>
  <c r="L35" i="63"/>
  <c r="N34" i="63"/>
  <c r="L34" i="63"/>
  <c r="N33" i="63"/>
  <c r="L33" i="63"/>
  <c r="N32" i="63"/>
  <c r="L32" i="63"/>
  <c r="N31" i="63"/>
  <c r="L31" i="63"/>
  <c r="N30" i="63"/>
  <c r="L30" i="63"/>
  <c r="N29" i="63"/>
  <c r="L29" i="63"/>
  <c r="N28" i="63"/>
  <c r="L28" i="63"/>
  <c r="N27" i="63"/>
  <c r="L27" i="63"/>
  <c r="N26" i="63"/>
  <c r="L26" i="63"/>
  <c r="N25" i="63"/>
  <c r="L25" i="63"/>
  <c r="N24" i="63"/>
  <c r="N23" i="63"/>
  <c r="C17" i="63"/>
  <c r="C18" i="63"/>
  <c r="C19" i="63" s="1"/>
  <c r="C20" i="63" s="1"/>
  <c r="C21" i="63" s="1"/>
  <c r="C22" i="63"/>
  <c r="C23" i="63" s="1"/>
  <c r="C24" i="63" s="1"/>
  <c r="C25" i="63" s="1"/>
  <c r="C26" i="63" s="1"/>
  <c r="C27" i="63" s="1"/>
  <c r="C28" i="63" s="1"/>
  <c r="C29" i="63" s="1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K11" i="63"/>
  <c r="I11" i="63"/>
  <c r="D8" i="63"/>
  <c r="D90" i="63"/>
  <c r="P154" i="62"/>
  <c r="O154" i="62"/>
  <c r="M154" i="62"/>
  <c r="P153" i="62"/>
  <c r="O153" i="62"/>
  <c r="M153" i="62"/>
  <c r="P152" i="62"/>
  <c r="O152" i="62"/>
  <c r="M152" i="62"/>
  <c r="P151" i="62"/>
  <c r="O151" i="62"/>
  <c r="M151" i="62"/>
  <c r="P150" i="62"/>
  <c r="O150" i="62"/>
  <c r="M150" i="62"/>
  <c r="P149" i="62"/>
  <c r="O149" i="62"/>
  <c r="M149" i="62"/>
  <c r="P148" i="62"/>
  <c r="O148" i="62"/>
  <c r="M148" i="62"/>
  <c r="P147" i="62"/>
  <c r="O147" i="62"/>
  <c r="M147" i="62"/>
  <c r="P146" i="62"/>
  <c r="O146" i="62"/>
  <c r="M146" i="62"/>
  <c r="P145" i="62"/>
  <c r="O145" i="62"/>
  <c r="M145" i="62"/>
  <c r="P144" i="62"/>
  <c r="O144" i="62"/>
  <c r="M144" i="62"/>
  <c r="P143" i="62"/>
  <c r="O143" i="62"/>
  <c r="M143" i="62"/>
  <c r="P142" i="62"/>
  <c r="O142" i="62"/>
  <c r="M142" i="62"/>
  <c r="P141" i="62"/>
  <c r="O141" i="62"/>
  <c r="M141" i="62"/>
  <c r="P140" i="62"/>
  <c r="O140" i="62"/>
  <c r="M140" i="62"/>
  <c r="P139" i="62"/>
  <c r="O139" i="62"/>
  <c r="M139" i="62"/>
  <c r="P138" i="62"/>
  <c r="O138" i="62"/>
  <c r="M138" i="62"/>
  <c r="P137" i="62"/>
  <c r="O137" i="62"/>
  <c r="M137" i="62"/>
  <c r="P136" i="62"/>
  <c r="O136" i="62"/>
  <c r="M136" i="62"/>
  <c r="P135" i="62"/>
  <c r="O135" i="62"/>
  <c r="M135" i="62"/>
  <c r="P134" i="62"/>
  <c r="O134" i="62"/>
  <c r="M134" i="62"/>
  <c r="P133" i="62"/>
  <c r="O133" i="62"/>
  <c r="M133" i="62"/>
  <c r="P132" i="62"/>
  <c r="O132" i="62"/>
  <c r="M132" i="62"/>
  <c r="P131" i="62"/>
  <c r="O131" i="62"/>
  <c r="M131" i="62"/>
  <c r="O130" i="62"/>
  <c r="M130" i="62"/>
  <c r="O129" i="62"/>
  <c r="M129" i="62"/>
  <c r="O128" i="62"/>
  <c r="M128" i="62"/>
  <c r="O127" i="62"/>
  <c r="M127" i="62"/>
  <c r="O126" i="62"/>
  <c r="M126" i="62"/>
  <c r="O125" i="62"/>
  <c r="M125" i="62"/>
  <c r="O124" i="62"/>
  <c r="M124" i="62"/>
  <c r="O123" i="62"/>
  <c r="M123" i="62"/>
  <c r="O122" i="62"/>
  <c r="M122" i="62"/>
  <c r="O121" i="62"/>
  <c r="M121" i="62"/>
  <c r="O120" i="62"/>
  <c r="M120" i="62"/>
  <c r="O119" i="62"/>
  <c r="M119" i="62"/>
  <c r="O118" i="62"/>
  <c r="M118" i="62"/>
  <c r="O117" i="62"/>
  <c r="M117" i="62"/>
  <c r="O116" i="62"/>
  <c r="M116" i="62"/>
  <c r="O115" i="62"/>
  <c r="M115" i="62"/>
  <c r="O114" i="62"/>
  <c r="M114" i="62"/>
  <c r="O113" i="62"/>
  <c r="M113" i="62"/>
  <c r="O112" i="62"/>
  <c r="M112" i="62"/>
  <c r="O111" i="62"/>
  <c r="M111" i="62"/>
  <c r="O110" i="62"/>
  <c r="M110" i="62"/>
  <c r="O109" i="62"/>
  <c r="M109" i="62"/>
  <c r="O108" i="62"/>
  <c r="M108" i="62"/>
  <c r="O107" i="62"/>
  <c r="M107" i="62"/>
  <c r="O106" i="62"/>
  <c r="M106" i="62"/>
  <c r="O105" i="62"/>
  <c r="O104" i="62"/>
  <c r="D96" i="62"/>
  <c r="L93" i="62"/>
  <c r="J93" i="62"/>
  <c r="D91" i="62"/>
  <c r="D89" i="62"/>
  <c r="N72" i="62"/>
  <c r="L72" i="62"/>
  <c r="N71" i="62"/>
  <c r="L71" i="62"/>
  <c r="N70" i="62"/>
  <c r="L70" i="62"/>
  <c r="N69" i="62"/>
  <c r="L69" i="62"/>
  <c r="N68" i="62"/>
  <c r="L68" i="62"/>
  <c r="N67" i="62"/>
  <c r="L67" i="62"/>
  <c r="N66" i="62"/>
  <c r="O66" i="62" s="1"/>
  <c r="L66" i="62"/>
  <c r="N65" i="62"/>
  <c r="L65" i="62"/>
  <c r="N64" i="62"/>
  <c r="L64" i="62"/>
  <c r="N63" i="62"/>
  <c r="L63" i="62"/>
  <c r="N62" i="62"/>
  <c r="L62" i="62"/>
  <c r="N61" i="62"/>
  <c r="L61" i="62"/>
  <c r="N60" i="62"/>
  <c r="L60" i="62"/>
  <c r="N59" i="62"/>
  <c r="L59" i="62"/>
  <c r="N58" i="62"/>
  <c r="L58" i="62"/>
  <c r="N57" i="62"/>
  <c r="L57" i="62"/>
  <c r="N56" i="62"/>
  <c r="O56" i="62" s="1"/>
  <c r="L56" i="62"/>
  <c r="N55" i="62"/>
  <c r="L55" i="62"/>
  <c r="N54" i="62"/>
  <c r="L54" i="62"/>
  <c r="N53" i="62"/>
  <c r="L53" i="62"/>
  <c r="N52" i="62"/>
  <c r="L52" i="62"/>
  <c r="N51" i="62"/>
  <c r="L51" i="62"/>
  <c r="N50" i="62"/>
  <c r="L50" i="62"/>
  <c r="N49" i="62"/>
  <c r="L49" i="62"/>
  <c r="N48" i="62"/>
  <c r="L48" i="62"/>
  <c r="N47" i="62"/>
  <c r="L47" i="62"/>
  <c r="N46" i="62"/>
  <c r="L46" i="62"/>
  <c r="N45" i="62"/>
  <c r="L45" i="62"/>
  <c r="N44" i="62"/>
  <c r="L44" i="62"/>
  <c r="N43" i="62"/>
  <c r="L43" i="62"/>
  <c r="N42" i="62"/>
  <c r="L42" i="62"/>
  <c r="N41" i="62"/>
  <c r="L41" i="62"/>
  <c r="N40" i="62"/>
  <c r="L40" i="62"/>
  <c r="N39" i="62"/>
  <c r="L39" i="62"/>
  <c r="N38" i="62"/>
  <c r="L38" i="62"/>
  <c r="N37" i="62"/>
  <c r="L37" i="62"/>
  <c r="N36" i="62"/>
  <c r="L36" i="62"/>
  <c r="N35" i="62"/>
  <c r="L35" i="62"/>
  <c r="N34" i="62"/>
  <c r="L34" i="62"/>
  <c r="N33" i="62"/>
  <c r="L33" i="62"/>
  <c r="N32" i="62"/>
  <c r="O32" i="62" s="1"/>
  <c r="L32" i="62"/>
  <c r="N31" i="62"/>
  <c r="L31" i="62"/>
  <c r="N30" i="62"/>
  <c r="L30" i="62"/>
  <c r="N29" i="62"/>
  <c r="L29" i="62"/>
  <c r="N28" i="62"/>
  <c r="L28" i="62"/>
  <c r="N27" i="62"/>
  <c r="L27" i="62"/>
  <c r="N26" i="62"/>
  <c r="L26" i="62"/>
  <c r="N25" i="62"/>
  <c r="L25" i="62"/>
  <c r="N24" i="62"/>
  <c r="N23" i="62"/>
  <c r="O23" i="62"/>
  <c r="C17" i="62"/>
  <c r="C18" i="62" s="1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K11" i="62"/>
  <c r="I11" i="62"/>
  <c r="D8" i="62"/>
  <c r="D90" i="62" s="1"/>
  <c r="P154" i="61"/>
  <c r="O154" i="61"/>
  <c r="M154" i="61"/>
  <c r="P153" i="61"/>
  <c r="O153" i="61"/>
  <c r="M153" i="61"/>
  <c r="P152" i="61"/>
  <c r="O152" i="61"/>
  <c r="M152" i="61"/>
  <c r="P151" i="61"/>
  <c r="O151" i="61"/>
  <c r="M151" i="61"/>
  <c r="P150" i="61"/>
  <c r="O150" i="61"/>
  <c r="M150" i="61"/>
  <c r="P149" i="61"/>
  <c r="O149" i="61"/>
  <c r="M149" i="61"/>
  <c r="P148" i="61"/>
  <c r="O148" i="61"/>
  <c r="M148" i="61"/>
  <c r="P147" i="61"/>
  <c r="O147" i="61"/>
  <c r="M147" i="61"/>
  <c r="P146" i="61"/>
  <c r="O146" i="61"/>
  <c r="M146" i="61"/>
  <c r="P145" i="61"/>
  <c r="O145" i="61"/>
  <c r="M145" i="61"/>
  <c r="P144" i="61"/>
  <c r="O144" i="61"/>
  <c r="M144" i="61"/>
  <c r="P143" i="61"/>
  <c r="O143" i="61"/>
  <c r="M143" i="61"/>
  <c r="P142" i="61"/>
  <c r="O142" i="61"/>
  <c r="M142" i="61"/>
  <c r="P141" i="61"/>
  <c r="O141" i="61"/>
  <c r="M141" i="61"/>
  <c r="P140" i="61"/>
  <c r="O140" i="61"/>
  <c r="M140" i="61"/>
  <c r="P139" i="61"/>
  <c r="O139" i="61"/>
  <c r="M139" i="61"/>
  <c r="P138" i="61"/>
  <c r="O138" i="61"/>
  <c r="M138" i="61"/>
  <c r="P137" i="61"/>
  <c r="O137" i="61"/>
  <c r="M137" i="61"/>
  <c r="P136" i="61"/>
  <c r="O136" i="61"/>
  <c r="M136" i="61"/>
  <c r="P135" i="61"/>
  <c r="O135" i="61"/>
  <c r="M135" i="61"/>
  <c r="P134" i="61"/>
  <c r="O134" i="61"/>
  <c r="M134" i="61"/>
  <c r="P133" i="61"/>
  <c r="O133" i="61"/>
  <c r="M133" i="61"/>
  <c r="P132" i="61"/>
  <c r="O132" i="61"/>
  <c r="M132" i="61"/>
  <c r="P131" i="61"/>
  <c r="O131" i="61"/>
  <c r="M131" i="61"/>
  <c r="O130" i="61"/>
  <c r="M130" i="61"/>
  <c r="O129" i="61"/>
  <c r="M129" i="61"/>
  <c r="O128" i="61"/>
  <c r="M128" i="61"/>
  <c r="O127" i="61"/>
  <c r="M127" i="61"/>
  <c r="O126" i="61"/>
  <c r="M126" i="61"/>
  <c r="O125" i="61"/>
  <c r="M125" i="61"/>
  <c r="O124" i="61"/>
  <c r="M124" i="61"/>
  <c r="O123" i="61"/>
  <c r="M123" i="61"/>
  <c r="O122" i="61"/>
  <c r="M122" i="61"/>
  <c r="O121" i="61"/>
  <c r="M121" i="61"/>
  <c r="O120" i="61"/>
  <c r="M120" i="61"/>
  <c r="O119" i="61"/>
  <c r="M119" i="61"/>
  <c r="O118" i="61"/>
  <c r="M118" i="61"/>
  <c r="O117" i="61"/>
  <c r="M117" i="61"/>
  <c r="O116" i="61"/>
  <c r="M116" i="61"/>
  <c r="O115" i="61"/>
  <c r="M115" i="61"/>
  <c r="O114" i="61"/>
  <c r="M114" i="61"/>
  <c r="O113" i="61"/>
  <c r="M113" i="61"/>
  <c r="O112" i="61"/>
  <c r="M112" i="61"/>
  <c r="O111" i="61"/>
  <c r="M111" i="61"/>
  <c r="O110" i="61"/>
  <c r="M110" i="61"/>
  <c r="O109" i="61"/>
  <c r="M109" i="61"/>
  <c r="O108" i="61"/>
  <c r="M108" i="61"/>
  <c r="O107" i="61"/>
  <c r="M107" i="61"/>
  <c r="O106" i="61"/>
  <c r="M106" i="61"/>
  <c r="O105" i="61"/>
  <c r="O104" i="61"/>
  <c r="D96" i="61"/>
  <c r="L93" i="61"/>
  <c r="J93" i="61"/>
  <c r="D91" i="61"/>
  <c r="D89" i="61"/>
  <c r="N72" i="61"/>
  <c r="O72" i="61" s="1"/>
  <c r="L72" i="61"/>
  <c r="N71" i="61"/>
  <c r="L71" i="61"/>
  <c r="N70" i="61"/>
  <c r="O70" i="61" s="1"/>
  <c r="L70" i="61"/>
  <c r="N69" i="61"/>
  <c r="L69" i="61"/>
  <c r="N68" i="61"/>
  <c r="O68" i="61" s="1"/>
  <c r="L68" i="61"/>
  <c r="N67" i="61"/>
  <c r="L67" i="61"/>
  <c r="N66" i="61"/>
  <c r="O66" i="61" s="1"/>
  <c r="L66" i="61"/>
  <c r="N65" i="61"/>
  <c r="L65" i="61"/>
  <c r="N64" i="61"/>
  <c r="O64" i="61" s="1"/>
  <c r="L64" i="61"/>
  <c r="N63" i="61"/>
  <c r="L63" i="61"/>
  <c r="N62" i="61"/>
  <c r="O62" i="61" s="1"/>
  <c r="L62" i="61"/>
  <c r="N61" i="61"/>
  <c r="L61" i="61"/>
  <c r="N60" i="61"/>
  <c r="O60" i="61" s="1"/>
  <c r="L60" i="61"/>
  <c r="N59" i="61"/>
  <c r="L59" i="61"/>
  <c r="N58" i="61"/>
  <c r="O58" i="61" s="1"/>
  <c r="L58" i="61"/>
  <c r="N57" i="61"/>
  <c r="L57" i="61"/>
  <c r="N56" i="61"/>
  <c r="L56" i="61"/>
  <c r="N55" i="61"/>
  <c r="L55" i="61"/>
  <c r="N54" i="61"/>
  <c r="O54" i="61" s="1"/>
  <c r="L54" i="61"/>
  <c r="N53" i="61"/>
  <c r="L53" i="61"/>
  <c r="N52" i="61"/>
  <c r="L52" i="61"/>
  <c r="N51" i="61"/>
  <c r="L51" i="61"/>
  <c r="N50" i="61"/>
  <c r="O50" i="61" s="1"/>
  <c r="L50" i="61"/>
  <c r="N49" i="61"/>
  <c r="L49" i="61"/>
  <c r="N48" i="61"/>
  <c r="L48" i="61"/>
  <c r="N47" i="61"/>
  <c r="L47" i="61"/>
  <c r="N46" i="61"/>
  <c r="L46" i="61"/>
  <c r="N45" i="61"/>
  <c r="L45" i="61"/>
  <c r="N44" i="61"/>
  <c r="O44" i="61" s="1"/>
  <c r="L44" i="61"/>
  <c r="N43" i="61"/>
  <c r="L43" i="61"/>
  <c r="N42" i="61"/>
  <c r="O42" i="61" s="1"/>
  <c r="L42" i="61"/>
  <c r="N41" i="61"/>
  <c r="L41" i="61"/>
  <c r="N40" i="61"/>
  <c r="O40" i="61" s="1"/>
  <c r="L40" i="61"/>
  <c r="N39" i="61"/>
  <c r="L39" i="61"/>
  <c r="N38" i="61"/>
  <c r="L38" i="61"/>
  <c r="N37" i="61"/>
  <c r="L37" i="61"/>
  <c r="N36" i="61"/>
  <c r="O36" i="61" s="1"/>
  <c r="L36" i="61"/>
  <c r="N35" i="61"/>
  <c r="L35" i="61"/>
  <c r="N34" i="61"/>
  <c r="L34" i="61"/>
  <c r="N33" i="61"/>
  <c r="L33" i="61"/>
  <c r="N32" i="61"/>
  <c r="L32" i="61"/>
  <c r="N31" i="61"/>
  <c r="L31" i="61"/>
  <c r="N30" i="61"/>
  <c r="O30" i="61" s="1"/>
  <c r="L30" i="61"/>
  <c r="N29" i="61"/>
  <c r="L29" i="61"/>
  <c r="N28" i="61"/>
  <c r="O28" i="61" s="1"/>
  <c r="L28" i="61"/>
  <c r="N27" i="61"/>
  <c r="L27" i="61"/>
  <c r="N26" i="61"/>
  <c r="L26" i="61"/>
  <c r="N25" i="61"/>
  <c r="L25" i="61"/>
  <c r="N24" i="61"/>
  <c r="O24" i="61" s="1"/>
  <c r="N23" i="61"/>
  <c r="C17" i="61"/>
  <c r="C18" i="61" s="1"/>
  <c r="C19" i="61" s="1"/>
  <c r="C20" i="61" s="1"/>
  <c r="C21" i="61" s="1"/>
  <c r="C22" i="61" s="1"/>
  <c r="C23" i="61" s="1"/>
  <c r="C24" i="61" s="1"/>
  <c r="C25" i="61" s="1"/>
  <c r="C26" i="61" s="1"/>
  <c r="C27" i="61" s="1"/>
  <c r="C28" i="61" s="1"/>
  <c r="C29" i="61" s="1"/>
  <c r="C30" i="61" s="1"/>
  <c r="C31" i="61" s="1"/>
  <c r="C32" i="61" s="1"/>
  <c r="C33" i="61" s="1"/>
  <c r="C34" i="61" s="1"/>
  <c r="C35" i="61" s="1"/>
  <c r="C36" i="61" s="1"/>
  <c r="C37" i="61" s="1"/>
  <c r="C38" i="61" s="1"/>
  <c r="C39" i="61" s="1"/>
  <c r="C40" i="61" s="1"/>
  <c r="C41" i="61" s="1"/>
  <c r="C42" i="61" s="1"/>
  <c r="C43" i="61" s="1"/>
  <c r="C44" i="61" s="1"/>
  <c r="K11" i="61"/>
  <c r="I11" i="61"/>
  <c r="D8" i="61"/>
  <c r="D90" i="61" s="1"/>
  <c r="P154" i="60"/>
  <c r="O154" i="60"/>
  <c r="M154" i="60"/>
  <c r="P153" i="60"/>
  <c r="O153" i="60"/>
  <c r="M153" i="60"/>
  <c r="P152" i="60"/>
  <c r="O152" i="60"/>
  <c r="M152" i="60"/>
  <c r="P151" i="60"/>
  <c r="O151" i="60"/>
  <c r="M151" i="60"/>
  <c r="P150" i="60"/>
  <c r="O150" i="60"/>
  <c r="M150" i="60"/>
  <c r="P149" i="60"/>
  <c r="O149" i="60"/>
  <c r="M149" i="60"/>
  <c r="P148" i="60"/>
  <c r="O148" i="60"/>
  <c r="M148" i="60"/>
  <c r="P147" i="60"/>
  <c r="O147" i="60"/>
  <c r="M147" i="60"/>
  <c r="P146" i="60"/>
  <c r="O146" i="60"/>
  <c r="M146" i="60"/>
  <c r="P145" i="60"/>
  <c r="O145" i="60"/>
  <c r="M145" i="60"/>
  <c r="P144" i="60"/>
  <c r="O144" i="60"/>
  <c r="M144" i="60"/>
  <c r="P143" i="60"/>
  <c r="O143" i="60"/>
  <c r="M143" i="60"/>
  <c r="P142" i="60"/>
  <c r="O142" i="60"/>
  <c r="M142" i="60"/>
  <c r="P141" i="60"/>
  <c r="O141" i="60"/>
  <c r="M141" i="60"/>
  <c r="P140" i="60"/>
  <c r="O140" i="60"/>
  <c r="M140" i="60"/>
  <c r="P139" i="60"/>
  <c r="O139" i="60"/>
  <c r="M139" i="60"/>
  <c r="P138" i="60"/>
  <c r="O138" i="60"/>
  <c r="M138" i="60"/>
  <c r="P137" i="60"/>
  <c r="O137" i="60"/>
  <c r="M137" i="60"/>
  <c r="P136" i="60"/>
  <c r="O136" i="60"/>
  <c r="M136" i="60"/>
  <c r="P135" i="60"/>
  <c r="O135" i="60"/>
  <c r="M135" i="60"/>
  <c r="P134" i="60"/>
  <c r="O134" i="60"/>
  <c r="M134" i="60"/>
  <c r="P133" i="60"/>
  <c r="O133" i="60"/>
  <c r="M133" i="60"/>
  <c r="P132" i="60"/>
  <c r="O132" i="60"/>
  <c r="M132" i="60"/>
  <c r="P131" i="60"/>
  <c r="O131" i="60"/>
  <c r="M131" i="60"/>
  <c r="O130" i="60"/>
  <c r="M130" i="60"/>
  <c r="O129" i="60"/>
  <c r="M129" i="60"/>
  <c r="O128" i="60"/>
  <c r="M128" i="60"/>
  <c r="O127" i="60"/>
  <c r="M127" i="60"/>
  <c r="O126" i="60"/>
  <c r="M126" i="60"/>
  <c r="O125" i="60"/>
  <c r="M125" i="60"/>
  <c r="O124" i="60"/>
  <c r="M124" i="60"/>
  <c r="O123" i="60"/>
  <c r="M123" i="60"/>
  <c r="O122" i="60"/>
  <c r="M122" i="60"/>
  <c r="O121" i="60"/>
  <c r="M121" i="60"/>
  <c r="O120" i="60"/>
  <c r="M120" i="60"/>
  <c r="O119" i="60"/>
  <c r="M119" i="60"/>
  <c r="O118" i="60"/>
  <c r="M118" i="60"/>
  <c r="O117" i="60"/>
  <c r="M117" i="60"/>
  <c r="O116" i="60"/>
  <c r="M116" i="60"/>
  <c r="O115" i="60"/>
  <c r="M115" i="60"/>
  <c r="O114" i="60"/>
  <c r="M114" i="60"/>
  <c r="O113" i="60"/>
  <c r="M113" i="60"/>
  <c r="O112" i="60"/>
  <c r="M112" i="60"/>
  <c r="O111" i="60"/>
  <c r="M111" i="60"/>
  <c r="O110" i="60"/>
  <c r="M110" i="60"/>
  <c r="O109" i="60"/>
  <c r="M109" i="60"/>
  <c r="O108" i="60"/>
  <c r="M108" i="60"/>
  <c r="O107" i="60"/>
  <c r="M107" i="60"/>
  <c r="O106" i="60"/>
  <c r="M106" i="60"/>
  <c r="O105" i="60"/>
  <c r="O104" i="60"/>
  <c r="D96" i="60"/>
  <c r="L93" i="60"/>
  <c r="J93" i="60"/>
  <c r="D91" i="60"/>
  <c r="D89" i="60"/>
  <c r="N72" i="60"/>
  <c r="L72" i="60"/>
  <c r="N71" i="60"/>
  <c r="L71" i="60"/>
  <c r="N70" i="60"/>
  <c r="L70" i="60"/>
  <c r="N69" i="60"/>
  <c r="L69" i="60"/>
  <c r="N68" i="60"/>
  <c r="L68" i="60"/>
  <c r="N67" i="60"/>
  <c r="L67" i="60"/>
  <c r="N66" i="60"/>
  <c r="L66" i="60"/>
  <c r="N65" i="60"/>
  <c r="L65" i="60"/>
  <c r="N64" i="60"/>
  <c r="L64" i="60"/>
  <c r="O64" i="60" s="1"/>
  <c r="N63" i="60"/>
  <c r="L63" i="60"/>
  <c r="N62" i="60"/>
  <c r="L62" i="60"/>
  <c r="N61" i="60"/>
  <c r="L61" i="60"/>
  <c r="N60" i="60"/>
  <c r="L60" i="60"/>
  <c r="N59" i="60"/>
  <c r="L59" i="60"/>
  <c r="N58" i="60"/>
  <c r="L58" i="60"/>
  <c r="N57" i="60"/>
  <c r="L57" i="60"/>
  <c r="N56" i="60"/>
  <c r="L56" i="60"/>
  <c r="N55" i="60"/>
  <c r="L55" i="60"/>
  <c r="N54" i="60"/>
  <c r="L54" i="60"/>
  <c r="N53" i="60"/>
  <c r="L53" i="60"/>
  <c r="N52" i="60"/>
  <c r="L52" i="60"/>
  <c r="N51" i="60"/>
  <c r="L51" i="60"/>
  <c r="N50" i="60"/>
  <c r="L50" i="60"/>
  <c r="N49" i="60"/>
  <c r="L49" i="60"/>
  <c r="N48" i="60"/>
  <c r="L48" i="60"/>
  <c r="N47" i="60"/>
  <c r="L47" i="60"/>
  <c r="N46" i="60"/>
  <c r="L46" i="60"/>
  <c r="N45" i="60"/>
  <c r="L45" i="60"/>
  <c r="N44" i="60"/>
  <c r="L44" i="60"/>
  <c r="N43" i="60"/>
  <c r="L43" i="60"/>
  <c r="N42" i="60"/>
  <c r="L42" i="60"/>
  <c r="N41" i="60"/>
  <c r="L41" i="60"/>
  <c r="N40" i="60"/>
  <c r="L40" i="60"/>
  <c r="N39" i="60"/>
  <c r="L39" i="60"/>
  <c r="N38" i="60"/>
  <c r="L38" i="60"/>
  <c r="N37" i="60"/>
  <c r="L37" i="60"/>
  <c r="N36" i="60"/>
  <c r="L36" i="60"/>
  <c r="N35" i="60"/>
  <c r="L35" i="60"/>
  <c r="N34" i="60"/>
  <c r="L34" i="60"/>
  <c r="N33" i="60"/>
  <c r="L33" i="60"/>
  <c r="N32" i="60"/>
  <c r="L32" i="60"/>
  <c r="N31" i="60"/>
  <c r="L31" i="60"/>
  <c r="N30" i="60"/>
  <c r="L30" i="60"/>
  <c r="N29" i="60"/>
  <c r="L29" i="60"/>
  <c r="N28" i="60"/>
  <c r="L28" i="60"/>
  <c r="N27" i="60"/>
  <c r="L27" i="60"/>
  <c r="N26" i="60"/>
  <c r="L26" i="60"/>
  <c r="N25" i="60"/>
  <c r="L25" i="60"/>
  <c r="N24" i="60"/>
  <c r="N23" i="60"/>
  <c r="C17" i="60"/>
  <c r="C18" i="60" s="1"/>
  <c r="C19" i="60" s="1"/>
  <c r="C20" i="60" s="1"/>
  <c r="C21" i="60" s="1"/>
  <c r="C22" i="60" s="1"/>
  <c r="C23" i="60" s="1"/>
  <c r="C24" i="60" s="1"/>
  <c r="C25" i="60" s="1"/>
  <c r="C26" i="60" s="1"/>
  <c r="C27" i="60" s="1"/>
  <c r="C28" i="60" s="1"/>
  <c r="C29" i="60" s="1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C45" i="60" s="1"/>
  <c r="C46" i="60" s="1"/>
  <c r="C47" i="60" s="1"/>
  <c r="C48" i="60" s="1"/>
  <c r="C49" i="60" s="1"/>
  <c r="C50" i="60" s="1"/>
  <c r="C51" i="60" s="1"/>
  <c r="C52" i="60" s="1"/>
  <c r="C53" i="60" s="1"/>
  <c r="C54" i="60" s="1"/>
  <c r="C55" i="60" s="1"/>
  <c r="C56" i="60" s="1"/>
  <c r="C57" i="60" s="1"/>
  <c r="C58" i="60" s="1"/>
  <c r="C59" i="60" s="1"/>
  <c r="C60" i="60" s="1"/>
  <c r="C61" i="60" s="1"/>
  <c r="C62" i="60" s="1"/>
  <c r="C63" i="60" s="1"/>
  <c r="C64" i="60" s="1"/>
  <c r="C65" i="60" s="1"/>
  <c r="C66" i="60" s="1"/>
  <c r="C67" i="60" s="1"/>
  <c r="C68" i="60" s="1"/>
  <c r="C69" i="60" s="1"/>
  <c r="C70" i="60" s="1"/>
  <c r="C71" i="60" s="1"/>
  <c r="C72" i="60" s="1"/>
  <c r="K11" i="60"/>
  <c r="I11" i="60"/>
  <c r="D8" i="60"/>
  <c r="D90" i="60" s="1"/>
  <c r="P154" i="59"/>
  <c r="O154" i="59"/>
  <c r="M154" i="59"/>
  <c r="P153" i="59"/>
  <c r="O153" i="59"/>
  <c r="M153" i="59"/>
  <c r="P152" i="59"/>
  <c r="O152" i="59"/>
  <c r="M152" i="59"/>
  <c r="P151" i="59"/>
  <c r="O151" i="59"/>
  <c r="M151" i="59"/>
  <c r="P150" i="59"/>
  <c r="O150" i="59"/>
  <c r="M150" i="59"/>
  <c r="P149" i="59"/>
  <c r="O149" i="59"/>
  <c r="M149" i="59"/>
  <c r="P148" i="59"/>
  <c r="O148" i="59"/>
  <c r="M148" i="59"/>
  <c r="P147" i="59"/>
  <c r="O147" i="59"/>
  <c r="M147" i="59"/>
  <c r="P146" i="59"/>
  <c r="O146" i="59"/>
  <c r="M146" i="59"/>
  <c r="P145" i="59"/>
  <c r="O145" i="59"/>
  <c r="M145" i="59"/>
  <c r="P144" i="59"/>
  <c r="O144" i="59"/>
  <c r="M144" i="59"/>
  <c r="P143" i="59"/>
  <c r="O143" i="59"/>
  <c r="M143" i="59"/>
  <c r="P142" i="59"/>
  <c r="O142" i="59"/>
  <c r="M142" i="59"/>
  <c r="P141" i="59"/>
  <c r="O141" i="59"/>
  <c r="M141" i="59"/>
  <c r="P140" i="59"/>
  <c r="O140" i="59"/>
  <c r="M140" i="59"/>
  <c r="P139" i="59"/>
  <c r="O139" i="59"/>
  <c r="M139" i="59"/>
  <c r="P138" i="59"/>
  <c r="O138" i="59"/>
  <c r="M138" i="59"/>
  <c r="P137" i="59"/>
  <c r="O137" i="59"/>
  <c r="M137" i="59"/>
  <c r="P136" i="59"/>
  <c r="O136" i="59"/>
  <c r="M136" i="59"/>
  <c r="P135" i="59"/>
  <c r="O135" i="59"/>
  <c r="M135" i="59"/>
  <c r="P134" i="59"/>
  <c r="O134" i="59"/>
  <c r="M134" i="59"/>
  <c r="P133" i="59"/>
  <c r="O133" i="59"/>
  <c r="M133" i="59"/>
  <c r="P132" i="59"/>
  <c r="O132" i="59"/>
  <c r="M132" i="59"/>
  <c r="P131" i="59"/>
  <c r="O131" i="59"/>
  <c r="M131" i="59"/>
  <c r="O130" i="59"/>
  <c r="M130" i="59"/>
  <c r="O129" i="59"/>
  <c r="M129" i="59"/>
  <c r="O128" i="59"/>
  <c r="M128" i="59"/>
  <c r="O127" i="59"/>
  <c r="M127" i="59"/>
  <c r="O126" i="59"/>
  <c r="M126" i="59"/>
  <c r="O125" i="59"/>
  <c r="M125" i="59"/>
  <c r="O124" i="59"/>
  <c r="M124" i="59"/>
  <c r="O123" i="59"/>
  <c r="M123" i="59"/>
  <c r="O122" i="59"/>
  <c r="M122" i="59"/>
  <c r="O121" i="59"/>
  <c r="M121" i="59"/>
  <c r="O120" i="59"/>
  <c r="M120" i="59"/>
  <c r="O119" i="59"/>
  <c r="M119" i="59"/>
  <c r="O118" i="59"/>
  <c r="M118" i="59"/>
  <c r="O117" i="59"/>
  <c r="M117" i="59"/>
  <c r="O116" i="59"/>
  <c r="M116" i="59"/>
  <c r="O115" i="59"/>
  <c r="M115" i="59"/>
  <c r="O114" i="59"/>
  <c r="M114" i="59"/>
  <c r="O113" i="59"/>
  <c r="M113" i="59"/>
  <c r="O112" i="59"/>
  <c r="M112" i="59"/>
  <c r="O111" i="59"/>
  <c r="M111" i="59"/>
  <c r="O110" i="59"/>
  <c r="M110" i="59"/>
  <c r="O109" i="59"/>
  <c r="M109" i="59"/>
  <c r="O108" i="59"/>
  <c r="M108" i="59"/>
  <c r="O107" i="59"/>
  <c r="M107" i="59"/>
  <c r="O106" i="59"/>
  <c r="M106" i="59"/>
  <c r="O105" i="59"/>
  <c r="O104" i="59"/>
  <c r="D96" i="59"/>
  <c r="L93" i="59"/>
  <c r="J93" i="59"/>
  <c r="D91" i="59"/>
  <c r="D89" i="59"/>
  <c r="N72" i="59"/>
  <c r="L72" i="59"/>
  <c r="N71" i="59"/>
  <c r="L71" i="59"/>
  <c r="N70" i="59"/>
  <c r="L70" i="59"/>
  <c r="N69" i="59"/>
  <c r="L69" i="59"/>
  <c r="N68" i="59"/>
  <c r="L68" i="59"/>
  <c r="N67" i="59"/>
  <c r="L67" i="59"/>
  <c r="N66" i="59"/>
  <c r="L66" i="59"/>
  <c r="N65" i="59"/>
  <c r="L65" i="59"/>
  <c r="N64" i="59"/>
  <c r="L64" i="59"/>
  <c r="N63" i="59"/>
  <c r="L63" i="59"/>
  <c r="N62" i="59"/>
  <c r="L62" i="59"/>
  <c r="N61" i="59"/>
  <c r="L61" i="59"/>
  <c r="N60" i="59"/>
  <c r="L60" i="59"/>
  <c r="N59" i="59"/>
  <c r="O59" i="59" s="1"/>
  <c r="L59" i="59"/>
  <c r="N58" i="59"/>
  <c r="L58" i="59"/>
  <c r="N57" i="59"/>
  <c r="L57" i="59"/>
  <c r="N56" i="59"/>
  <c r="L56" i="59"/>
  <c r="N55" i="59"/>
  <c r="L55" i="59"/>
  <c r="N54" i="59"/>
  <c r="L54" i="59"/>
  <c r="N53" i="59"/>
  <c r="L53" i="59"/>
  <c r="N52" i="59"/>
  <c r="L52" i="59"/>
  <c r="N51" i="59"/>
  <c r="L51" i="59"/>
  <c r="N50" i="59"/>
  <c r="L50" i="59"/>
  <c r="N49" i="59"/>
  <c r="L49" i="59"/>
  <c r="N48" i="59"/>
  <c r="L48" i="59"/>
  <c r="N47" i="59"/>
  <c r="O47" i="59" s="1"/>
  <c r="L47" i="59"/>
  <c r="N46" i="59"/>
  <c r="L46" i="59"/>
  <c r="N45" i="59"/>
  <c r="L45" i="59"/>
  <c r="N44" i="59"/>
  <c r="L44" i="59"/>
  <c r="N43" i="59"/>
  <c r="L43" i="59"/>
  <c r="N42" i="59"/>
  <c r="L42" i="59"/>
  <c r="N41" i="59"/>
  <c r="L41" i="59"/>
  <c r="N40" i="59"/>
  <c r="L40" i="59"/>
  <c r="N39" i="59"/>
  <c r="L39" i="59"/>
  <c r="N38" i="59"/>
  <c r="L38" i="59"/>
  <c r="N37" i="59"/>
  <c r="L37" i="59"/>
  <c r="N36" i="59"/>
  <c r="L36" i="59"/>
  <c r="N35" i="59"/>
  <c r="O35" i="59" s="1"/>
  <c r="L35" i="59"/>
  <c r="N34" i="59"/>
  <c r="L34" i="59"/>
  <c r="N33" i="59"/>
  <c r="L33" i="59"/>
  <c r="N32" i="59"/>
  <c r="L32" i="59"/>
  <c r="N31" i="59"/>
  <c r="L31" i="59"/>
  <c r="N30" i="59"/>
  <c r="L30" i="59"/>
  <c r="N29" i="59"/>
  <c r="L29" i="59"/>
  <c r="N28" i="59"/>
  <c r="L28" i="59"/>
  <c r="N27" i="59"/>
  <c r="L27" i="59"/>
  <c r="N26" i="59"/>
  <c r="L26" i="59"/>
  <c r="N25" i="59"/>
  <c r="L25" i="59"/>
  <c r="N24" i="59"/>
  <c r="N23" i="59"/>
  <c r="C17" i="59"/>
  <c r="C18" i="59"/>
  <c r="C19" i="59" s="1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C69" i="59" s="1"/>
  <c r="C70" i="59" s="1"/>
  <c r="C71" i="59" s="1"/>
  <c r="C72" i="59" s="1"/>
  <c r="K11" i="59"/>
  <c r="I11" i="59"/>
  <c r="D8" i="59"/>
  <c r="D90" i="59"/>
  <c r="M17" i="58"/>
  <c r="K17" i="58"/>
  <c r="M17" i="57"/>
  <c r="K17" i="57"/>
  <c r="L17" i="57" s="1"/>
  <c r="M17" i="56"/>
  <c r="K17" i="56"/>
  <c r="M17" i="55"/>
  <c r="K17" i="55"/>
  <c r="L17" i="55" s="1"/>
  <c r="M17" i="54"/>
  <c r="K17" i="54"/>
  <c r="M17" i="53"/>
  <c r="K17" i="53"/>
  <c r="L17" i="53" s="1"/>
  <c r="M17" i="46"/>
  <c r="K17" i="46"/>
  <c r="N99" i="45"/>
  <c r="L99" i="45"/>
  <c r="M18" i="45"/>
  <c r="K18" i="45"/>
  <c r="N100" i="44"/>
  <c r="L100" i="44"/>
  <c r="M100" i="44" s="1"/>
  <c r="M19" i="44"/>
  <c r="K19" i="44"/>
  <c r="N100" i="43"/>
  <c r="L100" i="43"/>
  <c r="M100" i="43" s="1"/>
  <c r="P100" i="43" s="1"/>
  <c r="M19" i="43"/>
  <c r="K19" i="43"/>
  <c r="N100" i="42"/>
  <c r="L100" i="42"/>
  <c r="M19" i="42"/>
  <c r="K19" i="42"/>
  <c r="N100" i="41"/>
  <c r="L100" i="41"/>
  <c r="M100" i="41" s="1"/>
  <c r="M19" i="41"/>
  <c r="K19" i="41"/>
  <c r="N100" i="39"/>
  <c r="L100" i="39"/>
  <c r="M100" i="39" s="1"/>
  <c r="M19" i="39"/>
  <c r="K19" i="39"/>
  <c r="N102" i="34"/>
  <c r="L102" i="34"/>
  <c r="M102" i="34" s="1"/>
  <c r="M21" i="34"/>
  <c r="K21" i="34"/>
  <c r="N102" i="32"/>
  <c r="L102" i="32"/>
  <c r="M102" i="32" s="1"/>
  <c r="P102" i="32" s="1"/>
  <c r="M21" i="32"/>
  <c r="K21" i="32"/>
  <c r="N102" i="31"/>
  <c r="L102" i="31"/>
  <c r="M102" i="31" s="1"/>
  <c r="M21" i="31"/>
  <c r="K21" i="31"/>
  <c r="N103" i="30"/>
  <c r="L103" i="30"/>
  <c r="M103" i="30" s="1"/>
  <c r="M22" i="30"/>
  <c r="K22" i="30"/>
  <c r="N103" i="29"/>
  <c r="L103" i="29"/>
  <c r="M22" i="29"/>
  <c r="K22" i="29"/>
  <c r="N104" i="28"/>
  <c r="L104" i="28"/>
  <c r="M23" i="28"/>
  <c r="K23" i="28"/>
  <c r="N103" i="27"/>
  <c r="L103" i="27"/>
  <c r="M22" i="27"/>
  <c r="K22" i="27"/>
  <c r="N102" i="24"/>
  <c r="L102" i="24"/>
  <c r="M21" i="24"/>
  <c r="K21" i="24"/>
  <c r="N102" i="23"/>
  <c r="L102" i="23"/>
  <c r="M21" i="23"/>
  <c r="K21" i="23"/>
  <c r="N101" i="22"/>
  <c r="L101" i="22"/>
  <c r="M20" i="22"/>
  <c r="N20" i="22"/>
  <c r="K20" i="22"/>
  <c r="N101" i="20"/>
  <c r="L101" i="20"/>
  <c r="M20" i="20"/>
  <c r="K20" i="20"/>
  <c r="N101" i="19"/>
  <c r="L101" i="19"/>
  <c r="M20" i="19"/>
  <c r="K20" i="19"/>
  <c r="N101" i="18"/>
  <c r="L101" i="18"/>
  <c r="M20" i="18"/>
  <c r="K20" i="18"/>
  <c r="N101" i="17"/>
  <c r="L101" i="17"/>
  <c r="M20" i="17"/>
  <c r="K20" i="17"/>
  <c r="N101" i="3"/>
  <c r="L101" i="3"/>
  <c r="M20" i="3"/>
  <c r="K20" i="3"/>
  <c r="J96" i="35"/>
  <c r="E101" i="35" s="1"/>
  <c r="F101" i="35" s="1"/>
  <c r="E102" i="35" s="1"/>
  <c r="F102" i="35" s="1"/>
  <c r="L19" i="1"/>
  <c r="F81" i="2"/>
  <c r="F87" i="2"/>
  <c r="F86" i="2"/>
  <c r="F90" i="2"/>
  <c r="C17" i="3"/>
  <c r="C18" i="3"/>
  <c r="C19" i="3" s="1"/>
  <c r="C20" i="3" s="1"/>
  <c r="C21" i="3" s="1"/>
  <c r="C22" i="3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K19" i="3"/>
  <c r="P18" i="36"/>
  <c r="F87" i="1"/>
  <c r="F86" i="1"/>
  <c r="F90" i="1"/>
  <c r="C17" i="17"/>
  <c r="C18" i="17"/>
  <c r="C19" i="17" s="1"/>
  <c r="C20" i="17" s="1"/>
  <c r="C21" i="17" s="1"/>
  <c r="K19" i="17"/>
  <c r="P19" i="36"/>
  <c r="C17" i="18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K19" i="18"/>
  <c r="P20" i="36"/>
  <c r="C17" i="19"/>
  <c r="C18" i="19" s="1"/>
  <c r="C19" i="19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K19" i="19"/>
  <c r="P21" i="36"/>
  <c r="C17" i="20"/>
  <c r="C18" i="20" s="1"/>
  <c r="C19" i="20" s="1"/>
  <c r="C20" i="20" s="1"/>
  <c r="C21" i="20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K19" i="20"/>
  <c r="P22" i="36"/>
  <c r="C17" i="2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K19" i="21"/>
  <c r="P23" i="36"/>
  <c r="C17" i="22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C48" i="22" s="1"/>
  <c r="K19" i="22"/>
  <c r="P24" i="36"/>
  <c r="C17" i="23"/>
  <c r="C18" i="23" s="1"/>
  <c r="C19" i="23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K20" i="23"/>
  <c r="P25" i="36"/>
  <c r="C17" i="24"/>
  <c r="C18" i="24" s="1"/>
  <c r="C19" i="24" s="1"/>
  <c r="C20" i="24" s="1"/>
  <c r="C21" i="24"/>
  <c r="C22" i="24" s="1"/>
  <c r="C23" i="24" s="1"/>
  <c r="C24" i="24" s="1"/>
  <c r="C25" i="24" s="1"/>
  <c r="C26" i="24" s="1"/>
  <c r="C27" i="24" s="1"/>
  <c r="C28" i="24" s="1"/>
  <c r="C29" i="24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K20" i="24"/>
  <c r="P26" i="36"/>
  <c r="C17" i="25"/>
  <c r="C18" i="25" s="1"/>
  <c r="C19" i="25" s="1"/>
  <c r="C20" i="25" s="1"/>
  <c r="C21" i="25" s="1"/>
  <c r="C22" i="25" s="1"/>
  <c r="C23" i="25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P27" i="36"/>
  <c r="C17" i="26"/>
  <c r="C18" i="26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5" i="26" s="1"/>
  <c r="C36" i="26" s="1"/>
  <c r="C37" i="26" s="1"/>
  <c r="C38" i="26" s="1"/>
  <c r="C39" i="26" s="1"/>
  <c r="C40" i="26" s="1"/>
  <c r="C41" i="26" s="1"/>
  <c r="C42" i="26" s="1"/>
  <c r="C43" i="26" s="1"/>
  <c r="C44" i="26" s="1"/>
  <c r="C45" i="26" s="1"/>
  <c r="C46" i="26" s="1"/>
  <c r="C47" i="26" s="1"/>
  <c r="C48" i="26" s="1"/>
  <c r="C49" i="26" s="1"/>
  <c r="C50" i="26" s="1"/>
  <c r="C51" i="26" s="1"/>
  <c r="C52" i="26" s="1"/>
  <c r="C53" i="26" s="1"/>
  <c r="C54" i="26" s="1"/>
  <c r="C55" i="26" s="1"/>
  <c r="C56" i="26" s="1"/>
  <c r="C57" i="26" s="1"/>
  <c r="C58" i="26" s="1"/>
  <c r="C59" i="26" s="1"/>
  <c r="C60" i="26" s="1"/>
  <c r="C61" i="26" s="1"/>
  <c r="C62" i="26" s="1"/>
  <c r="C63" i="26" s="1"/>
  <c r="C64" i="26" s="1"/>
  <c r="C65" i="26" s="1"/>
  <c r="C66" i="26" s="1"/>
  <c r="C67" i="26" s="1"/>
  <c r="C68" i="26" s="1"/>
  <c r="C69" i="26" s="1"/>
  <c r="C70" i="26" s="1"/>
  <c r="C71" i="26" s="1"/>
  <c r="C72" i="26" s="1"/>
  <c r="P28" i="36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K21" i="27"/>
  <c r="P29" i="36"/>
  <c r="C17" i="28"/>
  <c r="C18" i="28" s="1"/>
  <c r="C19" i="28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K22" i="28"/>
  <c r="P30" i="36"/>
  <c r="C17" i="29"/>
  <c r="C18" i="29" s="1"/>
  <c r="C19" i="29" s="1"/>
  <c r="C20" i="29" s="1"/>
  <c r="C21" i="29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K21" i="29"/>
  <c r="P31" i="36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K21" i="30"/>
  <c r="P32" i="36"/>
  <c r="C17" i="31"/>
  <c r="C18" i="31" s="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C71" i="31" s="1"/>
  <c r="C72" i="31" s="1"/>
  <c r="K20" i="31"/>
  <c r="P33" i="36"/>
  <c r="C17" i="32"/>
  <c r="C18" i="32" s="1"/>
  <c r="C19" i="32"/>
  <c r="C20" i="32" s="1"/>
  <c r="C21" i="32" s="1"/>
  <c r="C22" i="32" s="1"/>
  <c r="C23" i="32" s="1"/>
  <c r="C24" i="32" s="1"/>
  <c r="C25" i="32" s="1"/>
  <c r="C26" i="32" s="1"/>
  <c r="C27" i="32" s="1"/>
  <c r="C28" i="32" s="1"/>
  <c r="C29" i="32" s="1"/>
  <c r="C30" i="32" s="1"/>
  <c r="C31" i="32" s="1"/>
  <c r="C32" i="32" s="1"/>
  <c r="C33" i="32" s="1"/>
  <c r="C34" i="32" s="1"/>
  <c r="C35" i="32" s="1"/>
  <c r="C36" i="32" s="1"/>
  <c r="C37" i="32" s="1"/>
  <c r="C38" i="32" s="1"/>
  <c r="C39" i="32" s="1"/>
  <c r="C40" i="32" s="1"/>
  <c r="C41" i="32" s="1"/>
  <c r="C42" i="32" s="1"/>
  <c r="C43" i="32" s="1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C54" i="32" s="1"/>
  <c r="C55" i="32" s="1"/>
  <c r="C56" i="32" s="1"/>
  <c r="C57" i="32" s="1"/>
  <c r="C58" i="32" s="1"/>
  <c r="C59" i="32" s="1"/>
  <c r="C60" i="32" s="1"/>
  <c r="C61" i="32" s="1"/>
  <c r="C62" i="32" s="1"/>
  <c r="C63" i="32" s="1"/>
  <c r="C64" i="32" s="1"/>
  <c r="C65" i="32" s="1"/>
  <c r="C66" i="32" s="1"/>
  <c r="C67" i="32" s="1"/>
  <c r="C68" i="32" s="1"/>
  <c r="C69" i="32" s="1"/>
  <c r="C70" i="32" s="1"/>
  <c r="C71" i="32" s="1"/>
  <c r="C72" i="32" s="1"/>
  <c r="K20" i="32"/>
  <c r="P34" i="36"/>
  <c r="C17" i="33"/>
  <c r="C18" i="33" s="1"/>
  <c r="C19" i="33" s="1"/>
  <c r="C20" i="33" s="1"/>
  <c r="C21" i="33"/>
  <c r="C22" i="33" s="1"/>
  <c r="C23" i="33" s="1"/>
  <c r="C24" i="33" s="1"/>
  <c r="C25" i="33" s="1"/>
  <c r="C26" i="33" s="1"/>
  <c r="C27" i="33" s="1"/>
  <c r="C28" i="33" s="1"/>
  <c r="C29" i="33"/>
  <c r="C30" i="33" s="1"/>
  <c r="C31" i="33" s="1"/>
  <c r="C32" i="33" s="1"/>
  <c r="C33" i="33" s="1"/>
  <c r="C34" i="33" s="1"/>
  <c r="C35" i="33" s="1"/>
  <c r="C36" i="33" s="1"/>
  <c r="C37" i="33" s="1"/>
  <c r="C38" i="33" s="1"/>
  <c r="C39" i="33" s="1"/>
  <c r="C40" i="33" s="1"/>
  <c r="C41" i="33" s="1"/>
  <c r="C42" i="33" s="1"/>
  <c r="C43" i="33" s="1"/>
  <c r="C44" i="33" s="1"/>
  <c r="C45" i="33" s="1"/>
  <c r="P35" i="36"/>
  <c r="C17" i="34"/>
  <c r="C18" i="34"/>
  <c r="C19" i="34" s="1"/>
  <c r="C20" i="34" s="1"/>
  <c r="C21" i="34" s="1"/>
  <c r="C22" i="34" s="1"/>
  <c r="C23" i="34" s="1"/>
  <c r="C24" i="34"/>
  <c r="C25" i="34" s="1"/>
  <c r="C26" i="34" s="1"/>
  <c r="C27" i="34" s="1"/>
  <c r="C28" i="34" s="1"/>
  <c r="C29" i="34" s="1"/>
  <c r="C30" i="34" s="1"/>
  <c r="C31" i="34" s="1"/>
  <c r="C32" i="34" s="1"/>
  <c r="C33" i="34" s="1"/>
  <c r="C34" i="34" s="1"/>
  <c r="C35" i="34" s="1"/>
  <c r="C36" i="34" s="1"/>
  <c r="C37" i="34" s="1"/>
  <c r="C38" i="34" s="1"/>
  <c r="C39" i="34" s="1"/>
  <c r="C40" i="34" s="1"/>
  <c r="C41" i="34" s="1"/>
  <c r="C42" i="34" s="1"/>
  <c r="C43" i="34" s="1"/>
  <c r="C44" i="34" s="1"/>
  <c r="C45" i="34" s="1"/>
  <c r="C46" i="34" s="1"/>
  <c r="C47" i="34" s="1"/>
  <c r="C48" i="34" s="1"/>
  <c r="C49" i="34" s="1"/>
  <c r="C50" i="34" s="1"/>
  <c r="C51" i="34" s="1"/>
  <c r="C52" i="34" s="1"/>
  <c r="C53" i="34" s="1"/>
  <c r="C54" i="34" s="1"/>
  <c r="C55" i="34" s="1"/>
  <c r="C56" i="34" s="1"/>
  <c r="C57" i="34" s="1"/>
  <c r="C58" i="34" s="1"/>
  <c r="C59" i="34" s="1"/>
  <c r="C60" i="34" s="1"/>
  <c r="C61" i="34" s="1"/>
  <c r="C62" i="34" s="1"/>
  <c r="C63" i="34" s="1"/>
  <c r="C64" i="34" s="1"/>
  <c r="C65" i="34" s="1"/>
  <c r="C66" i="34" s="1"/>
  <c r="C67" i="34" s="1"/>
  <c r="C68" i="34" s="1"/>
  <c r="C69" i="34" s="1"/>
  <c r="C70" i="34" s="1"/>
  <c r="C71" i="34" s="1"/>
  <c r="C72" i="34" s="1"/>
  <c r="K20" i="34"/>
  <c r="P36" i="36"/>
  <c r="P37" i="36"/>
  <c r="C17" i="39"/>
  <c r="C18" i="39" s="1"/>
  <c r="C19" i="39" s="1"/>
  <c r="C20" i="39" s="1"/>
  <c r="C21" i="39"/>
  <c r="C22" i="39" s="1"/>
  <c r="C23" i="39" s="1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K18" i="39"/>
  <c r="L18" i="39" s="1"/>
  <c r="P38" i="36"/>
  <c r="C17" i="4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C45" i="41" s="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K18" i="41"/>
  <c r="P39" i="36"/>
  <c r="C17" i="42"/>
  <c r="C18" i="42" s="1"/>
  <c r="C19" i="42" s="1"/>
  <c r="C20" i="42" s="1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K18" i="42"/>
  <c r="P40" i="36"/>
  <c r="C17" i="43"/>
  <c r="C18" i="43" s="1"/>
  <c r="C19" i="43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C68" i="43" s="1"/>
  <c r="C69" i="43" s="1"/>
  <c r="C70" i="43" s="1"/>
  <c r="C71" i="43" s="1"/>
  <c r="C72" i="43" s="1"/>
  <c r="K18" i="43"/>
  <c r="P41" i="36"/>
  <c r="C17" i="44"/>
  <c r="C18" i="44" s="1"/>
  <c r="C19" i="44" s="1"/>
  <c r="C20" i="44" s="1"/>
  <c r="C21" i="44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K18" i="44"/>
  <c r="P42" i="36"/>
  <c r="C17" i="45"/>
  <c r="C18" i="45"/>
  <c r="C19" i="45" s="1"/>
  <c r="C20" i="45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K17" i="45"/>
  <c r="P43" i="36"/>
  <c r="P44" i="36"/>
  <c r="P45" i="36"/>
  <c r="P46" i="36"/>
  <c r="P47" i="36"/>
  <c r="P48" i="36"/>
  <c r="P49" i="36"/>
  <c r="P50" i="36"/>
  <c r="W44" i="36"/>
  <c r="W45" i="36"/>
  <c r="W46" i="36"/>
  <c r="W47" i="36"/>
  <c r="W48" i="36"/>
  <c r="W49" i="36"/>
  <c r="W50" i="36"/>
  <c r="F81" i="1"/>
  <c r="C17" i="58"/>
  <c r="C18" i="58"/>
  <c r="C19" i="58" s="1"/>
  <c r="C20" i="58" s="1"/>
  <c r="C21" i="58" s="1"/>
  <c r="C22" i="58" s="1"/>
  <c r="C23" i="58" s="1"/>
  <c r="C24" i="58" s="1"/>
  <c r="C25" i="58" s="1"/>
  <c r="C26" i="58" s="1"/>
  <c r="C27" i="58" s="1"/>
  <c r="C28" i="58" s="1"/>
  <c r="C29" i="58" s="1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C40" i="58" s="1"/>
  <c r="C41" i="58" s="1"/>
  <c r="C42" i="58" s="1"/>
  <c r="C43" i="58" s="1"/>
  <c r="C44" i="58" s="1"/>
  <c r="C17" i="57"/>
  <c r="C18" i="57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C45" i="57" s="1"/>
  <c r="C46" i="57" s="1"/>
  <c r="C47" i="57" s="1"/>
  <c r="C48" i="57" s="1"/>
  <c r="C49" i="57" s="1"/>
  <c r="C50" i="57" s="1"/>
  <c r="C51" i="57" s="1"/>
  <c r="C52" i="57" s="1"/>
  <c r="C53" i="57" s="1"/>
  <c r="C54" i="57" s="1"/>
  <c r="C55" i="57" s="1"/>
  <c r="C56" i="57" s="1"/>
  <c r="C57" i="57" s="1"/>
  <c r="C58" i="57" s="1"/>
  <c r="C59" i="57" s="1"/>
  <c r="C60" i="57" s="1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C17" i="56"/>
  <c r="C18" i="56"/>
  <c r="C19" i="56" s="1"/>
  <c r="C20" i="56" s="1"/>
  <c r="C21" i="56" s="1"/>
  <c r="C22" i="56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C45" i="56" s="1"/>
  <c r="C46" i="56" s="1"/>
  <c r="C47" i="56" s="1"/>
  <c r="C48" i="56" s="1"/>
  <c r="C49" i="56" s="1"/>
  <c r="C50" i="56" s="1"/>
  <c r="C51" i="56" s="1"/>
  <c r="C52" i="56" s="1"/>
  <c r="C53" i="56" s="1"/>
  <c r="C54" i="56" s="1"/>
  <c r="C55" i="56" s="1"/>
  <c r="C56" i="56" s="1"/>
  <c r="C57" i="56" s="1"/>
  <c r="C58" i="56" s="1"/>
  <c r="C59" i="56" s="1"/>
  <c r="C60" i="56" s="1"/>
  <c r="C61" i="56" s="1"/>
  <c r="C62" i="56" s="1"/>
  <c r="C63" i="56" s="1"/>
  <c r="C64" i="56" s="1"/>
  <c r="C65" i="56" s="1"/>
  <c r="C66" i="56" s="1"/>
  <c r="C67" i="56" s="1"/>
  <c r="C68" i="56" s="1"/>
  <c r="C69" i="56" s="1"/>
  <c r="C70" i="56" s="1"/>
  <c r="C71" i="56" s="1"/>
  <c r="C72" i="56" s="1"/>
  <c r="C17" i="55"/>
  <c r="C18" i="55"/>
  <c r="C19" i="55" s="1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C34" i="55" s="1"/>
  <c r="C35" i="55" s="1"/>
  <c r="C36" i="55" s="1"/>
  <c r="C37" i="55" s="1"/>
  <c r="C38" i="55" s="1"/>
  <c r="C39" i="55" s="1"/>
  <c r="C40" i="55" s="1"/>
  <c r="C41" i="55" s="1"/>
  <c r="C42" i="55" s="1"/>
  <c r="C43" i="55" s="1"/>
  <c r="C44" i="55" s="1"/>
  <c r="C17" i="54"/>
  <c r="C18" i="54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C31" i="54" s="1"/>
  <c r="C32" i="54" s="1"/>
  <c r="C33" i="54" s="1"/>
  <c r="C34" i="54" s="1"/>
  <c r="C35" i="54" s="1"/>
  <c r="C36" i="54" s="1"/>
  <c r="C37" i="54" s="1"/>
  <c r="C38" i="54" s="1"/>
  <c r="C39" i="54" s="1"/>
  <c r="C40" i="54" s="1"/>
  <c r="C41" i="54" s="1"/>
  <c r="C42" i="54" s="1"/>
  <c r="C43" i="54" s="1"/>
  <c r="C44" i="54" s="1"/>
  <c r="C17" i="53"/>
  <c r="C18" i="53"/>
  <c r="C19" i="53" s="1"/>
  <c r="C20" i="53" s="1"/>
  <c r="C21" i="53" s="1"/>
  <c r="C22" i="53" s="1"/>
  <c r="C23" i="53" s="1"/>
  <c r="C24" i="53" s="1"/>
  <c r="C25" i="53" s="1"/>
  <c r="C26" i="53" s="1"/>
  <c r="C27" i="53" s="1"/>
  <c r="C28" i="53" s="1"/>
  <c r="C29" i="53" s="1"/>
  <c r="C30" i="53" s="1"/>
  <c r="C31" i="53" s="1"/>
  <c r="C32" i="53" s="1"/>
  <c r="C33" i="53" s="1"/>
  <c r="C34" i="53" s="1"/>
  <c r="C35" i="53" s="1"/>
  <c r="C36" i="53" s="1"/>
  <c r="C37" i="53" s="1"/>
  <c r="C38" i="53" s="1"/>
  <c r="C39" i="53" s="1"/>
  <c r="C40" i="53" s="1"/>
  <c r="C41" i="53" s="1"/>
  <c r="C42" i="53" s="1"/>
  <c r="C43" i="53" s="1"/>
  <c r="C44" i="53" s="1"/>
  <c r="C17" i="46"/>
  <c r="C18" i="46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C35" i="46" s="1"/>
  <c r="C36" i="46" s="1"/>
  <c r="C37" i="46" s="1"/>
  <c r="C38" i="46" s="1"/>
  <c r="C39" i="46" s="1"/>
  <c r="C40" i="46" s="1"/>
  <c r="C41" i="46" s="1"/>
  <c r="C42" i="46" s="1"/>
  <c r="C43" i="46" s="1"/>
  <c r="C44" i="46" s="1"/>
  <c r="C45" i="46" s="1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O3" i="58"/>
  <c r="D8" i="58"/>
  <c r="D90" i="58" s="1"/>
  <c r="K11" i="58"/>
  <c r="L17" i="58"/>
  <c r="N17" i="58"/>
  <c r="N24" i="58"/>
  <c r="N25" i="58"/>
  <c r="L26" i="58"/>
  <c r="N26" i="58"/>
  <c r="L27" i="58"/>
  <c r="N27" i="58"/>
  <c r="L28" i="58"/>
  <c r="N28" i="58"/>
  <c r="L29" i="58"/>
  <c r="N29" i="58"/>
  <c r="L30" i="58"/>
  <c r="N30" i="58"/>
  <c r="L31" i="58"/>
  <c r="N31" i="58"/>
  <c r="L32" i="58"/>
  <c r="N32" i="58"/>
  <c r="L33" i="58"/>
  <c r="N33" i="58"/>
  <c r="O33" i="58" s="1"/>
  <c r="L34" i="58"/>
  <c r="N34" i="58"/>
  <c r="L35" i="58"/>
  <c r="N35" i="58"/>
  <c r="O35" i="58" s="1"/>
  <c r="L36" i="58"/>
  <c r="N36" i="58"/>
  <c r="L37" i="58"/>
  <c r="N37" i="58"/>
  <c r="O37" i="58" s="1"/>
  <c r="L38" i="58"/>
  <c r="N38" i="58"/>
  <c r="L39" i="58"/>
  <c r="N39" i="58"/>
  <c r="O39" i="58" s="1"/>
  <c r="L40" i="58"/>
  <c r="N40" i="58"/>
  <c r="L41" i="58"/>
  <c r="N41" i="58"/>
  <c r="L42" i="58"/>
  <c r="N42" i="58"/>
  <c r="L43" i="58"/>
  <c r="N43" i="58"/>
  <c r="O43" i="58" s="1"/>
  <c r="L44" i="58"/>
  <c r="N44" i="58"/>
  <c r="L45" i="58"/>
  <c r="N45" i="58"/>
  <c r="O45" i="58" s="1"/>
  <c r="L46" i="58"/>
  <c r="N46" i="58"/>
  <c r="L47" i="58"/>
  <c r="N47" i="58"/>
  <c r="O47" i="58" s="1"/>
  <c r="L48" i="58"/>
  <c r="N48" i="58"/>
  <c r="L49" i="58"/>
  <c r="N49" i="58"/>
  <c r="L50" i="58"/>
  <c r="N50" i="58"/>
  <c r="L51" i="58"/>
  <c r="N51" i="58"/>
  <c r="O51" i="58" s="1"/>
  <c r="L52" i="58"/>
  <c r="N52" i="58"/>
  <c r="L53" i="58"/>
  <c r="N53" i="58"/>
  <c r="O53" i="58" s="1"/>
  <c r="L54" i="58"/>
  <c r="N54" i="58"/>
  <c r="L55" i="58"/>
  <c r="N55" i="58"/>
  <c r="L56" i="58"/>
  <c r="N56" i="58"/>
  <c r="L57" i="58"/>
  <c r="N57" i="58"/>
  <c r="L58" i="58"/>
  <c r="N58" i="58"/>
  <c r="L59" i="58"/>
  <c r="N59" i="58"/>
  <c r="L60" i="58"/>
  <c r="N60" i="58"/>
  <c r="L61" i="58"/>
  <c r="N61" i="58"/>
  <c r="O61" i="58" s="1"/>
  <c r="L62" i="58"/>
  <c r="N62" i="58"/>
  <c r="L63" i="58"/>
  <c r="N63" i="58"/>
  <c r="L64" i="58"/>
  <c r="N64" i="58"/>
  <c r="L65" i="58"/>
  <c r="N65" i="58"/>
  <c r="L66" i="58"/>
  <c r="N66" i="58"/>
  <c r="L67" i="58"/>
  <c r="N67" i="58"/>
  <c r="O67" i="58" s="1"/>
  <c r="L68" i="58"/>
  <c r="N68" i="58"/>
  <c r="L69" i="58"/>
  <c r="N69" i="58"/>
  <c r="L70" i="58"/>
  <c r="N70" i="58"/>
  <c r="L71" i="58"/>
  <c r="N71" i="58"/>
  <c r="O71" i="58" s="1"/>
  <c r="L72" i="58"/>
  <c r="N72" i="58"/>
  <c r="D89" i="58"/>
  <c r="D91" i="58"/>
  <c r="J93" i="58"/>
  <c r="L93" i="58"/>
  <c r="D96" i="58"/>
  <c r="M99" i="58"/>
  <c r="O99" i="58"/>
  <c r="O105" i="58"/>
  <c r="O106" i="58"/>
  <c r="M107" i="58"/>
  <c r="O107" i="58"/>
  <c r="M108" i="58"/>
  <c r="O108" i="58"/>
  <c r="M109" i="58"/>
  <c r="O109" i="58"/>
  <c r="M110" i="58"/>
  <c r="O110" i="58"/>
  <c r="M111" i="58"/>
  <c r="O111" i="58"/>
  <c r="M112" i="58"/>
  <c r="O112" i="58"/>
  <c r="M113" i="58"/>
  <c r="O113" i="58"/>
  <c r="M114" i="58"/>
  <c r="O114" i="58"/>
  <c r="M115" i="58"/>
  <c r="O115" i="58"/>
  <c r="M116" i="58"/>
  <c r="O116" i="58"/>
  <c r="M117" i="58"/>
  <c r="O117" i="58"/>
  <c r="M118" i="58"/>
  <c r="O118" i="58"/>
  <c r="M119" i="58"/>
  <c r="O119" i="58"/>
  <c r="M120" i="58"/>
  <c r="O120" i="58"/>
  <c r="M121" i="58"/>
  <c r="O121" i="58"/>
  <c r="M122" i="58"/>
  <c r="O122" i="58"/>
  <c r="M123" i="58"/>
  <c r="O123" i="58"/>
  <c r="M124" i="58"/>
  <c r="O124" i="58"/>
  <c r="M125" i="58"/>
  <c r="O125" i="58"/>
  <c r="M126" i="58"/>
  <c r="O126" i="58"/>
  <c r="M127" i="58"/>
  <c r="O127" i="58"/>
  <c r="M128" i="58"/>
  <c r="O128" i="58"/>
  <c r="M129" i="58"/>
  <c r="O129" i="58"/>
  <c r="M130" i="58"/>
  <c r="O130" i="58"/>
  <c r="M131" i="58"/>
  <c r="O131" i="58"/>
  <c r="M132" i="58"/>
  <c r="O132" i="58"/>
  <c r="M133" i="58"/>
  <c r="O133" i="58"/>
  <c r="M134" i="58"/>
  <c r="O134" i="58"/>
  <c r="M135" i="58"/>
  <c r="O135" i="58"/>
  <c r="M136" i="58"/>
  <c r="O136" i="58"/>
  <c r="M137" i="58"/>
  <c r="O137" i="58"/>
  <c r="M138" i="58"/>
  <c r="O138" i="58"/>
  <c r="M139" i="58"/>
  <c r="O139" i="58"/>
  <c r="M140" i="58"/>
  <c r="O140" i="58"/>
  <c r="M141" i="58"/>
  <c r="O141" i="58"/>
  <c r="M142" i="58"/>
  <c r="O142" i="58"/>
  <c r="M143" i="58"/>
  <c r="O143" i="58"/>
  <c r="M144" i="58"/>
  <c r="O144" i="58"/>
  <c r="M145" i="58"/>
  <c r="O145" i="58"/>
  <c r="M146" i="58"/>
  <c r="O146" i="58"/>
  <c r="M147" i="58"/>
  <c r="O147" i="58"/>
  <c r="M148" i="58"/>
  <c r="O148" i="58"/>
  <c r="M149" i="58"/>
  <c r="O149" i="58"/>
  <c r="M150" i="58"/>
  <c r="O150" i="58"/>
  <c r="M151" i="58"/>
  <c r="O151" i="58"/>
  <c r="M152" i="58"/>
  <c r="O152" i="58"/>
  <c r="M153" i="58"/>
  <c r="O153" i="58"/>
  <c r="M154" i="58"/>
  <c r="O154" i="58"/>
  <c r="P1" i="57"/>
  <c r="P83" i="57" s="1"/>
  <c r="O3" i="57"/>
  <c r="D8" i="57"/>
  <c r="D90" i="57" s="1"/>
  <c r="K11" i="57"/>
  <c r="N17" i="57"/>
  <c r="O17" i="57"/>
  <c r="N24" i="57"/>
  <c r="N25" i="57"/>
  <c r="L26" i="57"/>
  <c r="N26" i="57"/>
  <c r="L27" i="57"/>
  <c r="N27" i="57"/>
  <c r="L28" i="57"/>
  <c r="N28" i="57"/>
  <c r="L29" i="57"/>
  <c r="N29" i="57"/>
  <c r="L30" i="57"/>
  <c r="N30" i="57"/>
  <c r="L31" i="57"/>
  <c r="N31" i="57"/>
  <c r="L32" i="57"/>
  <c r="N32" i="57"/>
  <c r="L33" i="57"/>
  <c r="N33" i="57"/>
  <c r="L34" i="57"/>
  <c r="N34" i="57"/>
  <c r="L35" i="57"/>
  <c r="N35" i="57"/>
  <c r="L36" i="57"/>
  <c r="N36" i="57"/>
  <c r="L37" i="57"/>
  <c r="N37" i="57"/>
  <c r="L38" i="57"/>
  <c r="N38" i="57"/>
  <c r="L39" i="57"/>
  <c r="N39" i="57"/>
  <c r="L40" i="57"/>
  <c r="N40" i="57"/>
  <c r="L41" i="57"/>
  <c r="N41" i="57"/>
  <c r="L42" i="57"/>
  <c r="N42" i="57"/>
  <c r="L43" i="57"/>
  <c r="N43" i="57"/>
  <c r="L44" i="57"/>
  <c r="N44" i="57"/>
  <c r="L45" i="57"/>
  <c r="N45" i="57"/>
  <c r="L46" i="57"/>
  <c r="N46" i="57"/>
  <c r="L47" i="57"/>
  <c r="N47" i="57"/>
  <c r="L48" i="57"/>
  <c r="N48" i="57"/>
  <c r="L49" i="57"/>
  <c r="N49" i="57"/>
  <c r="L50" i="57"/>
  <c r="N50" i="57"/>
  <c r="L51" i="57"/>
  <c r="N51" i="57"/>
  <c r="L52" i="57"/>
  <c r="N52" i="57"/>
  <c r="L53" i="57"/>
  <c r="N53" i="57"/>
  <c r="L54" i="57"/>
  <c r="N54" i="57"/>
  <c r="L55" i="57"/>
  <c r="N55" i="57"/>
  <c r="L56" i="57"/>
  <c r="N56" i="57"/>
  <c r="L57" i="57"/>
  <c r="N57" i="57"/>
  <c r="L58" i="57"/>
  <c r="N58" i="57"/>
  <c r="L59" i="57"/>
  <c r="N59" i="57"/>
  <c r="L60" i="57"/>
  <c r="N60" i="57"/>
  <c r="L61" i="57"/>
  <c r="N61" i="57"/>
  <c r="L62" i="57"/>
  <c r="N62" i="57"/>
  <c r="L63" i="57"/>
  <c r="N63" i="57"/>
  <c r="L64" i="57"/>
  <c r="N64" i="57"/>
  <c r="L65" i="57"/>
  <c r="N65" i="57"/>
  <c r="L66" i="57"/>
  <c r="N66" i="57"/>
  <c r="L67" i="57"/>
  <c r="N67" i="57"/>
  <c r="L68" i="57"/>
  <c r="N68" i="57"/>
  <c r="L69" i="57"/>
  <c r="N69" i="57"/>
  <c r="L70" i="57"/>
  <c r="N70" i="57"/>
  <c r="L71" i="57"/>
  <c r="N71" i="57"/>
  <c r="L72" i="57"/>
  <c r="N72" i="57"/>
  <c r="D89" i="57"/>
  <c r="D91" i="57"/>
  <c r="J93" i="57"/>
  <c r="L93" i="57"/>
  <c r="D96" i="57"/>
  <c r="M99" i="57"/>
  <c r="O99" i="57"/>
  <c r="O105" i="57"/>
  <c r="O106" i="57"/>
  <c r="M107" i="57"/>
  <c r="O107" i="57"/>
  <c r="M108" i="57"/>
  <c r="O108" i="57"/>
  <c r="M109" i="57"/>
  <c r="O109" i="57"/>
  <c r="M110" i="57"/>
  <c r="O110" i="57"/>
  <c r="M111" i="57"/>
  <c r="O111" i="57"/>
  <c r="M112" i="57"/>
  <c r="O112" i="57"/>
  <c r="M113" i="57"/>
  <c r="O113" i="57"/>
  <c r="M114" i="57"/>
  <c r="O114" i="57"/>
  <c r="M115" i="57"/>
  <c r="O115" i="57"/>
  <c r="M116" i="57"/>
  <c r="O116" i="57"/>
  <c r="M117" i="57"/>
  <c r="O117" i="57"/>
  <c r="M118" i="57"/>
  <c r="O118" i="57"/>
  <c r="M119" i="57"/>
  <c r="O119" i="57"/>
  <c r="M120" i="57"/>
  <c r="O120" i="57"/>
  <c r="M121" i="57"/>
  <c r="O121" i="57"/>
  <c r="M122" i="57"/>
  <c r="O122" i="57"/>
  <c r="M123" i="57"/>
  <c r="O123" i="57"/>
  <c r="M124" i="57"/>
  <c r="O124" i="57"/>
  <c r="M125" i="57"/>
  <c r="O125" i="57"/>
  <c r="M126" i="57"/>
  <c r="O126" i="57"/>
  <c r="M127" i="57"/>
  <c r="O127" i="57"/>
  <c r="M128" i="57"/>
  <c r="O128" i="57"/>
  <c r="M129" i="57"/>
  <c r="O129" i="57"/>
  <c r="M130" i="57"/>
  <c r="O130" i="57"/>
  <c r="M131" i="57"/>
  <c r="O131" i="57"/>
  <c r="M132" i="57"/>
  <c r="O132" i="57"/>
  <c r="M133" i="57"/>
  <c r="O133" i="57"/>
  <c r="M134" i="57"/>
  <c r="O134" i="57"/>
  <c r="M135" i="57"/>
  <c r="O135" i="57"/>
  <c r="M136" i="57"/>
  <c r="O136" i="57"/>
  <c r="M137" i="57"/>
  <c r="O137" i="57"/>
  <c r="M138" i="57"/>
  <c r="O138" i="57"/>
  <c r="M139" i="57"/>
  <c r="O139" i="57"/>
  <c r="M140" i="57"/>
  <c r="O140" i="57"/>
  <c r="M141" i="57"/>
  <c r="O141" i="57"/>
  <c r="M142" i="57"/>
  <c r="O142" i="57"/>
  <c r="M143" i="57"/>
  <c r="O143" i="57"/>
  <c r="M144" i="57"/>
  <c r="O144" i="57"/>
  <c r="M145" i="57"/>
  <c r="O145" i="57"/>
  <c r="M146" i="57"/>
  <c r="O146" i="57"/>
  <c r="M147" i="57"/>
  <c r="O147" i="57"/>
  <c r="M148" i="57"/>
  <c r="O148" i="57"/>
  <c r="M149" i="57"/>
  <c r="O149" i="57"/>
  <c r="M150" i="57"/>
  <c r="O150" i="57"/>
  <c r="M151" i="57"/>
  <c r="O151" i="57"/>
  <c r="M152" i="57"/>
  <c r="O152" i="57"/>
  <c r="M153" i="57"/>
  <c r="O153" i="57"/>
  <c r="M154" i="57"/>
  <c r="O154" i="57"/>
  <c r="P1" i="56"/>
  <c r="P83" i="56" s="1"/>
  <c r="O3" i="56"/>
  <c r="D8" i="56"/>
  <c r="D90" i="56" s="1"/>
  <c r="K11" i="56"/>
  <c r="L17" i="56"/>
  <c r="N17" i="56"/>
  <c r="O17" i="56" s="1"/>
  <c r="N24" i="56"/>
  <c r="N25" i="56"/>
  <c r="L26" i="56"/>
  <c r="N26" i="56"/>
  <c r="L27" i="56"/>
  <c r="N27" i="56"/>
  <c r="O27" i="56" s="1"/>
  <c r="L28" i="56"/>
  <c r="N28" i="56"/>
  <c r="L29" i="56"/>
  <c r="N29" i="56"/>
  <c r="L30" i="56"/>
  <c r="N30" i="56"/>
  <c r="L31" i="56"/>
  <c r="N31" i="56"/>
  <c r="L32" i="56"/>
  <c r="N32" i="56"/>
  <c r="L33" i="56"/>
  <c r="N33" i="56"/>
  <c r="L34" i="56"/>
  <c r="N34" i="56"/>
  <c r="L35" i="56"/>
  <c r="N35" i="56"/>
  <c r="O35" i="56" s="1"/>
  <c r="L36" i="56"/>
  <c r="N36" i="56"/>
  <c r="L37" i="56"/>
  <c r="N37" i="56"/>
  <c r="L38" i="56"/>
  <c r="N38" i="56"/>
  <c r="L39" i="56"/>
  <c r="N39" i="56"/>
  <c r="L40" i="56"/>
  <c r="N40" i="56"/>
  <c r="L41" i="56"/>
  <c r="N41" i="56"/>
  <c r="L42" i="56"/>
  <c r="N42" i="56"/>
  <c r="O42" i="56" s="1"/>
  <c r="L43" i="56"/>
  <c r="N43" i="56"/>
  <c r="L44" i="56"/>
  <c r="N44" i="56"/>
  <c r="O44" i="56" s="1"/>
  <c r="L45" i="56"/>
  <c r="N45" i="56"/>
  <c r="O45" i="56" s="1"/>
  <c r="L46" i="56"/>
  <c r="N46" i="56"/>
  <c r="O46" i="56" s="1"/>
  <c r="L47" i="56"/>
  <c r="N47" i="56"/>
  <c r="O47" i="56" s="1"/>
  <c r="L48" i="56"/>
  <c r="N48" i="56"/>
  <c r="O48" i="56" s="1"/>
  <c r="L49" i="56"/>
  <c r="N49" i="56"/>
  <c r="O49" i="56" s="1"/>
  <c r="L50" i="56"/>
  <c r="N50" i="56"/>
  <c r="L51" i="56"/>
  <c r="N51" i="56"/>
  <c r="L52" i="56"/>
  <c r="N52" i="56"/>
  <c r="O52" i="56" s="1"/>
  <c r="L53" i="56"/>
  <c r="N53" i="56"/>
  <c r="L54" i="56"/>
  <c r="N54" i="56"/>
  <c r="L55" i="56"/>
  <c r="N55" i="56"/>
  <c r="O55" i="56" s="1"/>
  <c r="L56" i="56"/>
  <c r="N56" i="56"/>
  <c r="O56" i="56" s="1"/>
  <c r="L57" i="56"/>
  <c r="N57" i="56"/>
  <c r="O57" i="56" s="1"/>
  <c r="L58" i="56"/>
  <c r="N58" i="56"/>
  <c r="O58" i="56" s="1"/>
  <c r="L59" i="56"/>
  <c r="N59" i="56"/>
  <c r="O59" i="56" s="1"/>
  <c r="L60" i="56"/>
  <c r="N60" i="56"/>
  <c r="L61" i="56"/>
  <c r="N61" i="56"/>
  <c r="L62" i="56"/>
  <c r="N62" i="56"/>
  <c r="O62" i="56" s="1"/>
  <c r="L63" i="56"/>
  <c r="N63" i="56"/>
  <c r="L64" i="56"/>
  <c r="N64" i="56"/>
  <c r="O64" i="56" s="1"/>
  <c r="L65" i="56"/>
  <c r="N65" i="56"/>
  <c r="O65" i="56" s="1"/>
  <c r="L66" i="56"/>
  <c r="N66" i="56"/>
  <c r="L67" i="56"/>
  <c r="N67" i="56"/>
  <c r="O67" i="56" s="1"/>
  <c r="L68" i="56"/>
  <c r="N68" i="56"/>
  <c r="L69" i="56"/>
  <c r="N69" i="56"/>
  <c r="O69" i="56" s="1"/>
  <c r="L70" i="56"/>
  <c r="N70" i="56"/>
  <c r="L71" i="56"/>
  <c r="N71" i="56"/>
  <c r="O71" i="56" s="1"/>
  <c r="L72" i="56"/>
  <c r="N72" i="56"/>
  <c r="O72" i="56" s="1"/>
  <c r="D89" i="56"/>
  <c r="D91" i="56"/>
  <c r="J93" i="56"/>
  <c r="L93" i="56"/>
  <c r="D96" i="56"/>
  <c r="M99" i="56"/>
  <c r="O99" i="56"/>
  <c r="O105" i="56"/>
  <c r="O106" i="56"/>
  <c r="M107" i="56"/>
  <c r="O107" i="56"/>
  <c r="M108" i="56"/>
  <c r="O108" i="56"/>
  <c r="M109" i="56"/>
  <c r="O109" i="56"/>
  <c r="M110" i="56"/>
  <c r="O110" i="56"/>
  <c r="M111" i="56"/>
  <c r="O111" i="56"/>
  <c r="M112" i="56"/>
  <c r="O112" i="56"/>
  <c r="M113" i="56"/>
  <c r="O113" i="56"/>
  <c r="M114" i="56"/>
  <c r="O114" i="56"/>
  <c r="M115" i="56"/>
  <c r="O115" i="56"/>
  <c r="M116" i="56"/>
  <c r="O116" i="56"/>
  <c r="M117" i="56"/>
  <c r="O117" i="56"/>
  <c r="M118" i="56"/>
  <c r="O118" i="56"/>
  <c r="M119" i="56"/>
  <c r="O119" i="56"/>
  <c r="M120" i="56"/>
  <c r="O120" i="56"/>
  <c r="M121" i="56"/>
  <c r="O121" i="56"/>
  <c r="M122" i="56"/>
  <c r="O122" i="56"/>
  <c r="M123" i="56"/>
  <c r="O123" i="56"/>
  <c r="M124" i="56"/>
  <c r="O124" i="56"/>
  <c r="M125" i="56"/>
  <c r="O125" i="56"/>
  <c r="M126" i="56"/>
  <c r="O126" i="56"/>
  <c r="M127" i="56"/>
  <c r="O127" i="56"/>
  <c r="M128" i="56"/>
  <c r="O128" i="56"/>
  <c r="M129" i="56"/>
  <c r="O129" i="56"/>
  <c r="M130" i="56"/>
  <c r="O130" i="56"/>
  <c r="M131" i="56"/>
  <c r="O131" i="56"/>
  <c r="M132" i="56"/>
  <c r="O132" i="56"/>
  <c r="M133" i="56"/>
  <c r="O133" i="56"/>
  <c r="M134" i="56"/>
  <c r="O134" i="56"/>
  <c r="M135" i="56"/>
  <c r="O135" i="56"/>
  <c r="M136" i="56"/>
  <c r="O136" i="56"/>
  <c r="M137" i="56"/>
  <c r="O137" i="56"/>
  <c r="M138" i="56"/>
  <c r="O138" i="56"/>
  <c r="M139" i="56"/>
  <c r="O139" i="56"/>
  <c r="M140" i="56"/>
  <c r="O140" i="56"/>
  <c r="M141" i="56"/>
  <c r="O141" i="56"/>
  <c r="M142" i="56"/>
  <c r="O142" i="56"/>
  <c r="M143" i="56"/>
  <c r="O143" i="56"/>
  <c r="M144" i="56"/>
  <c r="O144" i="56"/>
  <c r="M145" i="56"/>
  <c r="O145" i="56"/>
  <c r="M146" i="56"/>
  <c r="O146" i="56"/>
  <c r="M147" i="56"/>
  <c r="O147" i="56"/>
  <c r="M148" i="56"/>
  <c r="O148" i="56"/>
  <c r="M149" i="56"/>
  <c r="O149" i="56"/>
  <c r="M150" i="56"/>
  <c r="O150" i="56"/>
  <c r="M151" i="56"/>
  <c r="O151" i="56"/>
  <c r="M152" i="56"/>
  <c r="O152" i="56"/>
  <c r="M153" i="56"/>
  <c r="O153" i="56"/>
  <c r="M154" i="56"/>
  <c r="O154" i="56"/>
  <c r="P1" i="55"/>
  <c r="P83" i="55" s="1"/>
  <c r="O3" i="55"/>
  <c r="D8" i="55"/>
  <c r="K11" i="55"/>
  <c r="O17" i="55"/>
  <c r="N17" i="55"/>
  <c r="N24" i="55"/>
  <c r="N25" i="55"/>
  <c r="L26" i="55"/>
  <c r="N26" i="55"/>
  <c r="L27" i="55"/>
  <c r="O27" i="55" s="1"/>
  <c r="N27" i="55"/>
  <c r="L28" i="55"/>
  <c r="N28" i="55"/>
  <c r="L29" i="55"/>
  <c r="O29" i="55" s="1"/>
  <c r="N29" i="55"/>
  <c r="L30" i="55"/>
  <c r="N30" i="55"/>
  <c r="L31" i="55"/>
  <c r="O31" i="55" s="1"/>
  <c r="N31" i="55"/>
  <c r="L32" i="55"/>
  <c r="N32" i="55"/>
  <c r="L33" i="55"/>
  <c r="O33" i="55" s="1"/>
  <c r="N33" i="55"/>
  <c r="L34" i="55"/>
  <c r="N34" i="55"/>
  <c r="L35" i="55"/>
  <c r="O35" i="55" s="1"/>
  <c r="N35" i="55"/>
  <c r="L36" i="55"/>
  <c r="N36" i="55"/>
  <c r="L37" i="55"/>
  <c r="O37" i="55" s="1"/>
  <c r="N37" i="55"/>
  <c r="L38" i="55"/>
  <c r="N38" i="55"/>
  <c r="L39" i="55"/>
  <c r="O39" i="55" s="1"/>
  <c r="N39" i="55"/>
  <c r="L40" i="55"/>
  <c r="N40" i="55"/>
  <c r="L41" i="55"/>
  <c r="O41" i="55" s="1"/>
  <c r="N41" i="55"/>
  <c r="L42" i="55"/>
  <c r="N42" i="55"/>
  <c r="L43" i="55"/>
  <c r="O43" i="55" s="1"/>
  <c r="N43" i="55"/>
  <c r="L44" i="55"/>
  <c r="N44" i="55"/>
  <c r="L45" i="55"/>
  <c r="N45" i="55"/>
  <c r="L46" i="55"/>
  <c r="N46" i="55"/>
  <c r="L47" i="55"/>
  <c r="O47" i="55" s="1"/>
  <c r="N47" i="55"/>
  <c r="L48" i="55"/>
  <c r="N48" i="55"/>
  <c r="L49" i="55"/>
  <c r="N49" i="55"/>
  <c r="L50" i="55"/>
  <c r="N50" i="55"/>
  <c r="L51" i="55"/>
  <c r="O51" i="55" s="1"/>
  <c r="N51" i="55"/>
  <c r="L52" i="55"/>
  <c r="N52" i="55"/>
  <c r="L53" i="55"/>
  <c r="O53" i="55" s="1"/>
  <c r="N53" i="55"/>
  <c r="L54" i="55"/>
  <c r="N54" i="55"/>
  <c r="L55" i="55"/>
  <c r="N55" i="55"/>
  <c r="L56" i="55"/>
  <c r="N56" i="55"/>
  <c r="L57" i="55"/>
  <c r="O57" i="55" s="1"/>
  <c r="N57" i="55"/>
  <c r="L58" i="55"/>
  <c r="N58" i="55"/>
  <c r="L59" i="55"/>
  <c r="O59" i="55" s="1"/>
  <c r="N59" i="55"/>
  <c r="L60" i="55"/>
  <c r="N60" i="55"/>
  <c r="L61" i="55"/>
  <c r="N61" i="55"/>
  <c r="L62" i="55"/>
  <c r="N62" i="55"/>
  <c r="L63" i="55"/>
  <c r="O63" i="55" s="1"/>
  <c r="N63" i="55"/>
  <c r="L64" i="55"/>
  <c r="N64" i="55"/>
  <c r="L65" i="55"/>
  <c r="N65" i="55"/>
  <c r="L66" i="55"/>
  <c r="N66" i="55"/>
  <c r="L67" i="55"/>
  <c r="N67" i="55"/>
  <c r="L68" i="55"/>
  <c r="N68" i="55"/>
  <c r="L69" i="55"/>
  <c r="N69" i="55"/>
  <c r="L70" i="55"/>
  <c r="N70" i="55"/>
  <c r="L71" i="55"/>
  <c r="N71" i="55"/>
  <c r="L72" i="55"/>
  <c r="N72" i="55"/>
  <c r="D89" i="55"/>
  <c r="D90" i="55"/>
  <c r="J93" i="55"/>
  <c r="L93" i="55"/>
  <c r="D96" i="55"/>
  <c r="M99" i="55"/>
  <c r="P99" i="55" s="1"/>
  <c r="O99" i="55"/>
  <c r="O105" i="55"/>
  <c r="O106" i="55"/>
  <c r="M107" i="55"/>
  <c r="O107" i="55"/>
  <c r="M108" i="55"/>
  <c r="O108" i="55"/>
  <c r="M109" i="55"/>
  <c r="O109" i="55"/>
  <c r="M110" i="55"/>
  <c r="O110" i="55"/>
  <c r="M111" i="55"/>
  <c r="O111" i="55"/>
  <c r="M112" i="55"/>
  <c r="O112" i="55"/>
  <c r="M113" i="55"/>
  <c r="O113" i="55"/>
  <c r="M114" i="55"/>
  <c r="O114" i="55"/>
  <c r="M115" i="55"/>
  <c r="O115" i="55"/>
  <c r="M116" i="55"/>
  <c r="O116" i="55"/>
  <c r="M117" i="55"/>
  <c r="O117" i="55"/>
  <c r="M118" i="55"/>
  <c r="O118" i="55"/>
  <c r="M119" i="55"/>
  <c r="O119" i="55"/>
  <c r="M120" i="55"/>
  <c r="O120" i="55"/>
  <c r="M121" i="55"/>
  <c r="O121" i="55"/>
  <c r="M122" i="55"/>
  <c r="O122" i="55"/>
  <c r="M123" i="55"/>
  <c r="O123" i="55"/>
  <c r="M124" i="55"/>
  <c r="O124" i="55"/>
  <c r="M125" i="55"/>
  <c r="O125" i="55"/>
  <c r="M126" i="55"/>
  <c r="O126" i="55"/>
  <c r="M127" i="55"/>
  <c r="O127" i="55"/>
  <c r="M128" i="55"/>
  <c r="O128" i="55"/>
  <c r="M129" i="55"/>
  <c r="O129" i="55"/>
  <c r="M130" i="55"/>
  <c r="O130" i="55"/>
  <c r="M131" i="55"/>
  <c r="O131" i="55"/>
  <c r="M132" i="55"/>
  <c r="O132" i="55"/>
  <c r="M133" i="55"/>
  <c r="O133" i="55"/>
  <c r="M134" i="55"/>
  <c r="O134" i="55"/>
  <c r="M135" i="55"/>
  <c r="O135" i="55"/>
  <c r="M136" i="55"/>
  <c r="O136" i="55"/>
  <c r="M137" i="55"/>
  <c r="O137" i="55"/>
  <c r="M138" i="55"/>
  <c r="O138" i="55"/>
  <c r="M139" i="55"/>
  <c r="O139" i="55"/>
  <c r="M140" i="55"/>
  <c r="O140" i="55"/>
  <c r="M141" i="55"/>
  <c r="O141" i="55"/>
  <c r="M142" i="55"/>
  <c r="O142" i="55"/>
  <c r="M143" i="55"/>
  <c r="O143" i="55"/>
  <c r="M144" i="55"/>
  <c r="O144" i="55"/>
  <c r="M145" i="55"/>
  <c r="O145" i="55"/>
  <c r="M146" i="55"/>
  <c r="O146" i="55"/>
  <c r="M147" i="55"/>
  <c r="O147" i="55"/>
  <c r="M148" i="55"/>
  <c r="O148" i="55"/>
  <c r="M149" i="55"/>
  <c r="O149" i="55"/>
  <c r="M150" i="55"/>
  <c r="O150" i="55"/>
  <c r="M151" i="55"/>
  <c r="O151" i="55"/>
  <c r="M152" i="55"/>
  <c r="O152" i="55"/>
  <c r="M153" i="55"/>
  <c r="O153" i="55"/>
  <c r="M154" i="55"/>
  <c r="O154" i="55"/>
  <c r="P1" i="54"/>
  <c r="P83" i="54" s="1"/>
  <c r="O3" i="54"/>
  <c r="D8" i="54"/>
  <c r="D90" i="54"/>
  <c r="K11" i="54"/>
  <c r="L17" i="54"/>
  <c r="N17" i="54"/>
  <c r="N24" i="54"/>
  <c r="N25" i="54"/>
  <c r="L26" i="54"/>
  <c r="N26" i="54"/>
  <c r="L27" i="54"/>
  <c r="N27" i="54"/>
  <c r="L28" i="54"/>
  <c r="N28" i="54"/>
  <c r="L29" i="54"/>
  <c r="N29" i="54"/>
  <c r="L30" i="54"/>
  <c r="N30" i="54"/>
  <c r="L31" i="54"/>
  <c r="N31" i="54"/>
  <c r="L32" i="54"/>
  <c r="N32" i="54"/>
  <c r="L33" i="54"/>
  <c r="N33" i="54"/>
  <c r="L34" i="54"/>
  <c r="N34" i="54"/>
  <c r="L35" i="54"/>
  <c r="N35" i="54"/>
  <c r="L36" i="54"/>
  <c r="N36" i="54"/>
  <c r="L37" i="54"/>
  <c r="N37" i="54"/>
  <c r="L38" i="54"/>
  <c r="N38" i="54"/>
  <c r="L39" i="54"/>
  <c r="N39" i="54"/>
  <c r="L40" i="54"/>
  <c r="N40" i="54"/>
  <c r="L41" i="54"/>
  <c r="N41" i="54"/>
  <c r="L42" i="54"/>
  <c r="N42" i="54"/>
  <c r="L43" i="54"/>
  <c r="N43" i="54"/>
  <c r="L44" i="54"/>
  <c r="N44" i="54"/>
  <c r="L45" i="54"/>
  <c r="N45" i="54"/>
  <c r="L46" i="54"/>
  <c r="N46" i="54"/>
  <c r="L47" i="54"/>
  <c r="N47" i="54"/>
  <c r="L48" i="54"/>
  <c r="N48" i="54"/>
  <c r="L49" i="54"/>
  <c r="N49" i="54"/>
  <c r="L50" i="54"/>
  <c r="N50" i="54"/>
  <c r="L51" i="54"/>
  <c r="N51" i="54"/>
  <c r="L52" i="54"/>
  <c r="N52" i="54"/>
  <c r="L53" i="54"/>
  <c r="N53" i="54"/>
  <c r="L54" i="54"/>
  <c r="N54" i="54"/>
  <c r="L55" i="54"/>
  <c r="N55" i="54"/>
  <c r="L56" i="54"/>
  <c r="N56" i="54"/>
  <c r="L57" i="54"/>
  <c r="N57" i="54"/>
  <c r="L58" i="54"/>
  <c r="N58" i="54"/>
  <c r="L59" i="54"/>
  <c r="N59" i="54"/>
  <c r="L60" i="54"/>
  <c r="N60" i="54"/>
  <c r="L61" i="54"/>
  <c r="N61" i="54"/>
  <c r="L62" i="54"/>
  <c r="N62" i="54"/>
  <c r="L63" i="54"/>
  <c r="N63" i="54"/>
  <c r="L64" i="54"/>
  <c r="N64" i="54"/>
  <c r="L65" i="54"/>
  <c r="N65" i="54"/>
  <c r="L66" i="54"/>
  <c r="N66" i="54"/>
  <c r="L67" i="54"/>
  <c r="N67" i="54"/>
  <c r="L68" i="54"/>
  <c r="N68" i="54"/>
  <c r="L69" i="54"/>
  <c r="N69" i="54"/>
  <c r="L70" i="54"/>
  <c r="N70" i="54"/>
  <c r="L71" i="54"/>
  <c r="N71" i="54"/>
  <c r="L72" i="54"/>
  <c r="N72" i="54"/>
  <c r="D89" i="54"/>
  <c r="D91" i="54"/>
  <c r="J93" i="54"/>
  <c r="L93" i="54"/>
  <c r="D96" i="54"/>
  <c r="M99" i="54"/>
  <c r="O105" i="54"/>
  <c r="O106" i="54"/>
  <c r="M107" i="54"/>
  <c r="O107" i="54"/>
  <c r="M108" i="54"/>
  <c r="O108" i="54"/>
  <c r="M109" i="54"/>
  <c r="O109" i="54"/>
  <c r="M110" i="54"/>
  <c r="O110" i="54"/>
  <c r="M111" i="54"/>
  <c r="O111" i="54"/>
  <c r="M112" i="54"/>
  <c r="O112" i="54"/>
  <c r="M113" i="54"/>
  <c r="O113" i="54"/>
  <c r="M114" i="54"/>
  <c r="O114" i="54"/>
  <c r="M115" i="54"/>
  <c r="O115" i="54"/>
  <c r="M116" i="54"/>
  <c r="O116" i="54"/>
  <c r="M117" i="54"/>
  <c r="O117" i="54"/>
  <c r="M118" i="54"/>
  <c r="O118" i="54"/>
  <c r="M119" i="54"/>
  <c r="O119" i="54"/>
  <c r="M120" i="54"/>
  <c r="O120" i="54"/>
  <c r="M121" i="54"/>
  <c r="O121" i="54"/>
  <c r="M122" i="54"/>
  <c r="O122" i="54"/>
  <c r="M123" i="54"/>
  <c r="O123" i="54"/>
  <c r="M124" i="54"/>
  <c r="O124" i="54"/>
  <c r="M125" i="54"/>
  <c r="O125" i="54"/>
  <c r="M126" i="54"/>
  <c r="O126" i="54"/>
  <c r="M127" i="54"/>
  <c r="O127" i="54"/>
  <c r="M128" i="54"/>
  <c r="O128" i="54"/>
  <c r="M129" i="54"/>
  <c r="O129" i="54"/>
  <c r="M130" i="54"/>
  <c r="O130" i="54"/>
  <c r="M131" i="54"/>
  <c r="O131" i="54"/>
  <c r="M132" i="54"/>
  <c r="O132" i="54"/>
  <c r="M133" i="54"/>
  <c r="O133" i="54"/>
  <c r="M134" i="54"/>
  <c r="O134" i="54"/>
  <c r="M135" i="54"/>
  <c r="O135" i="54"/>
  <c r="M136" i="54"/>
  <c r="O136" i="54"/>
  <c r="M137" i="54"/>
  <c r="O137" i="54"/>
  <c r="M138" i="54"/>
  <c r="O138" i="54"/>
  <c r="M139" i="54"/>
  <c r="O139" i="54"/>
  <c r="M140" i="54"/>
  <c r="O140" i="54"/>
  <c r="M141" i="54"/>
  <c r="O141" i="54"/>
  <c r="M142" i="54"/>
  <c r="O142" i="54"/>
  <c r="M143" i="54"/>
  <c r="O143" i="54"/>
  <c r="M144" i="54"/>
  <c r="O144" i="54"/>
  <c r="M145" i="54"/>
  <c r="O145" i="54"/>
  <c r="M146" i="54"/>
  <c r="O146" i="54"/>
  <c r="M147" i="54"/>
  <c r="O147" i="54"/>
  <c r="M148" i="54"/>
  <c r="O148" i="54"/>
  <c r="M149" i="54"/>
  <c r="O149" i="54"/>
  <c r="M150" i="54"/>
  <c r="O150" i="54"/>
  <c r="M151" i="54"/>
  <c r="O151" i="54"/>
  <c r="M152" i="54"/>
  <c r="O152" i="54"/>
  <c r="M153" i="54"/>
  <c r="O153" i="54"/>
  <c r="M154" i="54"/>
  <c r="O154" i="54"/>
  <c r="P1" i="53"/>
  <c r="P83" i="53" s="1"/>
  <c r="O3" i="53"/>
  <c r="D8" i="53"/>
  <c r="D90" i="53" s="1"/>
  <c r="K11" i="53"/>
  <c r="N17" i="53"/>
  <c r="N24" i="53"/>
  <c r="N25" i="53"/>
  <c r="L26" i="53"/>
  <c r="N26" i="53"/>
  <c r="L27" i="53"/>
  <c r="N27" i="53"/>
  <c r="L28" i="53"/>
  <c r="N28" i="53"/>
  <c r="L29" i="53"/>
  <c r="N29" i="53"/>
  <c r="L30" i="53"/>
  <c r="N30" i="53"/>
  <c r="L31" i="53"/>
  <c r="N31" i="53"/>
  <c r="L32" i="53"/>
  <c r="N32" i="53"/>
  <c r="L33" i="53"/>
  <c r="N33" i="53"/>
  <c r="L34" i="53"/>
  <c r="N34" i="53"/>
  <c r="L35" i="53"/>
  <c r="N35" i="53"/>
  <c r="L36" i="53"/>
  <c r="N36" i="53"/>
  <c r="L37" i="53"/>
  <c r="N37" i="53"/>
  <c r="L38" i="53"/>
  <c r="N38" i="53"/>
  <c r="L39" i="53"/>
  <c r="N39" i="53"/>
  <c r="L40" i="53"/>
  <c r="N40" i="53"/>
  <c r="L41" i="53"/>
  <c r="N41" i="53"/>
  <c r="L42" i="53"/>
  <c r="N42" i="53"/>
  <c r="L43" i="53"/>
  <c r="N43" i="53"/>
  <c r="L44" i="53"/>
  <c r="N44" i="53"/>
  <c r="O44" i="53" s="1"/>
  <c r="L45" i="53"/>
  <c r="N45" i="53"/>
  <c r="L46" i="53"/>
  <c r="N46" i="53"/>
  <c r="L47" i="53"/>
  <c r="N47" i="53"/>
  <c r="L48" i="53"/>
  <c r="N48" i="53"/>
  <c r="L49" i="53"/>
  <c r="N49" i="53"/>
  <c r="L50" i="53"/>
  <c r="N50" i="53"/>
  <c r="L51" i="53"/>
  <c r="N51" i="53"/>
  <c r="L52" i="53"/>
  <c r="N52" i="53"/>
  <c r="O52" i="53" s="1"/>
  <c r="L53" i="53"/>
  <c r="N53" i="53"/>
  <c r="L54" i="53"/>
  <c r="N54" i="53"/>
  <c r="L55" i="53"/>
  <c r="N55" i="53"/>
  <c r="L56" i="53"/>
  <c r="N56" i="53"/>
  <c r="O56" i="53" s="1"/>
  <c r="L57" i="53"/>
  <c r="N57" i="53"/>
  <c r="L58" i="53"/>
  <c r="N58" i="53"/>
  <c r="O58" i="53" s="1"/>
  <c r="L59" i="53"/>
  <c r="N59" i="53"/>
  <c r="L60" i="53"/>
  <c r="N60" i="53"/>
  <c r="O60" i="53" s="1"/>
  <c r="L61" i="53"/>
  <c r="N61" i="53"/>
  <c r="L62" i="53"/>
  <c r="N62" i="53"/>
  <c r="L63" i="53"/>
  <c r="N63" i="53"/>
  <c r="L64" i="53"/>
  <c r="N64" i="53"/>
  <c r="L65" i="53"/>
  <c r="N65" i="53"/>
  <c r="L66" i="53"/>
  <c r="N66" i="53"/>
  <c r="L67" i="53"/>
  <c r="N67" i="53"/>
  <c r="L68" i="53"/>
  <c r="N68" i="53"/>
  <c r="O68" i="53" s="1"/>
  <c r="L69" i="53"/>
  <c r="N69" i="53"/>
  <c r="L70" i="53"/>
  <c r="N70" i="53"/>
  <c r="O70" i="53" s="1"/>
  <c r="L71" i="53"/>
  <c r="N71" i="53"/>
  <c r="L72" i="53"/>
  <c r="N72" i="53"/>
  <c r="D89" i="53"/>
  <c r="D91" i="53"/>
  <c r="J93" i="53"/>
  <c r="L93" i="53"/>
  <c r="D96" i="53"/>
  <c r="M99" i="53"/>
  <c r="O99" i="53"/>
  <c r="P99" i="53" s="1"/>
  <c r="O105" i="53"/>
  <c r="O106" i="53"/>
  <c r="M107" i="53"/>
  <c r="O107" i="53"/>
  <c r="M108" i="53"/>
  <c r="O108" i="53"/>
  <c r="M109" i="53"/>
  <c r="O109" i="53"/>
  <c r="M110" i="53"/>
  <c r="O110" i="53"/>
  <c r="M111" i="53"/>
  <c r="O111" i="53"/>
  <c r="M112" i="53"/>
  <c r="O112" i="53"/>
  <c r="M113" i="53"/>
  <c r="O113" i="53"/>
  <c r="M114" i="53"/>
  <c r="O114" i="53"/>
  <c r="M115" i="53"/>
  <c r="O115" i="53"/>
  <c r="M116" i="53"/>
  <c r="O116" i="53"/>
  <c r="M117" i="53"/>
  <c r="O117" i="53"/>
  <c r="M118" i="53"/>
  <c r="O118" i="53"/>
  <c r="M119" i="53"/>
  <c r="O119" i="53"/>
  <c r="M120" i="53"/>
  <c r="O120" i="53"/>
  <c r="M121" i="53"/>
  <c r="O121" i="53"/>
  <c r="M122" i="53"/>
  <c r="O122" i="53"/>
  <c r="M123" i="53"/>
  <c r="O123" i="53"/>
  <c r="M124" i="53"/>
  <c r="O124" i="53"/>
  <c r="M125" i="53"/>
  <c r="O125" i="53"/>
  <c r="M126" i="53"/>
  <c r="O126" i="53"/>
  <c r="M127" i="53"/>
  <c r="O127" i="53"/>
  <c r="M128" i="53"/>
  <c r="O128" i="53"/>
  <c r="M129" i="53"/>
  <c r="O129" i="53"/>
  <c r="M130" i="53"/>
  <c r="O130" i="53"/>
  <c r="M131" i="53"/>
  <c r="O131" i="53"/>
  <c r="M132" i="53"/>
  <c r="O132" i="53"/>
  <c r="M133" i="53"/>
  <c r="O133" i="53"/>
  <c r="M134" i="53"/>
  <c r="O134" i="53"/>
  <c r="M135" i="53"/>
  <c r="O135" i="53"/>
  <c r="M136" i="53"/>
  <c r="O136" i="53"/>
  <c r="M137" i="53"/>
  <c r="O137" i="53"/>
  <c r="M138" i="53"/>
  <c r="O138" i="53"/>
  <c r="M139" i="53"/>
  <c r="O139" i="53"/>
  <c r="M140" i="53"/>
  <c r="O140" i="53"/>
  <c r="M141" i="53"/>
  <c r="O141" i="53"/>
  <c r="M142" i="53"/>
  <c r="O142" i="53"/>
  <c r="M143" i="53"/>
  <c r="O143" i="53"/>
  <c r="M144" i="53"/>
  <c r="O144" i="53"/>
  <c r="M145" i="53"/>
  <c r="O145" i="53"/>
  <c r="M146" i="53"/>
  <c r="O146" i="53"/>
  <c r="M147" i="53"/>
  <c r="O147" i="53"/>
  <c r="M148" i="53"/>
  <c r="O148" i="53"/>
  <c r="M149" i="53"/>
  <c r="O149" i="53"/>
  <c r="M150" i="53"/>
  <c r="O150" i="53"/>
  <c r="M151" i="53"/>
  <c r="O151" i="53"/>
  <c r="M152" i="53"/>
  <c r="O152" i="53"/>
  <c r="M153" i="53"/>
  <c r="O153" i="53"/>
  <c r="M154" i="53"/>
  <c r="O154" i="53"/>
  <c r="N99" i="44"/>
  <c r="O99" i="44" s="1"/>
  <c r="L99" i="44"/>
  <c r="N99" i="43"/>
  <c r="L99" i="43"/>
  <c r="N99" i="42"/>
  <c r="O99" i="42" s="1"/>
  <c r="P99" i="42" s="1"/>
  <c r="L99" i="42"/>
  <c r="N99" i="41"/>
  <c r="L99" i="41"/>
  <c r="N99" i="39"/>
  <c r="O99" i="39" s="1"/>
  <c r="L99" i="39"/>
  <c r="N101" i="34"/>
  <c r="L101" i="34"/>
  <c r="N101" i="32"/>
  <c r="O101" i="32" s="1"/>
  <c r="L101" i="32"/>
  <c r="N101" i="31"/>
  <c r="L101" i="31"/>
  <c r="N102" i="30"/>
  <c r="O102" i="30" s="1"/>
  <c r="L102" i="30"/>
  <c r="N102" i="29"/>
  <c r="L102" i="29"/>
  <c r="N103" i="28"/>
  <c r="L103" i="28"/>
  <c r="N102" i="27"/>
  <c r="L102" i="27"/>
  <c r="N101" i="24"/>
  <c r="L101" i="24"/>
  <c r="N101" i="23"/>
  <c r="L101" i="23"/>
  <c r="N100" i="22"/>
  <c r="L100" i="22"/>
  <c r="N100" i="21"/>
  <c r="L100" i="21"/>
  <c r="N100" i="20"/>
  <c r="L100" i="20"/>
  <c r="N100" i="19"/>
  <c r="L100" i="19"/>
  <c r="N100" i="18"/>
  <c r="L100" i="18"/>
  <c r="N100" i="17"/>
  <c r="L100" i="17"/>
  <c r="N100" i="3"/>
  <c r="L100" i="3"/>
  <c r="M17" i="45"/>
  <c r="N17" i="45" s="1"/>
  <c r="O17" i="45"/>
  <c r="P1" i="46"/>
  <c r="P83" i="46" s="1"/>
  <c r="O3" i="46"/>
  <c r="D8" i="46"/>
  <c r="D90" i="46"/>
  <c r="K11" i="46"/>
  <c r="L17" i="46"/>
  <c r="N17" i="46"/>
  <c r="N24" i="46"/>
  <c r="N25" i="46"/>
  <c r="L26" i="46"/>
  <c r="N26" i="46"/>
  <c r="L27" i="46"/>
  <c r="N27" i="46"/>
  <c r="O27" i="46" s="1"/>
  <c r="L28" i="46"/>
  <c r="N28" i="46"/>
  <c r="L29" i="46"/>
  <c r="N29" i="46"/>
  <c r="O29" i="46" s="1"/>
  <c r="L30" i="46"/>
  <c r="N30" i="46"/>
  <c r="L31" i="46"/>
  <c r="N31" i="46"/>
  <c r="O31" i="46" s="1"/>
  <c r="L32" i="46"/>
  <c r="N32" i="46"/>
  <c r="L33" i="46"/>
  <c r="N33" i="46"/>
  <c r="L34" i="46"/>
  <c r="N34" i="46"/>
  <c r="L35" i="46"/>
  <c r="N35" i="46"/>
  <c r="L36" i="46"/>
  <c r="N36" i="46"/>
  <c r="L37" i="46"/>
  <c r="N37" i="46"/>
  <c r="L38" i="46"/>
  <c r="N38" i="46"/>
  <c r="L39" i="46"/>
  <c r="N39" i="46"/>
  <c r="L40" i="46"/>
  <c r="N40" i="46"/>
  <c r="L41" i="46"/>
  <c r="N41" i="46"/>
  <c r="O41" i="46" s="1"/>
  <c r="L42" i="46"/>
  <c r="N42" i="46"/>
  <c r="L43" i="46"/>
  <c r="N43" i="46"/>
  <c r="L44" i="46"/>
  <c r="N44" i="46"/>
  <c r="O44" i="46" s="1"/>
  <c r="L45" i="46"/>
  <c r="N45" i="46"/>
  <c r="L46" i="46"/>
  <c r="N46" i="46"/>
  <c r="L47" i="46"/>
  <c r="N47" i="46"/>
  <c r="O47" i="46" s="1"/>
  <c r="L48" i="46"/>
  <c r="N48" i="46"/>
  <c r="L49" i="46"/>
  <c r="N49" i="46"/>
  <c r="L50" i="46"/>
  <c r="N50" i="46"/>
  <c r="L51" i="46"/>
  <c r="N51" i="46"/>
  <c r="O51" i="46" s="1"/>
  <c r="L52" i="46"/>
  <c r="N52" i="46"/>
  <c r="O52" i="46" s="1"/>
  <c r="L53" i="46"/>
  <c r="N53" i="46"/>
  <c r="O53" i="46" s="1"/>
  <c r="L54" i="46"/>
  <c r="N54" i="46"/>
  <c r="L55" i="46"/>
  <c r="N55" i="46"/>
  <c r="O55" i="46" s="1"/>
  <c r="L56" i="46"/>
  <c r="N56" i="46"/>
  <c r="L57" i="46"/>
  <c r="N57" i="46"/>
  <c r="O57" i="46" s="1"/>
  <c r="L58" i="46"/>
  <c r="N58" i="46"/>
  <c r="L59" i="46"/>
  <c r="N59" i="46"/>
  <c r="O59" i="46" s="1"/>
  <c r="L60" i="46"/>
  <c r="N60" i="46"/>
  <c r="L61" i="46"/>
  <c r="N61" i="46"/>
  <c r="L62" i="46"/>
  <c r="N62" i="46"/>
  <c r="L63" i="46"/>
  <c r="N63" i="46"/>
  <c r="O63" i="46" s="1"/>
  <c r="L64" i="46"/>
  <c r="N64" i="46"/>
  <c r="L65" i="46"/>
  <c r="N65" i="46"/>
  <c r="L66" i="46"/>
  <c r="N66" i="46"/>
  <c r="O66" i="46" s="1"/>
  <c r="L67" i="46"/>
  <c r="N67" i="46"/>
  <c r="L68" i="46"/>
  <c r="N68" i="46"/>
  <c r="L69" i="46"/>
  <c r="N69" i="46"/>
  <c r="L70" i="46"/>
  <c r="N70" i="46"/>
  <c r="L71" i="46"/>
  <c r="N71" i="46"/>
  <c r="O71" i="46" s="1"/>
  <c r="L72" i="46"/>
  <c r="N72" i="46"/>
  <c r="D89" i="46"/>
  <c r="D91" i="46"/>
  <c r="J93" i="46"/>
  <c r="L93" i="46"/>
  <c r="D96" i="46"/>
  <c r="M99" i="46"/>
  <c r="O99" i="46"/>
  <c r="O105" i="46"/>
  <c r="O106" i="46"/>
  <c r="M107" i="46"/>
  <c r="O107" i="46"/>
  <c r="M108" i="46"/>
  <c r="O108" i="46"/>
  <c r="M109" i="46"/>
  <c r="O109" i="46"/>
  <c r="M110" i="46"/>
  <c r="O110" i="46"/>
  <c r="M111" i="46"/>
  <c r="O111" i="46"/>
  <c r="M112" i="46"/>
  <c r="O112" i="46"/>
  <c r="M113" i="46"/>
  <c r="O113" i="46"/>
  <c r="M114" i="46"/>
  <c r="O114" i="46"/>
  <c r="M115" i="46"/>
  <c r="O115" i="46"/>
  <c r="M116" i="46"/>
  <c r="O116" i="46"/>
  <c r="M117" i="46"/>
  <c r="O117" i="46"/>
  <c r="M118" i="46"/>
  <c r="O118" i="46"/>
  <c r="M119" i="46"/>
  <c r="O119" i="46"/>
  <c r="M120" i="46"/>
  <c r="O120" i="46"/>
  <c r="M121" i="46"/>
  <c r="O121" i="46"/>
  <c r="M122" i="46"/>
  <c r="O122" i="46"/>
  <c r="M123" i="46"/>
  <c r="O123" i="46"/>
  <c r="M124" i="46"/>
  <c r="O124" i="46"/>
  <c r="M125" i="46"/>
  <c r="O125" i="46"/>
  <c r="M126" i="46"/>
  <c r="O126" i="46"/>
  <c r="M127" i="46"/>
  <c r="O127" i="46"/>
  <c r="M128" i="46"/>
  <c r="O128" i="46"/>
  <c r="M129" i="46"/>
  <c r="O129" i="46"/>
  <c r="M130" i="46"/>
  <c r="O130" i="46"/>
  <c r="M131" i="46"/>
  <c r="O131" i="46"/>
  <c r="M132" i="46"/>
  <c r="O132" i="46"/>
  <c r="M133" i="46"/>
  <c r="O133" i="46"/>
  <c r="M134" i="46"/>
  <c r="O134" i="46"/>
  <c r="M135" i="46"/>
  <c r="O135" i="46"/>
  <c r="M136" i="46"/>
  <c r="O136" i="46"/>
  <c r="M137" i="46"/>
  <c r="O137" i="46"/>
  <c r="M138" i="46"/>
  <c r="O138" i="46"/>
  <c r="M139" i="46"/>
  <c r="O139" i="46"/>
  <c r="M140" i="46"/>
  <c r="O140" i="46"/>
  <c r="M141" i="46"/>
  <c r="O141" i="46"/>
  <c r="M142" i="46"/>
  <c r="O142" i="46"/>
  <c r="M143" i="46"/>
  <c r="O143" i="46"/>
  <c r="M144" i="46"/>
  <c r="O144" i="46"/>
  <c r="M145" i="46"/>
  <c r="O145" i="46"/>
  <c r="M146" i="46"/>
  <c r="O146" i="46"/>
  <c r="M147" i="46"/>
  <c r="O147" i="46"/>
  <c r="M148" i="46"/>
  <c r="O148" i="46"/>
  <c r="M149" i="46"/>
  <c r="O149" i="46"/>
  <c r="M150" i="46"/>
  <c r="O150" i="46"/>
  <c r="M151" i="46"/>
  <c r="O151" i="46"/>
  <c r="M152" i="46"/>
  <c r="O152" i="46"/>
  <c r="M153" i="46"/>
  <c r="O153" i="46"/>
  <c r="M154" i="46"/>
  <c r="O154" i="46"/>
  <c r="M18" i="44"/>
  <c r="N18" i="44" s="1"/>
  <c r="M18" i="43"/>
  <c r="M18" i="42"/>
  <c r="M18" i="41"/>
  <c r="M18" i="39"/>
  <c r="N18" i="39" s="1"/>
  <c r="O18" i="39" s="1"/>
  <c r="M20" i="35"/>
  <c r="K20" i="35"/>
  <c r="M20" i="34"/>
  <c r="M20" i="32"/>
  <c r="N20" i="32" s="1"/>
  <c r="O20" i="32" s="1"/>
  <c r="M20" i="31"/>
  <c r="M21" i="30"/>
  <c r="M21" i="29"/>
  <c r="M22" i="28"/>
  <c r="M21" i="27"/>
  <c r="M20" i="24"/>
  <c r="M20" i="23"/>
  <c r="M19" i="22"/>
  <c r="M19" i="21"/>
  <c r="M19" i="20"/>
  <c r="M19" i="19"/>
  <c r="M19" i="18"/>
  <c r="M19" i="17"/>
  <c r="M19" i="3"/>
  <c r="K18" i="3"/>
  <c r="K18" i="17"/>
  <c r="K18" i="18"/>
  <c r="K18" i="19"/>
  <c r="K18" i="20"/>
  <c r="K18" i="21"/>
  <c r="K18" i="22"/>
  <c r="K19" i="23"/>
  <c r="K19" i="24"/>
  <c r="K20" i="27"/>
  <c r="K21" i="28"/>
  <c r="K20" i="29"/>
  <c r="K20" i="30"/>
  <c r="K19" i="31"/>
  <c r="L19" i="31" s="1"/>
  <c r="K19" i="32"/>
  <c r="L19" i="32"/>
  <c r="K19" i="34"/>
  <c r="K17" i="39"/>
  <c r="L17" i="39" s="1"/>
  <c r="K17" i="41"/>
  <c r="L17" i="41"/>
  <c r="K17" i="42"/>
  <c r="K17" i="43"/>
  <c r="L17" i="43" s="1"/>
  <c r="K17" i="44"/>
  <c r="W43" i="36"/>
  <c r="D17" i="25"/>
  <c r="I14" i="25"/>
  <c r="D17" i="26"/>
  <c r="I14" i="26"/>
  <c r="E17" i="26" s="1"/>
  <c r="F17" i="26" s="1"/>
  <c r="D17" i="33"/>
  <c r="I14" i="33"/>
  <c r="E17" i="33" s="1"/>
  <c r="F17" i="33" s="1"/>
  <c r="C17" i="35"/>
  <c r="C18" i="35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C34" i="35" s="1"/>
  <c r="C35" i="35" s="1"/>
  <c r="C36" i="35" s="1"/>
  <c r="C37" i="35" s="1"/>
  <c r="C38" i="35" s="1"/>
  <c r="C39" i="35" s="1"/>
  <c r="C40" i="35" s="1"/>
  <c r="C41" i="35" s="1"/>
  <c r="C42" i="35" s="1"/>
  <c r="C43" i="35" s="1"/>
  <c r="C44" i="35" s="1"/>
  <c r="C45" i="35" s="1"/>
  <c r="C46" i="35" s="1"/>
  <c r="C47" i="35" s="1"/>
  <c r="C48" i="35" s="1"/>
  <c r="C49" i="35" s="1"/>
  <c r="C50" i="35" s="1"/>
  <c r="C51" i="35" s="1"/>
  <c r="C52" i="35" s="1"/>
  <c r="C53" i="35" s="1"/>
  <c r="C54" i="35" s="1"/>
  <c r="C55" i="35" s="1"/>
  <c r="C56" i="35" s="1"/>
  <c r="C57" i="35" s="1"/>
  <c r="C58" i="35" s="1"/>
  <c r="C59" i="35" s="1"/>
  <c r="C60" i="35" s="1"/>
  <c r="C61" i="35" s="1"/>
  <c r="C62" i="35" s="1"/>
  <c r="C63" i="35" s="1"/>
  <c r="C64" i="35" s="1"/>
  <c r="C65" i="35" s="1"/>
  <c r="C66" i="35" s="1"/>
  <c r="C67" i="35" s="1"/>
  <c r="C68" i="35" s="1"/>
  <c r="C69" i="35" s="1"/>
  <c r="C70" i="35" s="1"/>
  <c r="C71" i="35" s="1"/>
  <c r="C72" i="35" s="1"/>
  <c r="I14" i="35"/>
  <c r="K19" i="35"/>
  <c r="L19" i="35" s="1"/>
  <c r="P1" i="45"/>
  <c r="P83" i="45" s="1"/>
  <c r="O3" i="45"/>
  <c r="D8" i="45"/>
  <c r="K11" i="45"/>
  <c r="L17" i="45"/>
  <c r="B18" i="45"/>
  <c r="L18" i="45"/>
  <c r="N18" i="45"/>
  <c r="N25" i="45"/>
  <c r="O25" i="45" s="1"/>
  <c r="N26" i="45"/>
  <c r="L27" i="45"/>
  <c r="N27" i="45"/>
  <c r="L28" i="45"/>
  <c r="N28" i="45"/>
  <c r="L29" i="45"/>
  <c r="N29" i="45"/>
  <c r="L30" i="45"/>
  <c r="N30" i="45"/>
  <c r="L31" i="45"/>
  <c r="N31" i="45"/>
  <c r="O31" i="45" s="1"/>
  <c r="L32" i="45"/>
  <c r="N32" i="45"/>
  <c r="L33" i="45"/>
  <c r="N33" i="45"/>
  <c r="L34" i="45"/>
  <c r="N34" i="45"/>
  <c r="L35" i="45"/>
  <c r="N35" i="45"/>
  <c r="O35" i="45" s="1"/>
  <c r="L36" i="45"/>
  <c r="N36" i="45"/>
  <c r="L37" i="45"/>
  <c r="N37" i="45"/>
  <c r="L38" i="45"/>
  <c r="N38" i="45"/>
  <c r="L39" i="45"/>
  <c r="N39" i="45"/>
  <c r="L40" i="45"/>
  <c r="N40" i="45"/>
  <c r="L41" i="45"/>
  <c r="N41" i="45"/>
  <c r="L42" i="45"/>
  <c r="N42" i="45"/>
  <c r="L43" i="45"/>
  <c r="N43" i="45"/>
  <c r="L44" i="45"/>
  <c r="N44" i="45"/>
  <c r="L45" i="45"/>
  <c r="N45" i="45"/>
  <c r="O45" i="45" s="1"/>
  <c r="L46" i="45"/>
  <c r="N46" i="45"/>
  <c r="L47" i="45"/>
  <c r="N47" i="45"/>
  <c r="O47" i="45" s="1"/>
  <c r="L48" i="45"/>
  <c r="N48" i="45"/>
  <c r="L49" i="45"/>
  <c r="N49" i="45"/>
  <c r="L50" i="45"/>
  <c r="N50" i="45"/>
  <c r="L51" i="45"/>
  <c r="N51" i="45"/>
  <c r="L52" i="45"/>
  <c r="N52" i="45"/>
  <c r="L53" i="45"/>
  <c r="N53" i="45"/>
  <c r="L54" i="45"/>
  <c r="N54" i="45"/>
  <c r="L55" i="45"/>
  <c r="N55" i="45"/>
  <c r="L56" i="45"/>
  <c r="N56" i="45"/>
  <c r="L57" i="45"/>
  <c r="N57" i="45"/>
  <c r="L58" i="45"/>
  <c r="N58" i="45"/>
  <c r="L59" i="45"/>
  <c r="N59" i="45"/>
  <c r="O59" i="45" s="1"/>
  <c r="L60" i="45"/>
  <c r="N60" i="45"/>
  <c r="L61" i="45"/>
  <c r="N61" i="45"/>
  <c r="L62" i="45"/>
  <c r="N62" i="45"/>
  <c r="L63" i="45"/>
  <c r="N63" i="45"/>
  <c r="L64" i="45"/>
  <c r="N64" i="45"/>
  <c r="L65" i="45"/>
  <c r="N65" i="45"/>
  <c r="L66" i="45"/>
  <c r="N66" i="45"/>
  <c r="L67" i="45"/>
  <c r="N67" i="45"/>
  <c r="L68" i="45"/>
  <c r="N68" i="45"/>
  <c r="L69" i="45"/>
  <c r="N69" i="45"/>
  <c r="L70" i="45"/>
  <c r="N70" i="45"/>
  <c r="L71" i="45"/>
  <c r="N71" i="45"/>
  <c r="L72" i="45"/>
  <c r="N72" i="45"/>
  <c r="D89" i="45"/>
  <c r="D90" i="45"/>
  <c r="D91" i="45"/>
  <c r="J93" i="45"/>
  <c r="L93" i="45"/>
  <c r="D96" i="45"/>
  <c r="M99" i="45"/>
  <c r="O99" i="45"/>
  <c r="M100" i="45"/>
  <c r="O100" i="45"/>
  <c r="O106" i="45"/>
  <c r="O107" i="45"/>
  <c r="M108" i="45"/>
  <c r="O108" i="45"/>
  <c r="M109" i="45"/>
  <c r="O109" i="45"/>
  <c r="M110" i="45"/>
  <c r="O110" i="45"/>
  <c r="M111" i="45"/>
  <c r="O111" i="45"/>
  <c r="M112" i="45"/>
  <c r="O112" i="45"/>
  <c r="M113" i="45"/>
  <c r="O113" i="45"/>
  <c r="M114" i="45"/>
  <c r="O114" i="45"/>
  <c r="M115" i="45"/>
  <c r="O115" i="45"/>
  <c r="M116" i="45"/>
  <c r="O116" i="45"/>
  <c r="M117" i="45"/>
  <c r="O117" i="45"/>
  <c r="M118" i="45"/>
  <c r="O118" i="45"/>
  <c r="M119" i="45"/>
  <c r="O119" i="45"/>
  <c r="M120" i="45"/>
  <c r="O120" i="45"/>
  <c r="M121" i="45"/>
  <c r="O121" i="45"/>
  <c r="M122" i="45"/>
  <c r="O122" i="45"/>
  <c r="M123" i="45"/>
  <c r="O123" i="45"/>
  <c r="M124" i="45"/>
  <c r="O124" i="45"/>
  <c r="M125" i="45"/>
  <c r="O125" i="45"/>
  <c r="M126" i="45"/>
  <c r="O126" i="45"/>
  <c r="M127" i="45"/>
  <c r="O127" i="45"/>
  <c r="M128" i="45"/>
  <c r="O128" i="45"/>
  <c r="M129" i="45"/>
  <c r="O129" i="45"/>
  <c r="M130" i="45"/>
  <c r="O130" i="45"/>
  <c r="M131" i="45"/>
  <c r="O131" i="45"/>
  <c r="M132" i="45"/>
  <c r="O132" i="45"/>
  <c r="M133" i="45"/>
  <c r="O133" i="45"/>
  <c r="M134" i="45"/>
  <c r="O134" i="45"/>
  <c r="M135" i="45"/>
  <c r="O135" i="45"/>
  <c r="M136" i="45"/>
  <c r="O136" i="45"/>
  <c r="M137" i="45"/>
  <c r="O137" i="45"/>
  <c r="M138" i="45"/>
  <c r="O138" i="45"/>
  <c r="M139" i="45"/>
  <c r="O139" i="45"/>
  <c r="M140" i="45"/>
  <c r="O140" i="45"/>
  <c r="M141" i="45"/>
  <c r="O141" i="45"/>
  <c r="M142" i="45"/>
  <c r="O142" i="45"/>
  <c r="M143" i="45"/>
  <c r="O143" i="45"/>
  <c r="M144" i="45"/>
  <c r="O144" i="45"/>
  <c r="M145" i="45"/>
  <c r="O145" i="45"/>
  <c r="M146" i="45"/>
  <c r="O146" i="45"/>
  <c r="M147" i="45"/>
  <c r="O147" i="45"/>
  <c r="M148" i="45"/>
  <c r="O148" i="45"/>
  <c r="M149" i="45"/>
  <c r="O149" i="45"/>
  <c r="M150" i="45"/>
  <c r="O150" i="45"/>
  <c r="M151" i="45"/>
  <c r="O151" i="45"/>
  <c r="M152" i="45"/>
  <c r="O152" i="45"/>
  <c r="M153" i="45"/>
  <c r="O153" i="45"/>
  <c r="M154" i="45"/>
  <c r="O154" i="45"/>
  <c r="M17" i="44"/>
  <c r="N17" i="44" s="1"/>
  <c r="O17" i="44" s="1"/>
  <c r="M17" i="43"/>
  <c r="M17" i="42"/>
  <c r="M17" i="41"/>
  <c r="M17" i="39"/>
  <c r="N17" i="39" s="1"/>
  <c r="N100" i="35"/>
  <c r="L100" i="35"/>
  <c r="M100" i="35" s="1"/>
  <c r="M19" i="35"/>
  <c r="N19" i="35" s="1"/>
  <c r="N100" i="34"/>
  <c r="L100" i="34"/>
  <c r="M19" i="34"/>
  <c r="N100" i="32"/>
  <c r="O100" i="32" s="1"/>
  <c r="L100" i="32"/>
  <c r="M19" i="32"/>
  <c r="N100" i="31"/>
  <c r="O100" i="31"/>
  <c r="L100" i="31"/>
  <c r="M19" i="31"/>
  <c r="N101" i="30"/>
  <c r="L101" i="30"/>
  <c r="M101" i="30" s="1"/>
  <c r="M20" i="30"/>
  <c r="N101" i="29"/>
  <c r="L101" i="29"/>
  <c r="M101" i="29" s="1"/>
  <c r="M20" i="29"/>
  <c r="N102" i="28"/>
  <c r="L102" i="28"/>
  <c r="M21" i="28"/>
  <c r="N21" i="28" s="1"/>
  <c r="N101" i="27"/>
  <c r="O101" i="27"/>
  <c r="L101" i="27"/>
  <c r="M20" i="27"/>
  <c r="N100" i="24"/>
  <c r="L100" i="24"/>
  <c r="M19" i="24"/>
  <c r="N100" i="23"/>
  <c r="L100" i="23"/>
  <c r="M19" i="23"/>
  <c r="N99" i="22"/>
  <c r="L99" i="22"/>
  <c r="M18" i="22"/>
  <c r="N99" i="21"/>
  <c r="L99" i="21"/>
  <c r="M18" i="21"/>
  <c r="N99" i="20"/>
  <c r="L99" i="20"/>
  <c r="M18" i="20"/>
  <c r="N99" i="19"/>
  <c r="L99" i="19"/>
  <c r="M18" i="19"/>
  <c r="N99" i="18"/>
  <c r="L99" i="18"/>
  <c r="M18" i="18"/>
  <c r="N99" i="17"/>
  <c r="L99" i="17"/>
  <c r="M18" i="17"/>
  <c r="N99" i="3"/>
  <c r="L99" i="3"/>
  <c r="M18" i="3"/>
  <c r="I17" i="3"/>
  <c r="I14" i="13"/>
  <c r="W100" i="29"/>
  <c r="W99" i="29"/>
  <c r="F99" i="27"/>
  <c r="L17" i="25"/>
  <c r="D18" i="28"/>
  <c r="B19" i="27"/>
  <c r="B101" i="17"/>
  <c r="B100" i="17"/>
  <c r="B101" i="18"/>
  <c r="B100" i="18"/>
  <c r="B101" i="19"/>
  <c r="B100" i="19"/>
  <c r="B101" i="20"/>
  <c r="B100" i="20"/>
  <c r="B101" i="21"/>
  <c r="B100" i="21"/>
  <c r="B101" i="22"/>
  <c r="B100" i="22"/>
  <c r="B102" i="23"/>
  <c r="B101" i="23"/>
  <c r="B100" i="23"/>
  <c r="B102" i="24"/>
  <c r="B101" i="24"/>
  <c r="B100" i="24"/>
  <c r="B103" i="27"/>
  <c r="B102" i="27"/>
  <c r="B100" i="27"/>
  <c r="B104" i="28"/>
  <c r="B103" i="28"/>
  <c r="B102" i="28"/>
  <c r="B101" i="28"/>
  <c r="B100" i="28"/>
  <c r="B103" i="29"/>
  <c r="B102" i="29"/>
  <c r="B101" i="29"/>
  <c r="B100" i="29"/>
  <c r="B102" i="30"/>
  <c r="B101" i="30"/>
  <c r="B100" i="30"/>
  <c r="B101" i="31"/>
  <c r="B100" i="31"/>
  <c r="B102" i="32"/>
  <c r="B101" i="32"/>
  <c r="B100" i="32"/>
  <c r="B102" i="34"/>
  <c r="B101" i="34"/>
  <c r="B100" i="34"/>
  <c r="B101" i="35"/>
  <c r="B100" i="35"/>
  <c r="B100" i="39"/>
  <c r="B101" i="3"/>
  <c r="B100" i="3"/>
  <c r="B20" i="17"/>
  <c r="B19" i="17"/>
  <c r="B18" i="17"/>
  <c r="B20" i="18"/>
  <c r="B19" i="18"/>
  <c r="B18" i="18"/>
  <c r="B21" i="19"/>
  <c r="B20" i="19"/>
  <c r="B19" i="19"/>
  <c r="B18" i="19"/>
  <c r="B20" i="20"/>
  <c r="B19" i="20"/>
  <c r="B18" i="20"/>
  <c r="B20" i="21"/>
  <c r="B19" i="21"/>
  <c r="B18" i="21"/>
  <c r="B20" i="22"/>
  <c r="B19" i="22"/>
  <c r="B18" i="22"/>
  <c r="B22" i="23"/>
  <c r="B21" i="23"/>
  <c r="B20" i="23"/>
  <c r="B19" i="23"/>
  <c r="B18" i="23"/>
  <c r="B21" i="24"/>
  <c r="B20" i="24"/>
  <c r="B19" i="24"/>
  <c r="B18" i="24"/>
  <c r="B22" i="27"/>
  <c r="B21" i="27"/>
  <c r="B18" i="27"/>
  <c r="B23" i="28"/>
  <c r="B22" i="28"/>
  <c r="B21" i="28"/>
  <c r="B20" i="28"/>
  <c r="B19" i="28"/>
  <c r="B18" i="28"/>
  <c r="B22" i="29"/>
  <c r="B21" i="29"/>
  <c r="B20" i="29"/>
  <c r="B19" i="29"/>
  <c r="B18" i="29"/>
  <c r="B23" i="30"/>
  <c r="B22" i="30"/>
  <c r="B21" i="30"/>
  <c r="B20" i="30"/>
  <c r="B19" i="30"/>
  <c r="B18" i="30"/>
  <c r="B21" i="31"/>
  <c r="B20" i="31"/>
  <c r="B19" i="31"/>
  <c r="B18" i="31"/>
  <c r="B21" i="32"/>
  <c r="B20" i="32"/>
  <c r="B19" i="32"/>
  <c r="B18" i="32"/>
  <c r="B21" i="34"/>
  <c r="B20" i="34"/>
  <c r="B19" i="34"/>
  <c r="B18" i="34"/>
  <c r="B21" i="35"/>
  <c r="B20" i="35"/>
  <c r="B19" i="35"/>
  <c r="B18" i="35"/>
  <c r="B19" i="39"/>
  <c r="B18" i="39"/>
  <c r="B19" i="41"/>
  <c r="B18" i="41"/>
  <c r="B19" i="42"/>
  <c r="B18" i="42"/>
  <c r="B19" i="43"/>
  <c r="B18" i="43"/>
  <c r="B19" i="44"/>
  <c r="B18" i="44"/>
  <c r="B20" i="3"/>
  <c r="B19" i="3"/>
  <c r="B18" i="3"/>
  <c r="C46" i="33"/>
  <c r="C47" i="33" s="1"/>
  <c r="C48" i="33" s="1"/>
  <c r="C49" i="33" s="1"/>
  <c r="C50" i="33"/>
  <c r="C51" i="33" s="1"/>
  <c r="C52" i="33" s="1"/>
  <c r="C53" i="33" s="1"/>
  <c r="C54" i="33" s="1"/>
  <c r="C55" i="33" s="1"/>
  <c r="C56" i="33" s="1"/>
  <c r="C57" i="33" s="1"/>
  <c r="C58" i="33" s="1"/>
  <c r="C59" i="33" s="1"/>
  <c r="C60" i="33" s="1"/>
  <c r="C61" i="33" s="1"/>
  <c r="C62" i="33" s="1"/>
  <c r="C63" i="33" s="1"/>
  <c r="C64" i="33" s="1"/>
  <c r="C65" i="33" s="1"/>
  <c r="C66" i="33" s="1"/>
  <c r="C67" i="33" s="1"/>
  <c r="C68" i="33" s="1"/>
  <c r="C69" i="33" s="1"/>
  <c r="C70" i="33" s="1"/>
  <c r="C71" i="33" s="1"/>
  <c r="C72" i="33" s="1"/>
  <c r="D8" i="17"/>
  <c r="D90" i="17"/>
  <c r="D8" i="18"/>
  <c r="D8" i="19"/>
  <c r="D90" i="19" s="1"/>
  <c r="D8" i="20"/>
  <c r="D8" i="21"/>
  <c r="D90" i="21" s="1"/>
  <c r="D8" i="22"/>
  <c r="D90" i="22" s="1"/>
  <c r="D8" i="23"/>
  <c r="D8" i="24"/>
  <c r="D90" i="24" s="1"/>
  <c r="D8" i="25"/>
  <c r="D90" i="25" s="1"/>
  <c r="D8" i="26"/>
  <c r="D90" i="26" s="1"/>
  <c r="D8" i="27"/>
  <c r="D90" i="27"/>
  <c r="D8" i="28"/>
  <c r="D90" i="28"/>
  <c r="D8" i="29"/>
  <c r="D90" i="29"/>
  <c r="D8" i="30"/>
  <c r="D8" i="31"/>
  <c r="D90" i="31" s="1"/>
  <c r="D8" i="32"/>
  <c r="D90" i="32"/>
  <c r="D8" i="33"/>
  <c r="D90" i="33"/>
  <c r="D8" i="34"/>
  <c r="D8" i="39"/>
  <c r="D90" i="39" s="1"/>
  <c r="D8" i="41"/>
  <c r="D90" i="41" s="1"/>
  <c r="D8" i="42"/>
  <c r="D90" i="42" s="1"/>
  <c r="D8" i="43"/>
  <c r="D90" i="43" s="1"/>
  <c r="D8" i="44"/>
  <c r="D8" i="13"/>
  <c r="D90" i="13" s="1"/>
  <c r="D8" i="3"/>
  <c r="D90" i="3" s="1"/>
  <c r="D90" i="18"/>
  <c r="D90" i="20"/>
  <c r="D90" i="23"/>
  <c r="D90" i="30"/>
  <c r="D90" i="34"/>
  <c r="D90" i="35"/>
  <c r="D90" i="44"/>
  <c r="C18" i="13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W42" i="36"/>
  <c r="W41" i="36"/>
  <c r="W40" i="36"/>
  <c r="W39" i="36"/>
  <c r="W38" i="36"/>
  <c r="P1" i="44"/>
  <c r="P83" i="44" s="1"/>
  <c r="O3" i="44"/>
  <c r="K11" i="44"/>
  <c r="L17" i="44"/>
  <c r="L18" i="44"/>
  <c r="L19" i="44"/>
  <c r="N19" i="44"/>
  <c r="O19" i="44" s="1"/>
  <c r="N26" i="44"/>
  <c r="O26" i="44" s="1"/>
  <c r="N27" i="44"/>
  <c r="L28" i="44"/>
  <c r="N28" i="44"/>
  <c r="O28" i="44" s="1"/>
  <c r="L29" i="44"/>
  <c r="N29" i="44"/>
  <c r="L30" i="44"/>
  <c r="N30" i="44"/>
  <c r="O30" i="44" s="1"/>
  <c r="L31" i="44"/>
  <c r="N31" i="44"/>
  <c r="L32" i="44"/>
  <c r="N32" i="44"/>
  <c r="O32" i="44" s="1"/>
  <c r="L33" i="44"/>
  <c r="N33" i="44"/>
  <c r="L34" i="44"/>
  <c r="N34" i="44"/>
  <c r="L35" i="44"/>
  <c r="N35" i="44"/>
  <c r="L36" i="44"/>
  <c r="N36" i="44"/>
  <c r="O36" i="44" s="1"/>
  <c r="L37" i="44"/>
  <c r="N37" i="44"/>
  <c r="L38" i="44"/>
  <c r="N38" i="44"/>
  <c r="L39" i="44"/>
  <c r="N39" i="44"/>
  <c r="L40" i="44"/>
  <c r="N40" i="44"/>
  <c r="O40" i="44" s="1"/>
  <c r="L41" i="44"/>
  <c r="N41" i="44"/>
  <c r="L42" i="44"/>
  <c r="N42" i="44"/>
  <c r="L43" i="44"/>
  <c r="N43" i="44"/>
  <c r="L44" i="44"/>
  <c r="N44" i="44"/>
  <c r="O44" i="44" s="1"/>
  <c r="L45" i="44"/>
  <c r="N45" i="44"/>
  <c r="L46" i="44"/>
  <c r="N46" i="44"/>
  <c r="L47" i="44"/>
  <c r="N47" i="44"/>
  <c r="L48" i="44"/>
  <c r="N48" i="44"/>
  <c r="O48" i="44" s="1"/>
  <c r="L49" i="44"/>
  <c r="N49" i="44"/>
  <c r="L50" i="44"/>
  <c r="N50" i="44"/>
  <c r="O50" i="44" s="1"/>
  <c r="L51" i="44"/>
  <c r="N51" i="44"/>
  <c r="L52" i="44"/>
  <c r="N52" i="44"/>
  <c r="L53" i="44"/>
  <c r="N53" i="44"/>
  <c r="L54" i="44"/>
  <c r="N54" i="44"/>
  <c r="O54" i="44" s="1"/>
  <c r="L55" i="44"/>
  <c r="N55" i="44"/>
  <c r="O55" i="44" s="1"/>
  <c r="L56" i="44"/>
  <c r="N56" i="44"/>
  <c r="O56" i="44" s="1"/>
  <c r="L57" i="44"/>
  <c r="N57" i="44"/>
  <c r="L58" i="44"/>
  <c r="N58" i="44"/>
  <c r="O58" i="44" s="1"/>
  <c r="L59" i="44"/>
  <c r="N59" i="44"/>
  <c r="L60" i="44"/>
  <c r="N60" i="44"/>
  <c r="L61" i="44"/>
  <c r="N61" i="44"/>
  <c r="L62" i="44"/>
  <c r="N62" i="44"/>
  <c r="O62" i="44" s="1"/>
  <c r="L63" i="44"/>
  <c r="N63" i="44"/>
  <c r="L64" i="44"/>
  <c r="N64" i="44"/>
  <c r="L65" i="44"/>
  <c r="N65" i="44"/>
  <c r="L66" i="44"/>
  <c r="N66" i="44"/>
  <c r="O66" i="44" s="1"/>
  <c r="L67" i="44"/>
  <c r="N67" i="44"/>
  <c r="L68" i="44"/>
  <c r="N68" i="44"/>
  <c r="O68" i="44" s="1"/>
  <c r="L69" i="44"/>
  <c r="N69" i="44"/>
  <c r="L70" i="44"/>
  <c r="N70" i="44"/>
  <c r="L71" i="44"/>
  <c r="N71" i="44"/>
  <c r="L72" i="44"/>
  <c r="N72" i="44"/>
  <c r="D89" i="44"/>
  <c r="D91" i="44"/>
  <c r="J93" i="44"/>
  <c r="L93" i="44"/>
  <c r="D96" i="44"/>
  <c r="J99" i="44"/>
  <c r="M99" i="44"/>
  <c r="O100" i="44"/>
  <c r="M101" i="44"/>
  <c r="O101" i="44"/>
  <c r="O107" i="44"/>
  <c r="O108" i="44"/>
  <c r="M109" i="44"/>
  <c r="O109" i="44"/>
  <c r="M110" i="44"/>
  <c r="O110" i="44"/>
  <c r="M111" i="44"/>
  <c r="O111" i="44"/>
  <c r="M112" i="44"/>
  <c r="O112" i="44"/>
  <c r="M113" i="44"/>
  <c r="O113" i="44"/>
  <c r="M114" i="44"/>
  <c r="O114" i="44"/>
  <c r="M115" i="44"/>
  <c r="O115" i="44"/>
  <c r="M116" i="44"/>
  <c r="O116" i="44"/>
  <c r="M117" i="44"/>
  <c r="O117" i="44"/>
  <c r="M118" i="44"/>
  <c r="O118" i="44"/>
  <c r="M119" i="44"/>
  <c r="O119" i="44"/>
  <c r="M120" i="44"/>
  <c r="O120" i="44"/>
  <c r="M121" i="44"/>
  <c r="O121" i="44"/>
  <c r="M122" i="44"/>
  <c r="O122" i="44"/>
  <c r="M123" i="44"/>
  <c r="O123" i="44"/>
  <c r="M124" i="44"/>
  <c r="O124" i="44"/>
  <c r="M125" i="44"/>
  <c r="O125" i="44"/>
  <c r="M126" i="44"/>
  <c r="O126" i="44"/>
  <c r="M127" i="44"/>
  <c r="O127" i="44"/>
  <c r="M128" i="44"/>
  <c r="O128" i="44"/>
  <c r="M129" i="44"/>
  <c r="O129" i="44"/>
  <c r="M130" i="44"/>
  <c r="O130" i="44"/>
  <c r="M131" i="44"/>
  <c r="O131" i="44"/>
  <c r="M132" i="44"/>
  <c r="O132" i="44"/>
  <c r="M133" i="44"/>
  <c r="O133" i="44"/>
  <c r="M134" i="44"/>
  <c r="O134" i="44"/>
  <c r="M135" i="44"/>
  <c r="O135" i="44"/>
  <c r="M136" i="44"/>
  <c r="O136" i="44"/>
  <c r="M137" i="44"/>
  <c r="O137" i="44"/>
  <c r="M138" i="44"/>
  <c r="O138" i="44"/>
  <c r="M139" i="44"/>
  <c r="O139" i="44"/>
  <c r="M140" i="44"/>
  <c r="O140" i="44"/>
  <c r="M141" i="44"/>
  <c r="O141" i="44"/>
  <c r="M142" i="44"/>
  <c r="O142" i="44"/>
  <c r="M143" i="44"/>
  <c r="O143" i="44"/>
  <c r="M144" i="44"/>
  <c r="O144" i="44"/>
  <c r="M145" i="44"/>
  <c r="O145" i="44"/>
  <c r="M146" i="44"/>
  <c r="O146" i="44"/>
  <c r="M147" i="44"/>
  <c r="O147" i="44"/>
  <c r="M148" i="44"/>
  <c r="O148" i="44"/>
  <c r="M149" i="44"/>
  <c r="O149" i="44"/>
  <c r="M150" i="44"/>
  <c r="O150" i="44"/>
  <c r="M151" i="44"/>
  <c r="O151" i="44"/>
  <c r="M152" i="44"/>
  <c r="O152" i="44"/>
  <c r="M153" i="44"/>
  <c r="O153" i="44"/>
  <c r="M154" i="44"/>
  <c r="O154" i="44"/>
  <c r="P1" i="43"/>
  <c r="P83" i="43" s="1"/>
  <c r="O3" i="43"/>
  <c r="K11" i="43"/>
  <c r="N17" i="43"/>
  <c r="O17" i="43"/>
  <c r="L18" i="43"/>
  <c r="N18" i="43"/>
  <c r="O18" i="43" s="1"/>
  <c r="L19" i="43"/>
  <c r="N19" i="43"/>
  <c r="N26" i="43"/>
  <c r="N27" i="43"/>
  <c r="L28" i="43"/>
  <c r="N28" i="43"/>
  <c r="L29" i="43"/>
  <c r="N29" i="43"/>
  <c r="L30" i="43"/>
  <c r="N30" i="43"/>
  <c r="L31" i="43"/>
  <c r="N31" i="43"/>
  <c r="L32" i="43"/>
  <c r="N32" i="43"/>
  <c r="L33" i="43"/>
  <c r="N33" i="43"/>
  <c r="L34" i="43"/>
  <c r="N34" i="43"/>
  <c r="L35" i="43"/>
  <c r="N35" i="43"/>
  <c r="L36" i="43"/>
  <c r="N36" i="43"/>
  <c r="L37" i="43"/>
  <c r="N37" i="43"/>
  <c r="L38" i="43"/>
  <c r="N38" i="43"/>
  <c r="L39" i="43"/>
  <c r="N39" i="43"/>
  <c r="L40" i="43"/>
  <c r="N40" i="43"/>
  <c r="L41" i="43"/>
  <c r="N41" i="43"/>
  <c r="L42" i="43"/>
  <c r="N42" i="43"/>
  <c r="L43" i="43"/>
  <c r="N43" i="43"/>
  <c r="L44" i="43"/>
  <c r="N44" i="43"/>
  <c r="L45" i="43"/>
  <c r="N45" i="43"/>
  <c r="L46" i="43"/>
  <c r="N46" i="43"/>
  <c r="L47" i="43"/>
  <c r="N47" i="43"/>
  <c r="L48" i="43"/>
  <c r="N48" i="43"/>
  <c r="L49" i="43"/>
  <c r="N49" i="43"/>
  <c r="L50" i="43"/>
  <c r="N50" i="43"/>
  <c r="L51" i="43"/>
  <c r="N51" i="43"/>
  <c r="L52" i="43"/>
  <c r="N52" i="43"/>
  <c r="L53" i="43"/>
  <c r="N53" i="43"/>
  <c r="L54" i="43"/>
  <c r="N54" i="43"/>
  <c r="L55" i="43"/>
  <c r="N55" i="43"/>
  <c r="L56" i="43"/>
  <c r="N56" i="43"/>
  <c r="L57" i="43"/>
  <c r="N57" i="43"/>
  <c r="L58" i="43"/>
  <c r="N58" i="43"/>
  <c r="L59" i="43"/>
  <c r="N59" i="43"/>
  <c r="L60" i="43"/>
  <c r="N60" i="43"/>
  <c r="L61" i="43"/>
  <c r="N61" i="43"/>
  <c r="L62" i="43"/>
  <c r="N62" i="43"/>
  <c r="L63" i="43"/>
  <c r="N63" i="43"/>
  <c r="L64" i="43"/>
  <c r="N64" i="43"/>
  <c r="L65" i="43"/>
  <c r="N65" i="43"/>
  <c r="L66" i="43"/>
  <c r="N66" i="43"/>
  <c r="L67" i="43"/>
  <c r="N67" i="43"/>
  <c r="L68" i="43"/>
  <c r="N68" i="43"/>
  <c r="L69" i="43"/>
  <c r="N69" i="43"/>
  <c r="L70" i="43"/>
  <c r="N70" i="43"/>
  <c r="L71" i="43"/>
  <c r="N71" i="43"/>
  <c r="L72" i="43"/>
  <c r="N72" i="43"/>
  <c r="D89" i="43"/>
  <c r="D91" i="43"/>
  <c r="J93" i="43"/>
  <c r="L93" i="43"/>
  <c r="D96" i="43"/>
  <c r="J99" i="43"/>
  <c r="M99" i="43"/>
  <c r="O99" i="43"/>
  <c r="P99" i="43"/>
  <c r="O100" i="43"/>
  <c r="M101" i="43"/>
  <c r="O101" i="43"/>
  <c r="O107" i="43"/>
  <c r="O108" i="43"/>
  <c r="M109" i="43"/>
  <c r="O109" i="43"/>
  <c r="M110" i="43"/>
  <c r="O110" i="43"/>
  <c r="M111" i="43"/>
  <c r="O111" i="43"/>
  <c r="M112" i="43"/>
  <c r="O112" i="43"/>
  <c r="M113" i="43"/>
  <c r="O113" i="43"/>
  <c r="M114" i="43"/>
  <c r="O114" i="43"/>
  <c r="M115" i="43"/>
  <c r="O115" i="43"/>
  <c r="M116" i="43"/>
  <c r="O116" i="43"/>
  <c r="M117" i="43"/>
  <c r="O117" i="43"/>
  <c r="M118" i="43"/>
  <c r="O118" i="43"/>
  <c r="M119" i="43"/>
  <c r="O119" i="43"/>
  <c r="M120" i="43"/>
  <c r="O120" i="43"/>
  <c r="M121" i="43"/>
  <c r="O121" i="43"/>
  <c r="M122" i="43"/>
  <c r="O122" i="43"/>
  <c r="M123" i="43"/>
  <c r="O123" i="43"/>
  <c r="M124" i="43"/>
  <c r="O124" i="43"/>
  <c r="M125" i="43"/>
  <c r="O125" i="43"/>
  <c r="M126" i="43"/>
  <c r="O126" i="43"/>
  <c r="M127" i="43"/>
  <c r="O127" i="43"/>
  <c r="M128" i="43"/>
  <c r="O128" i="43"/>
  <c r="M129" i="43"/>
  <c r="O129" i="43"/>
  <c r="M130" i="43"/>
  <c r="O130" i="43"/>
  <c r="M131" i="43"/>
  <c r="O131" i="43"/>
  <c r="M132" i="43"/>
  <c r="O132" i="43"/>
  <c r="M133" i="43"/>
  <c r="O133" i="43"/>
  <c r="M134" i="43"/>
  <c r="O134" i="43"/>
  <c r="M135" i="43"/>
  <c r="O135" i="43"/>
  <c r="M136" i="43"/>
  <c r="O136" i="43"/>
  <c r="M137" i="43"/>
  <c r="O137" i="43"/>
  <c r="M138" i="43"/>
  <c r="O138" i="43"/>
  <c r="M139" i="43"/>
  <c r="O139" i="43"/>
  <c r="M140" i="43"/>
  <c r="O140" i="43"/>
  <c r="M141" i="43"/>
  <c r="O141" i="43"/>
  <c r="M142" i="43"/>
  <c r="O142" i="43"/>
  <c r="M143" i="43"/>
  <c r="O143" i="43"/>
  <c r="M144" i="43"/>
  <c r="O144" i="43"/>
  <c r="M145" i="43"/>
  <c r="O145" i="43"/>
  <c r="M146" i="43"/>
  <c r="O146" i="43"/>
  <c r="M147" i="43"/>
  <c r="O147" i="43"/>
  <c r="M148" i="43"/>
  <c r="O148" i="43"/>
  <c r="M149" i="43"/>
  <c r="O149" i="43"/>
  <c r="M150" i="43"/>
  <c r="O150" i="43"/>
  <c r="M151" i="43"/>
  <c r="O151" i="43"/>
  <c r="M152" i="43"/>
  <c r="O152" i="43"/>
  <c r="M153" i="43"/>
  <c r="O153" i="43"/>
  <c r="M154" i="43"/>
  <c r="O154" i="43"/>
  <c r="P1" i="42"/>
  <c r="P83" i="42" s="1"/>
  <c r="O3" i="42"/>
  <c r="K11" i="42"/>
  <c r="L17" i="42"/>
  <c r="O17" i="42"/>
  <c r="N17" i="42"/>
  <c r="L18" i="42"/>
  <c r="O18" i="42" s="1"/>
  <c r="N18" i="42"/>
  <c r="L19" i="42"/>
  <c r="N19" i="42"/>
  <c r="N26" i="42"/>
  <c r="O26" i="42" s="1"/>
  <c r="N27" i="42"/>
  <c r="L28" i="42"/>
  <c r="N28" i="42"/>
  <c r="L29" i="42"/>
  <c r="N29" i="42"/>
  <c r="L30" i="42"/>
  <c r="N30" i="42"/>
  <c r="L31" i="42"/>
  <c r="N31" i="42"/>
  <c r="L32" i="42"/>
  <c r="N32" i="42"/>
  <c r="L33" i="42"/>
  <c r="N33" i="42"/>
  <c r="L34" i="42"/>
  <c r="N34" i="42"/>
  <c r="L35" i="42"/>
  <c r="N35" i="42"/>
  <c r="L36" i="42"/>
  <c r="N36" i="42"/>
  <c r="L37" i="42"/>
  <c r="N37" i="42"/>
  <c r="L38" i="42"/>
  <c r="N38" i="42"/>
  <c r="L39" i="42"/>
  <c r="N39" i="42"/>
  <c r="L40" i="42"/>
  <c r="N40" i="42"/>
  <c r="L41" i="42"/>
  <c r="N41" i="42"/>
  <c r="L42" i="42"/>
  <c r="N42" i="42"/>
  <c r="L43" i="42"/>
  <c r="N43" i="42"/>
  <c r="L44" i="42"/>
  <c r="N44" i="42"/>
  <c r="C45" i="42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C61" i="42" s="1"/>
  <c r="C62" i="42" s="1"/>
  <c r="C63" i="42" s="1"/>
  <c r="C64" i="42" s="1"/>
  <c r="C65" i="42" s="1"/>
  <c r="C66" i="42" s="1"/>
  <c r="C67" i="42" s="1"/>
  <c r="C68" i="42" s="1"/>
  <c r="C69" i="42" s="1"/>
  <c r="C70" i="42" s="1"/>
  <c r="C71" i="42" s="1"/>
  <c r="C72" i="42" s="1"/>
  <c r="L45" i="42"/>
  <c r="N45" i="42"/>
  <c r="L46" i="42"/>
  <c r="N46" i="42"/>
  <c r="L47" i="42"/>
  <c r="N47" i="42"/>
  <c r="L48" i="42"/>
  <c r="N48" i="42"/>
  <c r="L49" i="42"/>
  <c r="N49" i="42"/>
  <c r="L50" i="42"/>
  <c r="N50" i="42"/>
  <c r="L51" i="42"/>
  <c r="N51" i="42"/>
  <c r="L52" i="42"/>
  <c r="N52" i="42"/>
  <c r="L53" i="42"/>
  <c r="N53" i="42"/>
  <c r="L54" i="42"/>
  <c r="N54" i="42"/>
  <c r="L55" i="42"/>
  <c r="N55" i="42"/>
  <c r="L56" i="42"/>
  <c r="N56" i="42"/>
  <c r="L57" i="42"/>
  <c r="N57" i="42"/>
  <c r="L58" i="42"/>
  <c r="N58" i="42"/>
  <c r="L59" i="42"/>
  <c r="N59" i="42"/>
  <c r="L60" i="42"/>
  <c r="N60" i="42"/>
  <c r="L61" i="42"/>
  <c r="N61" i="42"/>
  <c r="L62" i="42"/>
  <c r="N62" i="42"/>
  <c r="L63" i="42"/>
  <c r="N63" i="42"/>
  <c r="L64" i="42"/>
  <c r="N64" i="42"/>
  <c r="L65" i="42"/>
  <c r="N65" i="42"/>
  <c r="L66" i="42"/>
  <c r="N66" i="42"/>
  <c r="L67" i="42"/>
  <c r="N67" i="42"/>
  <c r="L68" i="42"/>
  <c r="N68" i="42"/>
  <c r="L69" i="42"/>
  <c r="N69" i="42"/>
  <c r="L70" i="42"/>
  <c r="N70" i="42"/>
  <c r="L71" i="42"/>
  <c r="N71" i="42"/>
  <c r="L72" i="42"/>
  <c r="N72" i="42"/>
  <c r="D89" i="42"/>
  <c r="D91" i="42"/>
  <c r="J93" i="42"/>
  <c r="L93" i="42"/>
  <c r="D96" i="42"/>
  <c r="J99" i="42"/>
  <c r="M99" i="42"/>
  <c r="M100" i="42"/>
  <c r="O100" i="42"/>
  <c r="M101" i="42"/>
  <c r="O101" i="42"/>
  <c r="P101" i="42" s="1"/>
  <c r="O107" i="42"/>
  <c r="O108" i="42"/>
  <c r="M109" i="42"/>
  <c r="O109" i="42"/>
  <c r="M110" i="42"/>
  <c r="O110" i="42"/>
  <c r="M111" i="42"/>
  <c r="O111" i="42"/>
  <c r="M112" i="42"/>
  <c r="O112" i="42"/>
  <c r="M113" i="42"/>
  <c r="O113" i="42"/>
  <c r="M114" i="42"/>
  <c r="O114" i="42"/>
  <c r="M115" i="42"/>
  <c r="O115" i="42"/>
  <c r="M116" i="42"/>
  <c r="O116" i="42"/>
  <c r="M117" i="42"/>
  <c r="O117" i="42"/>
  <c r="M118" i="42"/>
  <c r="O118" i="42"/>
  <c r="M119" i="42"/>
  <c r="O119" i="42"/>
  <c r="M120" i="42"/>
  <c r="O120" i="42"/>
  <c r="M121" i="42"/>
  <c r="O121" i="42"/>
  <c r="M122" i="42"/>
  <c r="O122" i="42"/>
  <c r="M123" i="42"/>
  <c r="O123" i="42"/>
  <c r="M124" i="42"/>
  <c r="O124" i="42"/>
  <c r="M125" i="42"/>
  <c r="O125" i="42"/>
  <c r="M126" i="42"/>
  <c r="O126" i="42"/>
  <c r="M127" i="42"/>
  <c r="O127" i="42"/>
  <c r="M128" i="42"/>
  <c r="O128" i="42"/>
  <c r="M129" i="42"/>
  <c r="O129" i="42"/>
  <c r="M130" i="42"/>
  <c r="O130" i="42"/>
  <c r="M131" i="42"/>
  <c r="O131" i="42"/>
  <c r="M132" i="42"/>
  <c r="O132" i="42"/>
  <c r="M133" i="42"/>
  <c r="O133" i="42"/>
  <c r="M134" i="42"/>
  <c r="O134" i="42"/>
  <c r="M135" i="42"/>
  <c r="O135" i="42"/>
  <c r="M136" i="42"/>
  <c r="O136" i="42"/>
  <c r="M137" i="42"/>
  <c r="O137" i="42"/>
  <c r="M138" i="42"/>
  <c r="O138" i="42"/>
  <c r="M139" i="42"/>
  <c r="O139" i="42"/>
  <c r="M140" i="42"/>
  <c r="O140" i="42"/>
  <c r="M141" i="42"/>
  <c r="O141" i="42"/>
  <c r="M142" i="42"/>
  <c r="O142" i="42"/>
  <c r="M143" i="42"/>
  <c r="O143" i="42"/>
  <c r="M144" i="42"/>
  <c r="O144" i="42"/>
  <c r="M145" i="42"/>
  <c r="O145" i="42"/>
  <c r="M146" i="42"/>
  <c r="O146" i="42"/>
  <c r="M147" i="42"/>
  <c r="O147" i="42"/>
  <c r="M148" i="42"/>
  <c r="O148" i="42"/>
  <c r="M149" i="42"/>
  <c r="O149" i="42"/>
  <c r="M150" i="42"/>
  <c r="O150" i="42"/>
  <c r="M151" i="42"/>
  <c r="O151" i="42"/>
  <c r="M152" i="42"/>
  <c r="O152" i="42"/>
  <c r="M153" i="42"/>
  <c r="O153" i="42"/>
  <c r="M154" i="42"/>
  <c r="O154" i="42"/>
  <c r="P1" i="41"/>
  <c r="P83" i="41" s="1"/>
  <c r="O3" i="41"/>
  <c r="K11" i="41"/>
  <c r="N17" i="41"/>
  <c r="O17" i="41" s="1"/>
  <c r="L18" i="41"/>
  <c r="N18" i="41"/>
  <c r="O18" i="41"/>
  <c r="L19" i="41"/>
  <c r="N19" i="41"/>
  <c r="N26" i="41"/>
  <c r="N27" i="41"/>
  <c r="L28" i="41"/>
  <c r="N28" i="41"/>
  <c r="L29" i="41"/>
  <c r="N29" i="41"/>
  <c r="L30" i="41"/>
  <c r="N30" i="41"/>
  <c r="L31" i="41"/>
  <c r="N31" i="41"/>
  <c r="L32" i="41"/>
  <c r="N32" i="41"/>
  <c r="L33" i="41"/>
  <c r="N33" i="41"/>
  <c r="L34" i="41"/>
  <c r="N34" i="41"/>
  <c r="L35" i="41"/>
  <c r="N35" i="41"/>
  <c r="L36" i="41"/>
  <c r="N36" i="41"/>
  <c r="L37" i="41"/>
  <c r="N37" i="41"/>
  <c r="L38" i="41"/>
  <c r="N38" i="41"/>
  <c r="L39" i="41"/>
  <c r="N39" i="41"/>
  <c r="L40" i="41"/>
  <c r="N40" i="41"/>
  <c r="L41" i="41"/>
  <c r="N41" i="41"/>
  <c r="L42" i="41"/>
  <c r="N42" i="41"/>
  <c r="L43" i="41"/>
  <c r="N43" i="41"/>
  <c r="L44" i="41"/>
  <c r="N44" i="41"/>
  <c r="L45" i="41"/>
  <c r="N45" i="41"/>
  <c r="L46" i="41"/>
  <c r="N46" i="41"/>
  <c r="L47" i="41"/>
  <c r="N47" i="41"/>
  <c r="L48" i="41"/>
  <c r="N48" i="41"/>
  <c r="L49" i="41"/>
  <c r="N49" i="41"/>
  <c r="L50" i="41"/>
  <c r="N50" i="41"/>
  <c r="L51" i="41"/>
  <c r="N51" i="41"/>
  <c r="L52" i="41"/>
  <c r="N52" i="41"/>
  <c r="L53" i="41"/>
  <c r="N53" i="41"/>
  <c r="L54" i="41"/>
  <c r="N54" i="41"/>
  <c r="L55" i="41"/>
  <c r="N55" i="41"/>
  <c r="L56" i="41"/>
  <c r="N56" i="41"/>
  <c r="L57" i="41"/>
  <c r="N57" i="41"/>
  <c r="L58" i="41"/>
  <c r="N58" i="41"/>
  <c r="L59" i="41"/>
  <c r="N59" i="41"/>
  <c r="L60" i="41"/>
  <c r="N60" i="41"/>
  <c r="L61" i="41"/>
  <c r="N61" i="41"/>
  <c r="L62" i="41"/>
  <c r="N62" i="41"/>
  <c r="L63" i="41"/>
  <c r="N63" i="41"/>
  <c r="L64" i="41"/>
  <c r="N64" i="41"/>
  <c r="L65" i="41"/>
  <c r="N65" i="41"/>
  <c r="L66" i="41"/>
  <c r="N66" i="41"/>
  <c r="L67" i="41"/>
  <c r="N67" i="41"/>
  <c r="L68" i="41"/>
  <c r="N68" i="41"/>
  <c r="L69" i="41"/>
  <c r="N69" i="41"/>
  <c r="L70" i="41"/>
  <c r="N70" i="41"/>
  <c r="L71" i="41"/>
  <c r="N71" i="41"/>
  <c r="L72" i="41"/>
  <c r="N72" i="41"/>
  <c r="D89" i="41"/>
  <c r="D91" i="41"/>
  <c r="J93" i="41"/>
  <c r="L93" i="41"/>
  <c r="D96" i="41"/>
  <c r="J99" i="41"/>
  <c r="M99" i="41"/>
  <c r="O99" i="41"/>
  <c r="P99" i="41" s="1"/>
  <c r="O100" i="41"/>
  <c r="P100" i="41"/>
  <c r="M101" i="41"/>
  <c r="O101" i="41"/>
  <c r="O107" i="41"/>
  <c r="O108" i="41"/>
  <c r="M109" i="41"/>
  <c r="O109" i="41"/>
  <c r="M110" i="41"/>
  <c r="O110" i="41"/>
  <c r="M111" i="41"/>
  <c r="O111" i="41"/>
  <c r="M112" i="41"/>
  <c r="O112" i="41"/>
  <c r="M113" i="41"/>
  <c r="O113" i="41"/>
  <c r="M114" i="41"/>
  <c r="O114" i="41"/>
  <c r="M115" i="41"/>
  <c r="O115" i="41"/>
  <c r="M116" i="41"/>
  <c r="O116" i="41"/>
  <c r="M117" i="41"/>
  <c r="O117" i="41"/>
  <c r="M118" i="41"/>
  <c r="O118" i="41"/>
  <c r="M119" i="41"/>
  <c r="O119" i="41"/>
  <c r="M120" i="41"/>
  <c r="O120" i="41"/>
  <c r="M121" i="41"/>
  <c r="O121" i="41"/>
  <c r="M122" i="41"/>
  <c r="O122" i="41"/>
  <c r="M123" i="41"/>
  <c r="O123" i="41"/>
  <c r="M124" i="41"/>
  <c r="O124" i="41"/>
  <c r="M125" i="41"/>
  <c r="O125" i="41"/>
  <c r="M126" i="41"/>
  <c r="O126" i="41"/>
  <c r="M127" i="41"/>
  <c r="O127" i="41"/>
  <c r="M128" i="41"/>
  <c r="O128" i="41"/>
  <c r="M129" i="41"/>
  <c r="O129" i="41"/>
  <c r="M130" i="41"/>
  <c r="O130" i="41"/>
  <c r="M131" i="41"/>
  <c r="O131" i="41"/>
  <c r="M132" i="41"/>
  <c r="O132" i="41"/>
  <c r="M133" i="41"/>
  <c r="O133" i="41"/>
  <c r="M134" i="41"/>
  <c r="O134" i="41"/>
  <c r="M135" i="41"/>
  <c r="O135" i="41"/>
  <c r="M136" i="41"/>
  <c r="O136" i="41"/>
  <c r="M137" i="41"/>
  <c r="O137" i="41"/>
  <c r="M138" i="41"/>
  <c r="O138" i="41"/>
  <c r="M139" i="41"/>
  <c r="O139" i="41"/>
  <c r="M140" i="41"/>
  <c r="O140" i="41"/>
  <c r="M141" i="41"/>
  <c r="O141" i="41"/>
  <c r="M142" i="41"/>
  <c r="O142" i="41"/>
  <c r="M143" i="41"/>
  <c r="O143" i="41"/>
  <c r="M144" i="41"/>
  <c r="O144" i="41"/>
  <c r="M145" i="41"/>
  <c r="O145" i="41"/>
  <c r="M146" i="41"/>
  <c r="O146" i="41"/>
  <c r="M147" i="41"/>
  <c r="O147" i="41"/>
  <c r="M148" i="41"/>
  <c r="O148" i="41"/>
  <c r="M149" i="41"/>
  <c r="O149" i="41"/>
  <c r="M150" i="41"/>
  <c r="O150" i="41"/>
  <c r="M151" i="41"/>
  <c r="O151" i="41"/>
  <c r="M152" i="41"/>
  <c r="O152" i="41"/>
  <c r="M153" i="41"/>
  <c r="O153" i="41"/>
  <c r="M154" i="41"/>
  <c r="O154" i="41"/>
  <c r="P1" i="39"/>
  <c r="P83" i="39" s="1"/>
  <c r="O3" i="39"/>
  <c r="K11" i="39"/>
  <c r="O17" i="39"/>
  <c r="L19" i="39"/>
  <c r="N19" i="39"/>
  <c r="N26" i="39"/>
  <c r="O26" i="39" s="1"/>
  <c r="N27" i="39"/>
  <c r="L28" i="39"/>
  <c r="N28" i="39"/>
  <c r="O28" i="39" s="1"/>
  <c r="L29" i="39"/>
  <c r="N29" i="39"/>
  <c r="L30" i="39"/>
  <c r="N30" i="39"/>
  <c r="L31" i="39"/>
  <c r="N31" i="39"/>
  <c r="L32" i="39"/>
  <c r="N32" i="39"/>
  <c r="L33" i="39"/>
  <c r="N33" i="39"/>
  <c r="L34" i="39"/>
  <c r="N34" i="39"/>
  <c r="L35" i="39"/>
  <c r="N35" i="39"/>
  <c r="L36" i="39"/>
  <c r="N36" i="39"/>
  <c r="L37" i="39"/>
  <c r="N37" i="39"/>
  <c r="L38" i="39"/>
  <c r="N38" i="39"/>
  <c r="L39" i="39"/>
  <c r="N39" i="39"/>
  <c r="L40" i="39"/>
  <c r="N40" i="39"/>
  <c r="L41" i="39"/>
  <c r="N41" i="39"/>
  <c r="L42" i="39"/>
  <c r="N42" i="39"/>
  <c r="L43" i="39"/>
  <c r="N43" i="39"/>
  <c r="L44" i="39"/>
  <c r="N44" i="39"/>
  <c r="L45" i="39"/>
  <c r="N45" i="39"/>
  <c r="L46" i="39"/>
  <c r="N46" i="39"/>
  <c r="L47" i="39"/>
  <c r="N47" i="39"/>
  <c r="L48" i="39"/>
  <c r="N48" i="39"/>
  <c r="L49" i="39"/>
  <c r="N49" i="39"/>
  <c r="L50" i="39"/>
  <c r="N50" i="39"/>
  <c r="L51" i="39"/>
  <c r="N51" i="39"/>
  <c r="L52" i="39"/>
  <c r="N52" i="39"/>
  <c r="O52" i="39" s="1"/>
  <c r="L53" i="39"/>
  <c r="N53" i="39"/>
  <c r="L54" i="39"/>
  <c r="N54" i="39"/>
  <c r="L55" i="39"/>
  <c r="N55" i="39"/>
  <c r="L56" i="39"/>
  <c r="N56" i="39"/>
  <c r="O56" i="39" s="1"/>
  <c r="L57" i="39"/>
  <c r="N57" i="39"/>
  <c r="L58" i="39"/>
  <c r="N58" i="39"/>
  <c r="L59" i="39"/>
  <c r="N59" i="39"/>
  <c r="L60" i="39"/>
  <c r="N60" i="39"/>
  <c r="L61" i="39"/>
  <c r="N61" i="39"/>
  <c r="L62" i="39"/>
  <c r="N62" i="39"/>
  <c r="L63" i="39"/>
  <c r="N63" i="39"/>
  <c r="L64" i="39"/>
  <c r="N64" i="39"/>
  <c r="L65" i="39"/>
  <c r="N65" i="39"/>
  <c r="L66" i="39"/>
  <c r="N66" i="39"/>
  <c r="L67" i="39"/>
  <c r="N67" i="39"/>
  <c r="L68" i="39"/>
  <c r="N68" i="39"/>
  <c r="L69" i="39"/>
  <c r="N69" i="39"/>
  <c r="L70" i="39"/>
  <c r="N70" i="39"/>
  <c r="L71" i="39"/>
  <c r="N71" i="39"/>
  <c r="L72" i="39"/>
  <c r="N72" i="39"/>
  <c r="D89" i="39"/>
  <c r="D91" i="39"/>
  <c r="J93" i="39"/>
  <c r="L93" i="39"/>
  <c r="D96" i="39"/>
  <c r="J99" i="39"/>
  <c r="M99" i="39"/>
  <c r="O100" i="39"/>
  <c r="M101" i="39"/>
  <c r="O101" i="39"/>
  <c r="P101" i="39" s="1"/>
  <c r="O107" i="39"/>
  <c r="O108" i="39"/>
  <c r="M109" i="39"/>
  <c r="O109" i="39"/>
  <c r="M110" i="39"/>
  <c r="O110" i="39"/>
  <c r="M111" i="39"/>
  <c r="O111" i="39"/>
  <c r="M112" i="39"/>
  <c r="O112" i="39"/>
  <c r="M113" i="39"/>
  <c r="O113" i="39"/>
  <c r="M114" i="39"/>
  <c r="O114" i="39"/>
  <c r="M115" i="39"/>
  <c r="O115" i="39"/>
  <c r="M116" i="39"/>
  <c r="O116" i="39"/>
  <c r="M117" i="39"/>
  <c r="O117" i="39"/>
  <c r="M118" i="39"/>
  <c r="O118" i="39"/>
  <c r="M119" i="39"/>
  <c r="O119" i="39"/>
  <c r="M120" i="39"/>
  <c r="O120" i="39"/>
  <c r="M121" i="39"/>
  <c r="O121" i="39"/>
  <c r="M122" i="39"/>
  <c r="O122" i="39"/>
  <c r="M123" i="39"/>
  <c r="O123" i="39"/>
  <c r="M124" i="39"/>
  <c r="O124" i="39"/>
  <c r="M125" i="39"/>
  <c r="O125" i="39"/>
  <c r="M126" i="39"/>
  <c r="O126" i="39"/>
  <c r="M127" i="39"/>
  <c r="O127" i="39"/>
  <c r="M128" i="39"/>
  <c r="O128" i="39"/>
  <c r="M129" i="39"/>
  <c r="O129" i="39"/>
  <c r="M130" i="39"/>
  <c r="O130" i="39"/>
  <c r="M131" i="39"/>
  <c r="O131" i="39"/>
  <c r="M132" i="39"/>
  <c r="O132" i="39"/>
  <c r="M133" i="39"/>
  <c r="O133" i="39"/>
  <c r="M134" i="39"/>
  <c r="O134" i="39"/>
  <c r="M135" i="39"/>
  <c r="O135" i="39"/>
  <c r="M136" i="39"/>
  <c r="O136" i="39"/>
  <c r="M137" i="39"/>
  <c r="O137" i="39"/>
  <c r="M138" i="39"/>
  <c r="O138" i="39"/>
  <c r="M139" i="39"/>
  <c r="O139" i="39"/>
  <c r="M140" i="39"/>
  <c r="O140" i="39"/>
  <c r="M141" i="39"/>
  <c r="O141" i="39"/>
  <c r="M142" i="39"/>
  <c r="O142" i="39"/>
  <c r="M143" i="39"/>
  <c r="O143" i="39"/>
  <c r="M144" i="39"/>
  <c r="O144" i="39"/>
  <c r="M145" i="39"/>
  <c r="O145" i="39"/>
  <c r="M146" i="39"/>
  <c r="O146" i="39"/>
  <c r="M147" i="39"/>
  <c r="O147" i="39"/>
  <c r="M148" i="39"/>
  <c r="O148" i="39"/>
  <c r="M149" i="39"/>
  <c r="O149" i="39"/>
  <c r="M150" i="39"/>
  <c r="O150" i="39"/>
  <c r="M151" i="39"/>
  <c r="O151" i="39"/>
  <c r="M152" i="39"/>
  <c r="O152" i="39"/>
  <c r="M153" i="39"/>
  <c r="O153" i="39"/>
  <c r="M154" i="39"/>
  <c r="O154" i="39"/>
  <c r="J92" i="13"/>
  <c r="O100" i="28"/>
  <c r="O101" i="28"/>
  <c r="O102" i="28"/>
  <c r="O103" i="28"/>
  <c r="M100" i="28"/>
  <c r="M101" i="28"/>
  <c r="W19" i="36"/>
  <c r="W20" i="36"/>
  <c r="W21" i="36"/>
  <c r="W22" i="36"/>
  <c r="W23" i="36"/>
  <c r="W24" i="36"/>
  <c r="W25" i="36"/>
  <c r="W26" i="36"/>
  <c r="W27" i="36"/>
  <c r="W28" i="36"/>
  <c r="W29" i="36"/>
  <c r="W30" i="36"/>
  <c r="W31" i="36"/>
  <c r="W32" i="36"/>
  <c r="W33" i="36"/>
  <c r="W34" i="36"/>
  <c r="W35" i="36"/>
  <c r="W36" i="36"/>
  <c r="W37" i="36"/>
  <c r="W18" i="36"/>
  <c r="L12" i="36"/>
  <c r="R12" i="36"/>
  <c r="P12" i="36"/>
  <c r="G12" i="36"/>
  <c r="A9" i="36" s="1"/>
  <c r="N93" i="36"/>
  <c r="O93" i="36"/>
  <c r="D89" i="35"/>
  <c r="P1" i="35"/>
  <c r="P83" i="35" s="1"/>
  <c r="O3" i="35"/>
  <c r="K11" i="35"/>
  <c r="I17" i="35"/>
  <c r="L17" i="35"/>
  <c r="N17" i="35"/>
  <c r="O17" i="35" s="1"/>
  <c r="I18" i="35"/>
  <c r="L18" i="35"/>
  <c r="N18" i="35"/>
  <c r="O18" i="35" s="1"/>
  <c r="L20" i="35"/>
  <c r="O20" i="35" s="1"/>
  <c r="N20" i="35"/>
  <c r="L21" i="35"/>
  <c r="N21" i="35"/>
  <c r="L22" i="35"/>
  <c r="N22" i="35"/>
  <c r="L23" i="35"/>
  <c r="N23" i="35"/>
  <c r="L24" i="35"/>
  <c r="N24" i="35"/>
  <c r="L25" i="35"/>
  <c r="N25" i="35"/>
  <c r="L26" i="35"/>
  <c r="N26" i="35"/>
  <c r="L27" i="35"/>
  <c r="N27" i="35"/>
  <c r="L28" i="35"/>
  <c r="N28" i="35"/>
  <c r="L29" i="35"/>
  <c r="N29" i="35"/>
  <c r="L30" i="35"/>
  <c r="N30" i="35"/>
  <c r="L31" i="35"/>
  <c r="N31" i="35"/>
  <c r="L32" i="35"/>
  <c r="N32" i="35"/>
  <c r="L33" i="35"/>
  <c r="N33" i="35"/>
  <c r="L34" i="35"/>
  <c r="N34" i="35"/>
  <c r="L35" i="35"/>
  <c r="N35" i="35"/>
  <c r="L36" i="35"/>
  <c r="O36" i="35" s="1"/>
  <c r="N36" i="35"/>
  <c r="L37" i="35"/>
  <c r="N37" i="35"/>
  <c r="L38" i="35"/>
  <c r="N38" i="35"/>
  <c r="L39" i="35"/>
  <c r="N39" i="35"/>
  <c r="L40" i="35"/>
  <c r="N40" i="35"/>
  <c r="L41" i="35"/>
  <c r="N41" i="35"/>
  <c r="L42" i="35"/>
  <c r="N42" i="35"/>
  <c r="L43" i="35"/>
  <c r="N43" i="35"/>
  <c r="L44" i="35"/>
  <c r="N44" i="35"/>
  <c r="L45" i="35"/>
  <c r="N45" i="35"/>
  <c r="L46" i="35"/>
  <c r="N46" i="35"/>
  <c r="L47" i="35"/>
  <c r="N47" i="35"/>
  <c r="L48" i="35"/>
  <c r="O48" i="35" s="1"/>
  <c r="N48" i="35"/>
  <c r="L49" i="35"/>
  <c r="N49" i="35"/>
  <c r="L50" i="35"/>
  <c r="N50" i="35"/>
  <c r="L51" i="35"/>
  <c r="N51" i="35"/>
  <c r="L52" i="35"/>
  <c r="N52" i="35"/>
  <c r="L53" i="35"/>
  <c r="N53" i="35"/>
  <c r="L54" i="35"/>
  <c r="N54" i="35"/>
  <c r="L55" i="35"/>
  <c r="N55" i="35"/>
  <c r="L56" i="35"/>
  <c r="N56" i="35"/>
  <c r="L57" i="35"/>
  <c r="N57" i="35"/>
  <c r="L58" i="35"/>
  <c r="N58" i="35"/>
  <c r="L59" i="35"/>
  <c r="N59" i="35"/>
  <c r="L60" i="35"/>
  <c r="N60" i="35"/>
  <c r="L61" i="35"/>
  <c r="N61" i="35"/>
  <c r="L62" i="35"/>
  <c r="N62" i="35"/>
  <c r="L63" i="35"/>
  <c r="N63" i="35"/>
  <c r="L64" i="35"/>
  <c r="O64" i="35" s="1"/>
  <c r="N64" i="35"/>
  <c r="L65" i="35"/>
  <c r="N65" i="35"/>
  <c r="L66" i="35"/>
  <c r="N66" i="35"/>
  <c r="L67" i="35"/>
  <c r="N67" i="35"/>
  <c r="L68" i="35"/>
  <c r="N68" i="35"/>
  <c r="L69" i="35"/>
  <c r="N69" i="35"/>
  <c r="L70" i="35"/>
  <c r="N70" i="35"/>
  <c r="L71" i="35"/>
  <c r="N71" i="35"/>
  <c r="L72" i="35"/>
  <c r="N72" i="35"/>
  <c r="O87" i="35"/>
  <c r="D91" i="35"/>
  <c r="J93" i="35"/>
  <c r="L93" i="35"/>
  <c r="D96" i="35"/>
  <c r="J99" i="35"/>
  <c r="M99" i="35"/>
  <c r="O99" i="35"/>
  <c r="P99" i="35"/>
  <c r="J100" i="35"/>
  <c r="O100" i="35"/>
  <c r="P100" i="35" s="1"/>
  <c r="M101" i="35"/>
  <c r="O101" i="35"/>
  <c r="M102" i="35"/>
  <c r="O102" i="35"/>
  <c r="M103" i="35"/>
  <c r="P103" i="35" s="1"/>
  <c r="O103" i="35"/>
  <c r="M104" i="35"/>
  <c r="O104" i="35"/>
  <c r="M105" i="35"/>
  <c r="O105" i="35"/>
  <c r="M106" i="35"/>
  <c r="O106" i="35"/>
  <c r="M107" i="35"/>
  <c r="O107" i="35"/>
  <c r="M108" i="35"/>
  <c r="O108" i="35"/>
  <c r="M109" i="35"/>
  <c r="O109" i="35"/>
  <c r="M110" i="35"/>
  <c r="O110" i="35"/>
  <c r="M111" i="35"/>
  <c r="O111" i="35"/>
  <c r="M112" i="35"/>
  <c r="O112" i="35"/>
  <c r="M113" i="35"/>
  <c r="O113" i="35"/>
  <c r="M114" i="35"/>
  <c r="O114" i="35"/>
  <c r="M115" i="35"/>
  <c r="O115" i="35"/>
  <c r="M116" i="35"/>
  <c r="O116" i="35"/>
  <c r="M117" i="35"/>
  <c r="O117" i="35"/>
  <c r="M118" i="35"/>
  <c r="O118" i="35"/>
  <c r="M119" i="35"/>
  <c r="O119" i="35"/>
  <c r="M120" i="35"/>
  <c r="O120" i="35"/>
  <c r="M121" i="35"/>
  <c r="O121" i="35"/>
  <c r="M122" i="35"/>
  <c r="O122" i="35"/>
  <c r="M123" i="35"/>
  <c r="O123" i="35"/>
  <c r="M124" i="35"/>
  <c r="O124" i="35"/>
  <c r="M125" i="35"/>
  <c r="O125" i="35"/>
  <c r="M126" i="35"/>
  <c r="O126" i="35"/>
  <c r="M127" i="35"/>
  <c r="O127" i="35"/>
  <c r="M128" i="35"/>
  <c r="O128" i="35"/>
  <c r="M129" i="35"/>
  <c r="O129" i="35"/>
  <c r="M130" i="35"/>
  <c r="O130" i="35"/>
  <c r="M131" i="35"/>
  <c r="O131" i="35"/>
  <c r="M132" i="35"/>
  <c r="O132" i="35"/>
  <c r="M133" i="35"/>
  <c r="O133" i="35"/>
  <c r="M134" i="35"/>
  <c r="O134" i="35"/>
  <c r="M135" i="35"/>
  <c r="O135" i="35"/>
  <c r="M136" i="35"/>
  <c r="O136" i="35"/>
  <c r="M137" i="35"/>
  <c r="O137" i="35"/>
  <c r="M138" i="35"/>
  <c r="O138" i="35"/>
  <c r="M139" i="35"/>
  <c r="O139" i="35"/>
  <c r="M140" i="35"/>
  <c r="O140" i="35"/>
  <c r="M141" i="35"/>
  <c r="O141" i="35"/>
  <c r="M142" i="35"/>
  <c r="O142" i="35"/>
  <c r="M143" i="35"/>
  <c r="O143" i="35"/>
  <c r="M144" i="35"/>
  <c r="O144" i="35"/>
  <c r="M145" i="35"/>
  <c r="O145" i="35"/>
  <c r="M146" i="35"/>
  <c r="O146" i="35"/>
  <c r="M147" i="35"/>
  <c r="O147" i="35"/>
  <c r="M148" i="35"/>
  <c r="O148" i="35"/>
  <c r="M149" i="35"/>
  <c r="O149" i="35"/>
  <c r="M150" i="35"/>
  <c r="O150" i="35"/>
  <c r="M151" i="35"/>
  <c r="O151" i="35"/>
  <c r="M152" i="35"/>
  <c r="O152" i="35"/>
  <c r="M153" i="35"/>
  <c r="O153" i="35"/>
  <c r="M154" i="35"/>
  <c r="O154" i="35"/>
  <c r="M17" i="24"/>
  <c r="P101" i="28"/>
  <c r="M19" i="28"/>
  <c r="M17" i="23"/>
  <c r="N99" i="28"/>
  <c r="L99" i="28"/>
  <c r="M17" i="26"/>
  <c r="N99" i="26"/>
  <c r="L99" i="26"/>
  <c r="P1" i="26"/>
  <c r="P83" i="26" s="1"/>
  <c r="P1" i="27"/>
  <c r="P83" i="27" s="1"/>
  <c r="P1" i="28"/>
  <c r="P83" i="28" s="1"/>
  <c r="P1" i="29"/>
  <c r="P83" i="29" s="1"/>
  <c r="P1" i="30"/>
  <c r="P83" i="30" s="1"/>
  <c r="P1" i="31"/>
  <c r="P83" i="31" s="1"/>
  <c r="P1" i="32"/>
  <c r="P83" i="32" s="1"/>
  <c r="P1" i="33"/>
  <c r="P83" i="33" s="1"/>
  <c r="P1" i="34"/>
  <c r="P83" i="34" s="1"/>
  <c r="P1" i="13"/>
  <c r="P83" i="13" s="1"/>
  <c r="P1" i="25"/>
  <c r="P83" i="25" s="1"/>
  <c r="P1" i="3"/>
  <c r="P83" i="3" s="1"/>
  <c r="P1" i="17"/>
  <c r="P83" i="17" s="1"/>
  <c r="P1" i="18"/>
  <c r="P83" i="18" s="1"/>
  <c r="P1" i="19"/>
  <c r="P83" i="19" s="1"/>
  <c r="P1" i="20"/>
  <c r="P83" i="20" s="1"/>
  <c r="P1" i="21"/>
  <c r="P83" i="21" s="1"/>
  <c r="P1" i="22"/>
  <c r="P83" i="22" s="1"/>
  <c r="P1" i="23"/>
  <c r="P83" i="23" s="1"/>
  <c r="P1" i="24"/>
  <c r="P83" i="24" s="1"/>
  <c r="O3" i="34"/>
  <c r="K11" i="34"/>
  <c r="I17" i="34"/>
  <c r="L17" i="34"/>
  <c r="N17" i="34"/>
  <c r="O17" i="34" s="1"/>
  <c r="I18" i="34"/>
  <c r="L18" i="34"/>
  <c r="N18" i="34"/>
  <c r="O18" i="34" s="1"/>
  <c r="L19" i="34"/>
  <c r="N19" i="34"/>
  <c r="L20" i="34"/>
  <c r="N20" i="34"/>
  <c r="O20" i="34"/>
  <c r="L21" i="34"/>
  <c r="N21" i="34"/>
  <c r="N28" i="34"/>
  <c r="N29" i="34"/>
  <c r="L30" i="34"/>
  <c r="N30" i="34"/>
  <c r="L31" i="34"/>
  <c r="N31" i="34"/>
  <c r="L32" i="34"/>
  <c r="N32" i="34"/>
  <c r="L33" i="34"/>
  <c r="N33" i="34"/>
  <c r="L34" i="34"/>
  <c r="N34" i="34"/>
  <c r="L35" i="34"/>
  <c r="N35" i="34"/>
  <c r="L36" i="34"/>
  <c r="N36" i="34"/>
  <c r="L37" i="34"/>
  <c r="N37" i="34"/>
  <c r="L38" i="34"/>
  <c r="N38" i="34"/>
  <c r="L39" i="34"/>
  <c r="N39" i="34"/>
  <c r="L40" i="34"/>
  <c r="N40" i="34"/>
  <c r="L41" i="34"/>
  <c r="N41" i="34"/>
  <c r="L42" i="34"/>
  <c r="N42" i="34"/>
  <c r="L43" i="34"/>
  <c r="N43" i="34"/>
  <c r="L44" i="34"/>
  <c r="N44" i="34"/>
  <c r="L45" i="34"/>
  <c r="N45" i="34"/>
  <c r="L46" i="34"/>
  <c r="N46" i="34"/>
  <c r="L47" i="34"/>
  <c r="N47" i="34"/>
  <c r="L48" i="34"/>
  <c r="N48" i="34"/>
  <c r="L49" i="34"/>
  <c r="N49" i="34"/>
  <c r="L50" i="34"/>
  <c r="N50" i="34"/>
  <c r="L51" i="34"/>
  <c r="N51" i="34"/>
  <c r="L52" i="34"/>
  <c r="N52" i="34"/>
  <c r="L53" i="34"/>
  <c r="N53" i="34"/>
  <c r="L54" i="34"/>
  <c r="N54" i="34"/>
  <c r="L55" i="34"/>
  <c r="N55" i="34"/>
  <c r="L56" i="34"/>
  <c r="N56" i="34"/>
  <c r="L57" i="34"/>
  <c r="N57" i="34"/>
  <c r="L58" i="34"/>
  <c r="N58" i="34"/>
  <c r="L59" i="34"/>
  <c r="N59" i="34"/>
  <c r="L60" i="34"/>
  <c r="N60" i="34"/>
  <c r="L61" i="34"/>
  <c r="N61" i="34"/>
  <c r="L62" i="34"/>
  <c r="N62" i="34"/>
  <c r="L63" i="34"/>
  <c r="N63" i="34"/>
  <c r="L64" i="34"/>
  <c r="N64" i="34"/>
  <c r="L65" i="34"/>
  <c r="N65" i="34"/>
  <c r="L66" i="34"/>
  <c r="N66" i="34"/>
  <c r="L67" i="34"/>
  <c r="N67" i="34"/>
  <c r="L68" i="34"/>
  <c r="N68" i="34"/>
  <c r="L69" i="34"/>
  <c r="N69" i="34"/>
  <c r="L70" i="34"/>
  <c r="N70" i="34"/>
  <c r="L71" i="34"/>
  <c r="N71" i="34"/>
  <c r="L72" i="34"/>
  <c r="N72" i="34"/>
  <c r="D89" i="34"/>
  <c r="D91" i="34"/>
  <c r="J93" i="34"/>
  <c r="L93" i="34"/>
  <c r="D96" i="34"/>
  <c r="J99" i="34"/>
  <c r="M99" i="34"/>
  <c r="O99" i="34"/>
  <c r="J100" i="34"/>
  <c r="M100" i="34"/>
  <c r="O100" i="34"/>
  <c r="P100" i="34" s="1"/>
  <c r="J101" i="34"/>
  <c r="M101" i="34"/>
  <c r="O101" i="34"/>
  <c r="O102" i="34"/>
  <c r="M103" i="34"/>
  <c r="O103" i="34"/>
  <c r="O110" i="34"/>
  <c r="M111" i="34"/>
  <c r="O111" i="34"/>
  <c r="M112" i="34"/>
  <c r="O112" i="34"/>
  <c r="M113" i="34"/>
  <c r="O113" i="34"/>
  <c r="M114" i="34"/>
  <c r="O114" i="34"/>
  <c r="M115" i="34"/>
  <c r="O115" i="34"/>
  <c r="M116" i="34"/>
  <c r="O116" i="34"/>
  <c r="M117" i="34"/>
  <c r="O117" i="34"/>
  <c r="M118" i="34"/>
  <c r="O118" i="34"/>
  <c r="M119" i="34"/>
  <c r="O119" i="34"/>
  <c r="M120" i="34"/>
  <c r="O120" i="34"/>
  <c r="M121" i="34"/>
  <c r="O121" i="34"/>
  <c r="M122" i="34"/>
  <c r="O122" i="34"/>
  <c r="M123" i="34"/>
  <c r="O123" i="34"/>
  <c r="M124" i="34"/>
  <c r="O124" i="34"/>
  <c r="M125" i="34"/>
  <c r="O125" i="34"/>
  <c r="M126" i="34"/>
  <c r="O126" i="34"/>
  <c r="M127" i="34"/>
  <c r="O127" i="34"/>
  <c r="M128" i="34"/>
  <c r="O128" i="34"/>
  <c r="M129" i="34"/>
  <c r="O129" i="34"/>
  <c r="M130" i="34"/>
  <c r="O130" i="34"/>
  <c r="M131" i="34"/>
  <c r="O131" i="34"/>
  <c r="M132" i="34"/>
  <c r="O132" i="34"/>
  <c r="M133" i="34"/>
  <c r="O133" i="34"/>
  <c r="M134" i="34"/>
  <c r="O134" i="34"/>
  <c r="M135" i="34"/>
  <c r="O135" i="34"/>
  <c r="M136" i="34"/>
  <c r="O136" i="34"/>
  <c r="M137" i="34"/>
  <c r="O137" i="34"/>
  <c r="M138" i="34"/>
  <c r="O138" i="34"/>
  <c r="M139" i="34"/>
  <c r="O139" i="34"/>
  <c r="M140" i="34"/>
  <c r="O140" i="34"/>
  <c r="M141" i="34"/>
  <c r="O141" i="34"/>
  <c r="M142" i="34"/>
  <c r="O142" i="34"/>
  <c r="M143" i="34"/>
  <c r="O143" i="34"/>
  <c r="M144" i="34"/>
  <c r="O144" i="34"/>
  <c r="M145" i="34"/>
  <c r="O145" i="34"/>
  <c r="M146" i="34"/>
  <c r="O146" i="34"/>
  <c r="M147" i="34"/>
  <c r="O147" i="34"/>
  <c r="M148" i="34"/>
  <c r="O148" i="34"/>
  <c r="M149" i="34"/>
  <c r="O149" i="34"/>
  <c r="M150" i="34"/>
  <c r="O150" i="34"/>
  <c r="M151" i="34"/>
  <c r="O151" i="34"/>
  <c r="M152" i="34"/>
  <c r="O152" i="34"/>
  <c r="M153" i="34"/>
  <c r="O153" i="34"/>
  <c r="M154" i="34"/>
  <c r="O154" i="34"/>
  <c r="O3" i="33"/>
  <c r="K11" i="33"/>
  <c r="L17" i="33"/>
  <c r="N17" i="33"/>
  <c r="L18" i="33"/>
  <c r="N18" i="33"/>
  <c r="L19" i="33"/>
  <c r="N19" i="33"/>
  <c r="O19" i="33" s="1"/>
  <c r="L20" i="33"/>
  <c r="N20" i="33"/>
  <c r="O20" i="33" s="1"/>
  <c r="L21" i="33"/>
  <c r="N21" i="33"/>
  <c r="O21" i="33" s="1"/>
  <c r="L22" i="33"/>
  <c r="N22" i="33"/>
  <c r="O22" i="33" s="1"/>
  <c r="L23" i="33"/>
  <c r="N23" i="33"/>
  <c r="O23" i="33" s="1"/>
  <c r="L24" i="33"/>
  <c r="N24" i="33"/>
  <c r="O24" i="33" s="1"/>
  <c r="L25" i="33"/>
  <c r="N25" i="33"/>
  <c r="O25" i="33" s="1"/>
  <c r="L26" i="33"/>
  <c r="N26" i="33"/>
  <c r="O26" i="33" s="1"/>
  <c r="L27" i="33"/>
  <c r="N27" i="33"/>
  <c r="O27" i="33" s="1"/>
  <c r="L28" i="33"/>
  <c r="N28" i="33"/>
  <c r="L29" i="33"/>
  <c r="N29" i="33"/>
  <c r="O29" i="33" s="1"/>
  <c r="L30" i="33"/>
  <c r="N30" i="33"/>
  <c r="O30" i="33" s="1"/>
  <c r="L31" i="33"/>
  <c r="N31" i="33"/>
  <c r="O31" i="33" s="1"/>
  <c r="L32" i="33"/>
  <c r="N32" i="33"/>
  <c r="L33" i="33"/>
  <c r="N33" i="33"/>
  <c r="L34" i="33"/>
  <c r="N34" i="33"/>
  <c r="L35" i="33"/>
  <c r="N35" i="33"/>
  <c r="O35" i="33" s="1"/>
  <c r="L36" i="33"/>
  <c r="N36" i="33"/>
  <c r="O36" i="33" s="1"/>
  <c r="L37" i="33"/>
  <c r="N37" i="33"/>
  <c r="O37" i="33" s="1"/>
  <c r="L38" i="33"/>
  <c r="N38" i="33"/>
  <c r="L39" i="33"/>
  <c r="N39" i="33"/>
  <c r="O39" i="33" s="1"/>
  <c r="L40" i="33"/>
  <c r="N40" i="33"/>
  <c r="L41" i="33"/>
  <c r="N41" i="33"/>
  <c r="O41" i="33" s="1"/>
  <c r="L42" i="33"/>
  <c r="N42" i="33"/>
  <c r="O42" i="33" s="1"/>
  <c r="L43" i="33"/>
  <c r="N43" i="33"/>
  <c r="O43" i="33" s="1"/>
  <c r="L44" i="33"/>
  <c r="N44" i="33"/>
  <c r="L45" i="33"/>
  <c r="N45" i="33"/>
  <c r="O45" i="33" s="1"/>
  <c r="L46" i="33"/>
  <c r="N46" i="33"/>
  <c r="O46" i="33" s="1"/>
  <c r="L47" i="33"/>
  <c r="N47" i="33"/>
  <c r="O47" i="33" s="1"/>
  <c r="L48" i="33"/>
  <c r="N48" i="33"/>
  <c r="L49" i="33"/>
  <c r="N49" i="33"/>
  <c r="L50" i="33"/>
  <c r="N50" i="33"/>
  <c r="O50" i="33" s="1"/>
  <c r="L51" i="33"/>
  <c r="N51" i="33"/>
  <c r="L52" i="33"/>
  <c r="N52" i="33"/>
  <c r="L53" i="33"/>
  <c r="N53" i="33"/>
  <c r="O53" i="33" s="1"/>
  <c r="L54" i="33"/>
  <c r="N54" i="33"/>
  <c r="L55" i="33"/>
  <c r="N55" i="33"/>
  <c r="O55" i="33" s="1"/>
  <c r="L56" i="33"/>
  <c r="N56" i="33"/>
  <c r="O56" i="33" s="1"/>
  <c r="L57" i="33"/>
  <c r="N57" i="33"/>
  <c r="L58" i="33"/>
  <c r="N58" i="33"/>
  <c r="O58" i="33" s="1"/>
  <c r="L59" i="33"/>
  <c r="N59" i="33"/>
  <c r="L60" i="33"/>
  <c r="N60" i="33"/>
  <c r="O60" i="33" s="1"/>
  <c r="L61" i="33"/>
  <c r="N61" i="33"/>
  <c r="O61" i="33" s="1"/>
  <c r="L62" i="33"/>
  <c r="N62" i="33"/>
  <c r="O62" i="33" s="1"/>
  <c r="L63" i="33"/>
  <c r="N63" i="33"/>
  <c r="O63" i="33" s="1"/>
  <c r="L64" i="33"/>
  <c r="N64" i="33"/>
  <c r="L65" i="33"/>
  <c r="N65" i="33"/>
  <c r="L66" i="33"/>
  <c r="N66" i="33"/>
  <c r="L67" i="33"/>
  <c r="N67" i="33"/>
  <c r="O67" i="33" s="1"/>
  <c r="L68" i="33"/>
  <c r="N68" i="33"/>
  <c r="O68" i="33" s="1"/>
  <c r="L69" i="33"/>
  <c r="N69" i="33"/>
  <c r="L70" i="33"/>
  <c r="N70" i="33"/>
  <c r="L71" i="33"/>
  <c r="N71" i="33"/>
  <c r="O71" i="33" s="1"/>
  <c r="L72" i="33"/>
  <c r="N72" i="33"/>
  <c r="D89" i="33"/>
  <c r="D91" i="33"/>
  <c r="J93" i="33"/>
  <c r="L93" i="33"/>
  <c r="D96" i="33"/>
  <c r="M99" i="33"/>
  <c r="O99" i="33"/>
  <c r="M100" i="33"/>
  <c r="O100" i="33"/>
  <c r="M101" i="33"/>
  <c r="O101" i="33"/>
  <c r="M102" i="33"/>
  <c r="O102" i="33"/>
  <c r="M103" i="33"/>
  <c r="O103" i="33"/>
  <c r="M104" i="33"/>
  <c r="O104" i="33"/>
  <c r="M105" i="33"/>
  <c r="O105" i="33"/>
  <c r="M106" i="33"/>
  <c r="O106" i="33"/>
  <c r="M107" i="33"/>
  <c r="O107" i="33"/>
  <c r="M108" i="33"/>
  <c r="O108" i="33"/>
  <c r="M109" i="33"/>
  <c r="O109" i="33"/>
  <c r="M110" i="33"/>
  <c r="O110" i="33"/>
  <c r="M111" i="33"/>
  <c r="O111" i="33"/>
  <c r="M112" i="33"/>
  <c r="O112" i="33"/>
  <c r="M113" i="33"/>
  <c r="O113" i="33"/>
  <c r="M114" i="33"/>
  <c r="O114" i="33"/>
  <c r="M115" i="33"/>
  <c r="O115" i="33"/>
  <c r="M116" i="33"/>
  <c r="O116" i="33"/>
  <c r="M117" i="33"/>
  <c r="O117" i="33"/>
  <c r="M118" i="33"/>
  <c r="O118" i="33"/>
  <c r="M119" i="33"/>
  <c r="O119" i="33"/>
  <c r="M120" i="33"/>
  <c r="O120" i="33"/>
  <c r="M121" i="33"/>
  <c r="O121" i="33"/>
  <c r="M122" i="33"/>
  <c r="O122" i="33"/>
  <c r="M123" i="33"/>
  <c r="O123" i="33"/>
  <c r="M124" i="33"/>
  <c r="O124" i="33"/>
  <c r="M125" i="33"/>
  <c r="O125" i="33"/>
  <c r="M126" i="33"/>
  <c r="O126" i="33"/>
  <c r="M127" i="33"/>
  <c r="O127" i="33"/>
  <c r="M128" i="33"/>
  <c r="O128" i="33"/>
  <c r="M129" i="33"/>
  <c r="O129" i="33"/>
  <c r="M130" i="33"/>
  <c r="O130" i="33"/>
  <c r="M131" i="33"/>
  <c r="O131" i="33"/>
  <c r="M132" i="33"/>
  <c r="O132" i="33"/>
  <c r="M133" i="33"/>
  <c r="O133" i="33"/>
  <c r="M134" i="33"/>
  <c r="O134" i="33"/>
  <c r="M135" i="33"/>
  <c r="O135" i="33"/>
  <c r="M136" i="33"/>
  <c r="O136" i="33"/>
  <c r="M137" i="33"/>
  <c r="O137" i="33"/>
  <c r="M138" i="33"/>
  <c r="O138" i="33"/>
  <c r="M139" i="33"/>
  <c r="O139" i="33"/>
  <c r="M140" i="33"/>
  <c r="O140" i="33"/>
  <c r="M141" i="33"/>
  <c r="O141" i="33"/>
  <c r="M142" i="33"/>
  <c r="O142" i="33"/>
  <c r="M143" i="33"/>
  <c r="O143" i="33"/>
  <c r="M144" i="33"/>
  <c r="O144" i="33"/>
  <c r="M145" i="33"/>
  <c r="O145" i="33"/>
  <c r="M146" i="33"/>
  <c r="O146" i="33"/>
  <c r="M147" i="33"/>
  <c r="O147" i="33"/>
  <c r="M148" i="33"/>
  <c r="O148" i="33"/>
  <c r="M149" i="33"/>
  <c r="O149" i="33"/>
  <c r="M150" i="33"/>
  <c r="O150" i="33"/>
  <c r="M151" i="33"/>
  <c r="O151" i="33"/>
  <c r="M152" i="33"/>
  <c r="O152" i="33"/>
  <c r="M153" i="33"/>
  <c r="O153" i="33"/>
  <c r="M154" i="33"/>
  <c r="O154" i="33"/>
  <c r="O3" i="32"/>
  <c r="K11" i="32"/>
  <c r="I17" i="32"/>
  <c r="L17" i="32"/>
  <c r="N17" i="32"/>
  <c r="O17" i="32" s="1"/>
  <c r="I18" i="32"/>
  <c r="L18" i="32"/>
  <c r="N18" i="32"/>
  <c r="N19" i="32"/>
  <c r="O19" i="32"/>
  <c r="L20" i="32"/>
  <c r="L21" i="32"/>
  <c r="N21" i="32"/>
  <c r="N28" i="32"/>
  <c r="N29" i="32"/>
  <c r="L30" i="32"/>
  <c r="N30" i="32"/>
  <c r="L31" i="32"/>
  <c r="N31" i="32"/>
  <c r="L32" i="32"/>
  <c r="N32" i="32"/>
  <c r="O32" i="32" s="1"/>
  <c r="L33" i="32"/>
  <c r="N33" i="32"/>
  <c r="L34" i="32"/>
  <c r="N34" i="32"/>
  <c r="O34" i="32" s="1"/>
  <c r="L35" i="32"/>
  <c r="N35" i="32"/>
  <c r="L36" i="32"/>
  <c r="N36" i="32"/>
  <c r="O36" i="32" s="1"/>
  <c r="L37" i="32"/>
  <c r="N37" i="32"/>
  <c r="L38" i="32"/>
  <c r="N38" i="32"/>
  <c r="L39" i="32"/>
  <c r="N39" i="32"/>
  <c r="L40" i="32"/>
  <c r="N40" i="32"/>
  <c r="L41" i="32"/>
  <c r="N41" i="32"/>
  <c r="L42" i="32"/>
  <c r="N42" i="32"/>
  <c r="O42" i="32" s="1"/>
  <c r="L43" i="32"/>
  <c r="N43" i="32"/>
  <c r="L44" i="32"/>
  <c r="N44" i="32"/>
  <c r="L45" i="32"/>
  <c r="N45" i="32"/>
  <c r="L46" i="32"/>
  <c r="N46" i="32"/>
  <c r="L47" i="32"/>
  <c r="N47" i="32"/>
  <c r="L48" i="32"/>
  <c r="N48" i="32"/>
  <c r="L49" i="32"/>
  <c r="N49" i="32"/>
  <c r="L50" i="32"/>
  <c r="N50" i="32"/>
  <c r="L51" i="32"/>
  <c r="N51" i="32"/>
  <c r="L52" i="32"/>
  <c r="N52" i="32"/>
  <c r="O52" i="32" s="1"/>
  <c r="L53" i="32"/>
  <c r="N53" i="32"/>
  <c r="L54" i="32"/>
  <c r="N54" i="32"/>
  <c r="L55" i="32"/>
  <c r="N55" i="32"/>
  <c r="L56" i="32"/>
  <c r="N56" i="32"/>
  <c r="O56" i="32" s="1"/>
  <c r="L57" i="32"/>
  <c r="N57" i="32"/>
  <c r="L58" i="32"/>
  <c r="N58" i="32"/>
  <c r="O58" i="32" s="1"/>
  <c r="L59" i="32"/>
  <c r="N59" i="32"/>
  <c r="L60" i="32"/>
  <c r="N60" i="32"/>
  <c r="L61" i="32"/>
  <c r="N61" i="32"/>
  <c r="L62" i="32"/>
  <c r="N62" i="32"/>
  <c r="O62" i="32" s="1"/>
  <c r="L63" i="32"/>
  <c r="N63" i="32"/>
  <c r="L64" i="32"/>
  <c r="N64" i="32"/>
  <c r="O64" i="32" s="1"/>
  <c r="L65" i="32"/>
  <c r="N65" i="32"/>
  <c r="L66" i="32"/>
  <c r="N66" i="32"/>
  <c r="L67" i="32"/>
  <c r="N67" i="32"/>
  <c r="L68" i="32"/>
  <c r="N68" i="32"/>
  <c r="O68" i="32" s="1"/>
  <c r="L69" i="32"/>
  <c r="N69" i="32"/>
  <c r="L70" i="32"/>
  <c r="N70" i="32"/>
  <c r="L71" i="32"/>
  <c r="N71" i="32"/>
  <c r="L72" i="32"/>
  <c r="N72" i="32"/>
  <c r="D89" i="32"/>
  <c r="D91" i="32"/>
  <c r="J93" i="32"/>
  <c r="L93" i="32"/>
  <c r="D96" i="32"/>
  <c r="J99" i="32"/>
  <c r="M99" i="32"/>
  <c r="O99" i="32"/>
  <c r="P99" i="32"/>
  <c r="J100" i="32"/>
  <c r="M100" i="32"/>
  <c r="P100" i="32"/>
  <c r="J101" i="32"/>
  <c r="M101" i="32"/>
  <c r="P101" i="32"/>
  <c r="O102" i="32"/>
  <c r="M103" i="32"/>
  <c r="O103" i="32"/>
  <c r="O110" i="32"/>
  <c r="M111" i="32"/>
  <c r="O111" i="32"/>
  <c r="M112" i="32"/>
  <c r="O112" i="32"/>
  <c r="M113" i="32"/>
  <c r="O113" i="32"/>
  <c r="M114" i="32"/>
  <c r="O114" i="32"/>
  <c r="M115" i="32"/>
  <c r="O115" i="32"/>
  <c r="M116" i="32"/>
  <c r="O116" i="32"/>
  <c r="M117" i="32"/>
  <c r="O117" i="32"/>
  <c r="M118" i="32"/>
  <c r="O118" i="32"/>
  <c r="M119" i="32"/>
  <c r="O119" i="32"/>
  <c r="M120" i="32"/>
  <c r="O120" i="32"/>
  <c r="M121" i="32"/>
  <c r="O121" i="32"/>
  <c r="M122" i="32"/>
  <c r="O122" i="32"/>
  <c r="M123" i="32"/>
  <c r="O123" i="32"/>
  <c r="M124" i="32"/>
  <c r="O124" i="32"/>
  <c r="M125" i="32"/>
  <c r="O125" i="32"/>
  <c r="M126" i="32"/>
  <c r="O126" i="32"/>
  <c r="M127" i="32"/>
  <c r="O127" i="32"/>
  <c r="M128" i="32"/>
  <c r="O128" i="32"/>
  <c r="M129" i="32"/>
  <c r="O129" i="32"/>
  <c r="M130" i="32"/>
  <c r="O130" i="32"/>
  <c r="M131" i="32"/>
  <c r="O131" i="32"/>
  <c r="M132" i="32"/>
  <c r="O132" i="32"/>
  <c r="M133" i="32"/>
  <c r="O133" i="32"/>
  <c r="M134" i="32"/>
  <c r="O134" i="32"/>
  <c r="M135" i="32"/>
  <c r="O135" i="32"/>
  <c r="M136" i="32"/>
  <c r="O136" i="32"/>
  <c r="M137" i="32"/>
  <c r="O137" i="32"/>
  <c r="M138" i="32"/>
  <c r="O138" i="32"/>
  <c r="M139" i="32"/>
  <c r="O139" i="32"/>
  <c r="M140" i="32"/>
  <c r="O140" i="32"/>
  <c r="M141" i="32"/>
  <c r="O141" i="32"/>
  <c r="M142" i="32"/>
  <c r="O142" i="32"/>
  <c r="M143" i="32"/>
  <c r="O143" i="32"/>
  <c r="M144" i="32"/>
  <c r="O144" i="32"/>
  <c r="M145" i="32"/>
  <c r="O145" i="32"/>
  <c r="M146" i="32"/>
  <c r="O146" i="32"/>
  <c r="M147" i="32"/>
  <c r="O147" i="32"/>
  <c r="M148" i="32"/>
  <c r="O148" i="32"/>
  <c r="M149" i="32"/>
  <c r="O149" i="32"/>
  <c r="M150" i="32"/>
  <c r="O150" i="32"/>
  <c r="M151" i="32"/>
  <c r="O151" i="32"/>
  <c r="M152" i="32"/>
  <c r="O152" i="32"/>
  <c r="M153" i="32"/>
  <c r="O153" i="32"/>
  <c r="M154" i="32"/>
  <c r="O154" i="32"/>
  <c r="O3" i="31"/>
  <c r="K11" i="31"/>
  <c r="I17" i="31"/>
  <c r="L17" i="31"/>
  <c r="N17" i="31"/>
  <c r="O17" i="31"/>
  <c r="I18" i="31"/>
  <c r="L18" i="31"/>
  <c r="N18" i="31"/>
  <c r="O18" i="31"/>
  <c r="N19" i="31"/>
  <c r="O19" i="31" s="1"/>
  <c r="L20" i="31"/>
  <c r="N20" i="31"/>
  <c r="L21" i="31"/>
  <c r="N21" i="31"/>
  <c r="O28" i="31"/>
  <c r="N28" i="31"/>
  <c r="N29" i="31"/>
  <c r="L30" i="31"/>
  <c r="O30" i="31" s="1"/>
  <c r="N30" i="31"/>
  <c r="L31" i="31"/>
  <c r="N31" i="31"/>
  <c r="L32" i="31"/>
  <c r="N32" i="31"/>
  <c r="L33" i="31"/>
  <c r="N33" i="31"/>
  <c r="L34" i="31"/>
  <c r="N34" i="31"/>
  <c r="L35" i="31"/>
  <c r="N35" i="31"/>
  <c r="L36" i="31"/>
  <c r="O36" i="31" s="1"/>
  <c r="N36" i="31"/>
  <c r="L37" i="31"/>
  <c r="N37" i="31"/>
  <c r="L38" i="31"/>
  <c r="O38" i="31" s="1"/>
  <c r="N38" i="31"/>
  <c r="L39" i="31"/>
  <c r="N39" i="31"/>
  <c r="L40" i="31"/>
  <c r="N40" i="31"/>
  <c r="L41" i="31"/>
  <c r="N41" i="31"/>
  <c r="L42" i="31"/>
  <c r="O42" i="31" s="1"/>
  <c r="N42" i="31"/>
  <c r="L43" i="31"/>
  <c r="N43" i="31"/>
  <c r="L44" i="31"/>
  <c r="O44" i="31" s="1"/>
  <c r="N44" i="31"/>
  <c r="L45" i="31"/>
  <c r="N45" i="31"/>
  <c r="L46" i="31"/>
  <c r="N46" i="31"/>
  <c r="L47" i="31"/>
  <c r="N47" i="31"/>
  <c r="L48" i="31"/>
  <c r="O48" i="31" s="1"/>
  <c r="N48" i="31"/>
  <c r="L49" i="31"/>
  <c r="N49" i="31"/>
  <c r="L50" i="31"/>
  <c r="N50" i="31"/>
  <c r="L51" i="31"/>
  <c r="N51" i="31"/>
  <c r="L52" i="31"/>
  <c r="N52" i="31"/>
  <c r="L53" i="31"/>
  <c r="N53" i="31"/>
  <c r="L54" i="31"/>
  <c r="N54" i="31"/>
  <c r="L55" i="31"/>
  <c r="N55" i="31"/>
  <c r="L56" i="31"/>
  <c r="N56" i="31"/>
  <c r="L57" i="31"/>
  <c r="N57" i="31"/>
  <c r="L58" i="31"/>
  <c r="N58" i="31"/>
  <c r="L59" i="31"/>
  <c r="N59" i="31"/>
  <c r="L60" i="31"/>
  <c r="N60" i="31"/>
  <c r="L61" i="31"/>
  <c r="N61" i="31"/>
  <c r="L62" i="31"/>
  <c r="N62" i="31"/>
  <c r="L63" i="31"/>
  <c r="N63" i="31"/>
  <c r="L64" i="31"/>
  <c r="N64" i="31"/>
  <c r="L65" i="31"/>
  <c r="N65" i="31"/>
  <c r="L66" i="31"/>
  <c r="O66" i="31" s="1"/>
  <c r="N66" i="31"/>
  <c r="L67" i="31"/>
  <c r="N67" i="31"/>
  <c r="L68" i="31"/>
  <c r="O68" i="31" s="1"/>
  <c r="N68" i="31"/>
  <c r="L69" i="31"/>
  <c r="N69" i="31"/>
  <c r="L70" i="31"/>
  <c r="O70" i="31" s="1"/>
  <c r="N70" i="31"/>
  <c r="L71" i="31"/>
  <c r="N71" i="31"/>
  <c r="L72" i="31"/>
  <c r="N72" i="31"/>
  <c r="D89" i="31"/>
  <c r="D91" i="31"/>
  <c r="J93" i="31"/>
  <c r="L93" i="31"/>
  <c r="D96" i="31"/>
  <c r="J99" i="31"/>
  <c r="M99" i="31"/>
  <c r="O99" i="31"/>
  <c r="P99" i="31" s="1"/>
  <c r="J100" i="31"/>
  <c r="M100" i="31"/>
  <c r="P100" i="31"/>
  <c r="J101" i="31"/>
  <c r="M101" i="31"/>
  <c r="O101" i="31"/>
  <c r="P101" i="31"/>
  <c r="O102" i="31"/>
  <c r="M103" i="31"/>
  <c r="O103" i="31"/>
  <c r="O110" i="31"/>
  <c r="M111" i="31"/>
  <c r="O111" i="31"/>
  <c r="M112" i="31"/>
  <c r="O112" i="31"/>
  <c r="M113" i="31"/>
  <c r="O113" i="31"/>
  <c r="M114" i="31"/>
  <c r="O114" i="31"/>
  <c r="M115" i="31"/>
  <c r="O115" i="31"/>
  <c r="M116" i="31"/>
  <c r="O116" i="31"/>
  <c r="M117" i="31"/>
  <c r="O117" i="31"/>
  <c r="M118" i="31"/>
  <c r="O118" i="31"/>
  <c r="M119" i="31"/>
  <c r="O119" i="31"/>
  <c r="M120" i="31"/>
  <c r="O120" i="31"/>
  <c r="M121" i="31"/>
  <c r="O121" i="31"/>
  <c r="M122" i="31"/>
  <c r="O122" i="31"/>
  <c r="M123" i="31"/>
  <c r="O123" i="31"/>
  <c r="M124" i="31"/>
  <c r="O124" i="31"/>
  <c r="M125" i="31"/>
  <c r="O125" i="31"/>
  <c r="M126" i="31"/>
  <c r="O126" i="31"/>
  <c r="M127" i="31"/>
  <c r="O127" i="31"/>
  <c r="M128" i="31"/>
  <c r="O128" i="31"/>
  <c r="M129" i="31"/>
  <c r="O129" i="31"/>
  <c r="M130" i="31"/>
  <c r="O130" i="31"/>
  <c r="M131" i="31"/>
  <c r="O131" i="31"/>
  <c r="M132" i="31"/>
  <c r="O132" i="31"/>
  <c r="M133" i="31"/>
  <c r="O133" i="31"/>
  <c r="M134" i="31"/>
  <c r="O134" i="31"/>
  <c r="M135" i="31"/>
  <c r="O135" i="31"/>
  <c r="M136" i="31"/>
  <c r="O136" i="31"/>
  <c r="M137" i="31"/>
  <c r="O137" i="31"/>
  <c r="M138" i="31"/>
  <c r="O138" i="31"/>
  <c r="M139" i="31"/>
  <c r="O139" i="31"/>
  <c r="M140" i="31"/>
  <c r="O140" i="31"/>
  <c r="M141" i="31"/>
  <c r="O141" i="31"/>
  <c r="M142" i="31"/>
  <c r="O142" i="31"/>
  <c r="M143" i="31"/>
  <c r="O143" i="31"/>
  <c r="M144" i="31"/>
  <c r="O144" i="31"/>
  <c r="M145" i="31"/>
  <c r="O145" i="31"/>
  <c r="M146" i="31"/>
  <c r="O146" i="31"/>
  <c r="M147" i="31"/>
  <c r="O147" i="31"/>
  <c r="M148" i="31"/>
  <c r="O148" i="31"/>
  <c r="M149" i="31"/>
  <c r="O149" i="31"/>
  <c r="M150" i="31"/>
  <c r="O150" i="31"/>
  <c r="M151" i="31"/>
  <c r="O151" i="31"/>
  <c r="M152" i="31"/>
  <c r="O152" i="31"/>
  <c r="M153" i="31"/>
  <c r="O153" i="31"/>
  <c r="M154" i="31"/>
  <c r="O154" i="31"/>
  <c r="O3" i="30"/>
  <c r="K11" i="30"/>
  <c r="I17" i="30"/>
  <c r="L17" i="30"/>
  <c r="N17" i="30"/>
  <c r="O17" i="30" s="1"/>
  <c r="I18" i="30"/>
  <c r="L18" i="30"/>
  <c r="N18" i="30"/>
  <c r="O18" i="30" s="1"/>
  <c r="I19" i="30"/>
  <c r="L19" i="30"/>
  <c r="N19" i="30"/>
  <c r="O19" i="30" s="1"/>
  <c r="L20" i="30"/>
  <c r="O20" i="30" s="1"/>
  <c r="N20" i="30"/>
  <c r="L21" i="30"/>
  <c r="N21" i="30"/>
  <c r="L22" i="30"/>
  <c r="N22" i="30"/>
  <c r="N29" i="30"/>
  <c r="O29" i="30" s="1"/>
  <c r="N30" i="30"/>
  <c r="L31" i="30"/>
  <c r="N31" i="30"/>
  <c r="L32" i="30"/>
  <c r="N32" i="30"/>
  <c r="L33" i="30"/>
  <c r="N33" i="30"/>
  <c r="L34" i="30"/>
  <c r="N34" i="30"/>
  <c r="L35" i="30"/>
  <c r="N35" i="30"/>
  <c r="L36" i="30"/>
  <c r="N36" i="30"/>
  <c r="L37" i="30"/>
  <c r="N37" i="30"/>
  <c r="L38" i="30"/>
  <c r="N38" i="30"/>
  <c r="L39" i="30"/>
  <c r="N39" i="30"/>
  <c r="L40" i="30"/>
  <c r="N40" i="30"/>
  <c r="L41" i="30"/>
  <c r="N41" i="30"/>
  <c r="L42" i="30"/>
  <c r="N42" i="30"/>
  <c r="L43" i="30"/>
  <c r="N43" i="30"/>
  <c r="L44" i="30"/>
  <c r="N44" i="30"/>
  <c r="L45" i="30"/>
  <c r="N45" i="30"/>
  <c r="L46" i="30"/>
  <c r="N46" i="30"/>
  <c r="L47" i="30"/>
  <c r="N47" i="30"/>
  <c r="L48" i="30"/>
  <c r="N48" i="30"/>
  <c r="L49" i="30"/>
  <c r="N49" i="30"/>
  <c r="L50" i="30"/>
  <c r="N50" i="30"/>
  <c r="L51" i="30"/>
  <c r="N51" i="30"/>
  <c r="L52" i="30"/>
  <c r="N52" i="30"/>
  <c r="L53" i="30"/>
  <c r="N53" i="30"/>
  <c r="L54" i="30"/>
  <c r="N54" i="30"/>
  <c r="L55" i="30"/>
  <c r="N55" i="30"/>
  <c r="L56" i="30"/>
  <c r="N56" i="30"/>
  <c r="L57" i="30"/>
  <c r="N57" i="30"/>
  <c r="L58" i="30"/>
  <c r="N58" i="30"/>
  <c r="L59" i="30"/>
  <c r="N59" i="30"/>
  <c r="L60" i="30"/>
  <c r="N60" i="30"/>
  <c r="L61" i="30"/>
  <c r="N61" i="30"/>
  <c r="L62" i="30"/>
  <c r="N62" i="30"/>
  <c r="L63" i="30"/>
  <c r="N63" i="30"/>
  <c r="L64" i="30"/>
  <c r="N64" i="30"/>
  <c r="L65" i="30"/>
  <c r="N65" i="30"/>
  <c r="L66" i="30"/>
  <c r="N66" i="30"/>
  <c r="L67" i="30"/>
  <c r="N67" i="30"/>
  <c r="L68" i="30"/>
  <c r="N68" i="30"/>
  <c r="L69" i="30"/>
  <c r="N69" i="30"/>
  <c r="L70" i="30"/>
  <c r="N70" i="30"/>
  <c r="L71" i="30"/>
  <c r="N71" i="30"/>
  <c r="L72" i="30"/>
  <c r="N72" i="30"/>
  <c r="D89" i="30"/>
  <c r="D91" i="30"/>
  <c r="J93" i="30"/>
  <c r="L93" i="30"/>
  <c r="D96" i="30"/>
  <c r="J99" i="30"/>
  <c r="M99" i="30"/>
  <c r="P99" i="30"/>
  <c r="O99" i="30"/>
  <c r="J100" i="30"/>
  <c r="M100" i="30"/>
  <c r="P100" i="30"/>
  <c r="O100" i="30"/>
  <c r="J101" i="30"/>
  <c r="O101" i="30"/>
  <c r="P101" i="30"/>
  <c r="J102" i="30"/>
  <c r="M102" i="30"/>
  <c r="P102" i="30"/>
  <c r="O103" i="30"/>
  <c r="M104" i="30"/>
  <c r="O104" i="30"/>
  <c r="O111" i="30"/>
  <c r="M112" i="30"/>
  <c r="O112" i="30"/>
  <c r="M113" i="30"/>
  <c r="O113" i="30"/>
  <c r="M114" i="30"/>
  <c r="O114" i="30"/>
  <c r="M115" i="30"/>
  <c r="O115" i="30"/>
  <c r="M116" i="30"/>
  <c r="O116" i="30"/>
  <c r="M117" i="30"/>
  <c r="O117" i="30"/>
  <c r="M118" i="30"/>
  <c r="O118" i="30"/>
  <c r="M119" i="30"/>
  <c r="O119" i="30"/>
  <c r="M120" i="30"/>
  <c r="O120" i="30"/>
  <c r="M121" i="30"/>
  <c r="O121" i="30"/>
  <c r="M122" i="30"/>
  <c r="O122" i="30"/>
  <c r="M123" i="30"/>
  <c r="O123" i="30"/>
  <c r="M124" i="30"/>
  <c r="O124" i="30"/>
  <c r="M125" i="30"/>
  <c r="O125" i="30"/>
  <c r="M126" i="30"/>
  <c r="O126" i="30"/>
  <c r="M127" i="30"/>
  <c r="O127" i="30"/>
  <c r="M128" i="30"/>
  <c r="O128" i="30"/>
  <c r="M129" i="30"/>
  <c r="O129" i="30"/>
  <c r="M130" i="30"/>
  <c r="O130" i="30"/>
  <c r="M131" i="30"/>
  <c r="O131" i="30"/>
  <c r="M132" i="30"/>
  <c r="O132" i="30"/>
  <c r="M133" i="30"/>
  <c r="O133" i="30"/>
  <c r="M134" i="30"/>
  <c r="O134" i="30"/>
  <c r="M135" i="30"/>
  <c r="O135" i="30"/>
  <c r="M136" i="30"/>
  <c r="O136" i="30"/>
  <c r="M137" i="30"/>
  <c r="O137" i="30"/>
  <c r="M138" i="30"/>
  <c r="O138" i="30"/>
  <c r="M139" i="30"/>
  <c r="O139" i="30"/>
  <c r="M140" i="30"/>
  <c r="O140" i="30"/>
  <c r="M141" i="30"/>
  <c r="O141" i="30"/>
  <c r="M142" i="30"/>
  <c r="O142" i="30"/>
  <c r="M143" i="30"/>
  <c r="O143" i="30"/>
  <c r="M144" i="30"/>
  <c r="O144" i="30"/>
  <c r="M145" i="30"/>
  <c r="O145" i="30"/>
  <c r="M146" i="30"/>
  <c r="O146" i="30"/>
  <c r="M147" i="30"/>
  <c r="O147" i="30"/>
  <c r="M148" i="30"/>
  <c r="O148" i="30"/>
  <c r="M149" i="30"/>
  <c r="O149" i="30"/>
  <c r="M150" i="30"/>
  <c r="O150" i="30"/>
  <c r="M151" i="30"/>
  <c r="O151" i="30"/>
  <c r="M152" i="30"/>
  <c r="O152" i="30"/>
  <c r="M153" i="30"/>
  <c r="O153" i="30"/>
  <c r="M154" i="30"/>
  <c r="O154" i="30"/>
  <c r="O3" i="29"/>
  <c r="K11" i="29"/>
  <c r="I17" i="29"/>
  <c r="L17" i="29"/>
  <c r="N17" i="29"/>
  <c r="I18" i="29"/>
  <c r="L18" i="29"/>
  <c r="N18" i="29"/>
  <c r="I19" i="29"/>
  <c r="L20" i="29"/>
  <c r="O20" i="29" s="1"/>
  <c r="N20" i="29"/>
  <c r="L21" i="29"/>
  <c r="N21" i="29"/>
  <c r="L22" i="29"/>
  <c r="N22" i="29"/>
  <c r="O22" i="29" s="1"/>
  <c r="O29" i="29"/>
  <c r="N30" i="29"/>
  <c r="L31" i="29"/>
  <c r="N31" i="29"/>
  <c r="L32" i="29"/>
  <c r="N32" i="29"/>
  <c r="L33" i="29"/>
  <c r="N33" i="29"/>
  <c r="L34" i="29"/>
  <c r="N34" i="29"/>
  <c r="L35" i="29"/>
  <c r="N35" i="29"/>
  <c r="L36" i="29"/>
  <c r="N36" i="29"/>
  <c r="L37" i="29"/>
  <c r="N37" i="29"/>
  <c r="L38" i="29"/>
  <c r="N38" i="29"/>
  <c r="L39" i="29"/>
  <c r="N39" i="29"/>
  <c r="L40" i="29"/>
  <c r="N40" i="29"/>
  <c r="L41" i="29"/>
  <c r="N41" i="29"/>
  <c r="L42" i="29"/>
  <c r="N42" i="29"/>
  <c r="L43" i="29"/>
  <c r="N43" i="29"/>
  <c r="L44" i="29"/>
  <c r="N44" i="29"/>
  <c r="L45" i="29"/>
  <c r="N45" i="29"/>
  <c r="L46" i="29"/>
  <c r="N46" i="29"/>
  <c r="L47" i="29"/>
  <c r="N47" i="29"/>
  <c r="L48" i="29"/>
  <c r="N48" i="29"/>
  <c r="L49" i="29"/>
  <c r="N49" i="29"/>
  <c r="L50" i="29"/>
  <c r="N50" i="29"/>
  <c r="L51" i="29"/>
  <c r="N51" i="29"/>
  <c r="L52" i="29"/>
  <c r="N52" i="29"/>
  <c r="L53" i="29"/>
  <c r="N53" i="29"/>
  <c r="L54" i="29"/>
  <c r="N54" i="29"/>
  <c r="L55" i="29"/>
  <c r="N55" i="29"/>
  <c r="L56" i="29"/>
  <c r="N56" i="29"/>
  <c r="L57" i="29"/>
  <c r="N57" i="29"/>
  <c r="L58" i="29"/>
  <c r="N58" i="29"/>
  <c r="L59" i="29"/>
  <c r="N59" i="29"/>
  <c r="L60" i="29"/>
  <c r="N60" i="29"/>
  <c r="L61" i="29"/>
  <c r="N61" i="29"/>
  <c r="L62" i="29"/>
  <c r="O62" i="29" s="1"/>
  <c r="N62" i="29"/>
  <c r="L63" i="29"/>
  <c r="N63" i="29"/>
  <c r="L64" i="29"/>
  <c r="N64" i="29"/>
  <c r="L65" i="29"/>
  <c r="N65" i="29"/>
  <c r="L66" i="29"/>
  <c r="N66" i="29"/>
  <c r="L67" i="29"/>
  <c r="N67" i="29"/>
  <c r="L68" i="29"/>
  <c r="N68" i="29"/>
  <c r="L69" i="29"/>
  <c r="N69" i="29"/>
  <c r="L70" i="29"/>
  <c r="N70" i="29"/>
  <c r="L71" i="29"/>
  <c r="N71" i="29"/>
  <c r="L72" i="29"/>
  <c r="N72" i="29"/>
  <c r="D89" i="29"/>
  <c r="D91" i="29"/>
  <c r="J93" i="29"/>
  <c r="L93" i="29"/>
  <c r="D96" i="29"/>
  <c r="J99" i="29"/>
  <c r="M99" i="29"/>
  <c r="O99" i="29"/>
  <c r="J100" i="29"/>
  <c r="M100" i="29"/>
  <c r="O100" i="29"/>
  <c r="J101" i="29"/>
  <c r="O101" i="29"/>
  <c r="P101" i="29" s="1"/>
  <c r="J102" i="29"/>
  <c r="M102" i="29"/>
  <c r="O102" i="29"/>
  <c r="P102" i="29" s="1"/>
  <c r="M103" i="29"/>
  <c r="O103" i="29"/>
  <c r="M104" i="29"/>
  <c r="O104" i="29"/>
  <c r="P104" i="29"/>
  <c r="O111" i="29"/>
  <c r="M112" i="29"/>
  <c r="O112" i="29"/>
  <c r="M113" i="29"/>
  <c r="O113" i="29"/>
  <c r="M114" i="29"/>
  <c r="O114" i="29"/>
  <c r="M115" i="29"/>
  <c r="O115" i="29"/>
  <c r="M116" i="29"/>
  <c r="O116" i="29"/>
  <c r="M117" i="29"/>
  <c r="O117" i="29"/>
  <c r="M118" i="29"/>
  <c r="O118" i="29"/>
  <c r="M119" i="29"/>
  <c r="O119" i="29"/>
  <c r="M120" i="29"/>
  <c r="O120" i="29"/>
  <c r="M121" i="29"/>
  <c r="O121" i="29"/>
  <c r="M122" i="29"/>
  <c r="O122" i="29"/>
  <c r="M123" i="29"/>
  <c r="O123" i="29"/>
  <c r="M124" i="29"/>
  <c r="O124" i="29"/>
  <c r="M125" i="29"/>
  <c r="O125" i="29"/>
  <c r="M126" i="29"/>
  <c r="O126" i="29"/>
  <c r="M127" i="29"/>
  <c r="O127" i="29"/>
  <c r="M128" i="29"/>
  <c r="O128" i="29"/>
  <c r="M129" i="29"/>
  <c r="O129" i="29"/>
  <c r="M130" i="29"/>
  <c r="O130" i="29"/>
  <c r="M131" i="29"/>
  <c r="O131" i="29"/>
  <c r="M132" i="29"/>
  <c r="O132" i="29"/>
  <c r="M133" i="29"/>
  <c r="O133" i="29"/>
  <c r="M134" i="29"/>
  <c r="O134" i="29"/>
  <c r="M135" i="29"/>
  <c r="O135" i="29"/>
  <c r="M136" i="29"/>
  <c r="O136" i="29"/>
  <c r="M137" i="29"/>
  <c r="O137" i="29"/>
  <c r="M138" i="29"/>
  <c r="O138" i="29"/>
  <c r="M139" i="29"/>
  <c r="O139" i="29"/>
  <c r="M140" i="29"/>
  <c r="O140" i="29"/>
  <c r="M141" i="29"/>
  <c r="O141" i="29"/>
  <c r="M142" i="29"/>
  <c r="O142" i="29"/>
  <c r="M143" i="29"/>
  <c r="O143" i="29"/>
  <c r="M144" i="29"/>
  <c r="O144" i="29"/>
  <c r="M145" i="29"/>
  <c r="O145" i="29"/>
  <c r="M146" i="29"/>
  <c r="O146" i="29"/>
  <c r="M147" i="29"/>
  <c r="O147" i="29"/>
  <c r="M148" i="29"/>
  <c r="O148" i="29"/>
  <c r="M149" i="29"/>
  <c r="O149" i="29"/>
  <c r="M150" i="29"/>
  <c r="O150" i="29"/>
  <c r="M151" i="29"/>
  <c r="O151" i="29"/>
  <c r="M152" i="29"/>
  <c r="O152" i="29"/>
  <c r="M153" i="29"/>
  <c r="O153" i="29"/>
  <c r="M154" i="29"/>
  <c r="O154" i="29"/>
  <c r="O3" i="28"/>
  <c r="K11" i="28"/>
  <c r="I17" i="28"/>
  <c r="L17" i="28"/>
  <c r="N17" i="28"/>
  <c r="I18" i="28"/>
  <c r="L18" i="28"/>
  <c r="N18" i="28"/>
  <c r="I19" i="28"/>
  <c r="L19" i="28"/>
  <c r="N19" i="28"/>
  <c r="O19" i="28" s="1"/>
  <c r="I20" i="28"/>
  <c r="L20" i="28"/>
  <c r="N20" i="28"/>
  <c r="L21" i="28"/>
  <c r="O21" i="28" s="1"/>
  <c r="L22" i="28"/>
  <c r="N22" i="28"/>
  <c r="O22" i="28" s="1"/>
  <c r="L23" i="28"/>
  <c r="N23" i="28"/>
  <c r="N30" i="28"/>
  <c r="N31" i="28"/>
  <c r="L32" i="28"/>
  <c r="N32" i="28"/>
  <c r="L33" i="28"/>
  <c r="N33" i="28"/>
  <c r="L34" i="28"/>
  <c r="N34" i="28"/>
  <c r="L35" i="28"/>
  <c r="N35" i="28"/>
  <c r="L36" i="28"/>
  <c r="N36" i="28"/>
  <c r="L37" i="28"/>
  <c r="N37" i="28"/>
  <c r="L38" i="28"/>
  <c r="N38" i="28"/>
  <c r="L39" i="28"/>
  <c r="N39" i="28"/>
  <c r="L40" i="28"/>
  <c r="N40" i="28"/>
  <c r="L41" i="28"/>
  <c r="N41" i="28"/>
  <c r="L42" i="28"/>
  <c r="N42" i="28"/>
  <c r="L43" i="28"/>
  <c r="N43" i="28"/>
  <c r="L44" i="28"/>
  <c r="N44" i="28"/>
  <c r="L45" i="28"/>
  <c r="N45" i="28"/>
  <c r="L46" i="28"/>
  <c r="N46" i="28"/>
  <c r="L47" i="28"/>
  <c r="N47" i="28"/>
  <c r="L48" i="28"/>
  <c r="N48" i="28"/>
  <c r="L49" i="28"/>
  <c r="N49" i="28"/>
  <c r="L50" i="28"/>
  <c r="N50" i="28"/>
  <c r="L51" i="28"/>
  <c r="N51" i="28"/>
  <c r="L52" i="28"/>
  <c r="N52" i="28"/>
  <c r="L53" i="28"/>
  <c r="N53" i="28"/>
  <c r="L54" i="28"/>
  <c r="N54" i="28"/>
  <c r="L55" i="28"/>
  <c r="N55" i="28"/>
  <c r="L56" i="28"/>
  <c r="N56" i="28"/>
  <c r="L57" i="28"/>
  <c r="N57" i="28"/>
  <c r="L58" i="28"/>
  <c r="N58" i="28"/>
  <c r="L59" i="28"/>
  <c r="N59" i="28"/>
  <c r="L60" i="28"/>
  <c r="N60" i="28"/>
  <c r="L61" i="28"/>
  <c r="N61" i="28"/>
  <c r="L62" i="28"/>
  <c r="N62" i="28"/>
  <c r="L63" i="28"/>
  <c r="N63" i="28"/>
  <c r="L64" i="28"/>
  <c r="N64" i="28"/>
  <c r="L65" i="28"/>
  <c r="N65" i="28"/>
  <c r="L66" i="28"/>
  <c r="N66" i="28"/>
  <c r="L67" i="28"/>
  <c r="N67" i="28"/>
  <c r="L68" i="28"/>
  <c r="N68" i="28"/>
  <c r="L69" i="28"/>
  <c r="N69" i="28"/>
  <c r="L70" i="28"/>
  <c r="N70" i="28"/>
  <c r="L71" i="28"/>
  <c r="N71" i="28"/>
  <c r="L72" i="28"/>
  <c r="N72" i="28"/>
  <c r="D89" i="28"/>
  <c r="D91" i="28"/>
  <c r="J93" i="28"/>
  <c r="L93" i="28"/>
  <c r="D96" i="28"/>
  <c r="J99" i="28"/>
  <c r="M99" i="28"/>
  <c r="P99" i="28" s="1"/>
  <c r="O99" i="28"/>
  <c r="J100" i="28"/>
  <c r="P100" i="28"/>
  <c r="J101" i="28"/>
  <c r="J102" i="28"/>
  <c r="M102" i="28"/>
  <c r="P102" i="28"/>
  <c r="J103" i="28"/>
  <c r="M103" i="28"/>
  <c r="M104" i="28"/>
  <c r="P104" i="28" s="1"/>
  <c r="O104" i="28"/>
  <c r="M105" i="28"/>
  <c r="O105" i="28"/>
  <c r="P105" i="28" s="1"/>
  <c r="O112" i="28"/>
  <c r="M113" i="28"/>
  <c r="O113" i="28"/>
  <c r="M114" i="28"/>
  <c r="O114" i="28"/>
  <c r="M115" i="28"/>
  <c r="O115" i="28"/>
  <c r="M116" i="28"/>
  <c r="O116" i="28"/>
  <c r="M117" i="28"/>
  <c r="O117" i="28"/>
  <c r="M118" i="28"/>
  <c r="O118" i="28"/>
  <c r="M119" i="28"/>
  <c r="O119" i="28"/>
  <c r="M120" i="28"/>
  <c r="O120" i="28"/>
  <c r="M121" i="28"/>
  <c r="O121" i="28"/>
  <c r="M122" i="28"/>
  <c r="O122" i="28"/>
  <c r="M123" i="28"/>
  <c r="O123" i="28"/>
  <c r="M124" i="28"/>
  <c r="O124" i="28"/>
  <c r="M125" i="28"/>
  <c r="O125" i="28"/>
  <c r="M126" i="28"/>
  <c r="O126" i="28"/>
  <c r="M127" i="28"/>
  <c r="O127" i="28"/>
  <c r="M128" i="28"/>
  <c r="O128" i="28"/>
  <c r="M129" i="28"/>
  <c r="O129" i="28"/>
  <c r="M130" i="28"/>
  <c r="O130" i="28"/>
  <c r="M131" i="28"/>
  <c r="O131" i="28"/>
  <c r="M132" i="28"/>
  <c r="O132" i="28"/>
  <c r="M133" i="28"/>
  <c r="O133" i="28"/>
  <c r="M134" i="28"/>
  <c r="O134" i="28"/>
  <c r="M135" i="28"/>
  <c r="O135" i="28"/>
  <c r="M136" i="28"/>
  <c r="O136" i="28"/>
  <c r="M137" i="28"/>
  <c r="O137" i="28"/>
  <c r="M138" i="28"/>
  <c r="O138" i="28"/>
  <c r="M139" i="28"/>
  <c r="O139" i="28"/>
  <c r="M140" i="28"/>
  <c r="O140" i="28"/>
  <c r="M141" i="28"/>
  <c r="O141" i="28"/>
  <c r="M142" i="28"/>
  <c r="O142" i="28"/>
  <c r="M143" i="28"/>
  <c r="O143" i="28"/>
  <c r="M144" i="28"/>
  <c r="O144" i="28"/>
  <c r="M145" i="28"/>
  <c r="O145" i="28"/>
  <c r="M146" i="28"/>
  <c r="O146" i="28"/>
  <c r="M147" i="28"/>
  <c r="O147" i="28"/>
  <c r="M148" i="28"/>
  <c r="O148" i="28"/>
  <c r="M149" i="28"/>
  <c r="O149" i="28"/>
  <c r="M150" i="28"/>
  <c r="O150" i="28"/>
  <c r="M151" i="28"/>
  <c r="O151" i="28"/>
  <c r="M152" i="28"/>
  <c r="O152" i="28"/>
  <c r="M153" i="28"/>
  <c r="O153" i="28"/>
  <c r="M154" i="28"/>
  <c r="O154" i="28"/>
  <c r="O3" i="27"/>
  <c r="K11" i="27"/>
  <c r="I17" i="27"/>
  <c r="L17" i="27"/>
  <c r="O17" i="27"/>
  <c r="N17" i="27"/>
  <c r="I18" i="27"/>
  <c r="L18" i="27"/>
  <c r="O18" i="27"/>
  <c r="N18" i="27"/>
  <c r="I19" i="27"/>
  <c r="L19" i="27"/>
  <c r="N19" i="27"/>
  <c r="O19" i="27" s="1"/>
  <c r="L20" i="27"/>
  <c r="N20" i="27"/>
  <c r="O20" i="27" s="1"/>
  <c r="L21" i="27"/>
  <c r="N21" i="27"/>
  <c r="O21" i="27" s="1"/>
  <c r="L22" i="27"/>
  <c r="N22" i="27"/>
  <c r="O22" i="27" s="1"/>
  <c r="N29" i="27"/>
  <c r="N30" i="27"/>
  <c r="L31" i="27"/>
  <c r="N31" i="27"/>
  <c r="L32" i="27"/>
  <c r="N32" i="27"/>
  <c r="L33" i="27"/>
  <c r="N33" i="27"/>
  <c r="O33" i="27" s="1"/>
  <c r="L34" i="27"/>
  <c r="N34" i="27"/>
  <c r="L35" i="27"/>
  <c r="N35" i="27"/>
  <c r="L36" i="27"/>
  <c r="N36" i="27"/>
  <c r="L37" i="27"/>
  <c r="N37" i="27"/>
  <c r="L38" i="27"/>
  <c r="N38" i="27"/>
  <c r="L39" i="27"/>
  <c r="N39" i="27"/>
  <c r="L40" i="27"/>
  <c r="N40" i="27"/>
  <c r="L41" i="27"/>
  <c r="N41" i="27"/>
  <c r="O41" i="27" s="1"/>
  <c r="L42" i="27"/>
  <c r="N42" i="27"/>
  <c r="O42" i="27" s="1"/>
  <c r="L43" i="27"/>
  <c r="N43" i="27"/>
  <c r="O43" i="27" s="1"/>
  <c r="L44" i="27"/>
  <c r="N44" i="27"/>
  <c r="O44" i="27" s="1"/>
  <c r="C45" i="27"/>
  <c r="C46" i="27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 s="1"/>
  <c r="C72" i="27" s="1"/>
  <c r="L45" i="27"/>
  <c r="N45" i="27"/>
  <c r="L46" i="27"/>
  <c r="N46" i="27"/>
  <c r="O46" i="27" s="1"/>
  <c r="L47" i="27"/>
  <c r="N47" i="27"/>
  <c r="L48" i="27"/>
  <c r="N48" i="27"/>
  <c r="L49" i="27"/>
  <c r="N49" i="27"/>
  <c r="L50" i="27"/>
  <c r="N50" i="27"/>
  <c r="O50" i="27" s="1"/>
  <c r="L51" i="27"/>
  <c r="N51" i="27"/>
  <c r="L52" i="27"/>
  <c r="N52" i="27"/>
  <c r="O52" i="27" s="1"/>
  <c r="L53" i="27"/>
  <c r="N53" i="27"/>
  <c r="O53" i="27" s="1"/>
  <c r="L54" i="27"/>
  <c r="N54" i="27"/>
  <c r="O54" i="27" s="1"/>
  <c r="L55" i="27"/>
  <c r="N55" i="27"/>
  <c r="L56" i="27"/>
  <c r="N56" i="27"/>
  <c r="O56" i="27" s="1"/>
  <c r="L57" i="27"/>
  <c r="N57" i="27"/>
  <c r="L58" i="27"/>
  <c r="N58" i="27"/>
  <c r="O58" i="27" s="1"/>
  <c r="L59" i="27"/>
  <c r="N59" i="27"/>
  <c r="L60" i="27"/>
  <c r="N60" i="27"/>
  <c r="L61" i="27"/>
  <c r="N61" i="27"/>
  <c r="O61" i="27" s="1"/>
  <c r="L62" i="27"/>
  <c r="N62" i="27"/>
  <c r="O62" i="27" s="1"/>
  <c r="L63" i="27"/>
  <c r="N63" i="27"/>
  <c r="L64" i="27"/>
  <c r="N64" i="27"/>
  <c r="O64" i="27" s="1"/>
  <c r="L65" i="27"/>
  <c r="N65" i="27"/>
  <c r="L66" i="27"/>
  <c r="N66" i="27"/>
  <c r="O66" i="27" s="1"/>
  <c r="L67" i="27"/>
  <c r="N67" i="27"/>
  <c r="L68" i="27"/>
  <c r="N68" i="27"/>
  <c r="O68" i="27" s="1"/>
  <c r="L69" i="27"/>
  <c r="N69" i="27"/>
  <c r="L70" i="27"/>
  <c r="N70" i="27"/>
  <c r="O70" i="27" s="1"/>
  <c r="L71" i="27"/>
  <c r="N71" i="27"/>
  <c r="L72" i="27"/>
  <c r="N72" i="27"/>
  <c r="D89" i="27"/>
  <c r="D91" i="27"/>
  <c r="J93" i="27"/>
  <c r="L93" i="27"/>
  <c r="D96" i="27"/>
  <c r="J99" i="27"/>
  <c r="M99" i="27"/>
  <c r="O99" i="27"/>
  <c r="P99" i="27"/>
  <c r="J100" i="27"/>
  <c r="M100" i="27"/>
  <c r="O100" i="27"/>
  <c r="P100" i="27"/>
  <c r="J101" i="27"/>
  <c r="M101" i="27"/>
  <c r="P101" i="27" s="1"/>
  <c r="J102" i="27"/>
  <c r="M102" i="27"/>
  <c r="O102" i="27"/>
  <c r="P102" i="27" s="1"/>
  <c r="M103" i="27"/>
  <c r="P103" i="27" s="1"/>
  <c r="O103" i="27"/>
  <c r="M104" i="27"/>
  <c r="O104" i="27"/>
  <c r="O111" i="27"/>
  <c r="M112" i="27"/>
  <c r="O112" i="27"/>
  <c r="M113" i="27"/>
  <c r="O113" i="27"/>
  <c r="M114" i="27"/>
  <c r="O114" i="27"/>
  <c r="M115" i="27"/>
  <c r="O115" i="27"/>
  <c r="M116" i="27"/>
  <c r="O116" i="27"/>
  <c r="M117" i="27"/>
  <c r="O117" i="27"/>
  <c r="M118" i="27"/>
  <c r="O118" i="27"/>
  <c r="M119" i="27"/>
  <c r="O119" i="27"/>
  <c r="M120" i="27"/>
  <c r="O120" i="27"/>
  <c r="M121" i="27"/>
  <c r="O121" i="27"/>
  <c r="M122" i="27"/>
  <c r="O122" i="27"/>
  <c r="M123" i="27"/>
  <c r="O123" i="27"/>
  <c r="M124" i="27"/>
  <c r="O124" i="27"/>
  <c r="M125" i="27"/>
  <c r="O125" i="27"/>
  <c r="M126" i="27"/>
  <c r="O126" i="27"/>
  <c r="M127" i="27"/>
  <c r="O127" i="27"/>
  <c r="M128" i="27"/>
  <c r="O128" i="27"/>
  <c r="M129" i="27"/>
  <c r="O129" i="27"/>
  <c r="M130" i="27"/>
  <c r="O130" i="27"/>
  <c r="M131" i="27"/>
  <c r="O131" i="27"/>
  <c r="M132" i="27"/>
  <c r="O132" i="27"/>
  <c r="M133" i="27"/>
  <c r="O133" i="27"/>
  <c r="M134" i="27"/>
  <c r="O134" i="27"/>
  <c r="M135" i="27"/>
  <c r="O135" i="27"/>
  <c r="M136" i="27"/>
  <c r="O136" i="27"/>
  <c r="M137" i="27"/>
  <c r="O137" i="27"/>
  <c r="M138" i="27"/>
  <c r="O138" i="27"/>
  <c r="M139" i="27"/>
  <c r="O139" i="27"/>
  <c r="M140" i="27"/>
  <c r="O140" i="27"/>
  <c r="M141" i="27"/>
  <c r="O141" i="27"/>
  <c r="M142" i="27"/>
  <c r="O142" i="27"/>
  <c r="M143" i="27"/>
  <c r="O143" i="27"/>
  <c r="M144" i="27"/>
  <c r="O144" i="27"/>
  <c r="M145" i="27"/>
  <c r="O145" i="27"/>
  <c r="M146" i="27"/>
  <c r="O146" i="27"/>
  <c r="M147" i="27"/>
  <c r="O147" i="27"/>
  <c r="M148" i="27"/>
  <c r="O148" i="27"/>
  <c r="M149" i="27"/>
  <c r="O149" i="27"/>
  <c r="M150" i="27"/>
  <c r="O150" i="27"/>
  <c r="M151" i="27"/>
  <c r="O151" i="27"/>
  <c r="M152" i="27"/>
  <c r="O152" i="27"/>
  <c r="M153" i="27"/>
  <c r="O153" i="27"/>
  <c r="M154" i="27"/>
  <c r="O154" i="27"/>
  <c r="O3" i="26"/>
  <c r="K11" i="26"/>
  <c r="L18" i="26"/>
  <c r="N18" i="26"/>
  <c r="L19" i="26"/>
  <c r="N19" i="26"/>
  <c r="L20" i="26"/>
  <c r="O20" i="26" s="1"/>
  <c r="N20" i="26"/>
  <c r="L21" i="26"/>
  <c r="N21" i="26"/>
  <c r="L22" i="26"/>
  <c r="N22" i="26"/>
  <c r="L23" i="26"/>
  <c r="N23" i="26"/>
  <c r="L24" i="26"/>
  <c r="N24" i="26"/>
  <c r="L25" i="26"/>
  <c r="N25" i="26"/>
  <c r="L26" i="26"/>
  <c r="N26" i="26"/>
  <c r="L27" i="26"/>
  <c r="N27" i="26"/>
  <c r="L28" i="26"/>
  <c r="N28" i="26"/>
  <c r="L29" i="26"/>
  <c r="N29" i="26"/>
  <c r="L30" i="26"/>
  <c r="N30" i="26"/>
  <c r="L31" i="26"/>
  <c r="N31" i="26"/>
  <c r="L32" i="26"/>
  <c r="N32" i="26"/>
  <c r="L33" i="26"/>
  <c r="N33" i="26"/>
  <c r="L34" i="26"/>
  <c r="N34" i="26"/>
  <c r="L35" i="26"/>
  <c r="N35" i="26"/>
  <c r="L36" i="26"/>
  <c r="N36" i="26"/>
  <c r="L37" i="26"/>
  <c r="N37" i="26"/>
  <c r="L38" i="26"/>
  <c r="N38" i="26"/>
  <c r="L39" i="26"/>
  <c r="N39" i="26"/>
  <c r="L40" i="26"/>
  <c r="N40" i="26"/>
  <c r="L41" i="26"/>
  <c r="N41" i="26"/>
  <c r="L42" i="26"/>
  <c r="N42" i="26"/>
  <c r="L43" i="26"/>
  <c r="N43" i="26"/>
  <c r="L44" i="26"/>
  <c r="N44" i="26"/>
  <c r="L45" i="26"/>
  <c r="N45" i="26"/>
  <c r="L46" i="26"/>
  <c r="O46" i="26" s="1"/>
  <c r="N46" i="26"/>
  <c r="L47" i="26"/>
  <c r="N47" i="26"/>
  <c r="L48" i="26"/>
  <c r="N48" i="26"/>
  <c r="L49" i="26"/>
  <c r="N49" i="26"/>
  <c r="L50" i="26"/>
  <c r="N50" i="26"/>
  <c r="L51" i="26"/>
  <c r="N51" i="26"/>
  <c r="L52" i="26"/>
  <c r="N52" i="26"/>
  <c r="L53" i="26"/>
  <c r="N53" i="26"/>
  <c r="L54" i="26"/>
  <c r="N54" i="26"/>
  <c r="L55" i="26"/>
  <c r="N55" i="26"/>
  <c r="L56" i="26"/>
  <c r="N56" i="26"/>
  <c r="L57" i="26"/>
  <c r="N57" i="26"/>
  <c r="L58" i="26"/>
  <c r="N58" i="26"/>
  <c r="L59" i="26"/>
  <c r="N59" i="26"/>
  <c r="L60" i="26"/>
  <c r="N60" i="26"/>
  <c r="L61" i="26"/>
  <c r="N61" i="26"/>
  <c r="L62" i="26"/>
  <c r="N62" i="26"/>
  <c r="L63" i="26"/>
  <c r="N63" i="26"/>
  <c r="L64" i="26"/>
  <c r="N64" i="26"/>
  <c r="L65" i="26"/>
  <c r="N65" i="26"/>
  <c r="L66" i="26"/>
  <c r="N66" i="26"/>
  <c r="L67" i="26"/>
  <c r="N67" i="26"/>
  <c r="L68" i="26"/>
  <c r="N68" i="26"/>
  <c r="L69" i="26"/>
  <c r="N69" i="26"/>
  <c r="L70" i="26"/>
  <c r="N70" i="26"/>
  <c r="L71" i="26"/>
  <c r="N71" i="26"/>
  <c r="L72" i="26"/>
  <c r="N72" i="26"/>
  <c r="D89" i="26"/>
  <c r="D91" i="26"/>
  <c r="J93" i="26"/>
  <c r="L93" i="26"/>
  <c r="D96" i="26"/>
  <c r="M100" i="26"/>
  <c r="O100" i="26"/>
  <c r="M101" i="26"/>
  <c r="O101" i="26"/>
  <c r="M102" i="26"/>
  <c r="O102" i="26"/>
  <c r="M103" i="26"/>
  <c r="O103" i="26"/>
  <c r="M104" i="26"/>
  <c r="O104" i="26"/>
  <c r="M105" i="26"/>
  <c r="O105" i="26"/>
  <c r="M106" i="26"/>
  <c r="O106" i="26"/>
  <c r="M107" i="26"/>
  <c r="O107" i="26"/>
  <c r="M108" i="26"/>
  <c r="O108" i="26"/>
  <c r="M109" i="26"/>
  <c r="O109" i="26"/>
  <c r="M110" i="26"/>
  <c r="O110" i="26"/>
  <c r="M111" i="26"/>
  <c r="O111" i="26"/>
  <c r="M112" i="26"/>
  <c r="O112" i="26"/>
  <c r="M113" i="26"/>
  <c r="O113" i="26"/>
  <c r="M114" i="26"/>
  <c r="O114" i="26"/>
  <c r="M115" i="26"/>
  <c r="O115" i="26"/>
  <c r="M116" i="26"/>
  <c r="O116" i="26"/>
  <c r="M117" i="26"/>
  <c r="O117" i="26"/>
  <c r="M118" i="26"/>
  <c r="O118" i="26"/>
  <c r="M119" i="26"/>
  <c r="O119" i="26"/>
  <c r="M120" i="26"/>
  <c r="O120" i="26"/>
  <c r="M121" i="26"/>
  <c r="O121" i="26"/>
  <c r="M122" i="26"/>
  <c r="O122" i="26"/>
  <c r="M123" i="26"/>
  <c r="O123" i="26"/>
  <c r="M124" i="26"/>
  <c r="O124" i="26"/>
  <c r="M125" i="26"/>
  <c r="O125" i="26"/>
  <c r="M126" i="26"/>
  <c r="O126" i="26"/>
  <c r="M127" i="26"/>
  <c r="O127" i="26"/>
  <c r="M128" i="26"/>
  <c r="O128" i="26"/>
  <c r="M129" i="26"/>
  <c r="O129" i="26"/>
  <c r="M130" i="26"/>
  <c r="O130" i="26"/>
  <c r="M131" i="26"/>
  <c r="O131" i="26"/>
  <c r="M132" i="26"/>
  <c r="O132" i="26"/>
  <c r="M133" i="26"/>
  <c r="O133" i="26"/>
  <c r="M134" i="26"/>
  <c r="O134" i="26"/>
  <c r="M135" i="26"/>
  <c r="O135" i="26"/>
  <c r="M136" i="26"/>
  <c r="O136" i="26"/>
  <c r="M137" i="26"/>
  <c r="O137" i="26"/>
  <c r="M138" i="26"/>
  <c r="O138" i="26"/>
  <c r="M139" i="26"/>
  <c r="O139" i="26"/>
  <c r="M140" i="26"/>
  <c r="O140" i="26"/>
  <c r="M141" i="26"/>
  <c r="O141" i="26"/>
  <c r="M142" i="26"/>
  <c r="O142" i="26"/>
  <c r="M143" i="26"/>
  <c r="O143" i="26"/>
  <c r="M144" i="26"/>
  <c r="O144" i="26"/>
  <c r="M145" i="26"/>
  <c r="O145" i="26"/>
  <c r="M146" i="26"/>
  <c r="O146" i="26"/>
  <c r="M147" i="26"/>
  <c r="O147" i="26"/>
  <c r="M148" i="26"/>
  <c r="O148" i="26"/>
  <c r="M149" i="26"/>
  <c r="O149" i="26"/>
  <c r="M150" i="26"/>
  <c r="O150" i="26"/>
  <c r="M151" i="26"/>
  <c r="O151" i="26"/>
  <c r="M152" i="26"/>
  <c r="O152" i="26"/>
  <c r="M153" i="26"/>
  <c r="O153" i="26"/>
  <c r="M154" i="26"/>
  <c r="O154" i="26"/>
  <c r="O3" i="25"/>
  <c r="K11" i="25"/>
  <c r="N17" i="25"/>
  <c r="L18" i="25"/>
  <c r="N18" i="25"/>
  <c r="L19" i="25"/>
  <c r="N19" i="25"/>
  <c r="L20" i="25"/>
  <c r="O20" i="25" s="1"/>
  <c r="N20" i="25"/>
  <c r="L21" i="25"/>
  <c r="N21" i="25"/>
  <c r="L22" i="25"/>
  <c r="N22" i="25"/>
  <c r="L23" i="25"/>
  <c r="N23" i="25"/>
  <c r="L24" i="25"/>
  <c r="N24" i="25"/>
  <c r="L25" i="25"/>
  <c r="N25" i="25"/>
  <c r="L26" i="25"/>
  <c r="N26" i="25"/>
  <c r="L27" i="25"/>
  <c r="N27" i="25"/>
  <c r="L28" i="25"/>
  <c r="N28" i="25"/>
  <c r="L29" i="25"/>
  <c r="N29" i="25"/>
  <c r="L30" i="25"/>
  <c r="N30" i="25"/>
  <c r="L31" i="25"/>
  <c r="N31" i="25"/>
  <c r="L32" i="25"/>
  <c r="N32" i="25"/>
  <c r="L33" i="25"/>
  <c r="N33" i="25"/>
  <c r="L34" i="25"/>
  <c r="N34" i="25"/>
  <c r="L35" i="25"/>
  <c r="N35" i="25"/>
  <c r="L36" i="25"/>
  <c r="N36" i="25"/>
  <c r="L37" i="25"/>
  <c r="N37" i="25"/>
  <c r="L38" i="25"/>
  <c r="N38" i="25"/>
  <c r="L39" i="25"/>
  <c r="N39" i="25"/>
  <c r="L40" i="25"/>
  <c r="N40" i="25"/>
  <c r="L41" i="25"/>
  <c r="N41" i="25"/>
  <c r="L42" i="25"/>
  <c r="N42" i="25"/>
  <c r="L43" i="25"/>
  <c r="N43" i="25"/>
  <c r="L44" i="25"/>
  <c r="O44" i="25" s="1"/>
  <c r="N44" i="25"/>
  <c r="L45" i="25"/>
  <c r="N45" i="25"/>
  <c r="L46" i="25"/>
  <c r="N46" i="25"/>
  <c r="L47" i="25"/>
  <c r="N47" i="25"/>
  <c r="L48" i="25"/>
  <c r="N48" i="25"/>
  <c r="L49" i="25"/>
  <c r="N49" i="25"/>
  <c r="L50" i="25"/>
  <c r="N50" i="25"/>
  <c r="L51" i="25"/>
  <c r="N51" i="25"/>
  <c r="L52" i="25"/>
  <c r="N52" i="25"/>
  <c r="L53" i="25"/>
  <c r="N53" i="25"/>
  <c r="L54" i="25"/>
  <c r="N54" i="25"/>
  <c r="L55" i="25"/>
  <c r="N55" i="25"/>
  <c r="L56" i="25"/>
  <c r="N56" i="25"/>
  <c r="L57" i="25"/>
  <c r="N57" i="25"/>
  <c r="L58" i="25"/>
  <c r="N58" i="25"/>
  <c r="L59" i="25"/>
  <c r="N59" i="25"/>
  <c r="L60" i="25"/>
  <c r="O60" i="25" s="1"/>
  <c r="N60" i="25"/>
  <c r="L61" i="25"/>
  <c r="N61" i="25"/>
  <c r="L62" i="25"/>
  <c r="N62" i="25"/>
  <c r="L63" i="25"/>
  <c r="N63" i="25"/>
  <c r="L64" i="25"/>
  <c r="N64" i="25"/>
  <c r="L65" i="25"/>
  <c r="N65" i="25"/>
  <c r="L66" i="25"/>
  <c r="N66" i="25"/>
  <c r="L67" i="25"/>
  <c r="N67" i="25"/>
  <c r="L68" i="25"/>
  <c r="N68" i="25"/>
  <c r="L69" i="25"/>
  <c r="N69" i="25"/>
  <c r="L70" i="25"/>
  <c r="N70" i="25"/>
  <c r="L71" i="25"/>
  <c r="N71" i="25"/>
  <c r="L72" i="25"/>
  <c r="N72" i="25"/>
  <c r="D89" i="25"/>
  <c r="D91" i="25"/>
  <c r="J93" i="25"/>
  <c r="L93" i="25"/>
  <c r="D96" i="25"/>
  <c r="M99" i="25"/>
  <c r="O99" i="25"/>
  <c r="M100" i="25"/>
  <c r="O100" i="25"/>
  <c r="M101" i="25"/>
  <c r="O101" i="25"/>
  <c r="M102" i="25"/>
  <c r="O102" i="25"/>
  <c r="M103" i="25"/>
  <c r="O103" i="25"/>
  <c r="M104" i="25"/>
  <c r="O104" i="25"/>
  <c r="M105" i="25"/>
  <c r="O105" i="25"/>
  <c r="M106" i="25"/>
  <c r="O106" i="25"/>
  <c r="M107" i="25"/>
  <c r="O107" i="25"/>
  <c r="M108" i="25"/>
  <c r="O108" i="25"/>
  <c r="M109" i="25"/>
  <c r="O109" i="25"/>
  <c r="M110" i="25"/>
  <c r="O110" i="25"/>
  <c r="M111" i="25"/>
  <c r="O111" i="25"/>
  <c r="M112" i="25"/>
  <c r="O112" i="25"/>
  <c r="M113" i="25"/>
  <c r="O113" i="25"/>
  <c r="M114" i="25"/>
  <c r="O114" i="25"/>
  <c r="M115" i="25"/>
  <c r="O115" i="25"/>
  <c r="M116" i="25"/>
  <c r="O116" i="25"/>
  <c r="M117" i="25"/>
  <c r="O117" i="25"/>
  <c r="M118" i="25"/>
  <c r="O118" i="25"/>
  <c r="M119" i="25"/>
  <c r="O119" i="25"/>
  <c r="M120" i="25"/>
  <c r="O120" i="25"/>
  <c r="M121" i="25"/>
  <c r="O121" i="25"/>
  <c r="M122" i="25"/>
  <c r="O122" i="25"/>
  <c r="M123" i="25"/>
  <c r="O123" i="25"/>
  <c r="M124" i="25"/>
  <c r="O124" i="25"/>
  <c r="M125" i="25"/>
  <c r="O125" i="25"/>
  <c r="M126" i="25"/>
  <c r="O126" i="25"/>
  <c r="M127" i="25"/>
  <c r="O127" i="25"/>
  <c r="M128" i="25"/>
  <c r="O128" i="25"/>
  <c r="M129" i="25"/>
  <c r="O129" i="25"/>
  <c r="M130" i="25"/>
  <c r="O130" i="25"/>
  <c r="M131" i="25"/>
  <c r="O131" i="25"/>
  <c r="M132" i="25"/>
  <c r="O132" i="25"/>
  <c r="M133" i="25"/>
  <c r="O133" i="25"/>
  <c r="M134" i="25"/>
  <c r="O134" i="25"/>
  <c r="M135" i="25"/>
  <c r="O135" i="25"/>
  <c r="M136" i="25"/>
  <c r="O136" i="25"/>
  <c r="M137" i="25"/>
  <c r="O137" i="25"/>
  <c r="M138" i="25"/>
  <c r="O138" i="25"/>
  <c r="M139" i="25"/>
  <c r="O139" i="25"/>
  <c r="M140" i="25"/>
  <c r="O140" i="25"/>
  <c r="M141" i="25"/>
  <c r="O141" i="25"/>
  <c r="M142" i="25"/>
  <c r="O142" i="25"/>
  <c r="M143" i="25"/>
  <c r="O143" i="25"/>
  <c r="M144" i="25"/>
  <c r="O144" i="25"/>
  <c r="M145" i="25"/>
  <c r="O145" i="25"/>
  <c r="M146" i="25"/>
  <c r="O146" i="25"/>
  <c r="M147" i="25"/>
  <c r="O147" i="25"/>
  <c r="M148" i="25"/>
  <c r="O148" i="25"/>
  <c r="M149" i="25"/>
  <c r="O149" i="25"/>
  <c r="M150" i="25"/>
  <c r="O150" i="25"/>
  <c r="M151" i="25"/>
  <c r="O151" i="25"/>
  <c r="M152" i="25"/>
  <c r="O152" i="25"/>
  <c r="M153" i="25"/>
  <c r="O153" i="25"/>
  <c r="M154" i="25"/>
  <c r="O154" i="25"/>
  <c r="O3" i="24"/>
  <c r="K11" i="24"/>
  <c r="I17" i="24"/>
  <c r="L17" i="24"/>
  <c r="N17" i="24"/>
  <c r="O17" i="24" s="1"/>
  <c r="I18" i="24"/>
  <c r="L18" i="24"/>
  <c r="N18" i="24"/>
  <c r="O18" i="24" s="1"/>
  <c r="L19" i="24"/>
  <c r="N19" i="24"/>
  <c r="O19" i="24" s="1"/>
  <c r="L20" i="24"/>
  <c r="N20" i="24"/>
  <c r="O20" i="24"/>
  <c r="L21" i="24"/>
  <c r="N21" i="24"/>
  <c r="N28" i="24"/>
  <c r="O28" i="24" s="1"/>
  <c r="N29" i="24"/>
  <c r="L30" i="24"/>
  <c r="N30" i="24"/>
  <c r="L31" i="24"/>
  <c r="N31" i="24"/>
  <c r="L32" i="24"/>
  <c r="N32" i="24"/>
  <c r="L33" i="24"/>
  <c r="N33" i="24"/>
  <c r="L34" i="24"/>
  <c r="N34" i="24"/>
  <c r="L35" i="24"/>
  <c r="N35" i="24"/>
  <c r="L36" i="24"/>
  <c r="N36" i="24"/>
  <c r="L37" i="24"/>
  <c r="N37" i="24"/>
  <c r="L38" i="24"/>
  <c r="O38" i="24" s="1"/>
  <c r="N38" i="24"/>
  <c r="L39" i="24"/>
  <c r="N39" i="24"/>
  <c r="L40" i="24"/>
  <c r="N40" i="24"/>
  <c r="L41" i="24"/>
  <c r="N41" i="24"/>
  <c r="L42" i="24"/>
  <c r="N42" i="24"/>
  <c r="L43" i="24"/>
  <c r="N43" i="24"/>
  <c r="L44" i="24"/>
  <c r="N44" i="24"/>
  <c r="C45" i="24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L45" i="24"/>
  <c r="N45" i="24"/>
  <c r="L46" i="24"/>
  <c r="N46" i="24"/>
  <c r="L47" i="24"/>
  <c r="N47" i="24"/>
  <c r="L48" i="24"/>
  <c r="N48" i="24"/>
  <c r="L49" i="24"/>
  <c r="N49" i="24"/>
  <c r="L50" i="24"/>
  <c r="N50" i="24"/>
  <c r="L51" i="24"/>
  <c r="N51" i="24"/>
  <c r="L52" i="24"/>
  <c r="N52" i="24"/>
  <c r="L53" i="24"/>
  <c r="N53" i="24"/>
  <c r="L54" i="24"/>
  <c r="N54" i="24"/>
  <c r="L55" i="24"/>
  <c r="N55" i="24"/>
  <c r="L56" i="24"/>
  <c r="N56" i="24"/>
  <c r="L57" i="24"/>
  <c r="N57" i="24"/>
  <c r="L58" i="24"/>
  <c r="N58" i="24"/>
  <c r="L59" i="24"/>
  <c r="N59" i="24"/>
  <c r="L60" i="24"/>
  <c r="N60" i="24"/>
  <c r="L61" i="24"/>
  <c r="N61" i="24"/>
  <c r="L62" i="24"/>
  <c r="N62" i="24"/>
  <c r="L63" i="24"/>
  <c r="N63" i="24"/>
  <c r="L64" i="24"/>
  <c r="N64" i="24"/>
  <c r="L65" i="24"/>
  <c r="N65" i="24"/>
  <c r="L66" i="24"/>
  <c r="N66" i="24"/>
  <c r="L67" i="24"/>
  <c r="N67" i="24"/>
  <c r="L68" i="24"/>
  <c r="N68" i="24"/>
  <c r="L69" i="24"/>
  <c r="N69" i="24"/>
  <c r="L70" i="24"/>
  <c r="N70" i="24"/>
  <c r="L71" i="24"/>
  <c r="N71" i="24"/>
  <c r="L72" i="24"/>
  <c r="N72" i="24"/>
  <c r="D89" i="24"/>
  <c r="D91" i="24"/>
  <c r="J93" i="24"/>
  <c r="L93" i="24"/>
  <c r="D96" i="24"/>
  <c r="J99" i="24"/>
  <c r="M99" i="24"/>
  <c r="P99" i="24" s="1"/>
  <c r="O99" i="24"/>
  <c r="J100" i="24"/>
  <c r="M100" i="24"/>
  <c r="P100" i="24" s="1"/>
  <c r="O100" i="24"/>
  <c r="J101" i="24"/>
  <c r="M101" i="24"/>
  <c r="P101" i="24" s="1"/>
  <c r="O101" i="24"/>
  <c r="M102" i="24"/>
  <c r="O102" i="24"/>
  <c r="P102" i="24" s="1"/>
  <c r="M103" i="24"/>
  <c r="O103" i="24"/>
  <c r="O110" i="24"/>
  <c r="M111" i="24"/>
  <c r="O111" i="24"/>
  <c r="M112" i="24"/>
  <c r="O112" i="24"/>
  <c r="M113" i="24"/>
  <c r="O113" i="24"/>
  <c r="M114" i="24"/>
  <c r="O114" i="24"/>
  <c r="M115" i="24"/>
  <c r="O115" i="24"/>
  <c r="M116" i="24"/>
  <c r="O116" i="24"/>
  <c r="M117" i="24"/>
  <c r="O117" i="24"/>
  <c r="M118" i="24"/>
  <c r="O118" i="24"/>
  <c r="M119" i="24"/>
  <c r="O119" i="24"/>
  <c r="M120" i="24"/>
  <c r="O120" i="24"/>
  <c r="M121" i="24"/>
  <c r="O121" i="24"/>
  <c r="M122" i="24"/>
  <c r="O122" i="24"/>
  <c r="M123" i="24"/>
  <c r="O123" i="24"/>
  <c r="M124" i="24"/>
  <c r="O124" i="24"/>
  <c r="M125" i="24"/>
  <c r="O125" i="24"/>
  <c r="M126" i="24"/>
  <c r="O126" i="24"/>
  <c r="M127" i="24"/>
  <c r="O127" i="24"/>
  <c r="M128" i="24"/>
  <c r="O128" i="24"/>
  <c r="M129" i="24"/>
  <c r="O129" i="24"/>
  <c r="M130" i="24"/>
  <c r="O130" i="24"/>
  <c r="M131" i="24"/>
  <c r="O131" i="24"/>
  <c r="M132" i="24"/>
  <c r="O132" i="24"/>
  <c r="M133" i="24"/>
  <c r="O133" i="24"/>
  <c r="M134" i="24"/>
  <c r="O134" i="24"/>
  <c r="M135" i="24"/>
  <c r="O135" i="24"/>
  <c r="M136" i="24"/>
  <c r="O136" i="24"/>
  <c r="M137" i="24"/>
  <c r="O137" i="24"/>
  <c r="M138" i="24"/>
  <c r="O138" i="24"/>
  <c r="M139" i="24"/>
  <c r="O139" i="24"/>
  <c r="M140" i="24"/>
  <c r="O140" i="24"/>
  <c r="M141" i="24"/>
  <c r="O141" i="24"/>
  <c r="M142" i="24"/>
  <c r="O142" i="24"/>
  <c r="M143" i="24"/>
  <c r="O143" i="24"/>
  <c r="M144" i="24"/>
  <c r="O144" i="24"/>
  <c r="M145" i="24"/>
  <c r="O145" i="24"/>
  <c r="M146" i="24"/>
  <c r="O146" i="24"/>
  <c r="M147" i="24"/>
  <c r="O147" i="24"/>
  <c r="M148" i="24"/>
  <c r="O148" i="24"/>
  <c r="M149" i="24"/>
  <c r="O149" i="24"/>
  <c r="M150" i="24"/>
  <c r="O150" i="24"/>
  <c r="M151" i="24"/>
  <c r="O151" i="24"/>
  <c r="M152" i="24"/>
  <c r="O152" i="24"/>
  <c r="M153" i="24"/>
  <c r="O153" i="24"/>
  <c r="M154" i="24"/>
  <c r="O154" i="24"/>
  <c r="O3" i="23"/>
  <c r="K11" i="23"/>
  <c r="I17" i="23"/>
  <c r="L17" i="23"/>
  <c r="N17" i="23"/>
  <c r="O17" i="23" s="1"/>
  <c r="I18" i="23"/>
  <c r="L18" i="23"/>
  <c r="N18" i="23"/>
  <c r="O18" i="23" s="1"/>
  <c r="L19" i="23"/>
  <c r="N19" i="23"/>
  <c r="O19" i="23"/>
  <c r="L20" i="23"/>
  <c r="O20" i="23"/>
  <c r="N20" i="23"/>
  <c r="L21" i="23"/>
  <c r="O21" i="23" s="1"/>
  <c r="N21" i="23"/>
  <c r="N28" i="23"/>
  <c r="O28" i="23" s="1"/>
  <c r="N29" i="23"/>
  <c r="L30" i="23"/>
  <c r="N30" i="23"/>
  <c r="L31" i="23"/>
  <c r="N31" i="23"/>
  <c r="L32" i="23"/>
  <c r="N32" i="23"/>
  <c r="L33" i="23"/>
  <c r="N33" i="23"/>
  <c r="L34" i="23"/>
  <c r="N34" i="23"/>
  <c r="L35" i="23"/>
  <c r="N35" i="23"/>
  <c r="L36" i="23"/>
  <c r="N36" i="23"/>
  <c r="L37" i="23"/>
  <c r="N37" i="23"/>
  <c r="L38" i="23"/>
  <c r="N38" i="23"/>
  <c r="L39" i="23"/>
  <c r="N39" i="23"/>
  <c r="L40" i="23"/>
  <c r="N40" i="23"/>
  <c r="L41" i="23"/>
  <c r="N41" i="23"/>
  <c r="L42" i="23"/>
  <c r="N42" i="23"/>
  <c r="L43" i="23"/>
  <c r="N43" i="23"/>
  <c r="L44" i="23"/>
  <c r="O44" i="23" s="1"/>
  <c r="N44" i="23"/>
  <c r="L45" i="23"/>
  <c r="N45" i="23"/>
  <c r="L46" i="23"/>
  <c r="N46" i="23"/>
  <c r="L47" i="23"/>
  <c r="N47" i="23"/>
  <c r="L48" i="23"/>
  <c r="N48" i="23"/>
  <c r="L49" i="23"/>
  <c r="N49" i="23"/>
  <c r="L50" i="23"/>
  <c r="N50" i="23"/>
  <c r="L51" i="23"/>
  <c r="N51" i="23"/>
  <c r="L52" i="23"/>
  <c r="N52" i="23"/>
  <c r="L53" i="23"/>
  <c r="N53" i="23"/>
  <c r="L54" i="23"/>
  <c r="N54" i="23"/>
  <c r="L55" i="23"/>
  <c r="N55" i="23"/>
  <c r="L56" i="23"/>
  <c r="N56" i="23"/>
  <c r="L57" i="23"/>
  <c r="N57" i="23"/>
  <c r="L58" i="23"/>
  <c r="N58" i="23"/>
  <c r="L59" i="23"/>
  <c r="N59" i="23"/>
  <c r="L60" i="23"/>
  <c r="N60" i="23"/>
  <c r="L61" i="23"/>
  <c r="N61" i="23"/>
  <c r="L62" i="23"/>
  <c r="N62" i="23"/>
  <c r="L63" i="23"/>
  <c r="N63" i="23"/>
  <c r="L64" i="23"/>
  <c r="O64" i="23" s="1"/>
  <c r="N64" i="23"/>
  <c r="L65" i="23"/>
  <c r="N65" i="23"/>
  <c r="L66" i="23"/>
  <c r="N66" i="23"/>
  <c r="L67" i="23"/>
  <c r="N67" i="23"/>
  <c r="L68" i="23"/>
  <c r="N68" i="23"/>
  <c r="L69" i="23"/>
  <c r="N69" i="23"/>
  <c r="L70" i="23"/>
  <c r="N70" i="23"/>
  <c r="L71" i="23"/>
  <c r="N71" i="23"/>
  <c r="L72" i="23"/>
  <c r="N72" i="23"/>
  <c r="D89" i="23"/>
  <c r="D91" i="23"/>
  <c r="J93" i="23"/>
  <c r="L93" i="23"/>
  <c r="D96" i="23"/>
  <c r="J99" i="23"/>
  <c r="M99" i="23"/>
  <c r="O99" i="23"/>
  <c r="P99" i="23" s="1"/>
  <c r="J100" i="23"/>
  <c r="M100" i="23"/>
  <c r="O100" i="23"/>
  <c r="P100" i="23" s="1"/>
  <c r="J101" i="23"/>
  <c r="M101" i="23"/>
  <c r="O101" i="23"/>
  <c r="P101" i="23" s="1"/>
  <c r="M102" i="23"/>
  <c r="O102" i="23"/>
  <c r="M103" i="23"/>
  <c r="O103" i="23"/>
  <c r="O110" i="23"/>
  <c r="M111" i="23"/>
  <c r="O111" i="23"/>
  <c r="M112" i="23"/>
  <c r="O112" i="23"/>
  <c r="M113" i="23"/>
  <c r="O113" i="23"/>
  <c r="M114" i="23"/>
  <c r="O114" i="23"/>
  <c r="M115" i="23"/>
  <c r="O115" i="23"/>
  <c r="M116" i="23"/>
  <c r="O116" i="23"/>
  <c r="M117" i="23"/>
  <c r="O117" i="23"/>
  <c r="M118" i="23"/>
  <c r="O118" i="23"/>
  <c r="M119" i="23"/>
  <c r="O119" i="23"/>
  <c r="M120" i="23"/>
  <c r="O120" i="23"/>
  <c r="M121" i="23"/>
  <c r="O121" i="23"/>
  <c r="M122" i="23"/>
  <c r="O122" i="23"/>
  <c r="M123" i="23"/>
  <c r="O123" i="23"/>
  <c r="M124" i="23"/>
  <c r="O124" i="23"/>
  <c r="M125" i="23"/>
  <c r="O125" i="23"/>
  <c r="M126" i="23"/>
  <c r="O126" i="23"/>
  <c r="M127" i="23"/>
  <c r="O127" i="23"/>
  <c r="M128" i="23"/>
  <c r="O128" i="23"/>
  <c r="M129" i="23"/>
  <c r="O129" i="23"/>
  <c r="M130" i="23"/>
  <c r="O130" i="23"/>
  <c r="M131" i="23"/>
  <c r="O131" i="23"/>
  <c r="M132" i="23"/>
  <c r="O132" i="23"/>
  <c r="M133" i="23"/>
  <c r="O133" i="23"/>
  <c r="M134" i="23"/>
  <c r="O134" i="23"/>
  <c r="M135" i="23"/>
  <c r="O135" i="23"/>
  <c r="M136" i="23"/>
  <c r="O136" i="23"/>
  <c r="M137" i="23"/>
  <c r="O137" i="23"/>
  <c r="M138" i="23"/>
  <c r="O138" i="23"/>
  <c r="M139" i="23"/>
  <c r="O139" i="23"/>
  <c r="M140" i="23"/>
  <c r="O140" i="23"/>
  <c r="M141" i="23"/>
  <c r="O141" i="23"/>
  <c r="M142" i="23"/>
  <c r="O142" i="23"/>
  <c r="M143" i="23"/>
  <c r="O143" i="23"/>
  <c r="M144" i="23"/>
  <c r="O144" i="23"/>
  <c r="M145" i="23"/>
  <c r="O145" i="23"/>
  <c r="M146" i="23"/>
  <c r="O146" i="23"/>
  <c r="M147" i="23"/>
  <c r="O147" i="23"/>
  <c r="M148" i="23"/>
  <c r="O148" i="23"/>
  <c r="M149" i="23"/>
  <c r="O149" i="23"/>
  <c r="M150" i="23"/>
  <c r="O150" i="23"/>
  <c r="M151" i="23"/>
  <c r="O151" i="23"/>
  <c r="M152" i="23"/>
  <c r="O152" i="23"/>
  <c r="M153" i="23"/>
  <c r="O153" i="23"/>
  <c r="M154" i="23"/>
  <c r="O154" i="23"/>
  <c r="O3" i="22"/>
  <c r="K11" i="22"/>
  <c r="I17" i="22"/>
  <c r="L17" i="22"/>
  <c r="O17" i="22" s="1"/>
  <c r="N17" i="22"/>
  <c r="L18" i="22"/>
  <c r="N18" i="22"/>
  <c r="O18" i="22" s="1"/>
  <c r="L19" i="22"/>
  <c r="N19" i="22"/>
  <c r="O19" i="22"/>
  <c r="L20" i="22"/>
  <c r="N27" i="22"/>
  <c r="O27" i="22" s="1"/>
  <c r="N28" i="22"/>
  <c r="L29" i="22"/>
  <c r="N29" i="22"/>
  <c r="L30" i="22"/>
  <c r="N30" i="22"/>
  <c r="L31" i="22"/>
  <c r="N31" i="22"/>
  <c r="L32" i="22"/>
  <c r="N32" i="22"/>
  <c r="L33" i="22"/>
  <c r="N33" i="22"/>
  <c r="L34" i="22"/>
  <c r="N34" i="22"/>
  <c r="L35" i="22"/>
  <c r="N35" i="22"/>
  <c r="L36" i="22"/>
  <c r="N36" i="22"/>
  <c r="L37" i="22"/>
  <c r="N37" i="22"/>
  <c r="L38" i="22"/>
  <c r="N38" i="22"/>
  <c r="L39" i="22"/>
  <c r="N39" i="22"/>
  <c r="L40" i="22"/>
  <c r="N40" i="22"/>
  <c r="L41" i="22"/>
  <c r="N41" i="22"/>
  <c r="L42" i="22"/>
  <c r="N42" i="22"/>
  <c r="L43" i="22"/>
  <c r="N43" i="22"/>
  <c r="L44" i="22"/>
  <c r="N44" i="22"/>
  <c r="L45" i="22"/>
  <c r="N45" i="22"/>
  <c r="L46" i="22"/>
  <c r="N46" i="22"/>
  <c r="C49" i="22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L47" i="22"/>
  <c r="N47" i="22"/>
  <c r="L48" i="22"/>
  <c r="N48" i="22"/>
  <c r="O48" i="22" s="1"/>
  <c r="L49" i="22"/>
  <c r="N49" i="22"/>
  <c r="L50" i="22"/>
  <c r="N50" i="22"/>
  <c r="L51" i="22"/>
  <c r="N51" i="22"/>
  <c r="L52" i="22"/>
  <c r="N52" i="22"/>
  <c r="O52" i="22" s="1"/>
  <c r="L53" i="22"/>
  <c r="N53" i="22"/>
  <c r="L54" i="22"/>
  <c r="N54" i="22"/>
  <c r="O54" i="22" s="1"/>
  <c r="L55" i="22"/>
  <c r="N55" i="22"/>
  <c r="L56" i="22"/>
  <c r="N56" i="22"/>
  <c r="O56" i="22" s="1"/>
  <c r="L57" i="22"/>
  <c r="N57" i="22"/>
  <c r="L58" i="22"/>
  <c r="N58" i="22"/>
  <c r="L59" i="22"/>
  <c r="N59" i="22"/>
  <c r="L60" i="22"/>
  <c r="N60" i="22"/>
  <c r="L61" i="22"/>
  <c r="N61" i="22"/>
  <c r="L62" i="22"/>
  <c r="N62" i="22"/>
  <c r="O62" i="22" s="1"/>
  <c r="L63" i="22"/>
  <c r="N63" i="22"/>
  <c r="L64" i="22"/>
  <c r="N64" i="22"/>
  <c r="O64" i="22" s="1"/>
  <c r="L65" i="22"/>
  <c r="N65" i="22"/>
  <c r="L66" i="22"/>
  <c r="N66" i="22"/>
  <c r="L67" i="22"/>
  <c r="N67" i="22"/>
  <c r="L68" i="22"/>
  <c r="N68" i="22"/>
  <c r="O68" i="22" s="1"/>
  <c r="L69" i="22"/>
  <c r="N69" i="22"/>
  <c r="L70" i="22"/>
  <c r="N70" i="22"/>
  <c r="O70" i="22" s="1"/>
  <c r="L71" i="22"/>
  <c r="N71" i="22"/>
  <c r="L72" i="22"/>
  <c r="N72" i="22"/>
  <c r="O72" i="22" s="1"/>
  <c r="D89" i="22"/>
  <c r="D91" i="22"/>
  <c r="J93" i="22"/>
  <c r="L93" i="22"/>
  <c r="D96" i="22"/>
  <c r="J99" i="22"/>
  <c r="M99" i="22"/>
  <c r="O99" i="22"/>
  <c r="P99" i="22"/>
  <c r="J100" i="22"/>
  <c r="M100" i="22"/>
  <c r="O100" i="22"/>
  <c r="P100" i="22"/>
  <c r="M101" i="22"/>
  <c r="O101" i="22"/>
  <c r="M102" i="22"/>
  <c r="O102" i="22"/>
  <c r="O109" i="22"/>
  <c r="M110" i="22"/>
  <c r="O110" i="22"/>
  <c r="M111" i="22"/>
  <c r="O111" i="22"/>
  <c r="M112" i="22"/>
  <c r="O112" i="22"/>
  <c r="M113" i="22"/>
  <c r="O113" i="22"/>
  <c r="M114" i="22"/>
  <c r="O114" i="22"/>
  <c r="M115" i="22"/>
  <c r="O115" i="22"/>
  <c r="M116" i="22"/>
  <c r="O116" i="22"/>
  <c r="M117" i="22"/>
  <c r="O117" i="22"/>
  <c r="M118" i="22"/>
  <c r="O118" i="22"/>
  <c r="M119" i="22"/>
  <c r="O119" i="22"/>
  <c r="M120" i="22"/>
  <c r="O120" i="22"/>
  <c r="M121" i="22"/>
  <c r="O121" i="22"/>
  <c r="M122" i="22"/>
  <c r="O122" i="22"/>
  <c r="M123" i="22"/>
  <c r="O123" i="22"/>
  <c r="M124" i="22"/>
  <c r="O124" i="22"/>
  <c r="M125" i="22"/>
  <c r="O125" i="22"/>
  <c r="M126" i="22"/>
  <c r="O126" i="22"/>
  <c r="M127" i="22"/>
  <c r="O127" i="22"/>
  <c r="M128" i="22"/>
  <c r="O128" i="22"/>
  <c r="M129" i="22"/>
  <c r="O129" i="22"/>
  <c r="M130" i="22"/>
  <c r="O130" i="22"/>
  <c r="M131" i="22"/>
  <c r="O131" i="22"/>
  <c r="M132" i="22"/>
  <c r="O132" i="22"/>
  <c r="M133" i="22"/>
  <c r="O133" i="22"/>
  <c r="M134" i="22"/>
  <c r="O134" i="22"/>
  <c r="M135" i="22"/>
  <c r="O135" i="22"/>
  <c r="M136" i="22"/>
  <c r="O136" i="22"/>
  <c r="M137" i="22"/>
  <c r="O137" i="22"/>
  <c r="M138" i="22"/>
  <c r="O138" i="22"/>
  <c r="M139" i="22"/>
  <c r="O139" i="22"/>
  <c r="M140" i="22"/>
  <c r="O140" i="22"/>
  <c r="M141" i="22"/>
  <c r="O141" i="22"/>
  <c r="M142" i="22"/>
  <c r="O142" i="22"/>
  <c r="M143" i="22"/>
  <c r="O143" i="22"/>
  <c r="M144" i="22"/>
  <c r="O144" i="22"/>
  <c r="M145" i="22"/>
  <c r="O145" i="22"/>
  <c r="M146" i="22"/>
  <c r="O146" i="22"/>
  <c r="M147" i="22"/>
  <c r="O147" i="22"/>
  <c r="M148" i="22"/>
  <c r="O148" i="22"/>
  <c r="M149" i="22"/>
  <c r="O149" i="22"/>
  <c r="M150" i="22"/>
  <c r="O150" i="22"/>
  <c r="M151" i="22"/>
  <c r="O151" i="22"/>
  <c r="M152" i="22"/>
  <c r="O152" i="22"/>
  <c r="M153" i="22"/>
  <c r="O153" i="22"/>
  <c r="M154" i="22"/>
  <c r="O154" i="22"/>
  <c r="O3" i="21"/>
  <c r="K11" i="21"/>
  <c r="I17" i="21"/>
  <c r="L17" i="21"/>
  <c r="N17" i="21"/>
  <c r="O17" i="21"/>
  <c r="L18" i="21"/>
  <c r="O18" i="21"/>
  <c r="N18" i="21"/>
  <c r="L19" i="21"/>
  <c r="O19" i="21" s="1"/>
  <c r="N19" i="21"/>
  <c r="L20" i="21"/>
  <c r="N27" i="21"/>
  <c r="N28" i="21"/>
  <c r="L29" i="21"/>
  <c r="N29" i="21"/>
  <c r="O29" i="21" s="1"/>
  <c r="L30" i="21"/>
  <c r="N30" i="21"/>
  <c r="O30" i="21" s="1"/>
  <c r="L31" i="21"/>
  <c r="N31" i="21"/>
  <c r="L32" i="21"/>
  <c r="N32" i="21"/>
  <c r="L33" i="21"/>
  <c r="N33" i="21"/>
  <c r="L34" i="21"/>
  <c r="N34" i="21"/>
  <c r="O34" i="21" s="1"/>
  <c r="L35" i="21"/>
  <c r="N35" i="21"/>
  <c r="L36" i="21"/>
  <c r="N36" i="21"/>
  <c r="O36" i="21" s="1"/>
  <c r="L37" i="21"/>
  <c r="N37" i="21"/>
  <c r="L38" i="21"/>
  <c r="N38" i="21"/>
  <c r="L39" i="21"/>
  <c r="N39" i="21"/>
  <c r="L40" i="21"/>
  <c r="N40" i="21"/>
  <c r="O40" i="21" s="1"/>
  <c r="L41" i="21"/>
  <c r="N41" i="21"/>
  <c r="L42" i="21"/>
  <c r="N42" i="21"/>
  <c r="L43" i="21"/>
  <c r="N43" i="21"/>
  <c r="L44" i="21"/>
  <c r="N44" i="21"/>
  <c r="L45" i="21"/>
  <c r="N45" i="21"/>
  <c r="L46" i="21"/>
  <c r="N46" i="21"/>
  <c r="L47" i="21"/>
  <c r="N47" i="21"/>
  <c r="L48" i="21"/>
  <c r="N48" i="21"/>
  <c r="O48" i="21" s="1"/>
  <c r="L49" i="21"/>
  <c r="N49" i="21"/>
  <c r="L50" i="21"/>
  <c r="N50" i="21"/>
  <c r="L51" i="21"/>
  <c r="N51" i="21"/>
  <c r="L52" i="21"/>
  <c r="N52" i="21"/>
  <c r="L53" i="21"/>
  <c r="N53" i="21"/>
  <c r="O53" i="21" s="1"/>
  <c r="L54" i="21"/>
  <c r="N54" i="21"/>
  <c r="L55" i="21"/>
  <c r="N55" i="21"/>
  <c r="L56" i="21"/>
  <c r="N56" i="21"/>
  <c r="O56" i="21" s="1"/>
  <c r="L57" i="21"/>
  <c r="N57" i="21"/>
  <c r="L58" i="21"/>
  <c r="N58" i="21"/>
  <c r="O58" i="21" s="1"/>
  <c r="L59" i="21"/>
  <c r="N59" i="21"/>
  <c r="L60" i="21"/>
  <c r="N60" i="21"/>
  <c r="O60" i="21" s="1"/>
  <c r="L61" i="21"/>
  <c r="N61" i="21"/>
  <c r="L62" i="21"/>
  <c r="N62" i="21"/>
  <c r="O62" i="21" s="1"/>
  <c r="L63" i="21"/>
  <c r="N63" i="21"/>
  <c r="L64" i="21"/>
  <c r="N64" i="21"/>
  <c r="O64" i="21" s="1"/>
  <c r="L65" i="21"/>
  <c r="N65" i="21"/>
  <c r="O65" i="21" s="1"/>
  <c r="L66" i="21"/>
  <c r="N66" i="21"/>
  <c r="O66" i="21" s="1"/>
  <c r="L67" i="21"/>
  <c r="N67" i="21"/>
  <c r="L68" i="21"/>
  <c r="N68" i="21"/>
  <c r="O68" i="21" s="1"/>
  <c r="L69" i="21"/>
  <c r="N69" i="21"/>
  <c r="L70" i="21"/>
  <c r="N70" i="21"/>
  <c r="O70" i="21" s="1"/>
  <c r="L71" i="21"/>
  <c r="N71" i="21"/>
  <c r="L72" i="21"/>
  <c r="N72" i="21"/>
  <c r="O72" i="21" s="1"/>
  <c r="D89" i="21"/>
  <c r="D91" i="21"/>
  <c r="J93" i="21"/>
  <c r="L93" i="21"/>
  <c r="D96" i="21"/>
  <c r="J99" i="21"/>
  <c r="M99" i="21"/>
  <c r="O99" i="21"/>
  <c r="J100" i="21"/>
  <c r="M100" i="21"/>
  <c r="O100" i="21"/>
  <c r="P100" i="21" s="1"/>
  <c r="O101" i="21"/>
  <c r="M102" i="21"/>
  <c r="O102" i="21"/>
  <c r="O109" i="21"/>
  <c r="M110" i="21"/>
  <c r="O110" i="21"/>
  <c r="M111" i="21"/>
  <c r="O111" i="21"/>
  <c r="M112" i="21"/>
  <c r="O112" i="21"/>
  <c r="M113" i="21"/>
  <c r="O113" i="21"/>
  <c r="M114" i="21"/>
  <c r="O114" i="21"/>
  <c r="M115" i="21"/>
  <c r="O115" i="21"/>
  <c r="M116" i="21"/>
  <c r="O116" i="21"/>
  <c r="M117" i="21"/>
  <c r="O117" i="21"/>
  <c r="M118" i="21"/>
  <c r="O118" i="21"/>
  <c r="M119" i="21"/>
  <c r="O119" i="21"/>
  <c r="M120" i="21"/>
  <c r="O120" i="21"/>
  <c r="M121" i="21"/>
  <c r="O121" i="21"/>
  <c r="M122" i="21"/>
  <c r="O122" i="21"/>
  <c r="M123" i="21"/>
  <c r="O123" i="21"/>
  <c r="M124" i="21"/>
  <c r="O124" i="21"/>
  <c r="M125" i="21"/>
  <c r="O125" i="21"/>
  <c r="M126" i="21"/>
  <c r="O126" i="21"/>
  <c r="M127" i="21"/>
  <c r="O127" i="21"/>
  <c r="M128" i="21"/>
  <c r="O128" i="21"/>
  <c r="M129" i="21"/>
  <c r="O129" i="21"/>
  <c r="M130" i="21"/>
  <c r="O130" i="21"/>
  <c r="M131" i="21"/>
  <c r="O131" i="21"/>
  <c r="M132" i="21"/>
  <c r="O132" i="21"/>
  <c r="M133" i="21"/>
  <c r="O133" i="21"/>
  <c r="M134" i="21"/>
  <c r="O134" i="21"/>
  <c r="M135" i="21"/>
  <c r="O135" i="21"/>
  <c r="M136" i="21"/>
  <c r="O136" i="21"/>
  <c r="M137" i="21"/>
  <c r="O137" i="21"/>
  <c r="M138" i="21"/>
  <c r="O138" i="21"/>
  <c r="M139" i="21"/>
  <c r="O139" i="21"/>
  <c r="M140" i="21"/>
  <c r="O140" i="21"/>
  <c r="M141" i="21"/>
  <c r="O141" i="21"/>
  <c r="M142" i="21"/>
  <c r="O142" i="21"/>
  <c r="M143" i="21"/>
  <c r="O143" i="21"/>
  <c r="M144" i="21"/>
  <c r="O144" i="21"/>
  <c r="M145" i="21"/>
  <c r="O145" i="21"/>
  <c r="M146" i="21"/>
  <c r="O146" i="21"/>
  <c r="M147" i="21"/>
  <c r="O147" i="21"/>
  <c r="M148" i="21"/>
  <c r="O148" i="21"/>
  <c r="M149" i="21"/>
  <c r="O149" i="21"/>
  <c r="M150" i="21"/>
  <c r="O150" i="21"/>
  <c r="M151" i="21"/>
  <c r="O151" i="21"/>
  <c r="M152" i="21"/>
  <c r="O152" i="21"/>
  <c r="M153" i="21"/>
  <c r="O153" i="21"/>
  <c r="M154" i="21"/>
  <c r="O154" i="21"/>
  <c r="O3" i="20"/>
  <c r="K11" i="20"/>
  <c r="I17" i="20"/>
  <c r="L17" i="20"/>
  <c r="N17" i="20"/>
  <c r="O17" i="20" s="1"/>
  <c r="L18" i="20"/>
  <c r="O18" i="20" s="1"/>
  <c r="N18" i="20"/>
  <c r="L19" i="20"/>
  <c r="N19" i="20"/>
  <c r="O19" i="20" s="1"/>
  <c r="L20" i="20"/>
  <c r="N20" i="20"/>
  <c r="N27" i="20"/>
  <c r="N28" i="20"/>
  <c r="L29" i="20"/>
  <c r="N29" i="20"/>
  <c r="L30" i="20"/>
  <c r="N30" i="20"/>
  <c r="L31" i="20"/>
  <c r="N31" i="20"/>
  <c r="L32" i="20"/>
  <c r="N32" i="20"/>
  <c r="L33" i="20"/>
  <c r="N33" i="20"/>
  <c r="L34" i="20"/>
  <c r="N34" i="20"/>
  <c r="L35" i="20"/>
  <c r="N35" i="20"/>
  <c r="L36" i="20"/>
  <c r="N36" i="20"/>
  <c r="L37" i="20"/>
  <c r="N37" i="20"/>
  <c r="L38" i="20"/>
  <c r="N38" i="20"/>
  <c r="L39" i="20"/>
  <c r="N39" i="20"/>
  <c r="L40" i="20"/>
  <c r="N40" i="20"/>
  <c r="L41" i="20"/>
  <c r="N41" i="20"/>
  <c r="L42" i="20"/>
  <c r="N42" i="20"/>
  <c r="L43" i="20"/>
  <c r="N43" i="20"/>
  <c r="L44" i="20"/>
  <c r="N44" i="20"/>
  <c r="C45" i="20"/>
  <c r="C46" i="20" s="1"/>
  <c r="C47" i="20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L45" i="20"/>
  <c r="N45" i="20"/>
  <c r="L46" i="20"/>
  <c r="N46" i="20"/>
  <c r="L47" i="20"/>
  <c r="N47" i="20"/>
  <c r="O47" i="20" s="1"/>
  <c r="L48" i="20"/>
  <c r="N48" i="20"/>
  <c r="L49" i="20"/>
  <c r="N49" i="20"/>
  <c r="L50" i="20"/>
  <c r="N50" i="20"/>
  <c r="L51" i="20"/>
  <c r="N51" i="20"/>
  <c r="L52" i="20"/>
  <c r="N52" i="20"/>
  <c r="L53" i="20"/>
  <c r="N53" i="20"/>
  <c r="L54" i="20"/>
  <c r="N54" i="20"/>
  <c r="L55" i="20"/>
  <c r="N55" i="20"/>
  <c r="L56" i="20"/>
  <c r="N56" i="20"/>
  <c r="L57" i="20"/>
  <c r="N57" i="20"/>
  <c r="L58" i="20"/>
  <c r="N58" i="20"/>
  <c r="L59" i="20"/>
  <c r="N59" i="20"/>
  <c r="L60" i="20"/>
  <c r="N60" i="20"/>
  <c r="L61" i="20"/>
  <c r="N61" i="20"/>
  <c r="L62" i="20"/>
  <c r="N62" i="20"/>
  <c r="L63" i="20"/>
  <c r="N63" i="20"/>
  <c r="L64" i="20"/>
  <c r="N64" i="20"/>
  <c r="L65" i="20"/>
  <c r="N65" i="20"/>
  <c r="L66" i="20"/>
  <c r="N66" i="20"/>
  <c r="L67" i="20"/>
  <c r="N67" i="20"/>
  <c r="L68" i="20"/>
  <c r="N68" i="20"/>
  <c r="L69" i="20"/>
  <c r="N69" i="20"/>
  <c r="L70" i="20"/>
  <c r="N70" i="20"/>
  <c r="L71" i="20"/>
  <c r="N71" i="20"/>
  <c r="O71" i="20" s="1"/>
  <c r="L72" i="20"/>
  <c r="N72" i="20"/>
  <c r="D89" i="20"/>
  <c r="D91" i="20"/>
  <c r="J93" i="20"/>
  <c r="L93" i="20"/>
  <c r="D96" i="20"/>
  <c r="J99" i="20"/>
  <c r="M99" i="20"/>
  <c r="O99" i="20"/>
  <c r="P99" i="20" s="1"/>
  <c r="J100" i="20"/>
  <c r="M100" i="20"/>
  <c r="O100" i="20"/>
  <c r="M101" i="20"/>
  <c r="O101" i="20"/>
  <c r="M102" i="20"/>
  <c r="O102" i="20"/>
  <c r="O109" i="20"/>
  <c r="M110" i="20"/>
  <c r="O110" i="20"/>
  <c r="M111" i="20"/>
  <c r="O111" i="20"/>
  <c r="M112" i="20"/>
  <c r="O112" i="20"/>
  <c r="M113" i="20"/>
  <c r="O113" i="20"/>
  <c r="M114" i="20"/>
  <c r="O114" i="20"/>
  <c r="M115" i="20"/>
  <c r="O115" i="20"/>
  <c r="M116" i="20"/>
  <c r="O116" i="20"/>
  <c r="M117" i="20"/>
  <c r="O117" i="20"/>
  <c r="M118" i="20"/>
  <c r="O118" i="20"/>
  <c r="M119" i="20"/>
  <c r="O119" i="20"/>
  <c r="M120" i="20"/>
  <c r="O120" i="20"/>
  <c r="M121" i="20"/>
  <c r="O121" i="20"/>
  <c r="M122" i="20"/>
  <c r="O122" i="20"/>
  <c r="M123" i="20"/>
  <c r="O123" i="20"/>
  <c r="M124" i="20"/>
  <c r="O124" i="20"/>
  <c r="M125" i="20"/>
  <c r="O125" i="20"/>
  <c r="M126" i="20"/>
  <c r="O126" i="20"/>
  <c r="M127" i="20"/>
  <c r="O127" i="20"/>
  <c r="M128" i="20"/>
  <c r="O128" i="20"/>
  <c r="M129" i="20"/>
  <c r="O129" i="20"/>
  <c r="M130" i="20"/>
  <c r="O130" i="20"/>
  <c r="M131" i="20"/>
  <c r="O131" i="20"/>
  <c r="M132" i="20"/>
  <c r="O132" i="20"/>
  <c r="M133" i="20"/>
  <c r="O133" i="20"/>
  <c r="M134" i="20"/>
  <c r="O134" i="20"/>
  <c r="M135" i="20"/>
  <c r="O135" i="20"/>
  <c r="M136" i="20"/>
  <c r="O136" i="20"/>
  <c r="M137" i="20"/>
  <c r="O137" i="20"/>
  <c r="M138" i="20"/>
  <c r="O138" i="20"/>
  <c r="M139" i="20"/>
  <c r="O139" i="20"/>
  <c r="M140" i="20"/>
  <c r="O140" i="20"/>
  <c r="M141" i="20"/>
  <c r="O141" i="20"/>
  <c r="M142" i="20"/>
  <c r="O142" i="20"/>
  <c r="M143" i="20"/>
  <c r="O143" i="20"/>
  <c r="M144" i="20"/>
  <c r="O144" i="20"/>
  <c r="M145" i="20"/>
  <c r="O145" i="20"/>
  <c r="M146" i="20"/>
  <c r="O146" i="20"/>
  <c r="M147" i="20"/>
  <c r="O147" i="20"/>
  <c r="M148" i="20"/>
  <c r="O148" i="20"/>
  <c r="M149" i="20"/>
  <c r="O149" i="20"/>
  <c r="M150" i="20"/>
  <c r="O150" i="20"/>
  <c r="M151" i="20"/>
  <c r="O151" i="20"/>
  <c r="M152" i="20"/>
  <c r="O152" i="20"/>
  <c r="M153" i="20"/>
  <c r="O153" i="20"/>
  <c r="M154" i="20"/>
  <c r="O154" i="20"/>
  <c r="O3" i="19"/>
  <c r="K11" i="19"/>
  <c r="I17" i="19"/>
  <c r="L17" i="19"/>
  <c r="N17" i="19"/>
  <c r="O17" i="19" s="1"/>
  <c r="L18" i="19"/>
  <c r="O18" i="19" s="1"/>
  <c r="N18" i="19"/>
  <c r="L19" i="19"/>
  <c r="N19" i="19"/>
  <c r="O19" i="19" s="1"/>
  <c r="L20" i="19"/>
  <c r="N20" i="19"/>
  <c r="N27" i="19"/>
  <c r="N28" i="19"/>
  <c r="L29" i="19"/>
  <c r="N29" i="19"/>
  <c r="L30" i="19"/>
  <c r="N30" i="19"/>
  <c r="L31" i="19"/>
  <c r="N31" i="19"/>
  <c r="L32" i="19"/>
  <c r="N32" i="19"/>
  <c r="L33" i="19"/>
  <c r="N33" i="19"/>
  <c r="L34" i="19"/>
  <c r="N34" i="19"/>
  <c r="L35" i="19"/>
  <c r="N35" i="19"/>
  <c r="L36" i="19"/>
  <c r="N36" i="19"/>
  <c r="L37" i="19"/>
  <c r="N37" i="19"/>
  <c r="L38" i="19"/>
  <c r="N38" i="19"/>
  <c r="L39" i="19"/>
  <c r="N39" i="19"/>
  <c r="L40" i="19"/>
  <c r="N40" i="19"/>
  <c r="L41" i="19"/>
  <c r="N41" i="19"/>
  <c r="L42" i="19"/>
  <c r="N42" i="19"/>
  <c r="L43" i="19"/>
  <c r="N43" i="19"/>
  <c r="L44" i="19"/>
  <c r="N44" i="19"/>
  <c r="C45" i="19"/>
  <c r="L45" i="19"/>
  <c r="N45" i="19"/>
  <c r="C46" i="19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L46" i="19"/>
  <c r="N46" i="19"/>
  <c r="L47" i="19"/>
  <c r="N47" i="19"/>
  <c r="L48" i="19"/>
  <c r="N48" i="19"/>
  <c r="L49" i="19"/>
  <c r="N49" i="19"/>
  <c r="L50" i="19"/>
  <c r="N50" i="19"/>
  <c r="L51" i="19"/>
  <c r="N51" i="19"/>
  <c r="L52" i="19"/>
  <c r="N52" i="19"/>
  <c r="L53" i="19"/>
  <c r="N53" i="19"/>
  <c r="L54" i="19"/>
  <c r="N54" i="19"/>
  <c r="L55" i="19"/>
  <c r="N55" i="19"/>
  <c r="L56" i="19"/>
  <c r="N56" i="19"/>
  <c r="L57" i="19"/>
  <c r="N57" i="19"/>
  <c r="L58" i="19"/>
  <c r="N58" i="19"/>
  <c r="L59" i="19"/>
  <c r="N59" i="19"/>
  <c r="L60" i="19"/>
  <c r="N60" i="19"/>
  <c r="L61" i="19"/>
  <c r="N61" i="19"/>
  <c r="L62" i="19"/>
  <c r="N62" i="19"/>
  <c r="L63" i="19"/>
  <c r="N63" i="19"/>
  <c r="L64" i="19"/>
  <c r="N64" i="19"/>
  <c r="L65" i="19"/>
  <c r="N65" i="19"/>
  <c r="L66" i="19"/>
  <c r="N66" i="19"/>
  <c r="L67" i="19"/>
  <c r="N67" i="19"/>
  <c r="L68" i="19"/>
  <c r="N68" i="19"/>
  <c r="L69" i="19"/>
  <c r="N69" i="19"/>
  <c r="L70" i="19"/>
  <c r="N70" i="19"/>
  <c r="L71" i="19"/>
  <c r="N71" i="19"/>
  <c r="L72" i="19"/>
  <c r="N72" i="19"/>
  <c r="D89" i="19"/>
  <c r="D91" i="19"/>
  <c r="J93" i="19"/>
  <c r="L93" i="19"/>
  <c r="D96" i="19"/>
  <c r="J99" i="19"/>
  <c r="M99" i="19"/>
  <c r="O99" i="19"/>
  <c r="P99" i="19" s="1"/>
  <c r="J100" i="19"/>
  <c r="M100" i="19"/>
  <c r="O100" i="19"/>
  <c r="P100" i="19" s="1"/>
  <c r="M101" i="19"/>
  <c r="O101" i="19"/>
  <c r="P101" i="19"/>
  <c r="M102" i="19"/>
  <c r="O102" i="19"/>
  <c r="O109" i="19"/>
  <c r="M110" i="19"/>
  <c r="O110" i="19"/>
  <c r="M111" i="19"/>
  <c r="O111" i="19"/>
  <c r="M112" i="19"/>
  <c r="O112" i="19"/>
  <c r="M113" i="19"/>
  <c r="O113" i="19"/>
  <c r="M114" i="19"/>
  <c r="O114" i="19"/>
  <c r="M115" i="19"/>
  <c r="O115" i="19"/>
  <c r="M116" i="19"/>
  <c r="O116" i="19"/>
  <c r="M117" i="19"/>
  <c r="O117" i="19"/>
  <c r="M118" i="19"/>
  <c r="O118" i="19"/>
  <c r="M119" i="19"/>
  <c r="O119" i="19"/>
  <c r="M120" i="19"/>
  <c r="O120" i="19"/>
  <c r="M121" i="19"/>
  <c r="O121" i="19"/>
  <c r="M122" i="19"/>
  <c r="O122" i="19"/>
  <c r="M123" i="19"/>
  <c r="O123" i="19"/>
  <c r="M124" i="19"/>
  <c r="O124" i="19"/>
  <c r="M125" i="19"/>
  <c r="O125" i="19"/>
  <c r="M126" i="19"/>
  <c r="O126" i="19"/>
  <c r="M127" i="19"/>
  <c r="O127" i="19"/>
  <c r="M128" i="19"/>
  <c r="O128" i="19"/>
  <c r="M129" i="19"/>
  <c r="O129" i="19"/>
  <c r="M130" i="19"/>
  <c r="O130" i="19"/>
  <c r="M131" i="19"/>
  <c r="O131" i="19"/>
  <c r="M132" i="19"/>
  <c r="O132" i="19"/>
  <c r="M133" i="19"/>
  <c r="O133" i="19"/>
  <c r="M134" i="19"/>
  <c r="O134" i="19"/>
  <c r="M135" i="19"/>
  <c r="O135" i="19"/>
  <c r="M136" i="19"/>
  <c r="O136" i="19"/>
  <c r="M137" i="19"/>
  <c r="O137" i="19"/>
  <c r="M138" i="19"/>
  <c r="O138" i="19"/>
  <c r="M139" i="19"/>
  <c r="O139" i="19"/>
  <c r="M140" i="19"/>
  <c r="O140" i="19"/>
  <c r="M141" i="19"/>
  <c r="O141" i="19"/>
  <c r="M142" i="19"/>
  <c r="O142" i="19"/>
  <c r="M143" i="19"/>
  <c r="O143" i="19"/>
  <c r="M144" i="19"/>
  <c r="O144" i="19"/>
  <c r="M145" i="19"/>
  <c r="O145" i="19"/>
  <c r="M146" i="19"/>
  <c r="O146" i="19"/>
  <c r="M147" i="19"/>
  <c r="O147" i="19"/>
  <c r="M148" i="19"/>
  <c r="O148" i="19"/>
  <c r="M149" i="19"/>
  <c r="O149" i="19"/>
  <c r="M150" i="19"/>
  <c r="O150" i="19"/>
  <c r="M151" i="19"/>
  <c r="O151" i="19"/>
  <c r="M152" i="19"/>
  <c r="O152" i="19"/>
  <c r="M153" i="19"/>
  <c r="O153" i="19"/>
  <c r="M154" i="19"/>
  <c r="O154" i="19"/>
  <c r="O3" i="18"/>
  <c r="K11" i="18"/>
  <c r="I17" i="18"/>
  <c r="L17" i="18"/>
  <c r="O17" i="18" s="1"/>
  <c r="N17" i="18"/>
  <c r="L18" i="18"/>
  <c r="N18" i="18"/>
  <c r="L19" i="18"/>
  <c r="N19" i="18"/>
  <c r="O19" i="18" s="1"/>
  <c r="L20" i="18"/>
  <c r="O20" i="18" s="1"/>
  <c r="N20" i="18"/>
  <c r="N27" i="18"/>
  <c r="N28" i="18"/>
  <c r="L29" i="18"/>
  <c r="N29" i="18"/>
  <c r="L30" i="18"/>
  <c r="N30" i="18"/>
  <c r="L31" i="18"/>
  <c r="N31" i="18"/>
  <c r="L32" i="18"/>
  <c r="N32" i="18"/>
  <c r="L33" i="18"/>
  <c r="N33" i="18"/>
  <c r="L34" i="18"/>
  <c r="N34" i="18"/>
  <c r="L35" i="18"/>
  <c r="N35" i="18"/>
  <c r="L36" i="18"/>
  <c r="N36" i="18"/>
  <c r="L37" i="18"/>
  <c r="N37" i="18"/>
  <c r="L38" i="18"/>
  <c r="N38" i="18"/>
  <c r="L39" i="18"/>
  <c r="N39" i="18"/>
  <c r="L40" i="18"/>
  <c r="N40" i="18"/>
  <c r="L41" i="18"/>
  <c r="N41" i="18"/>
  <c r="L42" i="18"/>
  <c r="N42" i="18"/>
  <c r="L43" i="18"/>
  <c r="N43" i="18"/>
  <c r="L44" i="18"/>
  <c r="N44" i="18"/>
  <c r="C45" i="18"/>
  <c r="C46" i="18" s="1"/>
  <c r="C47" i="18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 s="1"/>
  <c r="C70" i="18" s="1"/>
  <c r="C71" i="18" s="1"/>
  <c r="C72" i="18" s="1"/>
  <c r="L45" i="18"/>
  <c r="N45" i="18"/>
  <c r="L46" i="18"/>
  <c r="N46" i="18"/>
  <c r="L47" i="18"/>
  <c r="N47" i="18"/>
  <c r="L48" i="18"/>
  <c r="N48" i="18"/>
  <c r="L49" i="18"/>
  <c r="N49" i="18"/>
  <c r="L50" i="18"/>
  <c r="N50" i="18"/>
  <c r="L51" i="18"/>
  <c r="N51" i="18"/>
  <c r="L52" i="18"/>
  <c r="N52" i="18"/>
  <c r="L53" i="18"/>
  <c r="N53" i="18"/>
  <c r="L54" i="18"/>
  <c r="N54" i="18"/>
  <c r="L55" i="18"/>
  <c r="N55" i="18"/>
  <c r="L56" i="18"/>
  <c r="N56" i="18"/>
  <c r="L57" i="18"/>
  <c r="N57" i="18"/>
  <c r="L58" i="18"/>
  <c r="N58" i="18"/>
  <c r="L59" i="18"/>
  <c r="N59" i="18"/>
  <c r="L60" i="18"/>
  <c r="N60" i="18"/>
  <c r="L61" i="18"/>
  <c r="N61" i="18"/>
  <c r="L62" i="18"/>
  <c r="N62" i="18"/>
  <c r="L63" i="18"/>
  <c r="N63" i="18"/>
  <c r="L64" i="18"/>
  <c r="N64" i="18"/>
  <c r="L65" i="18"/>
  <c r="N65" i="18"/>
  <c r="L66" i="18"/>
  <c r="N66" i="18"/>
  <c r="L67" i="18"/>
  <c r="N67" i="18"/>
  <c r="L68" i="18"/>
  <c r="N68" i="18"/>
  <c r="L69" i="18"/>
  <c r="N69" i="18"/>
  <c r="L70" i="18"/>
  <c r="N70" i="18"/>
  <c r="L71" i="18"/>
  <c r="N71" i="18"/>
  <c r="L72" i="18"/>
  <c r="N72" i="18"/>
  <c r="D89" i="18"/>
  <c r="D91" i="18"/>
  <c r="J93" i="18"/>
  <c r="L93" i="18"/>
  <c r="D96" i="18"/>
  <c r="J99" i="18"/>
  <c r="M99" i="18"/>
  <c r="O99" i="18"/>
  <c r="P99" i="18" s="1"/>
  <c r="J100" i="18"/>
  <c r="M100" i="18"/>
  <c r="O100" i="18"/>
  <c r="P100" i="18" s="1"/>
  <c r="M101" i="18"/>
  <c r="O101" i="18"/>
  <c r="M102" i="18"/>
  <c r="O102" i="18"/>
  <c r="O109" i="18"/>
  <c r="M110" i="18"/>
  <c r="O110" i="18"/>
  <c r="M111" i="18"/>
  <c r="O111" i="18"/>
  <c r="M112" i="18"/>
  <c r="O112" i="18"/>
  <c r="M113" i="18"/>
  <c r="O113" i="18"/>
  <c r="M114" i="18"/>
  <c r="O114" i="18"/>
  <c r="M115" i="18"/>
  <c r="O115" i="18"/>
  <c r="M116" i="18"/>
  <c r="O116" i="18"/>
  <c r="M117" i="18"/>
  <c r="O117" i="18"/>
  <c r="M118" i="18"/>
  <c r="O118" i="18"/>
  <c r="M119" i="18"/>
  <c r="O119" i="18"/>
  <c r="M120" i="18"/>
  <c r="O120" i="18"/>
  <c r="M121" i="18"/>
  <c r="O121" i="18"/>
  <c r="M122" i="18"/>
  <c r="O122" i="18"/>
  <c r="M123" i="18"/>
  <c r="O123" i="18"/>
  <c r="M124" i="18"/>
  <c r="O124" i="18"/>
  <c r="M125" i="18"/>
  <c r="O125" i="18"/>
  <c r="M126" i="18"/>
  <c r="O126" i="18"/>
  <c r="M127" i="18"/>
  <c r="O127" i="18"/>
  <c r="M128" i="18"/>
  <c r="O128" i="18"/>
  <c r="M129" i="18"/>
  <c r="O129" i="18"/>
  <c r="M130" i="18"/>
  <c r="O130" i="18"/>
  <c r="M131" i="18"/>
  <c r="O131" i="18"/>
  <c r="M132" i="18"/>
  <c r="O132" i="18"/>
  <c r="M133" i="18"/>
  <c r="O133" i="18"/>
  <c r="M134" i="18"/>
  <c r="O134" i="18"/>
  <c r="M135" i="18"/>
  <c r="O135" i="18"/>
  <c r="M136" i="18"/>
  <c r="O136" i="18"/>
  <c r="M137" i="18"/>
  <c r="O137" i="18"/>
  <c r="M138" i="18"/>
  <c r="O138" i="18"/>
  <c r="M139" i="18"/>
  <c r="O139" i="18"/>
  <c r="M140" i="18"/>
  <c r="O140" i="18"/>
  <c r="M141" i="18"/>
  <c r="O141" i="18"/>
  <c r="M142" i="18"/>
  <c r="O142" i="18"/>
  <c r="M143" i="18"/>
  <c r="O143" i="18"/>
  <c r="M144" i="18"/>
  <c r="O144" i="18"/>
  <c r="M145" i="18"/>
  <c r="O145" i="18"/>
  <c r="M146" i="18"/>
  <c r="O146" i="18"/>
  <c r="M147" i="18"/>
  <c r="O147" i="18"/>
  <c r="M148" i="18"/>
  <c r="O148" i="18"/>
  <c r="M149" i="18"/>
  <c r="O149" i="18"/>
  <c r="M150" i="18"/>
  <c r="O150" i="18"/>
  <c r="M151" i="18"/>
  <c r="O151" i="18"/>
  <c r="M152" i="18"/>
  <c r="O152" i="18"/>
  <c r="M153" i="18"/>
  <c r="O153" i="18"/>
  <c r="M154" i="18"/>
  <c r="O154" i="18"/>
  <c r="O3" i="17"/>
  <c r="K11" i="17"/>
  <c r="I17" i="17"/>
  <c r="L17" i="17"/>
  <c r="O17" i="17" s="1"/>
  <c r="N17" i="17"/>
  <c r="L18" i="17"/>
  <c r="O18" i="17"/>
  <c r="N18" i="17"/>
  <c r="L19" i="17"/>
  <c r="O19" i="17" s="1"/>
  <c r="N19" i="17"/>
  <c r="L20" i="17"/>
  <c r="N20" i="17"/>
  <c r="N27" i="17"/>
  <c r="N28" i="17"/>
  <c r="L29" i="17"/>
  <c r="N29" i="17"/>
  <c r="L30" i="17"/>
  <c r="N30" i="17"/>
  <c r="L31" i="17"/>
  <c r="N31" i="17"/>
  <c r="L32" i="17"/>
  <c r="N32" i="17"/>
  <c r="L33" i="17"/>
  <c r="N33" i="17"/>
  <c r="L34" i="17"/>
  <c r="N34" i="17"/>
  <c r="L35" i="17"/>
  <c r="N35" i="17"/>
  <c r="L36" i="17"/>
  <c r="N36" i="17"/>
  <c r="L37" i="17"/>
  <c r="N37" i="17"/>
  <c r="L38" i="17"/>
  <c r="N38" i="17"/>
  <c r="L39" i="17"/>
  <c r="N39" i="17"/>
  <c r="L40" i="17"/>
  <c r="N40" i="17"/>
  <c r="L41" i="17"/>
  <c r="N41" i="17"/>
  <c r="L42" i="17"/>
  <c r="N42" i="17"/>
  <c r="L43" i="17"/>
  <c r="N43" i="17"/>
  <c r="L44" i="17"/>
  <c r="N44" i="17"/>
  <c r="L45" i="17"/>
  <c r="N45" i="17"/>
  <c r="L46" i="17"/>
  <c r="N46" i="17"/>
  <c r="L47" i="17"/>
  <c r="N47" i="17"/>
  <c r="L48" i="17"/>
  <c r="N48" i="17"/>
  <c r="L49" i="17"/>
  <c r="N49" i="17"/>
  <c r="L50" i="17"/>
  <c r="N50" i="17"/>
  <c r="L51" i="17"/>
  <c r="N51" i="17"/>
  <c r="L52" i="17"/>
  <c r="N52" i="17"/>
  <c r="L53" i="17"/>
  <c r="N53" i="17"/>
  <c r="L54" i="17"/>
  <c r="N54" i="17"/>
  <c r="L55" i="17"/>
  <c r="N55" i="17"/>
  <c r="L56" i="17"/>
  <c r="N56" i="17"/>
  <c r="L57" i="17"/>
  <c r="N57" i="17"/>
  <c r="L58" i="17"/>
  <c r="N58" i="17"/>
  <c r="L59" i="17"/>
  <c r="N59" i="17"/>
  <c r="L60" i="17"/>
  <c r="N60" i="17"/>
  <c r="L61" i="17"/>
  <c r="N61" i="17"/>
  <c r="L62" i="17"/>
  <c r="N62" i="17"/>
  <c r="L63" i="17"/>
  <c r="N63" i="17"/>
  <c r="L64" i="17"/>
  <c r="N64" i="17"/>
  <c r="L65" i="17"/>
  <c r="N65" i="17"/>
  <c r="L66" i="17"/>
  <c r="N66" i="17"/>
  <c r="L67" i="17"/>
  <c r="N67" i="17"/>
  <c r="L68" i="17"/>
  <c r="N68" i="17"/>
  <c r="L69" i="17"/>
  <c r="N69" i="17"/>
  <c r="L70" i="17"/>
  <c r="N70" i="17"/>
  <c r="L71" i="17"/>
  <c r="N71" i="17"/>
  <c r="L72" i="17"/>
  <c r="N72" i="17"/>
  <c r="D89" i="17"/>
  <c r="D91" i="17"/>
  <c r="J93" i="17"/>
  <c r="L93" i="17"/>
  <c r="D96" i="17"/>
  <c r="J99" i="17"/>
  <c r="M99" i="17"/>
  <c r="O99" i="17"/>
  <c r="P99" i="17" s="1"/>
  <c r="J100" i="17"/>
  <c r="M100" i="17"/>
  <c r="O100" i="17"/>
  <c r="P100" i="17" s="1"/>
  <c r="M101" i="17"/>
  <c r="O101" i="17"/>
  <c r="M102" i="17"/>
  <c r="O102" i="17"/>
  <c r="O109" i="17"/>
  <c r="M110" i="17"/>
  <c r="O110" i="17"/>
  <c r="M111" i="17"/>
  <c r="O111" i="17"/>
  <c r="M112" i="17"/>
  <c r="O112" i="17"/>
  <c r="M113" i="17"/>
  <c r="O113" i="17"/>
  <c r="M114" i="17"/>
  <c r="O114" i="17"/>
  <c r="M115" i="17"/>
  <c r="O115" i="17"/>
  <c r="M116" i="17"/>
  <c r="O116" i="17"/>
  <c r="M117" i="17"/>
  <c r="O117" i="17"/>
  <c r="M118" i="17"/>
  <c r="O118" i="17"/>
  <c r="M119" i="17"/>
  <c r="O119" i="17"/>
  <c r="M120" i="17"/>
  <c r="O120" i="17"/>
  <c r="M121" i="17"/>
  <c r="O121" i="17"/>
  <c r="M122" i="17"/>
  <c r="O122" i="17"/>
  <c r="M123" i="17"/>
  <c r="O123" i="17"/>
  <c r="M124" i="17"/>
  <c r="O124" i="17"/>
  <c r="M125" i="17"/>
  <c r="O125" i="17"/>
  <c r="M126" i="17"/>
  <c r="O126" i="17"/>
  <c r="M127" i="17"/>
  <c r="O127" i="17"/>
  <c r="M128" i="17"/>
  <c r="O128" i="17"/>
  <c r="M129" i="17"/>
  <c r="O129" i="17"/>
  <c r="M130" i="17"/>
  <c r="O130" i="17"/>
  <c r="M131" i="17"/>
  <c r="O131" i="17"/>
  <c r="M132" i="17"/>
  <c r="O132" i="17"/>
  <c r="M133" i="17"/>
  <c r="O133" i="17"/>
  <c r="M134" i="17"/>
  <c r="O134" i="17"/>
  <c r="M135" i="17"/>
  <c r="O135" i="17"/>
  <c r="M136" i="17"/>
  <c r="O136" i="17"/>
  <c r="M137" i="17"/>
  <c r="O137" i="17"/>
  <c r="M138" i="17"/>
  <c r="O138" i="17"/>
  <c r="M139" i="17"/>
  <c r="O139" i="17"/>
  <c r="M140" i="17"/>
  <c r="O140" i="17"/>
  <c r="M141" i="17"/>
  <c r="O141" i="17"/>
  <c r="M142" i="17"/>
  <c r="O142" i="17"/>
  <c r="M143" i="17"/>
  <c r="O143" i="17"/>
  <c r="M144" i="17"/>
  <c r="O144" i="17"/>
  <c r="M145" i="17"/>
  <c r="O145" i="17"/>
  <c r="M146" i="17"/>
  <c r="O146" i="17"/>
  <c r="M147" i="17"/>
  <c r="O147" i="17"/>
  <c r="M148" i="17"/>
  <c r="O148" i="17"/>
  <c r="M149" i="17"/>
  <c r="O149" i="17"/>
  <c r="M150" i="17"/>
  <c r="O150" i="17"/>
  <c r="M151" i="17"/>
  <c r="O151" i="17"/>
  <c r="M152" i="17"/>
  <c r="O152" i="17"/>
  <c r="M153" i="17"/>
  <c r="O153" i="17"/>
  <c r="M154" i="17"/>
  <c r="O154" i="17"/>
  <c r="C12" i="2"/>
  <c r="C12" i="1"/>
  <c r="O3" i="3"/>
  <c r="A5" i="2"/>
  <c r="A1" i="2"/>
  <c r="F13" i="2"/>
  <c r="C8" i="2" s="1"/>
  <c r="F13" i="1"/>
  <c r="C89" i="2"/>
  <c r="I11" i="13"/>
  <c r="K11" i="13"/>
  <c r="L17" i="13"/>
  <c r="N17" i="13"/>
  <c r="L18" i="13"/>
  <c r="N18" i="13"/>
  <c r="L19" i="13"/>
  <c r="N19" i="13"/>
  <c r="L20" i="13"/>
  <c r="N20" i="13"/>
  <c r="L21" i="13"/>
  <c r="N21" i="13"/>
  <c r="L22" i="13"/>
  <c r="N22" i="13"/>
  <c r="L23" i="13"/>
  <c r="N23" i="13"/>
  <c r="L24" i="13"/>
  <c r="N24" i="13"/>
  <c r="L25" i="13"/>
  <c r="N25" i="13"/>
  <c r="L26" i="13"/>
  <c r="N26" i="13"/>
  <c r="L27" i="13"/>
  <c r="N27" i="13"/>
  <c r="L28" i="13"/>
  <c r="N28" i="13"/>
  <c r="L29" i="13"/>
  <c r="N29" i="13"/>
  <c r="L30" i="13"/>
  <c r="N30" i="13"/>
  <c r="L31" i="13"/>
  <c r="N31" i="13"/>
  <c r="L32" i="13"/>
  <c r="N32" i="13"/>
  <c r="L33" i="13"/>
  <c r="O33" i="13" s="1"/>
  <c r="N33" i="13"/>
  <c r="L34" i="13"/>
  <c r="N34" i="13"/>
  <c r="L35" i="13"/>
  <c r="N35" i="13"/>
  <c r="L36" i="13"/>
  <c r="N36" i="13"/>
  <c r="L37" i="13"/>
  <c r="N37" i="13"/>
  <c r="L38" i="13"/>
  <c r="N38" i="13"/>
  <c r="L39" i="13"/>
  <c r="N39" i="13"/>
  <c r="L40" i="13"/>
  <c r="N40" i="13"/>
  <c r="L41" i="13"/>
  <c r="N41" i="13"/>
  <c r="L42" i="13"/>
  <c r="N42" i="13"/>
  <c r="L43" i="13"/>
  <c r="N43" i="13"/>
  <c r="L44" i="13"/>
  <c r="N44" i="13"/>
  <c r="L45" i="13"/>
  <c r="N45" i="13"/>
  <c r="L46" i="13"/>
  <c r="N46" i="13"/>
  <c r="L47" i="13"/>
  <c r="N47" i="13"/>
  <c r="L48" i="13"/>
  <c r="N48" i="13"/>
  <c r="L49" i="13"/>
  <c r="N49" i="13"/>
  <c r="L50" i="13"/>
  <c r="N50" i="13"/>
  <c r="L51" i="13"/>
  <c r="N51" i="13"/>
  <c r="L52" i="13"/>
  <c r="N52" i="13"/>
  <c r="L53" i="13"/>
  <c r="N53" i="13"/>
  <c r="L54" i="13"/>
  <c r="N54" i="13"/>
  <c r="L55" i="13"/>
  <c r="N55" i="13"/>
  <c r="L56" i="13"/>
  <c r="N56" i="13"/>
  <c r="L57" i="13"/>
  <c r="N57" i="13"/>
  <c r="L58" i="13"/>
  <c r="N58" i="13"/>
  <c r="L59" i="13"/>
  <c r="N59" i="13"/>
  <c r="L60" i="13"/>
  <c r="N60" i="13"/>
  <c r="L61" i="13"/>
  <c r="N61" i="13"/>
  <c r="L62" i="13"/>
  <c r="N62" i="13"/>
  <c r="L63" i="13"/>
  <c r="N63" i="13"/>
  <c r="L64" i="13"/>
  <c r="N64" i="13"/>
  <c r="L65" i="13"/>
  <c r="N65" i="13"/>
  <c r="L66" i="13"/>
  <c r="N66" i="13"/>
  <c r="L67" i="13"/>
  <c r="N67" i="13"/>
  <c r="L68" i="13"/>
  <c r="N68" i="13"/>
  <c r="L69" i="13"/>
  <c r="N69" i="13"/>
  <c r="L70" i="13"/>
  <c r="N70" i="13"/>
  <c r="L71" i="13"/>
  <c r="N71" i="13"/>
  <c r="L72" i="13"/>
  <c r="N72" i="13"/>
  <c r="D89" i="13"/>
  <c r="D91" i="13"/>
  <c r="J93" i="13"/>
  <c r="L93" i="13"/>
  <c r="D96" i="13"/>
  <c r="M99" i="13"/>
  <c r="O99" i="13"/>
  <c r="M100" i="13"/>
  <c r="O100" i="13"/>
  <c r="M101" i="13"/>
  <c r="O101" i="13"/>
  <c r="M102" i="13"/>
  <c r="O102" i="13"/>
  <c r="M103" i="13"/>
  <c r="O103" i="13"/>
  <c r="M104" i="13"/>
  <c r="O104" i="13"/>
  <c r="M105" i="13"/>
  <c r="O105" i="13"/>
  <c r="M106" i="13"/>
  <c r="O106" i="13"/>
  <c r="M107" i="13"/>
  <c r="O107" i="13"/>
  <c r="M108" i="13"/>
  <c r="O108" i="13"/>
  <c r="M109" i="13"/>
  <c r="O109" i="13"/>
  <c r="M110" i="13"/>
  <c r="O110" i="13"/>
  <c r="M111" i="13"/>
  <c r="O111" i="13"/>
  <c r="M112" i="13"/>
  <c r="O112" i="13"/>
  <c r="M113" i="13"/>
  <c r="O113" i="13"/>
  <c r="M114" i="13"/>
  <c r="O114" i="13"/>
  <c r="M115" i="13"/>
  <c r="O115" i="13"/>
  <c r="M116" i="13"/>
  <c r="O116" i="13"/>
  <c r="M117" i="13"/>
  <c r="O117" i="13"/>
  <c r="M118" i="13"/>
  <c r="O118" i="13"/>
  <c r="M119" i="13"/>
  <c r="O119" i="13"/>
  <c r="M120" i="13"/>
  <c r="O120" i="13"/>
  <c r="M121" i="13"/>
  <c r="O121" i="13"/>
  <c r="M122" i="13"/>
  <c r="O122" i="13"/>
  <c r="M123" i="13"/>
  <c r="O123" i="13"/>
  <c r="M124" i="13"/>
  <c r="O124" i="13"/>
  <c r="M125" i="13"/>
  <c r="O125" i="13"/>
  <c r="M126" i="13"/>
  <c r="O126" i="13"/>
  <c r="M127" i="13"/>
  <c r="O127" i="13"/>
  <c r="M128" i="13"/>
  <c r="O128" i="13"/>
  <c r="M129" i="13"/>
  <c r="O129" i="13"/>
  <c r="M130" i="13"/>
  <c r="O130" i="13"/>
  <c r="J131" i="13"/>
  <c r="M131" i="13"/>
  <c r="O131" i="13"/>
  <c r="P131" i="13"/>
  <c r="J132" i="13"/>
  <c r="M132" i="13"/>
  <c r="O132" i="13"/>
  <c r="P132" i="13"/>
  <c r="J133" i="13"/>
  <c r="M133" i="13"/>
  <c r="O133" i="13"/>
  <c r="P133" i="13"/>
  <c r="J134" i="13"/>
  <c r="M134" i="13"/>
  <c r="O134" i="13"/>
  <c r="P134" i="13"/>
  <c r="J135" i="13"/>
  <c r="M135" i="13"/>
  <c r="O135" i="13"/>
  <c r="P135" i="13"/>
  <c r="J136" i="13"/>
  <c r="M136" i="13"/>
  <c r="O136" i="13"/>
  <c r="P136" i="13"/>
  <c r="J137" i="13"/>
  <c r="M137" i="13"/>
  <c r="O137" i="13"/>
  <c r="P137" i="13"/>
  <c r="J138" i="13"/>
  <c r="M138" i="13"/>
  <c r="O138" i="13"/>
  <c r="P138" i="13"/>
  <c r="J139" i="13"/>
  <c r="M139" i="13"/>
  <c r="O139" i="13"/>
  <c r="P139" i="13"/>
  <c r="J140" i="13"/>
  <c r="M140" i="13"/>
  <c r="O140" i="13"/>
  <c r="P140" i="13"/>
  <c r="J141" i="13"/>
  <c r="M141" i="13"/>
  <c r="O141" i="13"/>
  <c r="P141" i="13"/>
  <c r="J142" i="13"/>
  <c r="M142" i="13"/>
  <c r="O142" i="13"/>
  <c r="P142" i="13"/>
  <c r="J143" i="13"/>
  <c r="M143" i="13"/>
  <c r="O143" i="13"/>
  <c r="P143" i="13"/>
  <c r="J144" i="13"/>
  <c r="M144" i="13"/>
  <c r="O144" i="13"/>
  <c r="P144" i="13"/>
  <c r="J145" i="13"/>
  <c r="M145" i="13"/>
  <c r="O145" i="13"/>
  <c r="P145" i="13"/>
  <c r="J146" i="13"/>
  <c r="M146" i="13"/>
  <c r="O146" i="13"/>
  <c r="P146" i="13"/>
  <c r="J147" i="13"/>
  <c r="M147" i="13"/>
  <c r="O147" i="13"/>
  <c r="P147" i="13"/>
  <c r="J148" i="13"/>
  <c r="M148" i="13"/>
  <c r="O148" i="13"/>
  <c r="P148" i="13"/>
  <c r="J149" i="13"/>
  <c r="M149" i="13"/>
  <c r="O149" i="13"/>
  <c r="P149" i="13"/>
  <c r="J150" i="13"/>
  <c r="M150" i="13"/>
  <c r="O150" i="13"/>
  <c r="P150" i="13"/>
  <c r="J151" i="13"/>
  <c r="M151" i="13"/>
  <c r="O151" i="13"/>
  <c r="P151" i="13"/>
  <c r="J152" i="13"/>
  <c r="M152" i="13"/>
  <c r="O152" i="13"/>
  <c r="P152" i="13"/>
  <c r="J153" i="13"/>
  <c r="M153" i="13"/>
  <c r="O153" i="13"/>
  <c r="P153" i="13"/>
  <c r="J154" i="13"/>
  <c r="M154" i="13"/>
  <c r="O154" i="13"/>
  <c r="P154" i="13"/>
  <c r="K11" i="3"/>
  <c r="L17" i="3"/>
  <c r="N17" i="3"/>
  <c r="O17" i="3" s="1"/>
  <c r="L18" i="3"/>
  <c r="O18" i="3"/>
  <c r="N18" i="3"/>
  <c r="L19" i="3"/>
  <c r="N19" i="3"/>
  <c r="O19" i="3"/>
  <c r="L20" i="3"/>
  <c r="O20" i="3" s="1"/>
  <c r="N20" i="3"/>
  <c r="N27" i="3"/>
  <c r="N28" i="3"/>
  <c r="O28" i="3" s="1"/>
  <c r="L29" i="3"/>
  <c r="N29" i="3"/>
  <c r="L30" i="3"/>
  <c r="N30" i="3"/>
  <c r="L31" i="3"/>
  <c r="N31" i="3"/>
  <c r="L32" i="3"/>
  <c r="N32" i="3"/>
  <c r="L33" i="3"/>
  <c r="N33" i="3"/>
  <c r="L34" i="3"/>
  <c r="N34" i="3"/>
  <c r="L35" i="3"/>
  <c r="N35" i="3"/>
  <c r="L36" i="3"/>
  <c r="N36" i="3"/>
  <c r="L37" i="3"/>
  <c r="N37" i="3"/>
  <c r="L38" i="3"/>
  <c r="N38" i="3"/>
  <c r="L39" i="3"/>
  <c r="N39" i="3"/>
  <c r="L40" i="3"/>
  <c r="N40" i="3"/>
  <c r="L41" i="3"/>
  <c r="N41" i="3"/>
  <c r="L42" i="3"/>
  <c r="N42" i="3"/>
  <c r="L43" i="3"/>
  <c r="N43" i="3"/>
  <c r="L44" i="3"/>
  <c r="N44" i="3"/>
  <c r="C45" i="3"/>
  <c r="C46" i="3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L45" i="3"/>
  <c r="N45" i="3"/>
  <c r="L46" i="3"/>
  <c r="N46" i="3"/>
  <c r="L47" i="3"/>
  <c r="N47" i="3"/>
  <c r="L48" i="3"/>
  <c r="N48" i="3"/>
  <c r="L49" i="3"/>
  <c r="N49" i="3"/>
  <c r="L50" i="3"/>
  <c r="N50" i="3"/>
  <c r="L51" i="3"/>
  <c r="N51" i="3"/>
  <c r="L52" i="3"/>
  <c r="N52" i="3"/>
  <c r="L53" i="3"/>
  <c r="N53" i="3"/>
  <c r="L54" i="3"/>
  <c r="N54" i="3"/>
  <c r="L55" i="3"/>
  <c r="N55" i="3"/>
  <c r="L56" i="3"/>
  <c r="N56" i="3"/>
  <c r="L57" i="3"/>
  <c r="N57" i="3"/>
  <c r="L58" i="3"/>
  <c r="N58" i="3"/>
  <c r="L59" i="3"/>
  <c r="N59" i="3"/>
  <c r="L60" i="3"/>
  <c r="N60" i="3"/>
  <c r="L61" i="3"/>
  <c r="N61" i="3"/>
  <c r="L62" i="3"/>
  <c r="N62" i="3"/>
  <c r="L63" i="3"/>
  <c r="N63" i="3"/>
  <c r="L64" i="3"/>
  <c r="N64" i="3"/>
  <c r="L65" i="3"/>
  <c r="N65" i="3"/>
  <c r="L66" i="3"/>
  <c r="N66" i="3"/>
  <c r="L67" i="3"/>
  <c r="N67" i="3"/>
  <c r="L68" i="3"/>
  <c r="N68" i="3"/>
  <c r="L69" i="3"/>
  <c r="N69" i="3"/>
  <c r="L70" i="3"/>
  <c r="N70" i="3"/>
  <c r="L71" i="3"/>
  <c r="N71" i="3"/>
  <c r="L72" i="3"/>
  <c r="N72" i="3"/>
  <c r="D89" i="3"/>
  <c r="D91" i="3"/>
  <c r="J93" i="3"/>
  <c r="L93" i="3"/>
  <c r="D96" i="3"/>
  <c r="J99" i="3"/>
  <c r="M99" i="3"/>
  <c r="O99" i="3"/>
  <c r="P99" i="3" s="1"/>
  <c r="J100" i="3"/>
  <c r="M100" i="3"/>
  <c r="O100" i="3"/>
  <c r="M101" i="3"/>
  <c r="O101" i="3"/>
  <c r="O109" i="3"/>
  <c r="M110" i="3"/>
  <c r="O110" i="3"/>
  <c r="M111" i="3"/>
  <c r="O111" i="3"/>
  <c r="M112" i="3"/>
  <c r="O112" i="3"/>
  <c r="M113" i="3"/>
  <c r="O113" i="3"/>
  <c r="M114" i="3"/>
  <c r="O114" i="3"/>
  <c r="M115" i="3"/>
  <c r="O115" i="3"/>
  <c r="M116" i="3"/>
  <c r="O116" i="3"/>
  <c r="M117" i="3"/>
  <c r="O117" i="3"/>
  <c r="M118" i="3"/>
  <c r="O118" i="3"/>
  <c r="M119" i="3"/>
  <c r="O119" i="3"/>
  <c r="M120" i="3"/>
  <c r="O120" i="3"/>
  <c r="M121" i="3"/>
  <c r="O121" i="3"/>
  <c r="M122" i="3"/>
  <c r="O122" i="3"/>
  <c r="M123" i="3"/>
  <c r="O123" i="3"/>
  <c r="M124" i="3"/>
  <c r="O124" i="3"/>
  <c r="M125" i="3"/>
  <c r="O125" i="3"/>
  <c r="M126" i="3"/>
  <c r="O126" i="3"/>
  <c r="M127" i="3"/>
  <c r="O127" i="3"/>
  <c r="M128" i="3"/>
  <c r="O128" i="3"/>
  <c r="M129" i="3"/>
  <c r="O129" i="3"/>
  <c r="M130" i="3"/>
  <c r="O130" i="3"/>
  <c r="M131" i="3"/>
  <c r="O131" i="3"/>
  <c r="M132" i="3"/>
  <c r="O132" i="3"/>
  <c r="M133" i="3"/>
  <c r="O133" i="3"/>
  <c r="M134" i="3"/>
  <c r="O134" i="3"/>
  <c r="M135" i="3"/>
  <c r="O135" i="3"/>
  <c r="M136" i="3"/>
  <c r="O136" i="3"/>
  <c r="M137" i="3"/>
  <c r="O137" i="3"/>
  <c r="M138" i="3"/>
  <c r="O138" i="3"/>
  <c r="M139" i="3"/>
  <c r="O139" i="3"/>
  <c r="M140" i="3"/>
  <c r="O140" i="3"/>
  <c r="M141" i="3"/>
  <c r="O141" i="3"/>
  <c r="M142" i="3"/>
  <c r="O142" i="3"/>
  <c r="M143" i="3"/>
  <c r="O143" i="3"/>
  <c r="M144" i="3"/>
  <c r="O144" i="3"/>
  <c r="M145" i="3"/>
  <c r="O145" i="3"/>
  <c r="M146" i="3"/>
  <c r="O146" i="3"/>
  <c r="M147" i="3"/>
  <c r="O147" i="3"/>
  <c r="M148" i="3"/>
  <c r="O148" i="3"/>
  <c r="M149" i="3"/>
  <c r="O149" i="3"/>
  <c r="M150" i="3"/>
  <c r="O150" i="3"/>
  <c r="M151" i="3"/>
  <c r="O151" i="3"/>
  <c r="M152" i="3"/>
  <c r="O152" i="3"/>
  <c r="M153" i="3"/>
  <c r="O153" i="3"/>
  <c r="M154" i="3"/>
  <c r="O154" i="3"/>
  <c r="F12" i="2"/>
  <c r="D17" i="2"/>
  <c r="E17" i="2"/>
  <c r="D18" i="2"/>
  <c r="E18" i="2"/>
  <c r="F18" i="2" s="1"/>
  <c r="D19" i="2"/>
  <c r="C24" i="2"/>
  <c r="E24" i="2"/>
  <c r="C31" i="2"/>
  <c r="E31" i="2"/>
  <c r="C34" i="2"/>
  <c r="E34" i="2"/>
  <c r="C40" i="2"/>
  <c r="C44" i="2"/>
  <c r="F44" i="2"/>
  <c r="C45" i="2"/>
  <c r="F45" i="2"/>
  <c r="C46" i="2"/>
  <c r="F46" i="2"/>
  <c r="C47" i="2"/>
  <c r="F47" i="2"/>
  <c r="C52" i="2"/>
  <c r="F64" i="2"/>
  <c r="C58" i="2"/>
  <c r="F58" i="2"/>
  <c r="C64" i="2"/>
  <c r="C75" i="2"/>
  <c r="F75" i="2"/>
  <c r="C81" i="2"/>
  <c r="C90" i="2"/>
  <c r="F12" i="1"/>
  <c r="D17" i="1"/>
  <c r="E17" i="1"/>
  <c r="D18" i="1"/>
  <c r="E18" i="1"/>
  <c r="F18" i="1" s="1"/>
  <c r="D19" i="1"/>
  <c r="C24" i="1"/>
  <c r="E24" i="1"/>
  <c r="C31" i="1"/>
  <c r="E31" i="1"/>
  <c r="C34" i="1"/>
  <c r="E34" i="1"/>
  <c r="C40" i="1"/>
  <c r="C44" i="1"/>
  <c r="F44" i="1"/>
  <c r="F48" i="1" s="1"/>
  <c r="F52" i="1" s="1"/>
  <c r="C45" i="1"/>
  <c r="F45" i="1"/>
  <c r="C46" i="1"/>
  <c r="F46" i="1"/>
  <c r="C47" i="1"/>
  <c r="F47" i="1"/>
  <c r="C52" i="1"/>
  <c r="F64" i="1"/>
  <c r="C58" i="1"/>
  <c r="F58" i="1"/>
  <c r="C64" i="1"/>
  <c r="C75" i="1"/>
  <c r="F75" i="1"/>
  <c r="C81" i="1"/>
  <c r="C89" i="1"/>
  <c r="C90" i="1"/>
  <c r="S132" i="1"/>
  <c r="S133" i="1"/>
  <c r="S134" i="1"/>
  <c r="P100" i="29"/>
  <c r="O18" i="29"/>
  <c r="O21" i="30"/>
  <c r="O20" i="31"/>
  <c r="O18" i="32"/>
  <c r="P99" i="34"/>
  <c r="C45" i="53"/>
  <c r="C46" i="53"/>
  <c r="C47" i="53" s="1"/>
  <c r="C48" i="53" s="1"/>
  <c r="C49" i="53" s="1"/>
  <c r="C50" i="53" s="1"/>
  <c r="C51" i="53" s="1"/>
  <c r="C52" i="53" s="1"/>
  <c r="C53" i="53" s="1"/>
  <c r="C54" i="53" s="1"/>
  <c r="C55" i="53" s="1"/>
  <c r="C56" i="53" s="1"/>
  <c r="C57" i="53" s="1"/>
  <c r="C58" i="53" s="1"/>
  <c r="C59" i="53" s="1"/>
  <c r="C60" i="53" s="1"/>
  <c r="C61" i="53" s="1"/>
  <c r="C62" i="53" s="1"/>
  <c r="C63" i="53" s="1"/>
  <c r="C64" i="53" s="1"/>
  <c r="C65" i="53" s="1"/>
  <c r="C66" i="53" s="1"/>
  <c r="C67" i="53" s="1"/>
  <c r="C68" i="53" s="1"/>
  <c r="C69" i="53" s="1"/>
  <c r="C70" i="53" s="1"/>
  <c r="C71" i="53" s="1"/>
  <c r="C72" i="53" s="1"/>
  <c r="C45" i="54"/>
  <c r="C46" i="54"/>
  <c r="C47" i="54" s="1"/>
  <c r="C48" i="54" s="1"/>
  <c r="C49" i="54" s="1"/>
  <c r="C50" i="54" s="1"/>
  <c r="C51" i="54" s="1"/>
  <c r="C52" i="54" s="1"/>
  <c r="C53" i="54" s="1"/>
  <c r="C54" i="54" s="1"/>
  <c r="C55" i="54" s="1"/>
  <c r="C56" i="54" s="1"/>
  <c r="C57" i="54" s="1"/>
  <c r="C58" i="54" s="1"/>
  <c r="C59" i="54" s="1"/>
  <c r="C60" i="54" s="1"/>
  <c r="C61" i="54" s="1"/>
  <c r="C62" i="54" s="1"/>
  <c r="C63" i="54" s="1"/>
  <c r="C64" i="54" s="1"/>
  <c r="C65" i="54" s="1"/>
  <c r="C66" i="54" s="1"/>
  <c r="C67" i="54" s="1"/>
  <c r="C68" i="54" s="1"/>
  <c r="C69" i="54" s="1"/>
  <c r="C70" i="54" s="1"/>
  <c r="C71" i="54" s="1"/>
  <c r="C72" i="54" s="1"/>
  <c r="P99" i="29"/>
  <c r="O17" i="29"/>
  <c r="O19" i="34"/>
  <c r="O19" i="35"/>
  <c r="B23" i="27"/>
  <c r="C45" i="55"/>
  <c r="C46" i="55" s="1"/>
  <c r="C47" i="55" s="1"/>
  <c r="C48" i="55" s="1"/>
  <c r="C49" i="55" s="1"/>
  <c r="C50" i="55" s="1"/>
  <c r="C51" i="55" s="1"/>
  <c r="C52" i="55" s="1"/>
  <c r="C53" i="55" s="1"/>
  <c r="C54" i="55" s="1"/>
  <c r="C55" i="55" s="1"/>
  <c r="C56" i="55" s="1"/>
  <c r="C57" i="55" s="1"/>
  <c r="C58" i="55" s="1"/>
  <c r="C59" i="55" s="1"/>
  <c r="C60" i="55" s="1"/>
  <c r="C61" i="55" s="1"/>
  <c r="C62" i="55" s="1"/>
  <c r="C63" i="55" s="1"/>
  <c r="C64" i="55" s="1"/>
  <c r="C65" i="55" s="1"/>
  <c r="C66" i="55" s="1"/>
  <c r="C67" i="55" s="1"/>
  <c r="C68" i="55" s="1"/>
  <c r="C69" i="55" s="1"/>
  <c r="C70" i="55" s="1"/>
  <c r="C71" i="55" s="1"/>
  <c r="C72" i="55" s="1"/>
  <c r="B22" i="34"/>
  <c r="B19" i="45"/>
  <c r="B21" i="3"/>
  <c r="B20" i="43"/>
  <c r="B20" i="41"/>
  <c r="B20" i="44"/>
  <c r="I20" i="21"/>
  <c r="B23" i="29"/>
  <c r="B103" i="30"/>
  <c r="B18" i="57"/>
  <c r="B21" i="22"/>
  <c r="B18" i="53"/>
  <c r="B22" i="24"/>
  <c r="B18" i="55"/>
  <c r="B21" i="18"/>
  <c r="B22" i="31"/>
  <c r="B18" i="58"/>
  <c r="B21" i="20"/>
  <c r="B104" i="27"/>
  <c r="B18" i="54"/>
  <c r="B102" i="21"/>
  <c r="B102" i="17"/>
  <c r="B102" i="22"/>
  <c r="B103" i="24"/>
  <c r="B101" i="39"/>
  <c r="B21" i="17"/>
  <c r="B102" i="20"/>
  <c r="B102" i="19"/>
  <c r="B102" i="3"/>
  <c r="B102" i="18"/>
  <c r="B103" i="23"/>
  <c r="B104" i="29"/>
  <c r="B103" i="34"/>
  <c r="B105" i="28"/>
  <c r="J103" i="29"/>
  <c r="J100" i="39"/>
  <c r="J102" i="24"/>
  <c r="J101" i="20"/>
  <c r="J102" i="32"/>
  <c r="J102" i="23"/>
  <c r="J101" i="3"/>
  <c r="J103" i="27"/>
  <c r="J101" i="17"/>
  <c r="J101" i="19"/>
  <c r="J101" i="22"/>
  <c r="J101" i="21"/>
  <c r="J101" i="18"/>
  <c r="J104" i="28"/>
  <c r="J102" i="34"/>
  <c r="C45" i="63"/>
  <c r="C46" i="63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C67" i="63" s="1"/>
  <c r="C68" i="63" s="1"/>
  <c r="C69" i="63" s="1"/>
  <c r="C70" i="63" s="1"/>
  <c r="C71" i="63" s="1"/>
  <c r="C72" i="63" s="1"/>
  <c r="C45" i="62"/>
  <c r="C46" i="62"/>
  <c r="C47" i="62" s="1"/>
  <c r="C48" i="62" s="1"/>
  <c r="C49" i="62" s="1"/>
  <c r="C50" i="62" s="1"/>
  <c r="C51" i="62" s="1"/>
  <c r="C52" i="62" s="1"/>
  <c r="C53" i="62" s="1"/>
  <c r="C54" i="62" s="1"/>
  <c r="C55" i="62" s="1"/>
  <c r="C56" i="62" s="1"/>
  <c r="C57" i="62" s="1"/>
  <c r="C58" i="62" s="1"/>
  <c r="C59" i="62" s="1"/>
  <c r="C60" i="62" s="1"/>
  <c r="C61" i="62" s="1"/>
  <c r="C62" i="62" s="1"/>
  <c r="C63" i="62" s="1"/>
  <c r="C64" i="62" s="1"/>
  <c r="C65" i="62" s="1"/>
  <c r="C66" i="62" s="1"/>
  <c r="C67" i="62" s="1"/>
  <c r="C68" i="62" s="1"/>
  <c r="C69" i="62" s="1"/>
  <c r="C70" i="62" s="1"/>
  <c r="C71" i="62" s="1"/>
  <c r="C72" i="62" s="1"/>
  <c r="C45" i="61"/>
  <c r="C46" i="61"/>
  <c r="C47" i="61" s="1"/>
  <c r="C48" i="61" s="1"/>
  <c r="C49" i="61" s="1"/>
  <c r="C50" i="61" s="1"/>
  <c r="C51" i="61" s="1"/>
  <c r="C52" i="61" s="1"/>
  <c r="C53" i="61" s="1"/>
  <c r="C54" i="61" s="1"/>
  <c r="C55" i="61" s="1"/>
  <c r="C56" i="61" s="1"/>
  <c r="C57" i="61" s="1"/>
  <c r="C58" i="61" s="1"/>
  <c r="C59" i="61" s="1"/>
  <c r="C60" i="61" s="1"/>
  <c r="C61" i="61" s="1"/>
  <c r="C62" i="61" s="1"/>
  <c r="C63" i="61" s="1"/>
  <c r="C64" i="61" s="1"/>
  <c r="C65" i="61" s="1"/>
  <c r="C66" i="61" s="1"/>
  <c r="C67" i="61" s="1"/>
  <c r="C68" i="61" s="1"/>
  <c r="C69" i="61" s="1"/>
  <c r="C70" i="61" s="1"/>
  <c r="C71" i="61" s="1"/>
  <c r="C72" i="61" s="1"/>
  <c r="O17" i="58"/>
  <c r="B18" i="56"/>
  <c r="O17" i="54"/>
  <c r="O17" i="53"/>
  <c r="O17" i="46"/>
  <c r="B18" i="46"/>
  <c r="P99" i="45"/>
  <c r="O18" i="45"/>
  <c r="P100" i="44"/>
  <c r="O19" i="43"/>
  <c r="P100" i="42"/>
  <c r="B20" i="42"/>
  <c r="O19" i="42"/>
  <c r="O19" i="41"/>
  <c r="P100" i="39"/>
  <c r="O19" i="39"/>
  <c r="B20" i="39"/>
  <c r="P102" i="34"/>
  <c r="O21" i="34"/>
  <c r="B103" i="32"/>
  <c r="B22" i="32"/>
  <c r="O21" i="31"/>
  <c r="P103" i="30"/>
  <c r="O22" i="30"/>
  <c r="O23" i="28"/>
  <c r="B24" i="28"/>
  <c r="O21" i="24"/>
  <c r="P102" i="23"/>
  <c r="P101" i="22"/>
  <c r="P101" i="20"/>
  <c r="O20" i="20"/>
  <c r="O20" i="19"/>
  <c r="P101" i="18"/>
  <c r="P101" i="17"/>
  <c r="O20" i="17"/>
  <c r="P101" i="3"/>
  <c r="B100" i="42"/>
  <c r="B100" i="41"/>
  <c r="B102" i="31"/>
  <c r="B100" i="43"/>
  <c r="B100" i="44"/>
  <c r="J99" i="45"/>
  <c r="J103" i="30"/>
  <c r="J100" i="42"/>
  <c r="J100" i="41"/>
  <c r="J100" i="44"/>
  <c r="J102" i="31"/>
  <c r="J100" i="43"/>
  <c r="C45" i="21"/>
  <c r="C46" i="2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P101" i="21"/>
  <c r="B101" i="43"/>
  <c r="B101" i="44"/>
  <c r="B103" i="31"/>
  <c r="C99" i="63"/>
  <c r="C99" i="61"/>
  <c r="C100" i="61" s="1"/>
  <c r="C101" i="61" s="1"/>
  <c r="C102" i="61" s="1"/>
  <c r="C103" i="61" s="1"/>
  <c r="C104" i="61" s="1"/>
  <c r="C105" i="61" s="1"/>
  <c r="C106" i="61" s="1"/>
  <c r="C107" i="61" s="1"/>
  <c r="C108" i="61" s="1"/>
  <c r="C109" i="61" s="1"/>
  <c r="C110" i="61" s="1"/>
  <c r="C111" i="61" s="1"/>
  <c r="C112" i="61" s="1"/>
  <c r="C113" i="61" s="1"/>
  <c r="C114" i="61" s="1"/>
  <c r="C115" i="61" s="1"/>
  <c r="C116" i="61" s="1"/>
  <c r="C117" i="61" s="1"/>
  <c r="C118" i="61" s="1"/>
  <c r="C119" i="61" s="1"/>
  <c r="C120" i="61" s="1"/>
  <c r="C121" i="61" s="1"/>
  <c r="C122" i="61" s="1"/>
  <c r="C123" i="61" s="1"/>
  <c r="C124" i="61" s="1"/>
  <c r="C125" i="61" s="1"/>
  <c r="C126" i="61" s="1"/>
  <c r="C127" i="61" s="1"/>
  <c r="C128" i="61" s="1"/>
  <c r="C129" i="61" s="1"/>
  <c r="C130" i="61" s="1"/>
  <c r="C131" i="61" s="1"/>
  <c r="C132" i="61" s="1"/>
  <c r="C133" i="61" s="1"/>
  <c r="C134" i="61" s="1"/>
  <c r="C135" i="61" s="1"/>
  <c r="C136" i="61" s="1"/>
  <c r="C137" i="61" s="1"/>
  <c r="C138" i="61" s="1"/>
  <c r="C139" i="61" s="1"/>
  <c r="C140" i="61" s="1"/>
  <c r="C141" i="61" s="1"/>
  <c r="C142" i="61" s="1"/>
  <c r="C143" i="61" s="1"/>
  <c r="C144" i="61" s="1"/>
  <c r="C145" i="61" s="1"/>
  <c r="C146" i="61" s="1"/>
  <c r="C147" i="61" s="1"/>
  <c r="C148" i="61" s="1"/>
  <c r="C149" i="61" s="1"/>
  <c r="C150" i="61" s="1"/>
  <c r="C151" i="61" s="1"/>
  <c r="C152" i="61" s="1"/>
  <c r="C153" i="61" s="1"/>
  <c r="C154" i="61" s="1"/>
  <c r="C99" i="62"/>
  <c r="C100" i="62" s="1"/>
  <c r="C101" i="62" s="1"/>
  <c r="C102" i="62" s="1"/>
  <c r="C103" i="62" s="1"/>
  <c r="C104" i="62" s="1"/>
  <c r="C105" i="62" s="1"/>
  <c r="C106" i="62" s="1"/>
  <c r="C107" i="62" s="1"/>
  <c r="C108" i="62" s="1"/>
  <c r="C109" i="62" s="1"/>
  <c r="C110" i="62" s="1"/>
  <c r="C111" i="62" s="1"/>
  <c r="C112" i="62" s="1"/>
  <c r="C113" i="62" s="1"/>
  <c r="C114" i="62" s="1"/>
  <c r="C115" i="62" s="1"/>
  <c r="C116" i="62" s="1"/>
  <c r="C117" i="62" s="1"/>
  <c r="C118" i="62" s="1"/>
  <c r="C119" i="62" s="1"/>
  <c r="C120" i="62" s="1"/>
  <c r="C121" i="62" s="1"/>
  <c r="C122" i="62" s="1"/>
  <c r="C123" i="62" s="1"/>
  <c r="C124" i="62" s="1"/>
  <c r="C125" i="62" s="1"/>
  <c r="C126" i="62" s="1"/>
  <c r="C127" i="62" s="1"/>
  <c r="C128" i="62" s="1"/>
  <c r="C129" i="62" s="1"/>
  <c r="C130" i="62" s="1"/>
  <c r="C131" i="62" s="1"/>
  <c r="C132" i="62" s="1"/>
  <c r="C133" i="62" s="1"/>
  <c r="C134" i="62" s="1"/>
  <c r="C135" i="62" s="1"/>
  <c r="C136" i="62" s="1"/>
  <c r="C137" i="62" s="1"/>
  <c r="C138" i="62" s="1"/>
  <c r="C139" i="62" s="1"/>
  <c r="C140" i="62" s="1"/>
  <c r="C141" i="62" s="1"/>
  <c r="C142" i="62" s="1"/>
  <c r="C143" i="62" s="1"/>
  <c r="C144" i="62" s="1"/>
  <c r="C145" i="62" s="1"/>
  <c r="C146" i="62" s="1"/>
  <c r="C147" i="62" s="1"/>
  <c r="C148" i="62" s="1"/>
  <c r="C149" i="62" s="1"/>
  <c r="C150" i="62" s="1"/>
  <c r="C151" i="62" s="1"/>
  <c r="C152" i="62" s="1"/>
  <c r="C153" i="62" s="1"/>
  <c r="C154" i="62" s="1"/>
  <c r="B101" i="41"/>
  <c r="B100" i="45"/>
  <c r="C99" i="59"/>
  <c r="C100" i="59" s="1"/>
  <c r="C101" i="59" s="1"/>
  <c r="C102" i="59" s="1"/>
  <c r="C103" i="59" s="1"/>
  <c r="C104" i="59" s="1"/>
  <c r="C105" i="59" s="1"/>
  <c r="C106" i="59" s="1"/>
  <c r="C107" i="59" s="1"/>
  <c r="C108" i="59" s="1"/>
  <c r="C109" i="59" s="1"/>
  <c r="C110" i="59" s="1"/>
  <c r="C111" i="59" s="1"/>
  <c r="C112" i="59" s="1"/>
  <c r="C113" i="59" s="1"/>
  <c r="C114" i="59" s="1"/>
  <c r="C115" i="59" s="1"/>
  <c r="C116" i="59" s="1"/>
  <c r="C117" i="59" s="1"/>
  <c r="C118" i="59" s="1"/>
  <c r="C119" i="59" s="1"/>
  <c r="C120" i="59" s="1"/>
  <c r="C121" i="59" s="1"/>
  <c r="C122" i="59" s="1"/>
  <c r="C123" i="59" s="1"/>
  <c r="C124" i="59" s="1"/>
  <c r="C125" i="59" s="1"/>
  <c r="C126" i="59" s="1"/>
  <c r="C127" i="59" s="1"/>
  <c r="C128" i="59" s="1"/>
  <c r="C129" i="59" s="1"/>
  <c r="C130" i="59" s="1"/>
  <c r="C131" i="59" s="1"/>
  <c r="C132" i="59" s="1"/>
  <c r="C133" i="59" s="1"/>
  <c r="C134" i="59" s="1"/>
  <c r="C135" i="59" s="1"/>
  <c r="C136" i="59" s="1"/>
  <c r="C137" i="59" s="1"/>
  <c r="C138" i="59" s="1"/>
  <c r="C139" i="59" s="1"/>
  <c r="C140" i="59" s="1"/>
  <c r="C141" i="59" s="1"/>
  <c r="C142" i="59" s="1"/>
  <c r="C143" i="59" s="1"/>
  <c r="C144" i="59" s="1"/>
  <c r="C145" i="59" s="1"/>
  <c r="C146" i="59" s="1"/>
  <c r="C147" i="59" s="1"/>
  <c r="C148" i="59" s="1"/>
  <c r="C149" i="59" s="1"/>
  <c r="C150" i="59" s="1"/>
  <c r="C151" i="59" s="1"/>
  <c r="C152" i="59" s="1"/>
  <c r="C153" i="59" s="1"/>
  <c r="C154" i="59" s="1"/>
  <c r="C99" i="60"/>
  <c r="C100" i="60" s="1"/>
  <c r="C101" i="60" s="1"/>
  <c r="C102" i="60" s="1"/>
  <c r="C103" i="60" s="1"/>
  <c r="C104" i="60" s="1"/>
  <c r="C105" i="60" s="1"/>
  <c r="C106" i="60" s="1"/>
  <c r="C107" i="60" s="1"/>
  <c r="C108" i="60" s="1"/>
  <c r="C109" i="60" s="1"/>
  <c r="C110" i="60" s="1"/>
  <c r="C111" i="60" s="1"/>
  <c r="C112" i="60" s="1"/>
  <c r="C113" i="60" s="1"/>
  <c r="C114" i="60" s="1"/>
  <c r="C115" i="60" s="1"/>
  <c r="C116" i="60" s="1"/>
  <c r="C117" i="60" s="1"/>
  <c r="C118" i="60" s="1"/>
  <c r="C119" i="60" s="1"/>
  <c r="C120" i="60" s="1"/>
  <c r="C121" i="60" s="1"/>
  <c r="C122" i="60" s="1"/>
  <c r="C123" i="60" s="1"/>
  <c r="C124" i="60" s="1"/>
  <c r="C125" i="60" s="1"/>
  <c r="C126" i="60" s="1"/>
  <c r="C127" i="60" s="1"/>
  <c r="C128" i="60" s="1"/>
  <c r="C129" i="60" s="1"/>
  <c r="C130" i="60" s="1"/>
  <c r="C131" i="60" s="1"/>
  <c r="C132" i="60" s="1"/>
  <c r="C133" i="60" s="1"/>
  <c r="C134" i="60" s="1"/>
  <c r="C135" i="60" s="1"/>
  <c r="C136" i="60" s="1"/>
  <c r="C137" i="60" s="1"/>
  <c r="C138" i="60" s="1"/>
  <c r="C139" i="60" s="1"/>
  <c r="C140" i="60" s="1"/>
  <c r="C141" i="60" s="1"/>
  <c r="C142" i="60" s="1"/>
  <c r="C143" i="60" s="1"/>
  <c r="C144" i="60" s="1"/>
  <c r="C145" i="60" s="1"/>
  <c r="C146" i="60" s="1"/>
  <c r="C147" i="60" s="1"/>
  <c r="C148" i="60" s="1"/>
  <c r="C149" i="60" s="1"/>
  <c r="C150" i="60" s="1"/>
  <c r="C151" i="60" s="1"/>
  <c r="C152" i="60" s="1"/>
  <c r="C153" i="60" s="1"/>
  <c r="C154" i="60" s="1"/>
  <c r="J103" i="31"/>
  <c r="B104" i="35"/>
  <c r="J99" i="53"/>
  <c r="B104" i="30"/>
  <c r="B101" i="42"/>
  <c r="J99" i="56"/>
  <c r="J100" i="45"/>
  <c r="B105" i="29"/>
  <c r="J99" i="46"/>
  <c r="B18" i="59"/>
  <c r="B23" i="32"/>
  <c r="B25" i="28"/>
  <c r="B19" i="54"/>
  <c r="B21" i="43"/>
  <c r="B22" i="21"/>
  <c r="B19" i="53"/>
  <c r="B19" i="56"/>
  <c r="B100" i="58"/>
  <c r="J101" i="41"/>
  <c r="B103" i="18"/>
  <c r="B104" i="24"/>
  <c r="B104" i="23"/>
  <c r="B104" i="34"/>
  <c r="B106" i="28"/>
  <c r="B103" i="19"/>
  <c r="J103" i="35"/>
  <c r="J101" i="44"/>
  <c r="B103" i="22"/>
  <c r="J101" i="43"/>
  <c r="B103" i="17"/>
  <c r="B105" i="27"/>
  <c r="B19" i="58"/>
  <c r="B23" i="31"/>
  <c r="B22" i="19"/>
  <c r="B19" i="46"/>
  <c r="B18" i="63"/>
  <c r="B21" i="41"/>
  <c r="B24" i="27"/>
  <c r="B23" i="34"/>
  <c r="B24" i="30"/>
  <c r="B21" i="44"/>
  <c r="B19" i="57"/>
  <c r="B22" i="3"/>
  <c r="J99" i="55"/>
  <c r="J99" i="58"/>
  <c r="B21" i="42"/>
  <c r="B24" i="29"/>
  <c r="B18" i="62"/>
  <c r="B22" i="20"/>
  <c r="B23" i="23"/>
  <c r="B22" i="18"/>
  <c r="B22" i="22"/>
  <c r="B23" i="24"/>
  <c r="B18" i="61"/>
  <c r="B21" i="39"/>
  <c r="J104" i="29"/>
  <c r="J102" i="20"/>
  <c r="J103" i="23"/>
  <c r="J103" i="34"/>
  <c r="J102" i="19"/>
  <c r="J105" i="28"/>
  <c r="J101" i="39"/>
  <c r="J103" i="24"/>
  <c r="J103" i="32"/>
  <c r="J104" i="27"/>
  <c r="J102" i="22"/>
  <c r="J102" i="21"/>
  <c r="J102" i="18"/>
  <c r="J102" i="17"/>
  <c r="I21" i="17"/>
  <c r="J99" i="57"/>
  <c r="J99" i="54"/>
  <c r="J101" i="42"/>
  <c r="J104" i="30"/>
  <c r="P102" i="17"/>
  <c r="B22" i="17"/>
  <c r="O21" i="17"/>
  <c r="P102" i="3"/>
  <c r="B103" i="3"/>
  <c r="O21" i="3"/>
  <c r="C45" i="68"/>
  <c r="C46" i="68"/>
  <c r="C47" i="68" s="1"/>
  <c r="C48" i="68" s="1"/>
  <c r="C49" i="68" s="1"/>
  <c r="C50" i="68" s="1"/>
  <c r="C51" i="68" s="1"/>
  <c r="C52" i="68" s="1"/>
  <c r="C53" i="68" s="1"/>
  <c r="C54" i="68" s="1"/>
  <c r="C55" i="68" s="1"/>
  <c r="C56" i="68" s="1"/>
  <c r="C57" i="68" s="1"/>
  <c r="C58" i="68" s="1"/>
  <c r="C59" i="68" s="1"/>
  <c r="C60" i="68" s="1"/>
  <c r="C61" i="68" s="1"/>
  <c r="C62" i="68" s="1"/>
  <c r="C63" i="68" s="1"/>
  <c r="C64" i="68" s="1"/>
  <c r="C65" i="68" s="1"/>
  <c r="C66" i="68" s="1"/>
  <c r="C67" i="68" s="1"/>
  <c r="C68" i="68" s="1"/>
  <c r="C69" i="68" s="1"/>
  <c r="C70" i="68" s="1"/>
  <c r="C71" i="68" s="1"/>
  <c r="C72" i="68" s="1"/>
  <c r="C45" i="66"/>
  <c r="C46" i="66"/>
  <c r="C47" i="66" s="1"/>
  <c r="C48" i="66" s="1"/>
  <c r="C49" i="66" s="1"/>
  <c r="C50" i="66" s="1"/>
  <c r="C51" i="66" s="1"/>
  <c r="C52" i="66" s="1"/>
  <c r="C53" i="66" s="1"/>
  <c r="C54" i="66" s="1"/>
  <c r="C55" i="66" s="1"/>
  <c r="C56" i="66" s="1"/>
  <c r="C57" i="66" s="1"/>
  <c r="C58" i="66" s="1"/>
  <c r="C59" i="66" s="1"/>
  <c r="C60" i="66" s="1"/>
  <c r="C61" i="66" s="1"/>
  <c r="C62" i="66" s="1"/>
  <c r="C63" i="66" s="1"/>
  <c r="C64" i="66" s="1"/>
  <c r="C65" i="66" s="1"/>
  <c r="C66" i="66" s="1"/>
  <c r="C67" i="66" s="1"/>
  <c r="C68" i="66" s="1"/>
  <c r="C69" i="66" s="1"/>
  <c r="C70" i="66" s="1"/>
  <c r="C71" i="66" s="1"/>
  <c r="C72" i="66" s="1"/>
  <c r="C100" i="63"/>
  <c r="C101" i="63" s="1"/>
  <c r="C102" i="63" s="1"/>
  <c r="C103" i="63" s="1"/>
  <c r="C104" i="63"/>
  <c r="C105" i="63" s="1"/>
  <c r="C106" i="63" s="1"/>
  <c r="C107" i="63" s="1"/>
  <c r="C108" i="63"/>
  <c r="C109" i="63" s="1"/>
  <c r="C110" i="63" s="1"/>
  <c r="C111" i="63" s="1"/>
  <c r="C112" i="63"/>
  <c r="C113" i="63" s="1"/>
  <c r="C114" i="63" s="1"/>
  <c r="C115" i="63" s="1"/>
  <c r="C116" i="63" s="1"/>
  <c r="C117" i="63" s="1"/>
  <c r="C118" i="63" s="1"/>
  <c r="C119" i="63" s="1"/>
  <c r="C120" i="63" s="1"/>
  <c r="C121" i="63" s="1"/>
  <c r="C122" i="63" s="1"/>
  <c r="C123" i="63" s="1"/>
  <c r="C124" i="63" s="1"/>
  <c r="C125" i="63" s="1"/>
  <c r="C126" i="63" s="1"/>
  <c r="C127" i="63" s="1"/>
  <c r="C128" i="63" s="1"/>
  <c r="C129" i="63" s="1"/>
  <c r="C130" i="63" s="1"/>
  <c r="C131" i="63" s="1"/>
  <c r="C132" i="63" s="1"/>
  <c r="C133" i="63" s="1"/>
  <c r="C134" i="63" s="1"/>
  <c r="C135" i="63" s="1"/>
  <c r="C136" i="63" s="1"/>
  <c r="C137" i="63" s="1"/>
  <c r="C138" i="63" s="1"/>
  <c r="C139" i="63" s="1"/>
  <c r="C140" i="63" s="1"/>
  <c r="C141" i="63" s="1"/>
  <c r="C142" i="63" s="1"/>
  <c r="C143" i="63" s="1"/>
  <c r="C144" i="63" s="1"/>
  <c r="C145" i="63" s="1"/>
  <c r="C146" i="63" s="1"/>
  <c r="C147" i="63" s="1"/>
  <c r="C148" i="63" s="1"/>
  <c r="C149" i="63" s="1"/>
  <c r="C150" i="63" s="1"/>
  <c r="C151" i="63" s="1"/>
  <c r="C152" i="63" s="1"/>
  <c r="C153" i="63" s="1"/>
  <c r="C154" i="63" s="1"/>
  <c r="O20" i="43"/>
  <c r="B20" i="45"/>
  <c r="O18" i="46"/>
  <c r="O18" i="53"/>
  <c r="B19" i="55"/>
  <c r="O18" i="56"/>
  <c r="O18" i="57"/>
  <c r="O18" i="58"/>
  <c r="O17" i="59"/>
  <c r="O17" i="61"/>
  <c r="O17" i="63"/>
  <c r="O17" i="62"/>
  <c r="B18" i="60"/>
  <c r="P99" i="58"/>
  <c r="P99" i="57"/>
  <c r="P99" i="56"/>
  <c r="P99" i="54"/>
  <c r="P100" i="45"/>
  <c r="P101" i="44"/>
  <c r="P101" i="43"/>
  <c r="P101" i="41"/>
  <c r="P103" i="34"/>
  <c r="B104" i="32"/>
  <c r="P103" i="31"/>
  <c r="P104" i="30"/>
  <c r="P104" i="27"/>
  <c r="P103" i="23"/>
  <c r="P102" i="22"/>
  <c r="P102" i="21"/>
  <c r="O21" i="21"/>
  <c r="O21" i="20"/>
  <c r="B103" i="20"/>
  <c r="P102" i="20"/>
  <c r="P102" i="19"/>
  <c r="O21" i="19"/>
  <c r="P102" i="18"/>
  <c r="O21" i="18"/>
  <c r="B103" i="21"/>
  <c r="B24" i="34"/>
  <c r="B25" i="29"/>
  <c r="B19" i="59"/>
  <c r="B22" i="39"/>
  <c r="B18" i="67"/>
  <c r="B19" i="63"/>
  <c r="B26" i="28"/>
  <c r="B25" i="27"/>
  <c r="B19" i="61"/>
  <c r="B23" i="3"/>
  <c r="B23" i="21"/>
  <c r="B23" i="18"/>
  <c r="B22" i="42"/>
  <c r="B19" i="62"/>
  <c r="B23" i="19"/>
  <c r="B105" i="24"/>
  <c r="B104" i="3"/>
  <c r="B106" i="27"/>
  <c r="B101" i="58"/>
  <c r="B104" i="20"/>
  <c r="B105" i="32"/>
  <c r="B20" i="54"/>
  <c r="B20" i="58"/>
  <c r="B20" i="53"/>
  <c r="B18" i="68"/>
  <c r="B22" i="43"/>
  <c r="B23" i="20"/>
  <c r="B23" i="22"/>
  <c r="B18" i="64"/>
  <c r="B18" i="65"/>
  <c r="B21" i="45"/>
  <c r="B20" i="46"/>
  <c r="B20" i="57"/>
  <c r="B24" i="32"/>
  <c r="B105" i="23"/>
  <c r="B104" i="17"/>
  <c r="B104" i="19"/>
  <c r="B107" i="28"/>
  <c r="B24" i="31"/>
  <c r="B22" i="41"/>
  <c r="B20" i="55"/>
  <c r="B23" i="17"/>
  <c r="B19" i="64"/>
  <c r="B18" i="66"/>
  <c r="O18" i="64"/>
  <c r="O17" i="64"/>
  <c r="B19" i="60"/>
  <c r="B20" i="56"/>
  <c r="O19" i="53"/>
  <c r="P100" i="46"/>
  <c r="O19" i="46"/>
  <c r="B22" i="44"/>
  <c r="P102" i="42"/>
  <c r="O21" i="42"/>
  <c r="P102" i="41"/>
  <c r="O23" i="32"/>
  <c r="P104" i="31"/>
  <c r="B25" i="30"/>
  <c r="B106" i="29"/>
  <c r="P106" i="28"/>
  <c r="O24" i="27"/>
  <c r="B24" i="24"/>
  <c r="B24" i="23"/>
  <c r="P103" i="22"/>
  <c r="B104" i="22"/>
  <c r="P103" i="21"/>
  <c r="O22" i="21"/>
  <c r="O22" i="20"/>
  <c r="P103" i="18"/>
  <c r="B104" i="18"/>
  <c r="O22" i="3"/>
  <c r="B101" i="54"/>
  <c r="B101" i="45"/>
  <c r="B100" i="57"/>
  <c r="B100" i="53"/>
  <c r="B104" i="31"/>
  <c r="B100" i="54"/>
  <c r="B105" i="30"/>
  <c r="B102" i="43"/>
  <c r="B102" i="41"/>
  <c r="B100" i="46"/>
  <c r="B100" i="55"/>
  <c r="B102" i="44"/>
  <c r="B100" i="56"/>
  <c r="B102" i="42"/>
  <c r="B100" i="63"/>
  <c r="B100" i="59"/>
  <c r="B100" i="60"/>
  <c r="B100" i="61"/>
  <c r="B100" i="62"/>
  <c r="B101" i="55"/>
  <c r="B101" i="57"/>
  <c r="B100" i="64"/>
  <c r="C45" i="79"/>
  <c r="C46" i="79"/>
  <c r="C47" i="79"/>
  <c r="C48" i="79"/>
  <c r="C49" i="79" s="1"/>
  <c r="C50" i="79" s="1"/>
  <c r="C51" i="79" s="1"/>
  <c r="C52" i="79" s="1"/>
  <c r="C53" i="79" s="1"/>
  <c r="C54" i="79" s="1"/>
  <c r="C55" i="79" s="1"/>
  <c r="C56" i="79" s="1"/>
  <c r="C57" i="79" s="1"/>
  <c r="C58" i="79" s="1"/>
  <c r="C59" i="79" s="1"/>
  <c r="C60" i="79" s="1"/>
  <c r="C61" i="79" s="1"/>
  <c r="C62" i="79" s="1"/>
  <c r="C63" i="79" s="1"/>
  <c r="C64" i="79" s="1"/>
  <c r="C65" i="79" s="1"/>
  <c r="C66" i="79" s="1"/>
  <c r="C67" i="79" s="1"/>
  <c r="C68" i="79" s="1"/>
  <c r="C69" i="79" s="1"/>
  <c r="C70" i="79" s="1"/>
  <c r="C71" i="79" s="1"/>
  <c r="C72" i="79" s="1"/>
  <c r="C45" i="78"/>
  <c r="C46" i="78" s="1"/>
  <c r="C47" i="78" s="1"/>
  <c r="C48" i="78" s="1"/>
  <c r="C49" i="78" s="1"/>
  <c r="C50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3" i="78" s="1"/>
  <c r="C64" i="78" s="1"/>
  <c r="C65" i="78" s="1"/>
  <c r="C66" i="78" s="1"/>
  <c r="C67" i="78" s="1"/>
  <c r="C68" i="78" s="1"/>
  <c r="C69" i="78" s="1"/>
  <c r="C70" i="78" s="1"/>
  <c r="C71" i="78" s="1"/>
  <c r="C72" i="78" s="1"/>
  <c r="C45" i="77"/>
  <c r="C46" i="77" s="1"/>
  <c r="C47" i="77" s="1"/>
  <c r="C48" i="77" s="1"/>
  <c r="C49" i="77" s="1"/>
  <c r="C50" i="77" s="1"/>
  <c r="C51" i="77" s="1"/>
  <c r="C52" i="77" s="1"/>
  <c r="C53" i="77" s="1"/>
  <c r="C54" i="77" s="1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C45" i="75"/>
  <c r="C46" i="75" s="1"/>
  <c r="C47" i="75" s="1"/>
  <c r="C48" i="75" s="1"/>
  <c r="C49" i="75" s="1"/>
  <c r="C50" i="75" s="1"/>
  <c r="C51" i="75" s="1"/>
  <c r="C52" i="75" s="1"/>
  <c r="C53" i="75" s="1"/>
  <c r="C54" i="75" s="1"/>
  <c r="C55" i="75" s="1"/>
  <c r="C56" i="75" s="1"/>
  <c r="C57" i="75" s="1"/>
  <c r="C58" i="75" s="1"/>
  <c r="C59" i="75" s="1"/>
  <c r="C60" i="75" s="1"/>
  <c r="C61" i="75" s="1"/>
  <c r="C62" i="75" s="1"/>
  <c r="C63" i="75" s="1"/>
  <c r="C64" i="75" s="1"/>
  <c r="C65" i="75" s="1"/>
  <c r="C66" i="75" s="1"/>
  <c r="C67" i="75" s="1"/>
  <c r="C68" i="75" s="1"/>
  <c r="C69" i="75" s="1"/>
  <c r="C70" i="75" s="1"/>
  <c r="C71" i="75" s="1"/>
  <c r="C72" i="75" s="1"/>
  <c r="C99" i="73"/>
  <c r="C100" i="73" s="1"/>
  <c r="C101" i="73" s="1"/>
  <c r="C102" i="73" s="1"/>
  <c r="C103" i="73" s="1"/>
  <c r="C104" i="73" s="1"/>
  <c r="C105" i="73" s="1"/>
  <c r="C106" i="73" s="1"/>
  <c r="C107" i="73" s="1"/>
  <c r="C108" i="73" s="1"/>
  <c r="C109" i="73" s="1"/>
  <c r="C110" i="73" s="1"/>
  <c r="C111" i="73" s="1"/>
  <c r="C112" i="73" s="1"/>
  <c r="C113" i="73" s="1"/>
  <c r="C114" i="73" s="1"/>
  <c r="C115" i="73" s="1"/>
  <c r="C116" i="73" s="1"/>
  <c r="C117" i="73" s="1"/>
  <c r="C118" i="73" s="1"/>
  <c r="C119" i="73" s="1"/>
  <c r="C120" i="73" s="1"/>
  <c r="C121" i="73" s="1"/>
  <c r="C122" i="73" s="1"/>
  <c r="C123" i="73" s="1"/>
  <c r="C124" i="73" s="1"/>
  <c r="C125" i="73" s="1"/>
  <c r="C126" i="73" s="1"/>
  <c r="C127" i="73" s="1"/>
  <c r="C128" i="73" s="1"/>
  <c r="C129" i="73" s="1"/>
  <c r="C130" i="73" s="1"/>
  <c r="C131" i="73" s="1"/>
  <c r="C132" i="73" s="1"/>
  <c r="C133" i="73" s="1"/>
  <c r="C134" i="73" s="1"/>
  <c r="C135" i="73" s="1"/>
  <c r="C136" i="73" s="1"/>
  <c r="C137" i="73" s="1"/>
  <c r="C138" i="73" s="1"/>
  <c r="C139" i="73" s="1"/>
  <c r="C140" i="73" s="1"/>
  <c r="C141" i="73" s="1"/>
  <c r="C142" i="73" s="1"/>
  <c r="C143" i="73" s="1"/>
  <c r="C144" i="73" s="1"/>
  <c r="C145" i="73" s="1"/>
  <c r="C146" i="73" s="1"/>
  <c r="C147" i="73" s="1"/>
  <c r="C148" i="73" s="1"/>
  <c r="C149" i="73" s="1"/>
  <c r="C150" i="73" s="1"/>
  <c r="C151" i="73" s="1"/>
  <c r="C152" i="73" s="1"/>
  <c r="C153" i="73" s="1"/>
  <c r="C154" i="73" s="1"/>
  <c r="C99" i="70"/>
  <c r="C99" i="71"/>
  <c r="C99" i="69"/>
  <c r="K17" i="74"/>
  <c r="L17" i="74" s="1"/>
  <c r="K17" i="73"/>
  <c r="L17" i="73"/>
  <c r="K17" i="71"/>
  <c r="L17" i="71" s="1"/>
  <c r="M17" i="71"/>
  <c r="N17" i="71"/>
  <c r="O17" i="71" s="1"/>
  <c r="C45" i="76"/>
  <c r="C46" i="76" s="1"/>
  <c r="C47" i="76" s="1"/>
  <c r="C48" i="76" s="1"/>
  <c r="C49" i="76" s="1"/>
  <c r="C50" i="76" s="1"/>
  <c r="C51" i="76" s="1"/>
  <c r="C52" i="76" s="1"/>
  <c r="C53" i="76" s="1"/>
  <c r="C54" i="76" s="1"/>
  <c r="C55" i="76" s="1"/>
  <c r="C56" i="76" s="1"/>
  <c r="C57" i="76" s="1"/>
  <c r="C58" i="76" s="1"/>
  <c r="C59" i="76" s="1"/>
  <c r="C60" i="76" s="1"/>
  <c r="C61" i="76" s="1"/>
  <c r="C62" i="76" s="1"/>
  <c r="C63" i="76" s="1"/>
  <c r="C64" i="76" s="1"/>
  <c r="C65" i="76" s="1"/>
  <c r="C66" i="76" s="1"/>
  <c r="C67" i="76" s="1"/>
  <c r="C68" i="76" s="1"/>
  <c r="C69" i="76" s="1"/>
  <c r="C70" i="76" s="1"/>
  <c r="C71" i="76" s="1"/>
  <c r="C72" i="76" s="1"/>
  <c r="B101" i="46"/>
  <c r="B104" i="21"/>
  <c r="C45" i="73"/>
  <c r="C46" i="73" s="1"/>
  <c r="C47" i="73" s="1"/>
  <c r="C48" i="73" s="1"/>
  <c r="C49" i="73" s="1"/>
  <c r="C50" i="73" s="1"/>
  <c r="C51" i="73" s="1"/>
  <c r="C52" i="73" s="1"/>
  <c r="C53" i="73" s="1"/>
  <c r="C54" i="73" s="1"/>
  <c r="C55" i="73" s="1"/>
  <c r="C56" i="73" s="1"/>
  <c r="C57" i="73" s="1"/>
  <c r="C58" i="73" s="1"/>
  <c r="C59" i="73" s="1"/>
  <c r="C60" i="73" s="1"/>
  <c r="C61" i="73" s="1"/>
  <c r="C62" i="73" s="1"/>
  <c r="C63" i="73" s="1"/>
  <c r="C64" i="73" s="1"/>
  <c r="C65" i="73" s="1"/>
  <c r="C66" i="73" s="1"/>
  <c r="C67" i="73" s="1"/>
  <c r="C68" i="73" s="1"/>
  <c r="C69" i="73" s="1"/>
  <c r="C70" i="73" s="1"/>
  <c r="C71" i="73" s="1"/>
  <c r="C72" i="73" s="1"/>
  <c r="C45" i="72"/>
  <c r="C46" i="72" s="1"/>
  <c r="C47" i="72" s="1"/>
  <c r="C48" i="72" s="1"/>
  <c r="C49" i="72" s="1"/>
  <c r="C50" i="72" s="1"/>
  <c r="C51" i="72" s="1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3" i="72" s="1"/>
  <c r="C64" i="72" s="1"/>
  <c r="C65" i="72" s="1"/>
  <c r="C66" i="72" s="1"/>
  <c r="C67" i="72" s="1"/>
  <c r="C68" i="72" s="1"/>
  <c r="C69" i="72" s="1"/>
  <c r="C70" i="72" s="1"/>
  <c r="C71" i="72" s="1"/>
  <c r="C72" i="72" s="1"/>
  <c r="C99" i="72"/>
  <c r="C100" i="72" s="1"/>
  <c r="C101" i="72" s="1"/>
  <c r="C102" i="72" s="1"/>
  <c r="C103" i="72" s="1"/>
  <c r="C104" i="72" s="1"/>
  <c r="C105" i="72" s="1"/>
  <c r="C106" i="72" s="1"/>
  <c r="C107" i="72" s="1"/>
  <c r="C108" i="72" s="1"/>
  <c r="C109" i="72" s="1"/>
  <c r="C110" i="72" s="1"/>
  <c r="C111" i="72" s="1"/>
  <c r="C112" i="72" s="1"/>
  <c r="C113" i="72" s="1"/>
  <c r="C114" i="72" s="1"/>
  <c r="C115" i="72" s="1"/>
  <c r="C116" i="72" s="1"/>
  <c r="C117" i="72" s="1"/>
  <c r="C118" i="72" s="1"/>
  <c r="C119" i="72" s="1"/>
  <c r="C120" i="72" s="1"/>
  <c r="C121" i="72" s="1"/>
  <c r="C122" i="72" s="1"/>
  <c r="C123" i="72" s="1"/>
  <c r="C124" i="72" s="1"/>
  <c r="C125" i="72" s="1"/>
  <c r="C126" i="72" s="1"/>
  <c r="C127" i="72" s="1"/>
  <c r="C128" i="72" s="1"/>
  <c r="C129" i="72" s="1"/>
  <c r="C130" i="72" s="1"/>
  <c r="C131" i="72" s="1"/>
  <c r="C132" i="72" s="1"/>
  <c r="C133" i="72" s="1"/>
  <c r="C134" i="72" s="1"/>
  <c r="C135" i="72" s="1"/>
  <c r="C136" i="72" s="1"/>
  <c r="C137" i="72" s="1"/>
  <c r="C138" i="72" s="1"/>
  <c r="C139" i="72" s="1"/>
  <c r="C140" i="72" s="1"/>
  <c r="C141" i="72" s="1"/>
  <c r="C142" i="72" s="1"/>
  <c r="C143" i="72" s="1"/>
  <c r="C144" i="72" s="1"/>
  <c r="C145" i="72" s="1"/>
  <c r="C146" i="72" s="1"/>
  <c r="C147" i="72" s="1"/>
  <c r="C148" i="72" s="1"/>
  <c r="C149" i="72" s="1"/>
  <c r="C150" i="72" s="1"/>
  <c r="C151" i="72" s="1"/>
  <c r="C152" i="72" s="1"/>
  <c r="C153" i="72" s="1"/>
  <c r="C154" i="72" s="1"/>
  <c r="C45" i="71"/>
  <c r="C46" i="71" s="1"/>
  <c r="C47" i="71" s="1"/>
  <c r="C48" i="71" s="1"/>
  <c r="C49" i="71" s="1"/>
  <c r="C50" i="71" s="1"/>
  <c r="C51" i="71" s="1"/>
  <c r="C52" i="71" s="1"/>
  <c r="C53" i="71" s="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C65" i="71" s="1"/>
  <c r="C66" i="71" s="1"/>
  <c r="C67" i="71" s="1"/>
  <c r="C68" i="71" s="1"/>
  <c r="C69" i="71" s="1"/>
  <c r="C70" i="71" s="1"/>
  <c r="C71" i="71" s="1"/>
  <c r="C72" i="71" s="1"/>
  <c r="C100" i="71"/>
  <c r="C101" i="71" s="1"/>
  <c r="C102" i="71" s="1"/>
  <c r="C103" i="71" s="1"/>
  <c r="C104" i="71" s="1"/>
  <c r="C105" i="71" s="1"/>
  <c r="C106" i="71" s="1"/>
  <c r="C107" i="71" s="1"/>
  <c r="C108" i="71" s="1"/>
  <c r="C109" i="71" s="1"/>
  <c r="C110" i="71" s="1"/>
  <c r="C111" i="71" s="1"/>
  <c r="C112" i="71" s="1"/>
  <c r="C113" i="71" s="1"/>
  <c r="C114" i="71" s="1"/>
  <c r="C115" i="71" s="1"/>
  <c r="C116" i="71" s="1"/>
  <c r="C117" i="71" s="1"/>
  <c r="C118" i="71" s="1"/>
  <c r="C119" i="71" s="1"/>
  <c r="C120" i="71" s="1"/>
  <c r="C121" i="71" s="1"/>
  <c r="C122" i="71" s="1"/>
  <c r="C123" i="71" s="1"/>
  <c r="C124" i="71" s="1"/>
  <c r="C125" i="71" s="1"/>
  <c r="C126" i="71" s="1"/>
  <c r="C127" i="71" s="1"/>
  <c r="C128" i="71" s="1"/>
  <c r="C129" i="71" s="1"/>
  <c r="C130" i="71" s="1"/>
  <c r="C131" i="71" s="1"/>
  <c r="C132" i="71" s="1"/>
  <c r="C133" i="71" s="1"/>
  <c r="C134" i="71" s="1"/>
  <c r="C135" i="71" s="1"/>
  <c r="C136" i="71" s="1"/>
  <c r="C137" i="71" s="1"/>
  <c r="C138" i="71" s="1"/>
  <c r="C139" i="71" s="1"/>
  <c r="C140" i="71" s="1"/>
  <c r="C141" i="71" s="1"/>
  <c r="C142" i="71" s="1"/>
  <c r="C143" i="71" s="1"/>
  <c r="C144" i="71" s="1"/>
  <c r="C145" i="71" s="1"/>
  <c r="C146" i="71" s="1"/>
  <c r="C147" i="71" s="1"/>
  <c r="C148" i="71" s="1"/>
  <c r="C149" i="71" s="1"/>
  <c r="C150" i="71" s="1"/>
  <c r="C151" i="71" s="1"/>
  <c r="C152" i="71" s="1"/>
  <c r="C153" i="71" s="1"/>
  <c r="C154" i="71" s="1"/>
  <c r="C45" i="70"/>
  <c r="C46" i="70" s="1"/>
  <c r="C47" i="70" s="1"/>
  <c r="C48" i="70" s="1"/>
  <c r="C49" i="70" s="1"/>
  <c r="C50" i="70" s="1"/>
  <c r="C51" i="70" s="1"/>
  <c r="C52" i="70" s="1"/>
  <c r="C53" i="70" s="1"/>
  <c r="C54" i="70" s="1"/>
  <c r="C55" i="70" s="1"/>
  <c r="C56" i="70" s="1"/>
  <c r="C57" i="70" s="1"/>
  <c r="C58" i="70" s="1"/>
  <c r="C59" i="70" s="1"/>
  <c r="C60" i="70" s="1"/>
  <c r="C61" i="70" s="1"/>
  <c r="C62" i="70" s="1"/>
  <c r="C63" i="70" s="1"/>
  <c r="C64" i="70" s="1"/>
  <c r="C65" i="70" s="1"/>
  <c r="C66" i="70" s="1"/>
  <c r="C67" i="70" s="1"/>
  <c r="C68" i="70" s="1"/>
  <c r="C69" i="70" s="1"/>
  <c r="C70" i="70" s="1"/>
  <c r="C71" i="70" s="1"/>
  <c r="C72" i="70" s="1"/>
  <c r="C100" i="70"/>
  <c r="C101" i="70" s="1"/>
  <c r="C102" i="70" s="1"/>
  <c r="C103" i="70" s="1"/>
  <c r="C104" i="70" s="1"/>
  <c r="C105" i="70" s="1"/>
  <c r="C106" i="70" s="1"/>
  <c r="C107" i="70" s="1"/>
  <c r="C108" i="70" s="1"/>
  <c r="C109" i="70" s="1"/>
  <c r="C110" i="70" s="1"/>
  <c r="C111" i="70" s="1"/>
  <c r="C112" i="70" s="1"/>
  <c r="C113" i="70" s="1"/>
  <c r="C114" i="70" s="1"/>
  <c r="C115" i="70" s="1"/>
  <c r="C116" i="70" s="1"/>
  <c r="C117" i="70" s="1"/>
  <c r="C118" i="70" s="1"/>
  <c r="C119" i="70" s="1"/>
  <c r="C120" i="70" s="1"/>
  <c r="C121" i="70" s="1"/>
  <c r="C122" i="70" s="1"/>
  <c r="C123" i="70" s="1"/>
  <c r="C124" i="70" s="1"/>
  <c r="C125" i="70" s="1"/>
  <c r="C126" i="70" s="1"/>
  <c r="C127" i="70" s="1"/>
  <c r="C128" i="70" s="1"/>
  <c r="C129" i="70" s="1"/>
  <c r="C130" i="70" s="1"/>
  <c r="C131" i="70" s="1"/>
  <c r="C132" i="70" s="1"/>
  <c r="C133" i="70" s="1"/>
  <c r="C134" i="70" s="1"/>
  <c r="C135" i="70" s="1"/>
  <c r="C136" i="70" s="1"/>
  <c r="C137" i="70" s="1"/>
  <c r="C138" i="70" s="1"/>
  <c r="C139" i="70" s="1"/>
  <c r="C140" i="70" s="1"/>
  <c r="C141" i="70" s="1"/>
  <c r="C142" i="70" s="1"/>
  <c r="C143" i="70" s="1"/>
  <c r="C144" i="70" s="1"/>
  <c r="C145" i="70" s="1"/>
  <c r="C146" i="70" s="1"/>
  <c r="C147" i="70" s="1"/>
  <c r="C148" i="70" s="1"/>
  <c r="C149" i="70" s="1"/>
  <c r="C150" i="70" s="1"/>
  <c r="C151" i="70" s="1"/>
  <c r="C152" i="70" s="1"/>
  <c r="C153" i="70" s="1"/>
  <c r="C154" i="70" s="1"/>
  <c r="C45" i="69"/>
  <c r="C46" i="69" s="1"/>
  <c r="C47" i="69" s="1"/>
  <c r="C48" i="69" s="1"/>
  <c r="C49" i="69" s="1"/>
  <c r="C50" i="69" s="1"/>
  <c r="C51" i="69" s="1"/>
  <c r="C52" i="69" s="1"/>
  <c r="C53" i="69" s="1"/>
  <c r="C54" i="69" s="1"/>
  <c r="C55" i="69" s="1"/>
  <c r="C56" i="69" s="1"/>
  <c r="C57" i="69" s="1"/>
  <c r="C58" i="69" s="1"/>
  <c r="C59" i="69" s="1"/>
  <c r="C60" i="69" s="1"/>
  <c r="C61" i="69" s="1"/>
  <c r="C62" i="69" s="1"/>
  <c r="C63" i="69" s="1"/>
  <c r="C64" i="69" s="1"/>
  <c r="C65" i="69" s="1"/>
  <c r="C66" i="69" s="1"/>
  <c r="C67" i="69" s="1"/>
  <c r="C68" i="69" s="1"/>
  <c r="C69" i="69" s="1"/>
  <c r="C70" i="69" s="1"/>
  <c r="C71" i="69" s="1"/>
  <c r="C72" i="69" s="1"/>
  <c r="C100" i="69"/>
  <c r="C101" i="69" s="1"/>
  <c r="C102" i="69" s="1"/>
  <c r="C103" i="69" s="1"/>
  <c r="C104" i="69" s="1"/>
  <c r="C105" i="69" s="1"/>
  <c r="C106" i="69" s="1"/>
  <c r="C107" i="69" s="1"/>
  <c r="C108" i="69" s="1"/>
  <c r="C109" i="69" s="1"/>
  <c r="C110" i="69" s="1"/>
  <c r="C111" i="69" s="1"/>
  <c r="C112" i="69" s="1"/>
  <c r="C113" i="69" s="1"/>
  <c r="C114" i="69" s="1"/>
  <c r="C115" i="69" s="1"/>
  <c r="C116" i="69" s="1"/>
  <c r="C117" i="69" s="1"/>
  <c r="C118" i="69" s="1"/>
  <c r="C119" i="69" s="1"/>
  <c r="C120" i="69" s="1"/>
  <c r="C121" i="69" s="1"/>
  <c r="C122" i="69" s="1"/>
  <c r="C123" i="69" s="1"/>
  <c r="C124" i="69" s="1"/>
  <c r="C125" i="69" s="1"/>
  <c r="C126" i="69" s="1"/>
  <c r="C127" i="69" s="1"/>
  <c r="C128" i="69" s="1"/>
  <c r="C129" i="69" s="1"/>
  <c r="C130" i="69" s="1"/>
  <c r="C131" i="69" s="1"/>
  <c r="C132" i="69" s="1"/>
  <c r="C133" i="69" s="1"/>
  <c r="C134" i="69" s="1"/>
  <c r="C135" i="69" s="1"/>
  <c r="C136" i="69" s="1"/>
  <c r="C137" i="69" s="1"/>
  <c r="C138" i="69" s="1"/>
  <c r="C139" i="69" s="1"/>
  <c r="C140" i="69" s="1"/>
  <c r="C141" i="69" s="1"/>
  <c r="C142" i="69" s="1"/>
  <c r="C143" i="69" s="1"/>
  <c r="C144" i="69" s="1"/>
  <c r="C145" i="69" s="1"/>
  <c r="C146" i="69" s="1"/>
  <c r="C147" i="69" s="1"/>
  <c r="C148" i="69" s="1"/>
  <c r="C149" i="69" s="1"/>
  <c r="C150" i="69" s="1"/>
  <c r="C151" i="69" s="1"/>
  <c r="C152" i="69" s="1"/>
  <c r="C153" i="69" s="1"/>
  <c r="C154" i="69" s="1"/>
  <c r="M17" i="74"/>
  <c r="N17" i="74" s="1"/>
  <c r="K18" i="74"/>
  <c r="L18" i="74"/>
  <c r="M17" i="73"/>
  <c r="N17" i="73" s="1"/>
  <c r="O17" i="73" s="1"/>
  <c r="K18" i="73"/>
  <c r="L18" i="73" s="1"/>
  <c r="K17" i="72"/>
  <c r="L17" i="72" s="1"/>
  <c r="O17" i="72" s="1"/>
  <c r="K18" i="72"/>
  <c r="L18" i="72" s="1"/>
  <c r="K18" i="71"/>
  <c r="L18" i="71"/>
  <c r="M18" i="71"/>
  <c r="N18" i="71" s="1"/>
  <c r="O18" i="71" s="1"/>
  <c r="K17" i="70"/>
  <c r="L17" i="70" s="1"/>
  <c r="B18" i="74"/>
  <c r="B18" i="73"/>
  <c r="B18" i="72"/>
  <c r="B18" i="71"/>
  <c r="B18" i="70"/>
  <c r="B18" i="69"/>
  <c r="M18" i="74"/>
  <c r="N18" i="74"/>
  <c r="O18" i="74" s="1"/>
  <c r="M18" i="73"/>
  <c r="N18" i="73"/>
  <c r="M18" i="72"/>
  <c r="N18" i="72" s="1"/>
  <c r="O18" i="72" s="1"/>
  <c r="K19" i="71"/>
  <c r="L19" i="71"/>
  <c r="M17" i="70"/>
  <c r="N17" i="70"/>
  <c r="K18" i="70"/>
  <c r="L18" i="70"/>
  <c r="B100" i="69"/>
  <c r="K19" i="74"/>
  <c r="L19" i="74"/>
  <c r="K19" i="73"/>
  <c r="L19" i="73" s="1"/>
  <c r="K19" i="72"/>
  <c r="M19" i="71"/>
  <c r="N19" i="71"/>
  <c r="O19" i="71" s="1"/>
  <c r="M18" i="70"/>
  <c r="N18" i="70"/>
  <c r="O18" i="70"/>
  <c r="B19" i="73"/>
  <c r="B19" i="72"/>
  <c r="B19" i="71"/>
  <c r="B19" i="70"/>
  <c r="B19" i="69"/>
  <c r="M19" i="74"/>
  <c r="N19" i="74" s="1"/>
  <c r="O19" i="74" s="1"/>
  <c r="M19" i="73"/>
  <c r="N19" i="73" s="1"/>
  <c r="O19" i="73" s="1"/>
  <c r="L19" i="72"/>
  <c r="M19" i="72"/>
  <c r="N19" i="72"/>
  <c r="O19" i="72" s="1"/>
  <c r="K20" i="71"/>
  <c r="L20" i="71" s="1"/>
  <c r="O20" i="71" s="1"/>
  <c r="K19" i="70"/>
  <c r="L19" i="70"/>
  <c r="B19" i="74"/>
  <c r="B101" i="69"/>
  <c r="K20" i="74"/>
  <c r="L20" i="74" s="1"/>
  <c r="O20" i="74" s="1"/>
  <c r="K20" i="73"/>
  <c r="L20" i="73" s="1"/>
  <c r="M20" i="71"/>
  <c r="N20" i="71"/>
  <c r="K20" i="70"/>
  <c r="L20" i="70" s="1"/>
  <c r="M19" i="70"/>
  <c r="N19" i="70" s="1"/>
  <c r="O19" i="70" s="1"/>
  <c r="B20" i="74"/>
  <c r="B20" i="73"/>
  <c r="B20" i="72"/>
  <c r="B20" i="71"/>
  <c r="B20" i="70"/>
  <c r="B20" i="69"/>
  <c r="M20" i="74"/>
  <c r="N20" i="74" s="1"/>
  <c r="M20" i="73"/>
  <c r="N20" i="73"/>
  <c r="O20" i="73" s="1"/>
  <c r="K21" i="71"/>
  <c r="L21" i="71"/>
  <c r="M20" i="70"/>
  <c r="N20" i="70" s="1"/>
  <c r="O20" i="70" s="1"/>
  <c r="B102" i="69"/>
  <c r="K21" i="73"/>
  <c r="L21" i="73"/>
  <c r="M21" i="71"/>
  <c r="N21" i="71" s="1"/>
  <c r="K21" i="70"/>
  <c r="L21" i="70"/>
  <c r="B21" i="74"/>
  <c r="B21" i="73"/>
  <c r="B21" i="71"/>
  <c r="B21" i="70"/>
  <c r="B21" i="69"/>
  <c r="M21" i="73"/>
  <c r="N21" i="73"/>
  <c r="O21" i="73" s="1"/>
  <c r="K22" i="71"/>
  <c r="L22" i="71" s="1"/>
  <c r="M21" i="70"/>
  <c r="N21" i="70" s="1"/>
  <c r="O21" i="70" s="1"/>
  <c r="B103" i="69"/>
  <c r="M22" i="71"/>
  <c r="N22" i="71" s="1"/>
  <c r="O22" i="71" s="1"/>
  <c r="K23" i="70"/>
  <c r="L23" i="70"/>
  <c r="M22" i="70"/>
  <c r="N22" i="70" s="1"/>
  <c r="K22" i="70"/>
  <c r="L22" i="70"/>
  <c r="B22" i="73"/>
  <c r="B22" i="71"/>
  <c r="B22" i="70"/>
  <c r="B22" i="69"/>
  <c r="K23" i="71"/>
  <c r="M23" i="70"/>
  <c r="N23" i="70" s="1"/>
  <c r="B104" i="69"/>
  <c r="L23" i="71"/>
  <c r="M23" i="71"/>
  <c r="N23" i="71" s="1"/>
  <c r="K24" i="70"/>
  <c r="B23" i="71"/>
  <c r="B23" i="70"/>
  <c r="B23" i="69"/>
  <c r="L24" i="70"/>
  <c r="M24" i="70"/>
  <c r="N24" i="70" s="1"/>
  <c r="O24" i="70" s="1"/>
  <c r="B105" i="69"/>
  <c r="B24" i="71"/>
  <c r="B24" i="70"/>
  <c r="B24" i="69"/>
  <c r="B106" i="69"/>
  <c r="B25" i="70"/>
  <c r="O24" i="69"/>
  <c r="B25" i="69"/>
  <c r="O18" i="69"/>
  <c r="O23" i="69"/>
  <c r="L102" i="39"/>
  <c r="M102" i="39" s="1"/>
  <c r="N102" i="39"/>
  <c r="O102" i="39" s="1"/>
  <c r="P102" i="39" s="1"/>
  <c r="J102" i="39"/>
  <c r="B104" i="44"/>
  <c r="B100" i="75"/>
  <c r="B101" i="56"/>
  <c r="B103" i="44"/>
  <c r="P99" i="73"/>
  <c r="P101" i="72"/>
  <c r="B103" i="43"/>
  <c r="B20" i="64"/>
  <c r="B20" i="63"/>
  <c r="B23" i="41"/>
  <c r="B20" i="60"/>
  <c r="B21" i="55"/>
  <c r="B19" i="65"/>
  <c r="B26" i="30"/>
  <c r="B21" i="54"/>
  <c r="B18" i="78"/>
  <c r="B102" i="46"/>
  <c r="B22" i="74"/>
  <c r="B27" i="28"/>
  <c r="B106" i="30"/>
  <c r="B21" i="56"/>
  <c r="B20" i="62"/>
  <c r="B24" i="3"/>
  <c r="B102" i="53"/>
  <c r="B100" i="66"/>
  <c r="K21" i="74"/>
  <c r="L21" i="74" s="1"/>
  <c r="B104" i="43"/>
  <c r="B20" i="61"/>
  <c r="B18" i="75"/>
  <c r="B105" i="31"/>
  <c r="B18" i="77"/>
  <c r="B21" i="72"/>
  <c r="B25" i="71"/>
  <c r="M21" i="74"/>
  <c r="N21" i="74"/>
  <c r="B103" i="42"/>
  <c r="B106" i="31"/>
  <c r="B102" i="54"/>
  <c r="B102" i="45"/>
  <c r="B102" i="56"/>
  <c r="B26" i="69"/>
  <c r="B101" i="53"/>
  <c r="B100" i="68"/>
  <c r="B24" i="20"/>
  <c r="B103" i="41"/>
  <c r="B25" i="32"/>
  <c r="B102" i="55"/>
  <c r="B105" i="3"/>
  <c r="B101" i="59"/>
  <c r="B105" i="17"/>
  <c r="B101" i="63"/>
  <c r="B105" i="18"/>
  <c r="B104" i="39"/>
  <c r="B102" i="57"/>
  <c r="B108" i="28"/>
  <c r="B106" i="24"/>
  <c r="B107" i="27"/>
  <c r="B21" i="57"/>
  <c r="B23" i="73"/>
  <c r="B25" i="31"/>
  <c r="B23" i="43"/>
  <c r="B21" i="46"/>
  <c r="B104" i="41"/>
  <c r="B104" i="42"/>
  <c r="B24" i="21"/>
  <c r="B25" i="23"/>
  <c r="B26" i="27"/>
  <c r="B24" i="19"/>
  <c r="B107" i="29"/>
  <c r="B105" i="21"/>
  <c r="B106" i="23"/>
  <c r="J100" i="64"/>
  <c r="B105" i="22"/>
  <c r="B101" i="61"/>
  <c r="B102" i="58"/>
  <c r="B103" i="45"/>
  <c r="B100" i="65"/>
  <c r="B101" i="64"/>
  <c r="B101" i="60"/>
  <c r="B101" i="62"/>
  <c r="B21" i="61"/>
  <c r="B20" i="59"/>
  <c r="P101" i="58"/>
  <c r="O20" i="55"/>
  <c r="P101" i="54"/>
  <c r="B21" i="53"/>
  <c r="B22" i="45"/>
  <c r="B23" i="44"/>
  <c r="B23" i="42"/>
  <c r="B23" i="39"/>
  <c r="B25" i="34"/>
  <c r="B106" i="32"/>
  <c r="B107" i="30"/>
  <c r="B26" i="29"/>
  <c r="B25" i="24"/>
  <c r="B24" i="22"/>
  <c r="B105" i="20"/>
  <c r="B24" i="18"/>
  <c r="B24" i="17"/>
  <c r="B102" i="61"/>
  <c r="C45" i="83"/>
  <c r="C46" i="83" s="1"/>
  <c r="C47" i="83" s="1"/>
  <c r="C48" i="83" s="1"/>
  <c r="C49" i="83" s="1"/>
  <c r="C50" i="83" s="1"/>
  <c r="C51" i="83" s="1"/>
  <c r="C52" i="83" s="1"/>
  <c r="C53" i="83" s="1"/>
  <c r="C54" i="83" s="1"/>
  <c r="C55" i="83" s="1"/>
  <c r="C56" i="83" s="1"/>
  <c r="C57" i="83" s="1"/>
  <c r="C58" i="83" s="1"/>
  <c r="C59" i="83" s="1"/>
  <c r="C60" i="83" s="1"/>
  <c r="C61" i="83" s="1"/>
  <c r="C62" i="83" s="1"/>
  <c r="C63" i="83" s="1"/>
  <c r="C64" i="83" s="1"/>
  <c r="C65" i="83" s="1"/>
  <c r="C66" i="83" s="1"/>
  <c r="C67" i="83" s="1"/>
  <c r="C68" i="83" s="1"/>
  <c r="C69" i="83" s="1"/>
  <c r="C70" i="83" s="1"/>
  <c r="C71" i="83" s="1"/>
  <c r="C72" i="83" s="1"/>
  <c r="C45" i="82"/>
  <c r="C46" i="82" s="1"/>
  <c r="C47" i="82" s="1"/>
  <c r="C48" i="82" s="1"/>
  <c r="C49" i="82" s="1"/>
  <c r="C50" i="82" s="1"/>
  <c r="C51" i="82" s="1"/>
  <c r="C52" i="82" s="1"/>
  <c r="C53" i="82" s="1"/>
  <c r="C54" i="82" s="1"/>
  <c r="C55" i="82" s="1"/>
  <c r="C56" i="82" s="1"/>
  <c r="C57" i="82" s="1"/>
  <c r="C58" i="82" s="1"/>
  <c r="C59" i="82" s="1"/>
  <c r="C60" i="82" s="1"/>
  <c r="C61" i="82" s="1"/>
  <c r="C62" i="82" s="1"/>
  <c r="C63" i="82" s="1"/>
  <c r="C64" i="82" s="1"/>
  <c r="C65" i="82" s="1"/>
  <c r="C66" i="82" s="1"/>
  <c r="C67" i="82" s="1"/>
  <c r="C68" i="82" s="1"/>
  <c r="C69" i="82" s="1"/>
  <c r="C70" i="82" s="1"/>
  <c r="C71" i="82" s="1"/>
  <c r="C72" i="82" s="1"/>
  <c r="C45" i="80"/>
  <c r="C46" i="80" s="1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C59" i="80" s="1"/>
  <c r="C60" i="80" s="1"/>
  <c r="C61" i="80" s="1"/>
  <c r="C62" i="80" s="1"/>
  <c r="C63" i="80" s="1"/>
  <c r="C64" i="80" s="1"/>
  <c r="C65" i="80" s="1"/>
  <c r="C66" i="80" s="1"/>
  <c r="C67" i="80" s="1"/>
  <c r="C68" i="80" s="1"/>
  <c r="C69" i="80" s="1"/>
  <c r="C70" i="80" s="1"/>
  <c r="C71" i="80" s="1"/>
  <c r="C72" i="80" s="1"/>
  <c r="B18" i="76"/>
  <c r="B100" i="74"/>
  <c r="P99" i="74"/>
  <c r="P102" i="74"/>
  <c r="P101" i="74"/>
  <c r="P100" i="73"/>
  <c r="P102" i="73"/>
  <c r="P103" i="73"/>
  <c r="P99" i="72"/>
  <c r="P100" i="72"/>
  <c r="P99" i="71"/>
  <c r="P101" i="71"/>
  <c r="P103" i="71"/>
  <c r="P105" i="71"/>
  <c r="P100" i="71"/>
  <c r="P102" i="71"/>
  <c r="P104" i="71"/>
  <c r="P101" i="70"/>
  <c r="P99" i="70"/>
  <c r="P105" i="70"/>
  <c r="P106" i="70"/>
  <c r="O25" i="70"/>
  <c r="B26" i="70"/>
  <c r="P106" i="69"/>
  <c r="B100" i="73"/>
  <c r="B101" i="74"/>
  <c r="B100" i="72"/>
  <c r="B100" i="71"/>
  <c r="B100" i="70"/>
  <c r="B101" i="73"/>
  <c r="J99" i="70"/>
  <c r="B102" i="74"/>
  <c r="B101" i="72"/>
  <c r="B101" i="71"/>
  <c r="B101" i="70"/>
  <c r="B102" i="73"/>
  <c r="J100" i="70"/>
  <c r="B103" i="74"/>
  <c r="B102" i="72"/>
  <c r="B102" i="71"/>
  <c r="B102" i="70"/>
  <c r="B103" i="73"/>
  <c r="J101" i="70"/>
  <c r="B103" i="70"/>
  <c r="B104" i="73"/>
  <c r="B103" i="71"/>
  <c r="J102" i="70"/>
  <c r="B104" i="70"/>
  <c r="B104" i="71"/>
  <c r="J103" i="70"/>
  <c r="B105" i="70"/>
  <c r="B105" i="71"/>
  <c r="J104" i="70"/>
  <c r="B106" i="70"/>
  <c r="B106" i="71"/>
  <c r="J105" i="70"/>
  <c r="B107" i="70"/>
  <c r="J106" i="70"/>
  <c r="B19" i="66"/>
  <c r="C45" i="58"/>
  <c r="C46" i="58"/>
  <c r="C47" i="58" s="1"/>
  <c r="C48" i="58" s="1"/>
  <c r="C49" i="58" s="1"/>
  <c r="C50" i="58" s="1"/>
  <c r="C51" i="58" s="1"/>
  <c r="C52" i="58" s="1"/>
  <c r="C53" i="58" s="1"/>
  <c r="C54" i="58" s="1"/>
  <c r="C55" i="58" s="1"/>
  <c r="C56" i="58" s="1"/>
  <c r="C57" i="58" s="1"/>
  <c r="C58" i="58" s="1"/>
  <c r="C59" i="58" s="1"/>
  <c r="C60" i="58" s="1"/>
  <c r="C61" i="58" s="1"/>
  <c r="C62" i="58" s="1"/>
  <c r="C63" i="58" s="1"/>
  <c r="C64" i="58" s="1"/>
  <c r="C65" i="58" s="1"/>
  <c r="C66" i="58" s="1"/>
  <c r="C67" i="58" s="1"/>
  <c r="C68" i="58" s="1"/>
  <c r="C69" i="58" s="1"/>
  <c r="C70" i="58" s="1"/>
  <c r="C71" i="58" s="1"/>
  <c r="C72" i="58" s="1"/>
  <c r="B105" i="19"/>
  <c r="B21" i="58"/>
  <c r="I12" i="57"/>
  <c r="I13" i="57" s="1"/>
  <c r="B107" i="69"/>
  <c r="B100" i="67"/>
  <c r="J99" i="67"/>
  <c r="N99" i="67"/>
  <c r="O99" i="67" s="1"/>
  <c r="L99" i="67"/>
  <c r="M99" i="67" s="1"/>
  <c r="P102" i="72"/>
  <c r="B102" i="60"/>
  <c r="B101" i="67"/>
  <c r="B104" i="74"/>
  <c r="B108" i="69"/>
  <c r="B101" i="68"/>
  <c r="B105" i="39"/>
  <c r="B100" i="76"/>
  <c r="B103" i="55"/>
  <c r="B100" i="79"/>
  <c r="B105" i="73"/>
  <c r="B106" i="17"/>
  <c r="B103" i="72"/>
  <c r="B107" i="32"/>
  <c r="B100" i="77"/>
  <c r="B100" i="78"/>
  <c r="B106" i="34"/>
  <c r="B103" i="58"/>
  <c r="B108" i="70"/>
  <c r="B101" i="66"/>
  <c r="B102" i="62"/>
  <c r="B109" i="28"/>
  <c r="B103" i="57"/>
  <c r="B106" i="19"/>
  <c r="B106" i="22"/>
  <c r="B102" i="64"/>
  <c r="B106" i="21"/>
  <c r="B107" i="23"/>
  <c r="B107" i="71"/>
  <c r="B102" i="59"/>
  <c r="B106" i="18"/>
  <c r="J103" i="45"/>
  <c r="J104" i="43"/>
  <c r="J102" i="56"/>
  <c r="J101" i="63"/>
  <c r="J103" i="74"/>
  <c r="J100" i="66"/>
  <c r="J104" i="39"/>
  <c r="J104" i="73"/>
  <c r="J101" i="64"/>
  <c r="J105" i="22"/>
  <c r="J101" i="60"/>
  <c r="J102" i="57"/>
  <c r="J99" i="76"/>
  <c r="J102" i="53"/>
  <c r="J100" i="68"/>
  <c r="J102" i="55"/>
  <c r="J102" i="72"/>
  <c r="L102" i="58"/>
  <c r="M102" i="58"/>
  <c r="J107" i="27"/>
  <c r="J106" i="23"/>
  <c r="J106" i="24"/>
  <c r="J101" i="59"/>
  <c r="J102" i="54"/>
  <c r="J107" i="69"/>
  <c r="J102" i="46"/>
  <c r="J105" i="17"/>
  <c r="N102" i="58"/>
  <c r="O102" i="58" s="1"/>
  <c r="P102" i="58" s="1"/>
  <c r="J102" i="58"/>
  <c r="J100" i="65"/>
  <c r="J101" i="62"/>
  <c r="J105" i="19"/>
  <c r="J105" i="21"/>
  <c r="J105" i="18"/>
  <c r="J104" i="44"/>
  <c r="J106" i="32"/>
  <c r="J107" i="70"/>
  <c r="J100" i="67"/>
  <c r="J99" i="75"/>
  <c r="J105" i="20"/>
  <c r="J99" i="79"/>
  <c r="J106" i="31"/>
  <c r="J99" i="77"/>
  <c r="J104" i="42"/>
  <c r="J108" i="28"/>
  <c r="J99" i="78"/>
  <c r="J107" i="29"/>
  <c r="J104" i="41"/>
  <c r="J107" i="30"/>
  <c r="J105" i="3"/>
  <c r="J106" i="71"/>
  <c r="J106" i="34"/>
  <c r="B24" i="39"/>
  <c r="B18" i="83"/>
  <c r="B18" i="80"/>
  <c r="B24" i="41"/>
  <c r="B19" i="75"/>
  <c r="B26" i="31"/>
  <c r="B18" i="84"/>
  <c r="B25" i="21"/>
  <c r="B20" i="67"/>
  <c r="B26" i="34"/>
  <c r="B22" i="54"/>
  <c r="B22" i="72"/>
  <c r="B19" i="79"/>
  <c r="B25" i="20"/>
  <c r="B27" i="69"/>
  <c r="B18" i="82"/>
  <c r="B22" i="55"/>
  <c r="B21" i="63"/>
  <c r="B26" i="71"/>
  <c r="B27" i="29"/>
  <c r="B21" i="59"/>
  <c r="B24" i="43"/>
  <c r="B24" i="73"/>
  <c r="B23" i="74"/>
  <c r="B24" i="42"/>
  <c r="B20" i="66"/>
  <c r="I26" i="70"/>
  <c r="I21" i="46"/>
  <c r="I19" i="66"/>
  <c r="I23" i="44"/>
  <c r="I24" i="3"/>
  <c r="B21" i="60"/>
  <c r="I20" i="63"/>
  <c r="I21" i="56"/>
  <c r="I21" i="55"/>
  <c r="I24" i="19"/>
  <c r="I17" i="82"/>
  <c r="I26" i="69"/>
  <c r="I21" i="72"/>
  <c r="I24" i="22"/>
  <c r="I25" i="32"/>
  <c r="B26" i="24"/>
  <c r="I19" i="67"/>
  <c r="I24" i="21"/>
  <c r="I21" i="53"/>
  <c r="B28" i="28"/>
  <c r="B21" i="62"/>
  <c r="I21" i="58"/>
  <c r="I17" i="83"/>
  <c r="I23" i="39"/>
  <c r="I18" i="77"/>
  <c r="I26" i="27"/>
  <c r="I23" i="43"/>
  <c r="I25" i="71"/>
  <c r="I21" i="57"/>
  <c r="I25" i="23"/>
  <c r="I22" i="45"/>
  <c r="I17" i="84"/>
  <c r="I25" i="31"/>
  <c r="B22" i="53"/>
  <c r="B27" i="30"/>
  <c r="B27" i="70"/>
  <c r="M22" i="74"/>
  <c r="N22" i="74" s="1"/>
  <c r="I22" i="74"/>
  <c r="I20" i="59"/>
  <c r="I20" i="60"/>
  <c r="B22" i="46"/>
  <c r="I23" i="42"/>
  <c r="K22" i="74"/>
  <c r="L22" i="74" s="1"/>
  <c r="I23" i="73"/>
  <c r="B25" i="3"/>
  <c r="I26" i="29"/>
  <c r="B22" i="57"/>
  <c r="I24" i="20"/>
  <c r="I18" i="79"/>
  <c r="B19" i="78"/>
  <c r="B20" i="68"/>
  <c r="I18" i="76"/>
  <c r="B26" i="23"/>
  <c r="I21" i="54"/>
  <c r="I25" i="24"/>
  <c r="I24" i="18"/>
  <c r="I23" i="41"/>
  <c r="I27" i="28"/>
  <c r="I20" i="62"/>
  <c r="I20" i="64"/>
  <c r="B22" i="58"/>
  <c r="I19" i="65"/>
  <c r="I17" i="80"/>
  <c r="B19" i="77"/>
  <c r="I26" i="30"/>
  <c r="B27" i="27"/>
  <c r="I18" i="78"/>
  <c r="I19" i="68"/>
  <c r="I25" i="34"/>
  <c r="B25" i="18"/>
  <c r="B23" i="45"/>
  <c r="I18" i="75"/>
  <c r="I17" i="81"/>
  <c r="I24" i="17"/>
  <c r="B25" i="17"/>
  <c r="O17" i="81"/>
  <c r="P106" i="71"/>
  <c r="P107" i="69"/>
  <c r="B21" i="64"/>
  <c r="B102" i="63"/>
  <c r="B22" i="56"/>
  <c r="P101" i="53"/>
  <c r="O22" i="41"/>
  <c r="B26" i="32"/>
  <c r="B106" i="3"/>
  <c r="B103" i="46"/>
  <c r="B108" i="29"/>
  <c r="B108" i="27"/>
  <c r="B107" i="24"/>
  <c r="B106" i="20"/>
  <c r="B18" i="81"/>
  <c r="B19" i="76"/>
  <c r="B20" i="65"/>
  <c r="B24" i="44"/>
  <c r="B25" i="19"/>
  <c r="C100" i="86"/>
  <c r="C101" i="86" s="1"/>
  <c r="C102" i="86" s="1"/>
  <c r="C103" i="86" s="1"/>
  <c r="C104" i="86" s="1"/>
  <c r="C105" i="86" s="1"/>
  <c r="C106" i="86" s="1"/>
  <c r="C107" i="86" s="1"/>
  <c r="C108" i="86" s="1"/>
  <c r="C109" i="86" s="1"/>
  <c r="C110" i="86" s="1"/>
  <c r="C111" i="86" s="1"/>
  <c r="C112" i="86" s="1"/>
  <c r="C113" i="86" s="1"/>
  <c r="C114" i="86" s="1"/>
  <c r="C115" i="86" s="1"/>
  <c r="C116" i="86" s="1"/>
  <c r="C117" i="86" s="1"/>
  <c r="C118" i="86" s="1"/>
  <c r="C119" i="86" s="1"/>
  <c r="C120" i="86" s="1"/>
  <c r="C121" i="86" s="1"/>
  <c r="C122" i="86" s="1"/>
  <c r="C123" i="86" s="1"/>
  <c r="C124" i="86" s="1"/>
  <c r="C125" i="86" s="1"/>
  <c r="C126" i="86" s="1"/>
  <c r="C127" i="86" s="1"/>
  <c r="C128" i="86" s="1"/>
  <c r="C129" i="86" s="1"/>
  <c r="C130" i="86" s="1"/>
  <c r="C131" i="86" s="1"/>
  <c r="C132" i="86" s="1"/>
  <c r="C133" i="86" s="1"/>
  <c r="C134" i="86" s="1"/>
  <c r="C135" i="86" s="1"/>
  <c r="C136" i="86" s="1"/>
  <c r="C137" i="86" s="1"/>
  <c r="C138" i="86" s="1"/>
  <c r="C139" i="86" s="1"/>
  <c r="C140" i="86" s="1"/>
  <c r="C141" i="86" s="1"/>
  <c r="C142" i="86" s="1"/>
  <c r="C143" i="86" s="1"/>
  <c r="C144" i="86" s="1"/>
  <c r="C145" i="86" s="1"/>
  <c r="C146" i="86" s="1"/>
  <c r="C147" i="86" s="1"/>
  <c r="C148" i="86" s="1"/>
  <c r="C149" i="86" s="1"/>
  <c r="C150" i="86" s="1"/>
  <c r="C151" i="86" s="1"/>
  <c r="C152" i="86" s="1"/>
  <c r="C153" i="86" s="1"/>
  <c r="C154" i="86" s="1"/>
  <c r="O17" i="83"/>
  <c r="O17" i="82"/>
  <c r="P99" i="79"/>
  <c r="P99" i="75"/>
  <c r="O20" i="63"/>
  <c r="O23" i="44"/>
  <c r="O27" i="28"/>
  <c r="B25" i="22"/>
  <c r="O24" i="18"/>
  <c r="O17" i="85"/>
  <c r="O33" i="79"/>
  <c r="C45" i="13"/>
  <c r="C46" i="13"/>
  <c r="C47" i="13"/>
  <c r="C48" i="13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B18" i="85"/>
  <c r="D18" i="33"/>
  <c r="E18" i="33" s="1"/>
  <c r="F18" i="33" s="1"/>
  <c r="I12" i="91"/>
  <c r="I13" i="91" s="1"/>
  <c r="I12" i="74"/>
  <c r="I13" i="74" s="1"/>
  <c r="I12" i="87"/>
  <c r="I13" i="87" s="1"/>
  <c r="I12" i="42"/>
  <c r="I13" i="42"/>
  <c r="I12" i="24"/>
  <c r="I13" i="24" s="1"/>
  <c r="I12" i="44"/>
  <c r="I13" i="44" s="1"/>
  <c r="I12" i="33"/>
  <c r="I10" i="18"/>
  <c r="I10" i="89"/>
  <c r="N6" i="89" s="1"/>
  <c r="I12" i="26"/>
  <c r="I13" i="26" s="1"/>
  <c r="I12" i="60"/>
  <c r="I13" i="60" s="1"/>
  <c r="I12" i="54"/>
  <c r="I13" i="54" s="1"/>
  <c r="I12" i="43"/>
  <c r="I13" i="43" s="1"/>
  <c r="I12" i="20"/>
  <c r="I13" i="20" s="1"/>
  <c r="I12" i="75"/>
  <c r="I13" i="75" s="1"/>
  <c r="I12" i="59"/>
  <c r="I12" i="29"/>
  <c r="I13" i="29" s="1"/>
  <c r="I12" i="66"/>
  <c r="I13" i="66" s="1"/>
  <c r="I12" i="32"/>
  <c r="I13" i="32" s="1"/>
  <c r="I12" i="73"/>
  <c r="I13" i="73" s="1"/>
  <c r="I12" i="90"/>
  <c r="I13" i="90" s="1"/>
  <c r="I12" i="89"/>
  <c r="I13" i="89" s="1"/>
  <c r="I12" i="88"/>
  <c r="I13" i="88" s="1"/>
  <c r="I12" i="41"/>
  <c r="I13" i="41" s="1"/>
  <c r="I12" i="17"/>
  <c r="I13" i="17" s="1"/>
  <c r="I12" i="18"/>
  <c r="I13" i="18" s="1"/>
  <c r="I12" i="34"/>
  <c r="I13" i="34" s="1"/>
  <c r="I12" i="70"/>
  <c r="I13" i="70" s="1"/>
  <c r="I12" i="79"/>
  <c r="I13" i="79" s="1"/>
  <c r="I12" i="83"/>
  <c r="I13" i="83" s="1"/>
  <c r="I12" i="84"/>
  <c r="I13" i="84" s="1"/>
  <c r="E17" i="84" s="1"/>
  <c r="B20" i="84" s="1"/>
  <c r="I12" i="13"/>
  <c r="I12" i="19"/>
  <c r="I13" i="19" s="1"/>
  <c r="I12" i="67"/>
  <c r="I13" i="67" s="1"/>
  <c r="I12" i="72"/>
  <c r="I13" i="72" s="1"/>
  <c r="I12" i="53"/>
  <c r="I13" i="53" s="1"/>
  <c r="I12" i="45"/>
  <c r="I13" i="45" s="1"/>
  <c r="I12" i="28"/>
  <c r="I13" i="28" s="1"/>
  <c r="I12" i="62"/>
  <c r="I13" i="62" s="1"/>
  <c r="I12" i="56"/>
  <c r="I12" i="21"/>
  <c r="I13" i="21" s="1"/>
  <c r="I12" i="25"/>
  <c r="I12" i="69"/>
  <c r="I13" i="69" s="1"/>
  <c r="I12" i="80"/>
  <c r="I13" i="80" s="1"/>
  <c r="I12" i="58"/>
  <c r="I12" i="65"/>
  <c r="I13" i="65" s="1"/>
  <c r="I12" i="82"/>
  <c r="I13" i="82" s="1"/>
  <c r="I12" i="64"/>
  <c r="I13" i="64" s="1"/>
  <c r="I12" i="78"/>
  <c r="I13" i="78" s="1"/>
  <c r="I12" i="86"/>
  <c r="I13" i="86" s="1"/>
  <c r="I12" i="30"/>
  <c r="I13" i="30" s="1"/>
  <c r="I12" i="61"/>
  <c r="I13" i="61" s="1"/>
  <c r="I12" i="77"/>
  <c r="I13" i="77" s="1"/>
  <c r="I12" i="46"/>
  <c r="I13" i="46" s="1"/>
  <c r="I12" i="23"/>
  <c r="I13" i="23" s="1"/>
  <c r="I12" i="31"/>
  <c r="I13" i="31" s="1"/>
  <c r="I12" i="22"/>
  <c r="I13" i="22" s="1"/>
  <c r="I12" i="81"/>
  <c r="I13" i="81" s="1"/>
  <c r="I12" i="85"/>
  <c r="I13" i="85" s="1"/>
  <c r="I12" i="92"/>
  <c r="I13" i="92" s="1"/>
  <c r="I12" i="39"/>
  <c r="I13" i="39" s="1"/>
  <c r="I12" i="63"/>
  <c r="I13" i="63" s="1"/>
  <c r="I12" i="76"/>
  <c r="I13" i="76" s="1"/>
  <c r="I12" i="35"/>
  <c r="I13" i="35" s="1"/>
  <c r="I12" i="71"/>
  <c r="I13" i="71" s="1"/>
  <c r="I12" i="55"/>
  <c r="I12" i="3"/>
  <c r="I12" i="27"/>
  <c r="I13" i="27" s="1"/>
  <c r="I10" i="83"/>
  <c r="D93" i="83" s="1"/>
  <c r="C99" i="83" s="1"/>
  <c r="C100" i="83" s="1"/>
  <c r="C101" i="83" s="1"/>
  <c r="C102" i="83" s="1"/>
  <c r="C103" i="83" s="1"/>
  <c r="C104" i="83" s="1"/>
  <c r="C105" i="83" s="1"/>
  <c r="C106" i="83" s="1"/>
  <c r="C107" i="83" s="1"/>
  <c r="C108" i="83" s="1"/>
  <c r="C109" i="83" s="1"/>
  <c r="C110" i="83" s="1"/>
  <c r="C111" i="83" s="1"/>
  <c r="C112" i="83" s="1"/>
  <c r="C113" i="83" s="1"/>
  <c r="C114" i="83" s="1"/>
  <c r="C115" i="83" s="1"/>
  <c r="C116" i="83" s="1"/>
  <c r="C117" i="83" s="1"/>
  <c r="C118" i="83" s="1"/>
  <c r="C119" i="83" s="1"/>
  <c r="C120" i="83" s="1"/>
  <c r="C121" i="83" s="1"/>
  <c r="C122" i="83" s="1"/>
  <c r="C123" i="83" s="1"/>
  <c r="C124" i="83" s="1"/>
  <c r="C125" i="83" s="1"/>
  <c r="C126" i="83" s="1"/>
  <c r="C127" i="83" s="1"/>
  <c r="C128" i="83" s="1"/>
  <c r="C129" i="83" s="1"/>
  <c r="C130" i="83" s="1"/>
  <c r="C131" i="83" s="1"/>
  <c r="C132" i="83" s="1"/>
  <c r="C133" i="83" s="1"/>
  <c r="C134" i="83" s="1"/>
  <c r="C135" i="83" s="1"/>
  <c r="C136" i="83" s="1"/>
  <c r="C137" i="83" s="1"/>
  <c r="C138" i="83" s="1"/>
  <c r="C139" i="83" s="1"/>
  <c r="C140" i="83" s="1"/>
  <c r="C141" i="83" s="1"/>
  <c r="C142" i="83" s="1"/>
  <c r="C143" i="83" s="1"/>
  <c r="C144" i="83" s="1"/>
  <c r="C145" i="83" s="1"/>
  <c r="C146" i="83" s="1"/>
  <c r="C147" i="83" s="1"/>
  <c r="C148" i="83" s="1"/>
  <c r="C149" i="83" s="1"/>
  <c r="C150" i="83" s="1"/>
  <c r="C151" i="83" s="1"/>
  <c r="C152" i="83" s="1"/>
  <c r="C153" i="83" s="1"/>
  <c r="C154" i="83" s="1"/>
  <c r="I10" i="78"/>
  <c r="D93" i="78" s="1"/>
  <c r="C99" i="78" s="1"/>
  <c r="C100" i="78" s="1"/>
  <c r="C101" i="78" s="1"/>
  <c r="C102" i="78" s="1"/>
  <c r="C103" i="78" s="1"/>
  <c r="C104" i="78" s="1"/>
  <c r="C105" i="78" s="1"/>
  <c r="C106" i="78" s="1"/>
  <c r="C107" i="78" s="1"/>
  <c r="C108" i="78" s="1"/>
  <c r="C109" i="78" s="1"/>
  <c r="C110" i="78" s="1"/>
  <c r="C111" i="78" s="1"/>
  <c r="C112" i="78" s="1"/>
  <c r="C113" i="78" s="1"/>
  <c r="C114" i="78" s="1"/>
  <c r="C115" i="78" s="1"/>
  <c r="C116" i="78" s="1"/>
  <c r="C117" i="78" s="1"/>
  <c r="C118" i="78" s="1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C132" i="78" s="1"/>
  <c r="C133" i="78" s="1"/>
  <c r="C134" i="78" s="1"/>
  <c r="C135" i="78" s="1"/>
  <c r="C136" i="78" s="1"/>
  <c r="C137" i="78" s="1"/>
  <c r="C138" i="78" s="1"/>
  <c r="C139" i="78" s="1"/>
  <c r="C140" i="78" s="1"/>
  <c r="C141" i="78" s="1"/>
  <c r="C142" i="78" s="1"/>
  <c r="C143" i="78" s="1"/>
  <c r="C144" i="78" s="1"/>
  <c r="C145" i="78" s="1"/>
  <c r="C146" i="78" s="1"/>
  <c r="C147" i="78" s="1"/>
  <c r="C148" i="78" s="1"/>
  <c r="C149" i="78" s="1"/>
  <c r="C150" i="78" s="1"/>
  <c r="C151" i="78" s="1"/>
  <c r="C152" i="78" s="1"/>
  <c r="C153" i="78" s="1"/>
  <c r="C154" i="78" s="1"/>
  <c r="I10" i="46"/>
  <c r="D94" i="46" s="1"/>
  <c r="I10" i="90"/>
  <c r="I13" i="36"/>
  <c r="I10" i="17"/>
  <c r="D94" i="17" s="1"/>
  <c r="I10" i="73"/>
  <c r="N6" i="73" s="1"/>
  <c r="C55" i="1"/>
  <c r="B104" i="45"/>
  <c r="O24" i="46"/>
  <c r="O62" i="83"/>
  <c r="O33" i="67"/>
  <c r="B105" i="44"/>
  <c r="B105" i="43"/>
  <c r="B103" i="53"/>
  <c r="B107" i="31"/>
  <c r="B22" i="63"/>
  <c r="B22" i="61"/>
  <c r="B20" i="79"/>
  <c r="I27" i="29"/>
  <c r="I23" i="45"/>
  <c r="I21" i="63"/>
  <c r="B28" i="29"/>
  <c r="I18" i="83"/>
  <c r="I21" i="61"/>
  <c r="B19" i="83"/>
  <c r="I25" i="18"/>
  <c r="E21" i="35"/>
  <c r="F21" i="35" s="1"/>
  <c r="I25" i="20"/>
  <c r="I22" i="58"/>
  <c r="I19" i="79"/>
  <c r="B26" i="19"/>
  <c r="B22" i="62"/>
  <c r="B25" i="43"/>
  <c r="I25" i="19"/>
  <c r="I17" i="88"/>
  <c r="I24" i="43"/>
  <c r="I21" i="62"/>
  <c r="B27" i="23"/>
  <c r="B101" i="65"/>
  <c r="B101" i="79"/>
  <c r="B107" i="21"/>
  <c r="B107" i="34"/>
  <c r="B102" i="68"/>
  <c r="B107" i="22"/>
  <c r="B101" i="78"/>
  <c r="B109" i="27"/>
  <c r="B110" i="28"/>
  <c r="B104" i="46"/>
  <c r="J103" i="53"/>
  <c r="B109" i="69"/>
  <c r="B107" i="19"/>
  <c r="B103" i="62"/>
  <c r="B104" i="72"/>
  <c r="B101" i="76"/>
  <c r="B107" i="18"/>
  <c r="B107" i="17"/>
  <c r="B107" i="3"/>
  <c r="B108" i="23"/>
  <c r="B103" i="59"/>
  <c r="B101" i="77"/>
  <c r="B108" i="24"/>
  <c r="B26" i="22"/>
  <c r="B23" i="56"/>
  <c r="B22" i="60"/>
  <c r="B27" i="32"/>
  <c r="B18" i="86"/>
  <c r="B19" i="81"/>
  <c r="B22" i="64"/>
  <c r="B25" i="73"/>
  <c r="B25" i="39"/>
  <c r="B19" i="85"/>
  <c r="B23" i="53"/>
  <c r="B23" i="54"/>
  <c r="I26" i="23"/>
  <c r="I18" i="82"/>
  <c r="I17" i="90"/>
  <c r="B18" i="87"/>
  <c r="B20" i="76"/>
  <c r="B25" i="41"/>
  <c r="B27" i="34"/>
  <c r="B20" i="78"/>
  <c r="B28" i="69"/>
  <c r="B28" i="30"/>
  <c r="B108" i="32"/>
  <c r="B109" i="70"/>
  <c r="B103" i="63"/>
  <c r="B109" i="29"/>
  <c r="B107" i="20"/>
  <c r="B102" i="67"/>
  <c r="B108" i="71"/>
  <c r="B104" i="57"/>
  <c r="B101" i="75"/>
  <c r="B103" i="60"/>
  <c r="B106" i="73"/>
  <c r="B104" i="55"/>
  <c r="I27" i="69"/>
  <c r="I22" i="57"/>
  <c r="I21" i="59"/>
  <c r="I20" i="67"/>
  <c r="B28" i="70"/>
  <c r="I24" i="41"/>
  <c r="B28" i="27"/>
  <c r="B20" i="75"/>
  <c r="I26" i="31"/>
  <c r="I22" i="53"/>
  <c r="B27" i="71"/>
  <c r="I20" i="66"/>
  <c r="B26" i="21"/>
  <c r="I21" i="64"/>
  <c r="I22" i="56"/>
  <c r="I25" i="22"/>
  <c r="B21" i="68"/>
  <c r="I26" i="34"/>
  <c r="I19" i="76"/>
  <c r="I27" i="27"/>
  <c r="I17" i="87"/>
  <c r="B23" i="72"/>
  <c r="B25" i="44"/>
  <c r="I23" i="74"/>
  <c r="I22" i="46"/>
  <c r="I18" i="85"/>
  <c r="I24" i="73"/>
  <c r="I25" i="21"/>
  <c r="I18" i="80"/>
  <c r="I18" i="81"/>
  <c r="I24" i="42"/>
  <c r="I19" i="77"/>
  <c r="I28" i="28"/>
  <c r="I19" i="78"/>
  <c r="B22" i="59"/>
  <c r="I20" i="68"/>
  <c r="I20" i="65"/>
  <c r="I27" i="70"/>
  <c r="I17" i="92"/>
  <c r="I26" i="24"/>
  <c r="I22" i="54"/>
  <c r="I26" i="71"/>
  <c r="B26" i="3"/>
  <c r="I24" i="39"/>
  <c r="I26" i="32"/>
  <c r="I21" i="60"/>
  <c r="I27" i="30"/>
  <c r="B21" i="67"/>
  <c r="I22" i="72"/>
  <c r="I24" i="44"/>
  <c r="I19" i="75"/>
  <c r="B24" i="74"/>
  <c r="I25" i="3"/>
  <c r="B25" i="42"/>
  <c r="I17" i="86"/>
  <c r="I22" i="55"/>
  <c r="J107" i="71"/>
  <c r="J107" i="32"/>
  <c r="J103" i="72"/>
  <c r="J106" i="3"/>
  <c r="J108" i="29"/>
  <c r="J106" i="17"/>
  <c r="J106" i="21"/>
  <c r="J109" i="28"/>
  <c r="J103" i="46"/>
  <c r="J102" i="59"/>
  <c r="J101" i="67"/>
  <c r="J101" i="66"/>
  <c r="J107" i="24"/>
  <c r="J108" i="69"/>
  <c r="J104" i="74"/>
  <c r="J103" i="57"/>
  <c r="J100" i="75"/>
  <c r="J102" i="62"/>
  <c r="J100" i="76"/>
  <c r="J108" i="27"/>
  <c r="J105" i="73"/>
  <c r="J106" i="20"/>
  <c r="J102" i="61"/>
  <c r="J103" i="55"/>
  <c r="J102" i="63"/>
  <c r="J106" i="22"/>
  <c r="J106" i="18"/>
  <c r="J101" i="68"/>
  <c r="J100" i="78"/>
  <c r="J105" i="39"/>
  <c r="J102" i="64"/>
  <c r="J107" i="23"/>
  <c r="J106" i="19"/>
  <c r="J100" i="77"/>
  <c r="J100" i="79"/>
  <c r="J108" i="70"/>
  <c r="J103" i="58"/>
  <c r="J102" i="60"/>
  <c r="I25" i="17"/>
  <c r="B26" i="17"/>
  <c r="J107" i="34"/>
  <c r="T12" i="36"/>
  <c r="P93" i="36"/>
  <c r="C45" i="96"/>
  <c r="C46" i="96" s="1"/>
  <c r="C47" i="96" s="1"/>
  <c r="C48" i="96" s="1"/>
  <c r="C49" i="96" s="1"/>
  <c r="C50" i="96" s="1"/>
  <c r="C51" i="96" s="1"/>
  <c r="C52" i="96" s="1"/>
  <c r="C53" i="96" s="1"/>
  <c r="C54" i="96" s="1"/>
  <c r="C55" i="96" s="1"/>
  <c r="C56" i="96" s="1"/>
  <c r="C57" i="96" s="1"/>
  <c r="C58" i="96" s="1"/>
  <c r="C59" i="96" s="1"/>
  <c r="C60" i="96" s="1"/>
  <c r="C61" i="96" s="1"/>
  <c r="C62" i="96" s="1"/>
  <c r="C63" i="96" s="1"/>
  <c r="C64" i="96" s="1"/>
  <c r="C65" i="96" s="1"/>
  <c r="C66" i="96" s="1"/>
  <c r="C67" i="96" s="1"/>
  <c r="C68" i="96" s="1"/>
  <c r="C69" i="96" s="1"/>
  <c r="C70" i="96" s="1"/>
  <c r="C71" i="96" s="1"/>
  <c r="C72" i="96" s="1"/>
  <c r="C45" i="95"/>
  <c r="C46" i="95" s="1"/>
  <c r="C47" i="95" s="1"/>
  <c r="C48" i="95" s="1"/>
  <c r="C49" i="95" s="1"/>
  <c r="C50" i="95" s="1"/>
  <c r="C51" i="95" s="1"/>
  <c r="C52" i="95" s="1"/>
  <c r="C53" i="95" s="1"/>
  <c r="C54" i="95" s="1"/>
  <c r="C55" i="95" s="1"/>
  <c r="C56" i="95" s="1"/>
  <c r="C57" i="95" s="1"/>
  <c r="C58" i="95" s="1"/>
  <c r="C59" i="95" s="1"/>
  <c r="C60" i="95" s="1"/>
  <c r="C61" i="95" s="1"/>
  <c r="C62" i="95" s="1"/>
  <c r="C63" i="95" s="1"/>
  <c r="C64" i="95" s="1"/>
  <c r="C65" i="95" s="1"/>
  <c r="C66" i="95" s="1"/>
  <c r="C67" i="95" s="1"/>
  <c r="C68" i="95" s="1"/>
  <c r="C69" i="95" s="1"/>
  <c r="C70" i="95" s="1"/>
  <c r="C71" i="95" s="1"/>
  <c r="C72" i="95" s="1"/>
  <c r="C18" i="94"/>
  <c r="C19" i="94" s="1"/>
  <c r="C20" i="94" s="1"/>
  <c r="C21" i="94" s="1"/>
  <c r="C22" i="94" s="1"/>
  <c r="C23" i="94" s="1"/>
  <c r="C24" i="94" s="1"/>
  <c r="C25" i="94" s="1"/>
  <c r="C26" i="94" s="1"/>
  <c r="C27" i="94" s="1"/>
  <c r="C28" i="94" s="1"/>
  <c r="C29" i="94" s="1"/>
  <c r="C30" i="94" s="1"/>
  <c r="C31" i="94" s="1"/>
  <c r="C32" i="94" s="1"/>
  <c r="C33" i="94" s="1"/>
  <c r="C34" i="94" s="1"/>
  <c r="C35" i="94" s="1"/>
  <c r="C36" i="94" s="1"/>
  <c r="C37" i="94" s="1"/>
  <c r="C38" i="94" s="1"/>
  <c r="C39" i="94" s="1"/>
  <c r="C40" i="94" s="1"/>
  <c r="C41" i="94" s="1"/>
  <c r="C42" i="94" s="1"/>
  <c r="C43" i="94" s="1"/>
  <c r="C44" i="94" s="1"/>
  <c r="C45" i="94" s="1"/>
  <c r="C46" i="94" s="1"/>
  <c r="C47" i="94" s="1"/>
  <c r="C48" i="94" s="1"/>
  <c r="C49" i="94" s="1"/>
  <c r="C50" i="94" s="1"/>
  <c r="C51" i="94" s="1"/>
  <c r="C52" i="94" s="1"/>
  <c r="C53" i="94" s="1"/>
  <c r="C54" i="94" s="1"/>
  <c r="C55" i="94" s="1"/>
  <c r="C56" i="94" s="1"/>
  <c r="C57" i="94" s="1"/>
  <c r="C58" i="94" s="1"/>
  <c r="C59" i="94" s="1"/>
  <c r="C60" i="94" s="1"/>
  <c r="C61" i="94" s="1"/>
  <c r="C62" i="94" s="1"/>
  <c r="C63" i="94" s="1"/>
  <c r="C64" i="94" s="1"/>
  <c r="C65" i="94" s="1"/>
  <c r="C66" i="94" s="1"/>
  <c r="C67" i="94" s="1"/>
  <c r="C68" i="94" s="1"/>
  <c r="C69" i="94" s="1"/>
  <c r="C70" i="94" s="1"/>
  <c r="C71" i="94" s="1"/>
  <c r="C72" i="94" s="1"/>
  <c r="C45" i="93"/>
  <c r="C46" i="93" s="1"/>
  <c r="C47" i="93" s="1"/>
  <c r="C48" i="93" s="1"/>
  <c r="C49" i="93" s="1"/>
  <c r="C50" i="93" s="1"/>
  <c r="C51" i="93" s="1"/>
  <c r="C52" i="93" s="1"/>
  <c r="C53" i="93" s="1"/>
  <c r="C54" i="93" s="1"/>
  <c r="C55" i="93" s="1"/>
  <c r="C56" i="93" s="1"/>
  <c r="C57" i="93" s="1"/>
  <c r="C58" i="93" s="1"/>
  <c r="C59" i="93" s="1"/>
  <c r="C60" i="93" s="1"/>
  <c r="C61" i="93" s="1"/>
  <c r="C62" i="93" s="1"/>
  <c r="C63" i="93" s="1"/>
  <c r="C64" i="93" s="1"/>
  <c r="C65" i="93" s="1"/>
  <c r="C66" i="93" s="1"/>
  <c r="C67" i="93" s="1"/>
  <c r="C68" i="93" s="1"/>
  <c r="C69" i="93" s="1"/>
  <c r="C70" i="93" s="1"/>
  <c r="C71" i="93" s="1"/>
  <c r="C72" i="93" s="1"/>
  <c r="O17" i="92"/>
  <c r="B18" i="92"/>
  <c r="B18" i="91"/>
  <c r="O17" i="88"/>
  <c r="B18" i="88"/>
  <c r="O17" i="87"/>
  <c r="O18" i="85"/>
  <c r="O18" i="83"/>
  <c r="B19" i="82"/>
  <c r="P99" i="81"/>
  <c r="O18" i="80"/>
  <c r="B19" i="80"/>
  <c r="P100" i="79"/>
  <c r="P100" i="78"/>
  <c r="P100" i="77"/>
  <c r="B20" i="77"/>
  <c r="P100" i="75"/>
  <c r="B105" i="74"/>
  <c r="O58" i="71"/>
  <c r="O59" i="67"/>
  <c r="B102" i="66"/>
  <c r="B21" i="66"/>
  <c r="B21" i="65"/>
  <c r="B103" i="64"/>
  <c r="O31" i="64"/>
  <c r="B103" i="61"/>
  <c r="B104" i="58"/>
  <c r="B23" i="58"/>
  <c r="B23" i="57"/>
  <c r="B23" i="55"/>
  <c r="O59" i="53"/>
  <c r="P102" i="46"/>
  <c r="P103" i="46"/>
  <c r="B23" i="46"/>
  <c r="B24" i="45"/>
  <c r="B106" i="39"/>
  <c r="B27" i="31"/>
  <c r="B29" i="28"/>
  <c r="B27" i="24"/>
  <c r="B26" i="20"/>
  <c r="B26" i="18"/>
  <c r="P106" i="3"/>
  <c r="O25" i="3"/>
  <c r="B100" i="80"/>
  <c r="B100" i="81"/>
  <c r="J99" i="85"/>
  <c r="B105" i="41"/>
  <c r="B104" i="56"/>
  <c r="I17" i="91"/>
  <c r="I17" i="89"/>
  <c r="B18" i="89"/>
  <c r="I18" i="84"/>
  <c r="B103" i="56"/>
  <c r="B108" i="30"/>
  <c r="B100" i="82"/>
  <c r="J99" i="80"/>
  <c r="J105" i="43"/>
  <c r="B103" i="54"/>
  <c r="B105" i="42"/>
  <c r="J104" i="45"/>
  <c r="J101" i="65"/>
  <c r="J99" i="81"/>
  <c r="J105" i="41"/>
  <c r="J99" i="82"/>
  <c r="J105" i="44"/>
  <c r="J107" i="31"/>
  <c r="B100" i="83"/>
  <c r="J99" i="83"/>
  <c r="J105" i="42"/>
  <c r="J108" i="30"/>
  <c r="J103" i="54"/>
  <c r="J103" i="56"/>
  <c r="H3" i="36"/>
  <c r="E13" i="36"/>
  <c r="B18" i="33"/>
  <c r="I13" i="56"/>
  <c r="I13" i="25"/>
  <c r="D93" i="90"/>
  <c r="C99" i="90" s="1"/>
  <c r="C100" i="90" s="1"/>
  <c r="C101" i="90" s="1"/>
  <c r="C102" i="90" s="1"/>
  <c r="C103" i="90" s="1"/>
  <c r="C104" i="90" s="1"/>
  <c r="C105" i="90" s="1"/>
  <c r="C106" i="90" s="1"/>
  <c r="C107" i="90" s="1"/>
  <c r="C108" i="90" s="1"/>
  <c r="C109" i="90" s="1"/>
  <c r="C110" i="90" s="1"/>
  <c r="C111" i="90" s="1"/>
  <c r="C112" i="90" s="1"/>
  <c r="C113" i="90" s="1"/>
  <c r="C114" i="90" s="1"/>
  <c r="C115" i="90" s="1"/>
  <c r="C116" i="90" s="1"/>
  <c r="C117" i="90" s="1"/>
  <c r="C118" i="90" s="1"/>
  <c r="C119" i="90" s="1"/>
  <c r="C120" i="90" s="1"/>
  <c r="C121" i="90" s="1"/>
  <c r="C122" i="90" s="1"/>
  <c r="C123" i="90" s="1"/>
  <c r="C124" i="90" s="1"/>
  <c r="C125" i="90" s="1"/>
  <c r="C126" i="90" s="1"/>
  <c r="C127" i="90" s="1"/>
  <c r="C128" i="90" s="1"/>
  <c r="C129" i="90" s="1"/>
  <c r="C130" i="90" s="1"/>
  <c r="C131" i="90" s="1"/>
  <c r="C132" i="90" s="1"/>
  <c r="C133" i="90" s="1"/>
  <c r="C134" i="90" s="1"/>
  <c r="C135" i="90" s="1"/>
  <c r="C136" i="90" s="1"/>
  <c r="C137" i="90" s="1"/>
  <c r="C138" i="90" s="1"/>
  <c r="C139" i="90" s="1"/>
  <c r="C140" i="90" s="1"/>
  <c r="C141" i="90" s="1"/>
  <c r="C142" i="90" s="1"/>
  <c r="C143" i="90" s="1"/>
  <c r="C144" i="90" s="1"/>
  <c r="C145" i="90" s="1"/>
  <c r="C146" i="90" s="1"/>
  <c r="C147" i="90" s="1"/>
  <c r="B106" i="43"/>
  <c r="I10" i="28"/>
  <c r="D94" i="28" s="1"/>
  <c r="I12" i="96"/>
  <c r="I13" i="96" s="1"/>
  <c r="I12" i="94"/>
  <c r="I12" i="95"/>
  <c r="I13" i="95" s="1"/>
  <c r="P100" i="82"/>
  <c r="I13" i="55"/>
  <c r="E17" i="25"/>
  <c r="F17" i="25" s="1"/>
  <c r="D18" i="25" s="1"/>
  <c r="D18" i="13"/>
  <c r="B18" i="13" s="1"/>
  <c r="B104" i="54"/>
  <c r="G17" i="13"/>
  <c r="I13" i="13"/>
  <c r="H17" i="13" s="1"/>
  <c r="O41" i="45"/>
  <c r="O69" i="67"/>
  <c r="P99" i="91"/>
  <c r="B100" i="85"/>
  <c r="B106" i="41"/>
  <c r="E93" i="36"/>
  <c r="I13" i="59"/>
  <c r="D94" i="78"/>
  <c r="I13" i="58"/>
  <c r="I13" i="94"/>
  <c r="D93" i="17"/>
  <c r="C99" i="17" s="1"/>
  <c r="C100" i="17" s="1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C119" i="17" s="1"/>
  <c r="C120" i="17" s="1"/>
  <c r="C121" i="17" s="1"/>
  <c r="C122" i="17" s="1"/>
  <c r="C123" i="17" s="1"/>
  <c r="C124" i="17" s="1"/>
  <c r="C125" i="17" s="1"/>
  <c r="C126" i="17" s="1"/>
  <c r="C127" i="17" s="1"/>
  <c r="C128" i="17" s="1"/>
  <c r="C129" i="17" s="1"/>
  <c r="C130" i="17" s="1"/>
  <c r="C131" i="17" s="1"/>
  <c r="C132" i="17" s="1"/>
  <c r="C133" i="17" s="1"/>
  <c r="C134" i="17" s="1"/>
  <c r="C135" i="17" s="1"/>
  <c r="C136" i="17" s="1"/>
  <c r="C137" i="17" s="1"/>
  <c r="C138" i="17" s="1"/>
  <c r="C139" i="17" s="1"/>
  <c r="C140" i="17" s="1"/>
  <c r="C141" i="17" s="1"/>
  <c r="C142" i="17" s="1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C154" i="17" s="1"/>
  <c r="C73" i="1"/>
  <c r="C22" i="1"/>
  <c r="O61" i="67"/>
  <c r="O42" i="83"/>
  <c r="O19" i="89"/>
  <c r="C99" i="96"/>
  <c r="B101" i="85"/>
  <c r="I13" i="3"/>
  <c r="B109" i="30"/>
  <c r="G17" i="33"/>
  <c r="I13" i="33"/>
  <c r="H17" i="33" s="1"/>
  <c r="O28" i="17"/>
  <c r="O28" i="83"/>
  <c r="B102" i="65"/>
  <c r="B104" i="61"/>
  <c r="B106" i="42"/>
  <c r="B108" i="31"/>
  <c r="B105" i="45"/>
  <c r="B102" i="76"/>
  <c r="J100" i="81"/>
  <c r="J107" i="22"/>
  <c r="B111" i="28"/>
  <c r="B108" i="22"/>
  <c r="B101" i="81"/>
  <c r="B104" i="59"/>
  <c r="J106" i="39"/>
  <c r="J100" i="83"/>
  <c r="J110" i="28"/>
  <c r="J108" i="32"/>
  <c r="J103" i="63"/>
  <c r="B102" i="77"/>
  <c r="J101" i="77"/>
  <c r="L17" i="91"/>
  <c r="O17" i="91"/>
  <c r="B18" i="90"/>
  <c r="O17" i="90"/>
  <c r="O19" i="90"/>
  <c r="O17" i="89"/>
  <c r="B19" i="84"/>
  <c r="I12" i="93"/>
  <c r="I13" i="93" s="1"/>
  <c r="B108" i="17"/>
  <c r="B104" i="62"/>
  <c r="J106" i="42"/>
  <c r="B100" i="90"/>
  <c r="B105" i="57"/>
  <c r="J103" i="59"/>
  <c r="B100" i="86"/>
  <c r="J92" i="92"/>
  <c r="J92" i="18"/>
  <c r="M87" i="18" s="1"/>
  <c r="J92" i="91"/>
  <c r="M87" i="91" s="1"/>
  <c r="J92" i="72"/>
  <c r="N87" i="72" s="1"/>
  <c r="J92" i="73"/>
  <c r="M87" i="73" s="1"/>
  <c r="J92" i="30"/>
  <c r="J92" i="80"/>
  <c r="L86" i="80" s="1"/>
  <c r="A4" i="2"/>
  <c r="J92" i="42"/>
  <c r="B104" i="64"/>
  <c r="B105" i="46"/>
  <c r="B100" i="89"/>
  <c r="J100" i="80"/>
  <c r="J108" i="24"/>
  <c r="J107" i="20"/>
  <c r="J103" i="61"/>
  <c r="J100" i="85"/>
  <c r="J102" i="66"/>
  <c r="J105" i="74"/>
  <c r="B109" i="24"/>
  <c r="B100" i="91"/>
  <c r="B108" i="20"/>
  <c r="B103" i="66"/>
  <c r="B101" i="80"/>
  <c r="J101" i="76"/>
  <c r="B100" i="88"/>
  <c r="J104" i="57"/>
  <c r="B108" i="3"/>
  <c r="J104" i="46"/>
  <c r="B108" i="34"/>
  <c r="J107" i="17"/>
  <c r="B102" i="75"/>
  <c r="J99" i="86"/>
  <c r="J103" i="64"/>
  <c r="J99" i="90"/>
  <c r="J99" i="88"/>
  <c r="J103" i="62"/>
  <c r="B107" i="73"/>
  <c r="J99" i="91"/>
  <c r="J104" i="58"/>
  <c r="B20" i="80"/>
  <c r="I25" i="39"/>
  <c r="B21" i="76"/>
  <c r="I19" i="85"/>
  <c r="B20" i="85"/>
  <c r="I25" i="44"/>
  <c r="B29" i="27"/>
  <c r="B19" i="86"/>
  <c r="B29" i="70"/>
  <c r="B27" i="18"/>
  <c r="B29" i="30"/>
  <c r="I18" i="92"/>
  <c r="I19" i="84"/>
  <c r="B24" i="54"/>
  <c r="B24" i="55"/>
  <c r="J109" i="30"/>
  <c r="B23" i="61"/>
  <c r="B18" i="94"/>
  <c r="J99" i="89"/>
  <c r="B25" i="74"/>
  <c r="B26" i="73"/>
  <c r="I25" i="73"/>
  <c r="I17" i="95"/>
  <c r="B109" i="23"/>
  <c r="B110" i="69"/>
  <c r="B108" i="21"/>
  <c r="B110" i="29"/>
  <c r="I17" i="94"/>
  <c r="B27" i="19"/>
  <c r="I28" i="69"/>
  <c r="I26" i="21"/>
  <c r="I19" i="83"/>
  <c r="I23" i="56"/>
  <c r="I22" i="63"/>
  <c r="I23" i="58"/>
  <c r="I26" i="20"/>
  <c r="B28" i="31"/>
  <c r="B29" i="69"/>
  <c r="I22" i="61"/>
  <c r="I21" i="65"/>
  <c r="I21" i="66"/>
  <c r="I26" i="18"/>
  <c r="B24" i="56"/>
  <c r="I19" i="80"/>
  <c r="I24" i="74"/>
  <c r="B26" i="42"/>
  <c r="I23" i="54"/>
  <c r="B27" i="22"/>
  <c r="I18" i="86"/>
  <c r="I27" i="31"/>
  <c r="I26" i="19"/>
  <c r="I28" i="30"/>
  <c r="I28" i="70"/>
  <c r="I28" i="27"/>
  <c r="I21" i="68"/>
  <c r="B27" i="3"/>
  <c r="I20" i="75"/>
  <c r="J107" i="19"/>
  <c r="J107" i="3"/>
  <c r="J104" i="56"/>
  <c r="J107" i="21"/>
  <c r="J109" i="69"/>
  <c r="J109" i="27"/>
  <c r="J106" i="73"/>
  <c r="J106" i="43"/>
  <c r="J103" i="60"/>
  <c r="J101" i="75"/>
  <c r="J109" i="29"/>
  <c r="J108" i="23"/>
  <c r="J104" i="72"/>
  <c r="J102" i="67"/>
  <c r="I25" i="42"/>
  <c r="I27" i="34"/>
  <c r="I26" i="3"/>
  <c r="I20" i="76"/>
  <c r="I18" i="90"/>
  <c r="B20" i="81"/>
  <c r="B22" i="65"/>
  <c r="I23" i="55"/>
  <c r="J108" i="31"/>
  <c r="I26" i="22"/>
  <c r="B102" i="78"/>
  <c r="B108" i="18"/>
  <c r="B100" i="92"/>
  <c r="G17" i="25"/>
  <c r="P99" i="67"/>
  <c r="O17" i="70"/>
  <c r="P100" i="3"/>
  <c r="O23" i="70"/>
  <c r="O22" i="70"/>
  <c r="O21" i="71"/>
  <c r="O21" i="74"/>
  <c r="O23" i="71"/>
  <c r="O18" i="73"/>
  <c r="P103" i="24"/>
  <c r="O20" i="28"/>
  <c r="P103" i="29"/>
  <c r="O21" i="29"/>
  <c r="P102" i="31"/>
  <c r="O18" i="18"/>
  <c r="P101" i="34"/>
  <c r="O20" i="21"/>
  <c r="O18" i="55"/>
  <c r="O23" i="27"/>
  <c r="O20" i="42"/>
  <c r="O22" i="31"/>
  <c r="O24" i="29"/>
  <c r="P104" i="32"/>
  <c r="O22" i="67"/>
  <c r="P103" i="19"/>
  <c r="P103" i="20"/>
  <c r="P100" i="58"/>
  <c r="P99" i="62"/>
  <c r="O17" i="65"/>
  <c r="O21" i="39"/>
  <c r="O21" i="44"/>
  <c r="P100" i="55"/>
  <c r="P99" i="61"/>
  <c r="O21" i="69"/>
  <c r="O23" i="3"/>
  <c r="O20" i="69"/>
  <c r="P104" i="17"/>
  <c r="O24" i="31"/>
  <c r="O22" i="44"/>
  <c r="O21" i="45"/>
  <c r="P101" i="61"/>
  <c r="O19" i="64"/>
  <c r="O18" i="65"/>
  <c r="O18" i="66"/>
  <c r="O17" i="79"/>
  <c r="O25" i="29"/>
  <c r="O24" i="34"/>
  <c r="P103" i="41"/>
  <c r="P105" i="32"/>
  <c r="P103" i="43"/>
  <c r="O20" i="61"/>
  <c r="P100" i="64"/>
  <c r="P99" i="68"/>
  <c r="O17" i="78"/>
  <c r="O23" i="21"/>
  <c r="O25" i="27"/>
  <c r="P102" i="45"/>
  <c r="O20" i="54"/>
  <c r="P99" i="66"/>
  <c r="P100" i="83"/>
  <c r="O24" i="19"/>
  <c r="O24" i="21"/>
  <c r="O26" i="27"/>
  <c r="P107" i="29"/>
  <c r="P106" i="31"/>
  <c r="P106" i="34"/>
  <c r="P105" i="3"/>
  <c r="P104" i="39"/>
  <c r="P104" i="42"/>
  <c r="O21" i="46"/>
  <c r="P102" i="54"/>
  <c r="O21" i="57"/>
  <c r="P101" i="64"/>
  <c r="O19" i="67"/>
  <c r="O26" i="69"/>
  <c r="O18" i="77"/>
  <c r="P99" i="85"/>
  <c r="O21" i="53"/>
  <c r="O20" i="59"/>
  <c r="O20" i="60"/>
  <c r="P100" i="67"/>
  <c r="P106" i="18"/>
  <c r="P107" i="34"/>
  <c r="O22" i="55"/>
  <c r="O22" i="57"/>
  <c r="O21" i="59"/>
  <c r="O21" i="63"/>
  <c r="O20" i="66"/>
  <c r="P105" i="44"/>
  <c r="O21" i="60"/>
  <c r="O19" i="79"/>
  <c r="O25" i="18"/>
  <c r="O25" i="21"/>
  <c r="P106" i="22"/>
  <c r="P108" i="29"/>
  <c r="O26" i="31"/>
  <c r="P105" i="39"/>
  <c r="O24" i="44"/>
  <c r="P103" i="53"/>
  <c r="P103" i="57"/>
  <c r="P102" i="59"/>
  <c r="P102" i="63"/>
  <c r="P101" i="65"/>
  <c r="O20" i="67"/>
  <c r="P101" i="67"/>
  <c r="P105" i="73"/>
  <c r="P108" i="69"/>
  <c r="P107" i="71"/>
  <c r="O19" i="76"/>
  <c r="I19" i="81"/>
  <c r="J100" i="82"/>
  <c r="J108" i="34"/>
  <c r="B105" i="55"/>
  <c r="B109" i="71"/>
  <c r="I22" i="60"/>
  <c r="J104" i="54"/>
  <c r="B100" i="87"/>
  <c r="B104" i="53"/>
  <c r="B106" i="44"/>
  <c r="J107" i="18"/>
  <c r="J102" i="65"/>
  <c r="J101" i="79"/>
  <c r="J101" i="78"/>
  <c r="J108" i="71"/>
  <c r="J104" i="55"/>
  <c r="J99" i="92"/>
  <c r="B22" i="67"/>
  <c r="J105" i="45"/>
  <c r="J106" i="41"/>
  <c r="B103" i="68"/>
  <c r="B24" i="53"/>
  <c r="B21" i="77"/>
  <c r="B28" i="71"/>
  <c r="B26" i="43"/>
  <c r="B19" i="87"/>
  <c r="B29" i="29"/>
  <c r="B30" i="28"/>
  <c r="I21" i="67"/>
  <c r="B23" i="64"/>
  <c r="B26" i="41"/>
  <c r="B19" i="91"/>
  <c r="B110" i="70"/>
  <c r="B100" i="84"/>
  <c r="B24" i="46"/>
  <c r="B28" i="23"/>
  <c r="J99" i="87"/>
  <c r="J99" i="84"/>
  <c r="B24" i="72"/>
  <c r="I27" i="24"/>
  <c r="I23" i="53"/>
  <c r="B21" i="79"/>
  <c r="I23" i="46"/>
  <c r="I20" i="78"/>
  <c r="I23" i="57"/>
  <c r="I24" i="45"/>
  <c r="I28" i="29"/>
  <c r="I18" i="87"/>
  <c r="I27" i="71"/>
  <c r="I18" i="89"/>
  <c r="I17" i="96"/>
  <c r="I27" i="23"/>
  <c r="I17" i="93"/>
  <c r="B21" i="78"/>
  <c r="B28" i="32"/>
  <c r="I18" i="91"/>
  <c r="I19" i="82"/>
  <c r="I25" i="41"/>
  <c r="J102" i="68"/>
  <c r="B24" i="57"/>
  <c r="I22" i="59"/>
  <c r="I23" i="72"/>
  <c r="B25" i="45"/>
  <c r="I20" i="77"/>
  <c r="I18" i="88"/>
  <c r="B27" i="17"/>
  <c r="I27" i="32"/>
  <c r="I22" i="64"/>
  <c r="J109" i="70"/>
  <c r="B23" i="59"/>
  <c r="I29" i="28"/>
  <c r="I22" i="62"/>
  <c r="I25" i="43"/>
  <c r="B19" i="89"/>
  <c r="I20" i="79"/>
  <c r="J106" i="44"/>
  <c r="I26" i="17"/>
  <c r="J104" i="53"/>
  <c r="H17" i="25"/>
  <c r="O22" i="65"/>
  <c r="O65" i="67"/>
  <c r="O47" i="90"/>
  <c r="O40" i="83"/>
  <c r="O52" i="83"/>
  <c r="O19" i="92"/>
  <c r="O17" i="96"/>
  <c r="B18" i="93"/>
  <c r="P99" i="92"/>
  <c r="O33" i="90"/>
  <c r="P99" i="90"/>
  <c r="P99" i="89"/>
  <c r="O19" i="88"/>
  <c r="P99" i="88"/>
  <c r="P99" i="86"/>
  <c r="P100" i="85"/>
  <c r="B101" i="83"/>
  <c r="O24" i="83"/>
  <c r="O20" i="83"/>
  <c r="B20" i="83"/>
  <c r="B101" i="82"/>
  <c r="O34" i="82"/>
  <c r="O70" i="82"/>
  <c r="B20" i="82"/>
  <c r="P100" i="80"/>
  <c r="O35" i="80"/>
  <c r="B102" i="79"/>
  <c r="N6" i="78"/>
  <c r="B21" i="75"/>
  <c r="B106" i="74"/>
  <c r="B105" i="72"/>
  <c r="O29" i="69"/>
  <c r="B22" i="68"/>
  <c r="B103" i="67"/>
  <c r="O27" i="67"/>
  <c r="B22" i="66"/>
  <c r="B104" i="60"/>
  <c r="B23" i="60"/>
  <c r="B23" i="62"/>
  <c r="B104" i="63"/>
  <c r="B23" i="63"/>
  <c r="B105" i="58"/>
  <c r="B25" i="58"/>
  <c r="B24" i="58"/>
  <c r="O29" i="45"/>
  <c r="O69" i="45"/>
  <c r="B26" i="44"/>
  <c r="B107" i="39"/>
  <c r="B26" i="39"/>
  <c r="B28" i="34"/>
  <c r="B109" i="32"/>
  <c r="B110" i="27"/>
  <c r="B28" i="24"/>
  <c r="P107" i="22"/>
  <c r="B27" i="21"/>
  <c r="B27" i="20"/>
  <c r="B108" i="19"/>
  <c r="B23" i="66"/>
  <c r="N6" i="46"/>
  <c r="B18" i="96"/>
  <c r="B18" i="95"/>
  <c r="B19" i="90"/>
  <c r="O65" i="90"/>
  <c r="B20" i="88"/>
  <c r="B19" i="88"/>
  <c r="N6" i="83"/>
  <c r="O20" i="80"/>
  <c r="B20" i="90"/>
  <c r="D100" i="36"/>
  <c r="F100" i="36"/>
  <c r="C100" i="36"/>
  <c r="O100" i="36"/>
  <c r="E100" i="36"/>
  <c r="N100" i="36"/>
  <c r="O62" i="17" l="1"/>
  <c r="O33" i="26"/>
  <c r="O41" i="31"/>
  <c r="O43" i="35"/>
  <c r="O57" i="61"/>
  <c r="O64" i="86"/>
  <c r="O56" i="25"/>
  <c r="O50" i="29"/>
  <c r="O64" i="34"/>
  <c r="O62" i="34"/>
  <c r="O60" i="34"/>
  <c r="O50" i="34"/>
  <c r="O38" i="34"/>
  <c r="O30" i="34"/>
  <c r="O40" i="56"/>
  <c r="O38" i="56"/>
  <c r="O36" i="56"/>
  <c r="O34" i="56"/>
  <c r="O32" i="56"/>
  <c r="F88" i="1"/>
  <c r="F89" i="1" s="1"/>
  <c r="F91" i="1" s="1"/>
  <c r="F92" i="1" s="1"/>
  <c r="F93" i="1" s="1"/>
  <c r="D13" i="98" s="1"/>
  <c r="I14" i="98" s="1"/>
  <c r="O37" i="70"/>
  <c r="O41" i="70"/>
  <c r="O45" i="70"/>
  <c r="O55" i="70"/>
  <c r="O57" i="70"/>
  <c r="O61" i="70"/>
  <c r="O63" i="70"/>
  <c r="O67" i="70"/>
  <c r="O33" i="71"/>
  <c r="O62" i="72"/>
  <c r="O39" i="88"/>
  <c r="O51" i="39"/>
  <c r="O31" i="39"/>
  <c r="O66" i="42"/>
  <c r="O64" i="42"/>
  <c r="O62" i="42"/>
  <c r="O60" i="42"/>
  <c r="O56" i="42"/>
  <c r="O54" i="42"/>
  <c r="O52" i="42"/>
  <c r="O48" i="42"/>
  <c r="O46" i="42"/>
  <c r="O35" i="77"/>
  <c r="O39" i="77"/>
  <c r="O45" i="77"/>
  <c r="O47" i="77"/>
  <c r="O53" i="77"/>
  <c r="O57" i="77"/>
  <c r="O65" i="77"/>
  <c r="O67" i="77"/>
  <c r="O34" i="83"/>
  <c r="O38" i="83"/>
  <c r="O48" i="83"/>
  <c r="O60" i="83"/>
  <c r="O70" i="83"/>
  <c r="O64" i="89"/>
  <c r="O70" i="58"/>
  <c r="O68" i="58"/>
  <c r="O64" i="58"/>
  <c r="O60" i="58"/>
  <c r="O56" i="58"/>
  <c r="O59" i="77"/>
  <c r="E18" i="25"/>
  <c r="F18" i="25" s="1"/>
  <c r="O64" i="13"/>
  <c r="O36" i="17"/>
  <c r="E18" i="13"/>
  <c r="F18" i="13" s="1"/>
  <c r="G18" i="13" s="1"/>
  <c r="D13" i="97"/>
  <c r="I14" i="97" s="1"/>
  <c r="D13" i="92"/>
  <c r="I14" i="92" s="1"/>
  <c r="D13" i="63"/>
  <c r="I14" i="63" s="1"/>
  <c r="D13" i="89"/>
  <c r="I14" i="89" s="1"/>
  <c r="D13" i="28"/>
  <c r="I14" i="28" s="1"/>
  <c r="D13" i="88"/>
  <c r="I14" i="88" s="1"/>
  <c r="D13" i="87"/>
  <c r="I14" i="87" s="1"/>
  <c r="D13" i="23"/>
  <c r="I14" i="23" s="1"/>
  <c r="D13" i="34"/>
  <c r="I14" i="34" s="1"/>
  <c r="D13" i="64"/>
  <c r="I14" i="64" s="1"/>
  <c r="D13" i="13"/>
  <c r="D13" i="44"/>
  <c r="I14" i="44" s="1"/>
  <c r="D13" i="62"/>
  <c r="I14" i="62" s="1"/>
  <c r="D13" i="26"/>
  <c r="D13" i="43"/>
  <c r="I14" i="43" s="1"/>
  <c r="D13" i="91"/>
  <c r="I14" i="91" s="1"/>
  <c r="D13" i="58"/>
  <c r="I14" i="58" s="1"/>
  <c r="E26" i="58" s="1"/>
  <c r="D13" i="71"/>
  <c r="I14" i="71" s="1"/>
  <c r="O70" i="13"/>
  <c r="O68" i="13"/>
  <c r="O66" i="13"/>
  <c r="O62" i="13"/>
  <c r="O60" i="13"/>
  <c r="O58" i="13"/>
  <c r="O56" i="13"/>
  <c r="O54" i="13"/>
  <c r="O52" i="13"/>
  <c r="O50" i="13"/>
  <c r="O48" i="13"/>
  <c r="O34" i="13"/>
  <c r="O22" i="13"/>
  <c r="O56" i="17"/>
  <c r="O54" i="17"/>
  <c r="O52" i="17"/>
  <c r="O48" i="17"/>
  <c r="O46" i="17"/>
  <c r="O44" i="17"/>
  <c r="O42" i="17"/>
  <c r="O40" i="17"/>
  <c r="O34" i="17"/>
  <c r="O32" i="17"/>
  <c r="O57" i="19"/>
  <c r="O71" i="25"/>
  <c r="O69" i="25"/>
  <c r="O67" i="25"/>
  <c r="O65" i="25"/>
  <c r="O63" i="25"/>
  <c r="O59" i="25"/>
  <c r="O57" i="25"/>
  <c r="O55" i="25"/>
  <c r="O53" i="25"/>
  <c r="O51" i="25"/>
  <c r="O49" i="25"/>
  <c r="O47" i="25"/>
  <c r="O45" i="25"/>
  <c r="O43" i="25"/>
  <c r="O41" i="25"/>
  <c r="O37" i="25"/>
  <c r="O35" i="25"/>
  <c r="O33" i="25"/>
  <c r="O31" i="25"/>
  <c r="O29" i="25"/>
  <c r="O23" i="25"/>
  <c r="O21" i="25"/>
  <c r="O17" i="25"/>
  <c r="O71" i="26"/>
  <c r="B18" i="25"/>
  <c r="O69" i="21"/>
  <c r="O55" i="21"/>
  <c r="O51" i="21"/>
  <c r="O47" i="21"/>
  <c r="O45" i="21"/>
  <c r="O39" i="21"/>
  <c r="O31" i="21"/>
  <c r="O69" i="26"/>
  <c r="O67" i="26"/>
  <c r="O65" i="26"/>
  <c r="O63" i="26"/>
  <c r="O61" i="26"/>
  <c r="O59" i="26"/>
  <c r="O57" i="26"/>
  <c r="O55" i="26"/>
  <c r="O53" i="26"/>
  <c r="O51" i="26"/>
  <c r="O49" i="26"/>
  <c r="O47" i="26"/>
  <c r="O41" i="26"/>
  <c r="O39" i="26"/>
  <c r="O37" i="26"/>
  <c r="O31" i="26"/>
  <c r="O25" i="26"/>
  <c r="O23" i="26"/>
  <c r="O21" i="26"/>
  <c r="O45" i="29"/>
  <c r="O39" i="31"/>
  <c r="O35" i="31"/>
  <c r="O71" i="35"/>
  <c r="O69" i="35"/>
  <c r="O67" i="35"/>
  <c r="O65" i="35"/>
  <c r="O63" i="35"/>
  <c r="O59" i="35"/>
  <c r="O57" i="35"/>
  <c r="O55" i="35"/>
  <c r="O53" i="35"/>
  <c r="O51" i="35"/>
  <c r="O49" i="35"/>
  <c r="O47" i="35"/>
  <c r="O45" i="35"/>
  <c r="O41" i="35"/>
  <c r="O39" i="35"/>
  <c r="O37" i="35"/>
  <c r="O35" i="35"/>
  <c r="O33" i="35"/>
  <c r="O29" i="35"/>
  <c r="O27" i="35"/>
  <c r="O25" i="35"/>
  <c r="O21" i="35"/>
  <c r="O68" i="55"/>
  <c r="O66" i="55"/>
  <c r="O60" i="55"/>
  <c r="O58" i="55"/>
  <c r="O56" i="55"/>
  <c r="O54" i="55"/>
  <c r="O50" i="55"/>
  <c r="O42" i="55"/>
  <c r="O40" i="55"/>
  <c r="O38" i="55"/>
  <c r="O36" i="55"/>
  <c r="O34" i="55"/>
  <c r="O32" i="55"/>
  <c r="O30" i="55"/>
  <c r="O26" i="55"/>
  <c r="O71" i="57"/>
  <c r="O37" i="57"/>
  <c r="O36" i="59"/>
  <c r="O61" i="61"/>
  <c r="O56" i="63"/>
  <c r="O66" i="63"/>
  <c r="O68" i="63"/>
  <c r="O44" i="68"/>
  <c r="O29" i="73"/>
  <c r="O45" i="73"/>
  <c r="O49" i="73"/>
  <c r="O51" i="73"/>
  <c r="O52" i="74"/>
  <c r="O32" i="77"/>
  <c r="O36" i="77"/>
  <c r="O23" i="78"/>
  <c r="O61" i="78"/>
  <c r="O69" i="78"/>
  <c r="O23" i="79"/>
  <c r="O29" i="79"/>
  <c r="O43" i="79"/>
  <c r="O49" i="79"/>
  <c r="O59" i="79"/>
  <c r="O65" i="79"/>
  <c r="O24" i="85"/>
  <c r="O64" i="87"/>
  <c r="O65" i="53"/>
  <c r="O63" i="53"/>
  <c r="O57" i="53"/>
  <c r="O47" i="53"/>
  <c r="O41" i="53"/>
  <c r="O37" i="53"/>
  <c r="O35" i="53"/>
  <c r="O27" i="60"/>
  <c r="O37" i="80"/>
  <c r="O51" i="80"/>
  <c r="O71" i="80"/>
  <c r="O26" i="82"/>
  <c r="O32" i="82"/>
  <c r="O38" i="82"/>
  <c r="O52" i="82"/>
  <c r="O68" i="82"/>
  <c r="C39" i="1"/>
  <c r="C79" i="1"/>
  <c r="C8" i="1"/>
  <c r="C76" i="1"/>
  <c r="C59" i="1"/>
  <c r="O42" i="67"/>
  <c r="O55" i="75"/>
  <c r="O24" i="80"/>
  <c r="O67" i="89"/>
  <c r="O59" i="42"/>
  <c r="I17" i="25"/>
  <c r="C80" i="1"/>
  <c r="C14" i="1"/>
  <c r="C10" i="1"/>
  <c r="C62" i="1"/>
  <c r="C61" i="1"/>
  <c r="C28" i="1"/>
  <c r="O55" i="42"/>
  <c r="C50" i="1"/>
  <c r="C82" i="1"/>
  <c r="C77" i="1"/>
  <c r="C56" i="1"/>
  <c r="F14" i="1"/>
  <c r="E19" i="1" s="1"/>
  <c r="O48" i="3"/>
  <c r="O60" i="18"/>
  <c r="O39" i="22"/>
  <c r="O50" i="30"/>
  <c r="O54" i="58"/>
  <c r="O50" i="58"/>
  <c r="O48" i="58"/>
  <c r="O46" i="58"/>
  <c r="O42" i="58"/>
  <c r="O36" i="58"/>
  <c r="O34" i="58"/>
  <c r="O32" i="58"/>
  <c r="O28" i="58"/>
  <c r="O26" i="58"/>
  <c r="I12" i="68"/>
  <c r="I13" i="68" s="1"/>
  <c r="I12" i="99"/>
  <c r="I12" i="97"/>
  <c r="I12" i="98"/>
  <c r="A2" i="1"/>
  <c r="A2" i="2" s="1"/>
  <c r="A4" i="1"/>
  <c r="O26" i="66"/>
  <c r="O32" i="66"/>
  <c r="O34" i="66"/>
  <c r="O36" i="66"/>
  <c r="O42" i="66"/>
  <c r="O46" i="66"/>
  <c r="O48" i="66"/>
  <c r="O60" i="66"/>
  <c r="O70" i="66"/>
  <c r="O32" i="70"/>
  <c r="O36" i="70"/>
  <c r="O38" i="70"/>
  <c r="O42" i="70"/>
  <c r="O52" i="70"/>
  <c r="O54" i="70"/>
  <c r="O56" i="70"/>
  <c r="O58" i="70"/>
  <c r="O60" i="70"/>
  <c r="O62" i="70"/>
  <c r="O64" i="70"/>
  <c r="O66" i="70"/>
  <c r="O68" i="70"/>
  <c r="O70" i="70"/>
  <c r="O31" i="72"/>
  <c r="O33" i="72"/>
  <c r="O35" i="72"/>
  <c r="O37" i="72"/>
  <c r="O39" i="72"/>
  <c r="O43" i="72"/>
  <c r="O49" i="72"/>
  <c r="O51" i="72"/>
  <c r="O53" i="72"/>
  <c r="O57" i="72"/>
  <c r="O61" i="72"/>
  <c r="O65" i="72"/>
  <c r="O69" i="72"/>
  <c r="O71" i="72"/>
  <c r="O69" i="77"/>
  <c r="O71" i="77"/>
  <c r="O24" i="86"/>
  <c r="O30" i="86"/>
  <c r="O38" i="86"/>
  <c r="O40" i="86"/>
  <c r="O42" i="86"/>
  <c r="O48" i="86"/>
  <c r="O50" i="86"/>
  <c r="O52" i="86"/>
  <c r="O56" i="86"/>
  <c r="O58" i="86"/>
  <c r="O60" i="86"/>
  <c r="O62" i="86"/>
  <c r="O70" i="86"/>
  <c r="O27" i="92"/>
  <c r="O29" i="92"/>
  <c r="O33" i="92"/>
  <c r="O53" i="92"/>
  <c r="O59" i="92"/>
  <c r="O62" i="96"/>
  <c r="O64" i="96"/>
  <c r="O71" i="3"/>
  <c r="O69" i="3"/>
  <c r="O67" i="3"/>
  <c r="O65" i="3"/>
  <c r="O63" i="3"/>
  <c r="O61" i="3"/>
  <c r="O59" i="3"/>
  <c r="O55" i="3"/>
  <c r="O51" i="3"/>
  <c r="O49" i="3"/>
  <c r="O47" i="3"/>
  <c r="O45" i="3"/>
  <c r="O44" i="3"/>
  <c r="O42" i="3"/>
  <c r="O36" i="3"/>
  <c r="O32" i="3"/>
  <c r="O30" i="3"/>
  <c r="O69" i="13"/>
  <c r="O61" i="13"/>
  <c r="O59" i="13"/>
  <c r="O55" i="13"/>
  <c r="O53" i="13"/>
  <c r="O49" i="13"/>
  <c r="O41" i="13"/>
  <c r="O31" i="13"/>
  <c r="O23" i="13"/>
  <c r="O21" i="13"/>
  <c r="O19" i="13"/>
  <c r="O17" i="13"/>
  <c r="O44" i="24"/>
  <c r="O42" i="24"/>
  <c r="O36" i="24"/>
  <c r="O34" i="24"/>
  <c r="O32" i="24"/>
  <c r="O70" i="25"/>
  <c r="O68" i="25"/>
  <c r="O66" i="25"/>
  <c r="O50" i="25"/>
  <c r="O46" i="25"/>
  <c r="O40" i="25"/>
  <c r="O68" i="26"/>
  <c r="O64" i="26"/>
  <c r="O60" i="26"/>
  <c r="O58" i="26"/>
  <c r="O48" i="26"/>
  <c r="O28" i="26"/>
  <c r="O26" i="26"/>
  <c r="O18" i="26"/>
  <c r="O72" i="35"/>
  <c r="O70" i="35"/>
  <c r="O68" i="35"/>
  <c r="O60" i="35"/>
  <c r="O52" i="35"/>
  <c r="O46" i="35"/>
  <c r="O42" i="35"/>
  <c r="O40" i="35"/>
  <c r="O38" i="35"/>
  <c r="O34" i="35"/>
  <c r="O32" i="35"/>
  <c r="O28" i="35"/>
  <c r="O40" i="42"/>
  <c r="O38" i="42"/>
  <c r="O36" i="42"/>
  <c r="O34" i="42"/>
  <c r="O61" i="66"/>
  <c r="O63" i="66"/>
  <c r="O65" i="66"/>
  <c r="O67" i="66"/>
  <c r="O25" i="91"/>
  <c r="O64" i="93"/>
  <c r="O24" i="94"/>
  <c r="O20" i="96"/>
  <c r="O28" i="96"/>
  <c r="O30" i="96"/>
  <c r="O66" i="96"/>
  <c r="O39" i="96"/>
  <c r="O53" i="96"/>
  <c r="O57" i="96"/>
  <c r="O69" i="96"/>
  <c r="O55" i="94"/>
  <c r="O21" i="94"/>
  <c r="O64" i="92"/>
  <c r="O21" i="86"/>
  <c r="O17" i="86"/>
  <c r="O67" i="86"/>
  <c r="O46" i="85"/>
  <c r="O58" i="85"/>
  <c r="O68" i="85"/>
  <c r="O72" i="84"/>
  <c r="O66" i="83"/>
  <c r="O23" i="81"/>
  <c r="O25" i="81"/>
  <c r="O47" i="81"/>
  <c r="O51" i="81"/>
  <c r="O69" i="81"/>
  <c r="P115" i="81"/>
  <c r="P151" i="55"/>
  <c r="P145" i="55"/>
  <c r="P139" i="55"/>
  <c r="P137" i="55"/>
  <c r="P135" i="55"/>
  <c r="P133" i="55"/>
  <c r="P131" i="55"/>
  <c r="P129" i="55"/>
  <c r="P117" i="55"/>
  <c r="P115" i="55"/>
  <c r="P113" i="55"/>
  <c r="P111" i="55"/>
  <c r="P109" i="55"/>
  <c r="P107" i="55"/>
  <c r="O30" i="74"/>
  <c r="O24" i="74"/>
  <c r="O17" i="74"/>
  <c r="O55" i="96"/>
  <c r="O40" i="95"/>
  <c r="O72" i="95"/>
  <c r="O22" i="95"/>
  <c r="O42" i="95"/>
  <c r="O48" i="95"/>
  <c r="O56" i="95"/>
  <c r="O17" i="94"/>
  <c r="O19" i="94"/>
  <c r="O37" i="94"/>
  <c r="O39" i="94"/>
  <c r="O41" i="94"/>
  <c r="O47" i="94"/>
  <c r="O57" i="94"/>
  <c r="O59" i="94"/>
  <c r="O63" i="94"/>
  <c r="O65" i="94"/>
  <c r="O67" i="94"/>
  <c r="O69" i="94"/>
  <c r="O23" i="93"/>
  <c r="O31" i="93"/>
  <c r="O35" i="93"/>
  <c r="O45" i="93"/>
  <c r="O53" i="93"/>
  <c r="O61" i="93"/>
  <c r="O65" i="93"/>
  <c r="O25" i="93"/>
  <c r="O29" i="93"/>
  <c r="O33" i="93"/>
  <c r="O37" i="93"/>
  <c r="O43" i="93"/>
  <c r="O51" i="93"/>
  <c r="O59" i="93"/>
  <c r="O63" i="93"/>
  <c r="O21" i="92"/>
  <c r="O23" i="92"/>
  <c r="O25" i="92"/>
  <c r="O37" i="92"/>
  <c r="O39" i="92"/>
  <c r="O41" i="92"/>
  <c r="O43" i="92"/>
  <c r="O45" i="92"/>
  <c r="O47" i="92"/>
  <c r="O61" i="92"/>
  <c r="O63" i="92"/>
  <c r="O65" i="92"/>
  <c r="O21" i="91"/>
  <c r="O29" i="91"/>
  <c r="O35" i="91"/>
  <c r="O39" i="91"/>
  <c r="O41" i="91"/>
  <c r="O43" i="91"/>
  <c r="O45" i="91"/>
  <c r="O28" i="90"/>
  <c r="O27" i="88"/>
  <c r="O29" i="88"/>
  <c r="O47" i="88"/>
  <c r="O53" i="88"/>
  <c r="O61" i="88"/>
  <c r="O65" i="88"/>
  <c r="O71" i="88"/>
  <c r="O25" i="87"/>
  <c r="O59" i="87"/>
  <c r="O61" i="87"/>
  <c r="O63" i="87"/>
  <c r="O65" i="87"/>
  <c r="O67" i="87"/>
  <c r="O18" i="87"/>
  <c r="O38" i="87"/>
  <c r="O18" i="86"/>
  <c r="O33" i="86"/>
  <c r="O35" i="86"/>
  <c r="O37" i="86"/>
  <c r="O25" i="84"/>
  <c r="O32" i="84"/>
  <c r="O42" i="84"/>
  <c r="O52" i="84"/>
  <c r="O58" i="84"/>
  <c r="O68" i="83"/>
  <c r="O31" i="82"/>
  <c r="O37" i="82"/>
  <c r="O27" i="82"/>
  <c r="O54" i="81"/>
  <c r="O22" i="80"/>
  <c r="O28" i="80"/>
  <c r="O48" i="80"/>
  <c r="O62" i="80"/>
  <c r="O33" i="80"/>
  <c r="O53" i="80"/>
  <c r="O41" i="77"/>
  <c r="O49" i="77"/>
  <c r="O63" i="77"/>
  <c r="O30" i="76"/>
  <c r="O38" i="76"/>
  <c r="O66" i="75"/>
  <c r="O26" i="74"/>
  <c r="O28" i="74"/>
  <c r="O32" i="74"/>
  <c r="O34" i="74"/>
  <c r="O36" i="74"/>
  <c r="O38" i="74"/>
  <c r="O42" i="74"/>
  <c r="O44" i="74"/>
  <c r="O54" i="74"/>
  <c r="O56" i="74"/>
  <c r="O58" i="74"/>
  <c r="O60" i="74"/>
  <c r="O62" i="74"/>
  <c r="O64" i="74"/>
  <c r="O66" i="74"/>
  <c r="O68" i="74"/>
  <c r="O70" i="74"/>
  <c r="O72" i="74"/>
  <c r="O53" i="73"/>
  <c r="O55" i="73"/>
  <c r="O59" i="73"/>
  <c r="O63" i="73"/>
  <c r="O65" i="73"/>
  <c r="O67" i="73"/>
  <c r="O69" i="73"/>
  <c r="O71" i="73"/>
  <c r="O50" i="72"/>
  <c r="O52" i="72"/>
  <c r="O29" i="71"/>
  <c r="O31" i="71"/>
  <c r="O37" i="71"/>
  <c r="O55" i="71"/>
  <c r="O30" i="71"/>
  <c r="O32" i="71"/>
  <c r="O34" i="71"/>
  <c r="O36" i="71"/>
  <c r="O38" i="71"/>
  <c r="O48" i="71"/>
  <c r="O50" i="71"/>
  <c r="O52" i="71"/>
  <c r="O54" i="71"/>
  <c r="O62" i="71"/>
  <c r="O64" i="71"/>
  <c r="O66" i="71"/>
  <c r="O68" i="71"/>
  <c r="O70" i="71"/>
  <c r="O72" i="71"/>
  <c r="O35" i="71"/>
  <c r="O47" i="71"/>
  <c r="O53" i="71"/>
  <c r="O71" i="71"/>
  <c r="O35" i="70"/>
  <c r="O43" i="70"/>
  <c r="O65" i="70"/>
  <c r="O69" i="70"/>
  <c r="O28" i="70"/>
  <c r="O31" i="70"/>
  <c r="O33" i="70"/>
  <c r="O39" i="70"/>
  <c r="O59" i="70"/>
  <c r="O49" i="69"/>
  <c r="O23" i="67"/>
  <c r="O25" i="67"/>
  <c r="O35" i="67"/>
  <c r="O37" i="67"/>
  <c r="O39" i="67"/>
  <c r="O41" i="67"/>
  <c r="O43" i="67"/>
  <c r="O45" i="67"/>
  <c r="O47" i="67"/>
  <c r="O49" i="67"/>
  <c r="O57" i="67"/>
  <c r="O47" i="64"/>
  <c r="O61" i="64"/>
  <c r="O63" i="64"/>
  <c r="O24" i="60"/>
  <c r="O26" i="60"/>
  <c r="O30" i="60"/>
  <c r="O34" i="60"/>
  <c r="O36" i="60"/>
  <c r="O38" i="60"/>
  <c r="O40" i="60"/>
  <c r="O42" i="60"/>
  <c r="O44" i="60"/>
  <c r="O46" i="60"/>
  <c r="O48" i="60"/>
  <c r="O58" i="60"/>
  <c r="O66" i="60"/>
  <c r="O70" i="60"/>
  <c r="O45" i="60"/>
  <c r="O22" i="61"/>
  <c r="O24" i="59"/>
  <c r="O26" i="59"/>
  <c r="O28" i="59"/>
  <c r="O30" i="59"/>
  <c r="O32" i="59"/>
  <c r="O34" i="59"/>
  <c r="O38" i="59"/>
  <c r="O40" i="59"/>
  <c r="O42" i="59"/>
  <c r="O44" i="59"/>
  <c r="O46" i="59"/>
  <c r="O48" i="59"/>
  <c r="O50" i="59"/>
  <c r="O52" i="59"/>
  <c r="O54" i="59"/>
  <c r="O66" i="59"/>
  <c r="O68" i="59"/>
  <c r="O70" i="59"/>
  <c r="O62" i="58"/>
  <c r="O72" i="57"/>
  <c r="O66" i="57"/>
  <c r="O64" i="57"/>
  <c r="O62" i="57"/>
  <c r="O58" i="57"/>
  <c r="O56" i="57"/>
  <c r="O48" i="57"/>
  <c r="O46" i="57"/>
  <c r="O38" i="57"/>
  <c r="O36" i="57"/>
  <c r="O30" i="57"/>
  <c r="O69" i="54"/>
  <c r="O65" i="54"/>
  <c r="O55" i="54"/>
  <c r="O53" i="54"/>
  <c r="O51" i="54"/>
  <c r="O45" i="54"/>
  <c r="O43" i="54"/>
  <c r="O39" i="54"/>
  <c r="O35" i="54"/>
  <c r="O29" i="54"/>
  <c r="O58" i="54"/>
  <c r="O67" i="53"/>
  <c r="O63" i="44"/>
  <c r="O41" i="44"/>
  <c r="O27" i="44"/>
  <c r="O60" i="43"/>
  <c r="O48" i="43"/>
  <c r="O67" i="41"/>
  <c r="O65" i="41"/>
  <c r="O57" i="41"/>
  <c r="O55" i="41"/>
  <c r="O53" i="41"/>
  <c r="O51" i="41"/>
  <c r="O49" i="41"/>
  <c r="O45" i="41"/>
  <c r="O43" i="41"/>
  <c r="O41" i="41"/>
  <c r="O39" i="41"/>
  <c r="O37" i="41"/>
  <c r="O35" i="41"/>
  <c r="O33" i="41"/>
  <c r="O29" i="41"/>
  <c r="O27" i="41"/>
  <c r="O25" i="41"/>
  <c r="O68" i="39"/>
  <c r="O66" i="39"/>
  <c r="O64" i="39"/>
  <c r="O48" i="39"/>
  <c r="O46" i="39"/>
  <c r="O44" i="39"/>
  <c r="O36" i="39"/>
  <c r="O34" i="39"/>
  <c r="O32" i="39"/>
  <c r="O49" i="34"/>
  <c r="O39" i="34"/>
  <c r="O31" i="34"/>
  <c r="O31" i="32"/>
  <c r="O67" i="31"/>
  <c r="O55" i="31"/>
  <c r="O65" i="30"/>
  <c r="O63" i="30"/>
  <c r="O55" i="30"/>
  <c r="O51" i="30"/>
  <c r="O47" i="30"/>
  <c r="O43" i="30"/>
  <c r="O41" i="30"/>
  <c r="O39" i="30"/>
  <c r="O37" i="30"/>
  <c r="O35" i="30"/>
  <c r="O64" i="29"/>
  <c r="O60" i="29"/>
  <c r="O48" i="29"/>
  <c r="O34" i="29"/>
  <c r="O35" i="28"/>
  <c r="O69" i="28"/>
  <c r="O65" i="28"/>
  <c r="O61" i="28"/>
  <c r="O57" i="28"/>
  <c r="O55" i="28"/>
  <c r="O53" i="28"/>
  <c r="O51" i="28"/>
  <c r="O49" i="28"/>
  <c r="O47" i="28"/>
  <c r="O45" i="28"/>
  <c r="O33" i="28"/>
  <c r="O31" i="28"/>
  <c r="O60" i="28"/>
  <c r="O54" i="28"/>
  <c r="O52" i="28"/>
  <c r="O50" i="28"/>
  <c r="O44" i="28"/>
  <c r="O40" i="28"/>
  <c r="O43" i="24"/>
  <c r="O41" i="24"/>
  <c r="O39" i="24"/>
  <c r="O37" i="24"/>
  <c r="O33" i="24"/>
  <c r="O31" i="24"/>
  <c r="O29" i="24"/>
  <c r="O70" i="23"/>
  <c r="O68" i="23"/>
  <c r="O66" i="23"/>
  <c r="O60" i="23"/>
  <c r="O52" i="23"/>
  <c r="O50" i="23"/>
  <c r="O48" i="23"/>
  <c r="O42" i="23"/>
  <c r="O38" i="23"/>
  <c r="O36" i="23"/>
  <c r="O34" i="23"/>
  <c r="O32" i="23"/>
  <c r="O30" i="23"/>
  <c r="O69" i="22"/>
  <c r="O63" i="22"/>
  <c r="O53" i="22"/>
  <c r="O45" i="22"/>
  <c r="O43" i="22"/>
  <c r="O41" i="22"/>
  <c r="O37" i="22"/>
  <c r="O35" i="22"/>
  <c r="O33" i="22"/>
  <c r="O68" i="19"/>
  <c r="O43" i="19"/>
  <c r="O41" i="19"/>
  <c r="O62" i="18"/>
  <c r="O56" i="18"/>
  <c r="O52" i="18"/>
  <c r="O50" i="18"/>
  <c r="O46" i="18"/>
  <c r="O41" i="18"/>
  <c r="O29" i="18"/>
  <c r="I10" i="82"/>
  <c r="I10" i="99"/>
  <c r="I10" i="97"/>
  <c r="I10" i="98"/>
  <c r="D94" i="89"/>
  <c r="I10" i="35"/>
  <c r="D93" i="35" s="1"/>
  <c r="C99" i="35" s="1"/>
  <c r="I10" i="56"/>
  <c r="D92" i="56" s="1"/>
  <c r="B105" i="56" s="1"/>
  <c r="I10" i="61"/>
  <c r="N6" i="61" s="1"/>
  <c r="I10" i="13"/>
  <c r="I10" i="33"/>
  <c r="D94" i="33" s="1"/>
  <c r="I10" i="75"/>
  <c r="D94" i="75" s="1"/>
  <c r="I10" i="74"/>
  <c r="I10" i="20"/>
  <c r="I10" i="85"/>
  <c r="D94" i="85" s="1"/>
  <c r="I10" i="23"/>
  <c r="D93" i="23" s="1"/>
  <c r="C76" i="2"/>
  <c r="J94" i="90"/>
  <c r="J95" i="90" s="1"/>
  <c r="J94" i="99"/>
  <c r="J94" i="98"/>
  <c r="J94" i="97"/>
  <c r="C82" i="2"/>
  <c r="C10" i="2"/>
  <c r="C55" i="2"/>
  <c r="P106" i="77"/>
  <c r="O65" i="20"/>
  <c r="O59" i="20"/>
  <c r="O57" i="20"/>
  <c r="O51" i="20"/>
  <c r="O49" i="20"/>
  <c r="O40" i="20"/>
  <c r="O36" i="20"/>
  <c r="O34" i="20"/>
  <c r="O55" i="19"/>
  <c r="O44" i="19"/>
  <c r="O42" i="19"/>
  <c r="O40" i="19"/>
  <c r="O32" i="19"/>
  <c r="O28" i="19"/>
  <c r="O60" i="24"/>
  <c r="O54" i="24"/>
  <c r="O52" i="24"/>
  <c r="O50" i="24"/>
  <c r="O50" i="35"/>
  <c r="O71" i="39"/>
  <c r="O63" i="39"/>
  <c r="O55" i="39"/>
  <c r="O53" i="39"/>
  <c r="O49" i="39"/>
  <c r="O47" i="39"/>
  <c r="O41" i="39"/>
  <c r="O27" i="39"/>
  <c r="O69" i="44"/>
  <c r="O59" i="44"/>
  <c r="O57" i="44"/>
  <c r="O51" i="44"/>
  <c r="O49" i="44"/>
  <c r="O35" i="44"/>
  <c r="O31" i="44"/>
  <c r="O29" i="44"/>
  <c r="O47" i="61"/>
  <c r="O26" i="65"/>
  <c r="O30" i="65"/>
  <c r="O34" i="65"/>
  <c r="O52" i="65"/>
  <c r="O56" i="65"/>
  <c r="O72" i="65"/>
  <c r="O23" i="66"/>
  <c r="O39" i="66"/>
  <c r="O43" i="66"/>
  <c r="O47" i="66"/>
  <c r="O51" i="66"/>
  <c r="O43" i="69"/>
  <c r="O45" i="69"/>
  <c r="O71" i="69"/>
  <c r="O29" i="78"/>
  <c r="O31" i="78"/>
  <c r="O47" i="78"/>
  <c r="O48" i="81"/>
  <c r="O72" i="81"/>
  <c r="O22" i="88"/>
  <c r="O48" i="88"/>
  <c r="O50" i="88"/>
  <c r="O68" i="88"/>
  <c r="O45" i="89"/>
  <c r="O63" i="89"/>
  <c r="O69" i="89"/>
  <c r="O71" i="89"/>
  <c r="O23" i="90"/>
  <c r="O31" i="90"/>
  <c r="O49" i="90"/>
  <c r="O51" i="90"/>
  <c r="O53" i="90"/>
  <c r="O57" i="90"/>
  <c r="O61" i="90"/>
  <c r="O69" i="90"/>
  <c r="O20" i="93"/>
  <c r="O56" i="93"/>
  <c r="O29" i="95"/>
  <c r="O53" i="95"/>
  <c r="O71" i="95"/>
  <c r="O71" i="23"/>
  <c r="O69" i="23"/>
  <c r="O67" i="23"/>
  <c r="O65" i="23"/>
  <c r="O63" i="23"/>
  <c r="O61" i="23"/>
  <c r="O59" i="23"/>
  <c r="O57" i="23"/>
  <c r="O55" i="23"/>
  <c r="O53" i="23"/>
  <c r="O51" i="23"/>
  <c r="O49" i="23"/>
  <c r="O47" i="23"/>
  <c r="O43" i="23"/>
  <c r="O41" i="23"/>
  <c r="O37" i="23"/>
  <c r="O61" i="29"/>
  <c r="O59" i="29"/>
  <c r="O57" i="29"/>
  <c r="O49" i="29"/>
  <c r="O47" i="29"/>
  <c r="O39" i="29"/>
  <c r="O37" i="29"/>
  <c r="O33" i="29"/>
  <c r="O31" i="29"/>
  <c r="O45" i="43"/>
  <c r="O43" i="43"/>
  <c r="O37" i="43"/>
  <c r="O27" i="43"/>
  <c r="O46" i="64"/>
  <c r="O50" i="64"/>
  <c r="O52" i="64"/>
  <c r="O58" i="64"/>
  <c r="O60" i="64"/>
  <c r="O62" i="64"/>
  <c r="O68" i="64"/>
  <c r="O24" i="68"/>
  <c r="O30" i="68"/>
  <c r="O32" i="68"/>
  <c r="O34" i="68"/>
  <c r="O40" i="68"/>
  <c r="O54" i="68"/>
  <c r="O56" i="68"/>
  <c r="O66" i="68"/>
  <c r="O70" i="68"/>
  <c r="O43" i="74"/>
  <c r="O45" i="74"/>
  <c r="O59" i="74"/>
  <c r="O61" i="74"/>
  <c r="O63" i="74"/>
  <c r="O67" i="74"/>
  <c r="O71" i="74"/>
  <c r="O29" i="76"/>
  <c r="O28" i="77"/>
  <c r="O42" i="77"/>
  <c r="O44" i="77"/>
  <c r="O23" i="80"/>
  <c r="O31" i="80"/>
  <c r="O45" i="80"/>
  <c r="O36" i="82"/>
  <c r="O48" i="82"/>
  <c r="O66" i="82"/>
  <c r="O22" i="85"/>
  <c r="O30" i="85"/>
  <c r="O34" i="85"/>
  <c r="O42" i="85"/>
  <c r="O44" i="85"/>
  <c r="O48" i="85"/>
  <c r="O50" i="85"/>
  <c r="O56" i="85"/>
  <c r="O60" i="85"/>
  <c r="O62" i="85"/>
  <c r="O36" i="91"/>
  <c r="O54" i="91"/>
  <c r="O28" i="92"/>
  <c r="O34" i="92"/>
  <c r="O36" i="92"/>
  <c r="O42" i="92"/>
  <c r="O44" i="92"/>
  <c r="O54" i="92"/>
  <c r="O56" i="92"/>
  <c r="O68" i="92"/>
  <c r="O72" i="92"/>
  <c r="O40" i="96"/>
  <c r="O58" i="96"/>
  <c r="O27" i="59"/>
  <c r="O45" i="59"/>
  <c r="O51" i="59"/>
  <c r="O53" i="59"/>
  <c r="O55" i="59"/>
  <c r="O57" i="59"/>
  <c r="O61" i="59"/>
  <c r="O63" i="59"/>
  <c r="O67" i="59"/>
  <c r="O71" i="59"/>
  <c r="O25" i="62"/>
  <c r="O27" i="62"/>
  <c r="O37" i="62"/>
  <c r="O39" i="62"/>
  <c r="O43" i="62"/>
  <c r="O49" i="62"/>
  <c r="O51" i="62"/>
  <c r="O53" i="62"/>
  <c r="O55" i="62"/>
  <c r="O59" i="62"/>
  <c r="O61" i="62"/>
  <c r="O65" i="62"/>
  <c r="O71" i="62"/>
  <c r="O53" i="63"/>
  <c r="O42" i="69"/>
  <c r="O54" i="69"/>
  <c r="O64" i="78"/>
  <c r="O43" i="87"/>
  <c r="O45" i="87"/>
  <c r="O57" i="87"/>
  <c r="O69" i="87"/>
  <c r="O44" i="90"/>
  <c r="O50" i="90"/>
  <c r="O52" i="90"/>
  <c r="O56" i="90"/>
  <c r="O22" i="96"/>
  <c r="O48" i="96"/>
  <c r="O68" i="96"/>
  <c r="O37" i="95"/>
  <c r="O47" i="95"/>
  <c r="O57" i="95"/>
  <c r="O65" i="95"/>
  <c r="O24" i="91"/>
  <c r="O28" i="91"/>
  <c r="O30" i="91"/>
  <c r="O48" i="91"/>
  <c r="O52" i="91"/>
  <c r="O58" i="91"/>
  <c r="O60" i="91"/>
  <c r="O23" i="91"/>
  <c r="O27" i="91"/>
  <c r="O47" i="91"/>
  <c r="O49" i="91"/>
  <c r="O61" i="91"/>
  <c r="O67" i="91"/>
  <c r="O69" i="91"/>
  <c r="O21" i="90"/>
  <c r="O35" i="90"/>
  <c r="O37" i="90"/>
  <c r="O39" i="90"/>
  <c r="O54" i="90"/>
  <c r="O31" i="89"/>
  <c r="O57" i="89"/>
  <c r="O61" i="89"/>
  <c r="O20" i="89"/>
  <c r="O22" i="89"/>
  <c r="O24" i="89"/>
  <c r="O26" i="89"/>
  <c r="O28" i="89"/>
  <c r="O30" i="89"/>
  <c r="O34" i="89"/>
  <c r="O36" i="89"/>
  <c r="O38" i="89"/>
  <c r="O40" i="89"/>
  <c r="O42" i="89"/>
  <c r="O44" i="89"/>
  <c r="O50" i="89"/>
  <c r="O52" i="89"/>
  <c r="O56" i="89"/>
  <c r="O58" i="89"/>
  <c r="O24" i="88"/>
  <c r="O64" i="88"/>
  <c r="O37" i="88"/>
  <c r="O69" i="88"/>
  <c r="O22" i="87"/>
  <c r="O26" i="87"/>
  <c r="O30" i="87"/>
  <c r="O34" i="87"/>
  <c r="O42" i="87"/>
  <c r="O46" i="87"/>
  <c r="O54" i="87"/>
  <c r="O58" i="87"/>
  <c r="O60" i="87"/>
  <c r="O68" i="87"/>
  <c r="O20" i="87"/>
  <c r="O24" i="87"/>
  <c r="O28" i="87"/>
  <c r="O32" i="87"/>
  <c r="O40" i="87"/>
  <c r="O48" i="87"/>
  <c r="O52" i="87"/>
  <c r="O56" i="87"/>
  <c r="O62" i="87"/>
  <c r="O66" i="87"/>
  <c r="O70" i="87"/>
  <c r="O43" i="86"/>
  <c r="O69" i="86"/>
  <c r="O71" i="86"/>
  <c r="O45" i="84"/>
  <c r="O22" i="84"/>
  <c r="O24" i="84"/>
  <c r="O26" i="84"/>
  <c r="O28" i="84"/>
  <c r="O36" i="84"/>
  <c r="O54" i="84"/>
  <c r="O56" i="84"/>
  <c r="O23" i="76"/>
  <c r="O33" i="76"/>
  <c r="O35" i="76"/>
  <c r="O39" i="76"/>
  <c r="O41" i="76"/>
  <c r="O43" i="76"/>
  <c r="O45" i="76"/>
  <c r="O47" i="76"/>
  <c r="O49" i="76"/>
  <c r="O51" i="76"/>
  <c r="O53" i="76"/>
  <c r="O55" i="76"/>
  <c r="O57" i="76"/>
  <c r="O59" i="76"/>
  <c r="O61" i="76"/>
  <c r="O63" i="76"/>
  <c r="O65" i="76"/>
  <c r="O67" i="76"/>
  <c r="O69" i="76"/>
  <c r="O71" i="76"/>
  <c r="O22" i="76"/>
  <c r="O26" i="76"/>
  <c r="O28" i="76"/>
  <c r="O32" i="76"/>
  <c r="O34" i="76"/>
  <c r="O36" i="76"/>
  <c r="O46" i="76"/>
  <c r="O56" i="76"/>
  <c r="O68" i="76"/>
  <c r="O23" i="75"/>
  <c r="O26" i="75"/>
  <c r="O30" i="75"/>
  <c r="O32" i="75"/>
  <c r="O40" i="75"/>
  <c r="O52" i="75"/>
  <c r="O58" i="75"/>
  <c r="O60" i="75"/>
  <c r="O62" i="75"/>
  <c r="O64" i="75"/>
  <c r="O68" i="75"/>
  <c r="O23" i="96"/>
  <c r="O25" i="96"/>
  <c r="O27" i="96"/>
  <c r="O37" i="96"/>
  <c r="O41" i="96"/>
  <c r="O43" i="96"/>
  <c r="O49" i="96"/>
  <c r="O51" i="96"/>
  <c r="O71" i="96"/>
  <c r="O24" i="96"/>
  <c r="O49" i="95"/>
  <c r="O51" i="95"/>
  <c r="O59" i="95"/>
  <c r="O63" i="95"/>
  <c r="O67" i="95"/>
  <c r="O17" i="95"/>
  <c r="O26" i="94"/>
  <c r="O44" i="94"/>
  <c r="O28" i="94"/>
  <c r="O32" i="94"/>
  <c r="O38" i="94"/>
  <c r="O42" i="94"/>
  <c r="O48" i="94"/>
  <c r="O52" i="94"/>
  <c r="O72" i="94"/>
  <c r="O30" i="94"/>
  <c r="O46" i="94"/>
  <c r="O50" i="94"/>
  <c r="O68" i="94"/>
  <c r="O70" i="94"/>
  <c r="O50" i="92"/>
  <c r="O70" i="92"/>
  <c r="O31" i="92"/>
  <c r="O35" i="92"/>
  <c r="O49" i="92"/>
  <c r="O51" i="92"/>
  <c r="O55" i="92"/>
  <c r="O57" i="92"/>
  <c r="O69" i="92"/>
  <c r="O18" i="92"/>
  <c r="O26" i="90"/>
  <c r="O42" i="90"/>
  <c r="O48" i="90"/>
  <c r="O35" i="89"/>
  <c r="O53" i="89"/>
  <c r="O18" i="89"/>
  <c r="O32" i="88"/>
  <c r="O34" i="88"/>
  <c r="O66" i="88"/>
  <c r="O25" i="85"/>
  <c r="O39" i="85"/>
  <c r="O45" i="85"/>
  <c r="O63" i="85"/>
  <c r="O69" i="85"/>
  <c r="O19" i="84"/>
  <c r="O23" i="84"/>
  <c r="O31" i="84"/>
  <c r="O47" i="84"/>
  <c r="O53" i="84"/>
  <c r="O23" i="83"/>
  <c r="O31" i="83"/>
  <c r="O61" i="83"/>
  <c r="O41" i="83"/>
  <c r="O69" i="83"/>
  <c r="O19" i="83"/>
  <c r="O35" i="82"/>
  <c r="O41" i="82"/>
  <c r="O43" i="82"/>
  <c r="O45" i="82"/>
  <c r="O53" i="82"/>
  <c r="O55" i="82"/>
  <c r="O57" i="82"/>
  <c r="O71" i="82"/>
  <c r="O20" i="82"/>
  <c r="O22" i="82"/>
  <c r="O24" i="82"/>
  <c r="O19" i="82"/>
  <c r="O26" i="81"/>
  <c r="O32" i="81"/>
  <c r="O46" i="81"/>
  <c r="O58" i="81"/>
  <c r="O36" i="79"/>
  <c r="O46" i="79"/>
  <c r="O60" i="79"/>
  <c r="O22" i="79"/>
  <c r="O24" i="79"/>
  <c r="O30" i="79"/>
  <c r="O34" i="79"/>
  <c r="O38" i="79"/>
  <c r="O48" i="79"/>
  <c r="O50" i="79"/>
  <c r="O54" i="79"/>
  <c r="O56" i="79"/>
  <c r="O64" i="79"/>
  <c r="O66" i="79"/>
  <c r="O68" i="79"/>
  <c r="O25" i="78"/>
  <c r="O51" i="78"/>
  <c r="O55" i="78"/>
  <c r="O65" i="78"/>
  <c r="O22" i="78"/>
  <c r="O24" i="78"/>
  <c r="O34" i="78"/>
  <c r="O40" i="78"/>
  <c r="O44" i="78"/>
  <c r="O48" i="78"/>
  <c r="O50" i="78"/>
  <c r="O54" i="78"/>
  <c r="O56" i="78"/>
  <c r="O58" i="78"/>
  <c r="O60" i="78"/>
  <c r="O62" i="78"/>
  <c r="O68" i="78"/>
  <c r="O72" i="78"/>
  <c r="O22" i="77"/>
  <c r="O26" i="77"/>
  <c r="O34" i="77"/>
  <c r="O50" i="77"/>
  <c r="O60" i="77"/>
  <c r="O24" i="77"/>
  <c r="O48" i="77"/>
  <c r="O54" i="77"/>
  <c r="O30" i="77"/>
  <c r="O38" i="77"/>
  <c r="O40" i="77"/>
  <c r="O46" i="77"/>
  <c r="O52" i="77"/>
  <c r="O56" i="77"/>
  <c r="O62" i="77"/>
  <c r="O72" i="77"/>
  <c r="O22" i="75"/>
  <c r="O28" i="75"/>
  <c r="O38" i="75"/>
  <c r="O70" i="75"/>
  <c r="O47" i="75"/>
  <c r="O25" i="75"/>
  <c r="O35" i="75"/>
  <c r="O39" i="75"/>
  <c r="O43" i="75"/>
  <c r="O45" i="75"/>
  <c r="O49" i="75"/>
  <c r="O65" i="75"/>
  <c r="O71" i="75"/>
  <c r="O47" i="72"/>
  <c r="O59" i="72"/>
  <c r="O67" i="72"/>
  <c r="O41" i="72"/>
  <c r="O45" i="72"/>
  <c r="O55" i="72"/>
  <c r="O63" i="72"/>
  <c r="O26" i="72"/>
  <c r="O28" i="72"/>
  <c r="O30" i="72"/>
  <c r="O36" i="72"/>
  <c r="O38" i="72"/>
  <c r="O42" i="72"/>
  <c r="O44" i="72"/>
  <c r="O48" i="72"/>
  <c r="O54" i="72"/>
  <c r="O60" i="72"/>
  <c r="O64" i="72"/>
  <c r="O66" i="72"/>
  <c r="O68" i="72"/>
  <c r="O70" i="72"/>
  <c r="O51" i="71"/>
  <c r="O41" i="71"/>
  <c r="O59" i="71"/>
  <c r="O31" i="69"/>
  <c r="O33" i="69"/>
  <c r="O39" i="69"/>
  <c r="O51" i="69"/>
  <c r="O57" i="69"/>
  <c r="O59" i="69"/>
  <c r="O63" i="69"/>
  <c r="O67" i="69"/>
  <c r="O36" i="68"/>
  <c r="O38" i="68"/>
  <c r="O42" i="68"/>
  <c r="O46" i="68"/>
  <c r="O48" i="68"/>
  <c r="O50" i="68"/>
  <c r="O64" i="68"/>
  <c r="O68" i="68"/>
  <c r="O33" i="68"/>
  <c r="O35" i="68"/>
  <c r="O49" i="68"/>
  <c r="O55" i="68"/>
  <c r="O61" i="68"/>
  <c r="O71" i="68"/>
  <c r="O52" i="68"/>
  <c r="O58" i="68"/>
  <c r="O60" i="68"/>
  <c r="O23" i="68"/>
  <c r="O25" i="68"/>
  <c r="O37" i="68"/>
  <c r="O43" i="68"/>
  <c r="O59" i="68"/>
  <c r="O65" i="68"/>
  <c r="O69" i="68"/>
  <c r="O63" i="67"/>
  <c r="O67" i="67"/>
  <c r="O71" i="67"/>
  <c r="O25" i="66"/>
  <c r="O31" i="66"/>
  <c r="O35" i="66"/>
  <c r="O24" i="65"/>
  <c r="O28" i="65"/>
  <c r="O32" i="65"/>
  <c r="O58" i="65"/>
  <c r="O62" i="65"/>
  <c r="O64" i="65"/>
  <c r="O68" i="65"/>
  <c r="O36" i="65"/>
  <c r="O44" i="65"/>
  <c r="O70" i="65"/>
  <c r="O51" i="65"/>
  <c r="O59" i="65"/>
  <c r="O32" i="64"/>
  <c r="O66" i="64"/>
  <c r="O30" i="64"/>
  <c r="O42" i="64"/>
  <c r="O64" i="64"/>
  <c r="O72" i="64"/>
  <c r="O24" i="64"/>
  <c r="O25" i="60"/>
  <c r="O29" i="60"/>
  <c r="O31" i="60"/>
  <c r="O33" i="60"/>
  <c r="O35" i="60"/>
  <c r="O37" i="60"/>
  <c r="O39" i="60"/>
  <c r="O41" i="60"/>
  <c r="O49" i="60"/>
  <c r="O53" i="60"/>
  <c r="O57" i="60"/>
  <c r="O59" i="60"/>
  <c r="O61" i="60"/>
  <c r="O65" i="60"/>
  <c r="O29" i="62"/>
  <c r="O41" i="62"/>
  <c r="O63" i="62"/>
  <c r="O67" i="62"/>
  <c r="O69" i="62"/>
  <c r="O22" i="62"/>
  <c r="O35" i="63"/>
  <c r="O23" i="63"/>
  <c r="O25" i="63"/>
  <c r="O27" i="63"/>
  <c r="O33" i="63"/>
  <c r="O37" i="63"/>
  <c r="O39" i="63"/>
  <c r="O41" i="63"/>
  <c r="O45" i="63"/>
  <c r="O47" i="63"/>
  <c r="O49" i="63"/>
  <c r="O59" i="63"/>
  <c r="O61" i="63"/>
  <c r="O67" i="63"/>
  <c r="O71" i="63"/>
  <c r="O26" i="63"/>
  <c r="O30" i="63"/>
  <c r="O34" i="63"/>
  <c r="O36" i="63"/>
  <c r="O52" i="63"/>
  <c r="O72" i="63"/>
  <c r="O27" i="61"/>
  <c r="O35" i="61"/>
  <c r="O39" i="61"/>
  <c r="O41" i="61"/>
  <c r="O43" i="61"/>
  <c r="O45" i="61"/>
  <c r="O55" i="61"/>
  <c r="O59" i="61"/>
  <c r="O63" i="61"/>
  <c r="O65" i="61"/>
  <c r="O69" i="61"/>
  <c r="O31" i="58"/>
  <c r="O69" i="57"/>
  <c r="O49" i="57"/>
  <c r="O47" i="57"/>
  <c r="O39" i="57"/>
  <c r="O29" i="57"/>
  <c r="O27" i="57"/>
  <c r="O25" i="57"/>
  <c r="O26" i="56"/>
  <c r="O24" i="56"/>
  <c r="O63" i="56"/>
  <c r="B25" i="55"/>
  <c r="O60" i="54"/>
  <c r="O56" i="54"/>
  <c r="O54" i="54"/>
  <c r="O52" i="54"/>
  <c r="O48" i="54"/>
  <c r="O42" i="54"/>
  <c r="O36" i="54"/>
  <c r="O32" i="54"/>
  <c r="O30" i="54"/>
  <c r="O33" i="53"/>
  <c r="O27" i="53"/>
  <c r="O25" i="53"/>
  <c r="O72" i="46"/>
  <c r="O70" i="46"/>
  <c r="O68" i="46"/>
  <c r="O60" i="46"/>
  <c r="O58" i="46"/>
  <c r="O50" i="46"/>
  <c r="O48" i="46"/>
  <c r="O46" i="46"/>
  <c r="O40" i="46"/>
  <c r="O38" i="46"/>
  <c r="O36" i="46"/>
  <c r="O34" i="46"/>
  <c r="O52" i="45"/>
  <c r="O46" i="45"/>
  <c r="O28" i="45"/>
  <c r="O24" i="45"/>
  <c r="O71" i="45"/>
  <c r="O62" i="45"/>
  <c r="O60" i="45"/>
  <c r="O58" i="45"/>
  <c r="O56" i="45"/>
  <c r="O54" i="45"/>
  <c r="O48" i="45"/>
  <c r="O44" i="45"/>
  <c r="O38" i="45"/>
  <c r="O36" i="45"/>
  <c r="O34" i="45"/>
  <c r="O32" i="45"/>
  <c r="O30" i="45"/>
  <c r="O64" i="43"/>
  <c r="O54" i="43"/>
  <c r="O44" i="43"/>
  <c r="O42" i="43"/>
  <c r="O40" i="43"/>
  <c r="O38" i="43"/>
  <c r="O36" i="43"/>
  <c r="O34" i="43"/>
  <c r="O32" i="43"/>
  <c r="O30" i="43"/>
  <c r="O28" i="43"/>
  <c r="O65" i="43"/>
  <c r="O59" i="43"/>
  <c r="O55" i="43"/>
  <c r="O51" i="43"/>
  <c r="O41" i="43"/>
  <c r="O39" i="43"/>
  <c r="O31" i="43"/>
  <c r="O35" i="42"/>
  <c r="O31" i="42"/>
  <c r="O29" i="42"/>
  <c r="O37" i="42"/>
  <c r="O27" i="42"/>
  <c r="O71" i="42"/>
  <c r="O69" i="42"/>
  <c r="O67" i="42"/>
  <c r="O65" i="42"/>
  <c r="O63" i="42"/>
  <c r="O61" i="42"/>
  <c r="O57" i="42"/>
  <c r="O53" i="42"/>
  <c r="O51" i="42"/>
  <c r="O45" i="42"/>
  <c r="O58" i="41"/>
  <c r="O56" i="41"/>
  <c r="O52" i="41"/>
  <c r="O72" i="41"/>
  <c r="O62" i="41"/>
  <c r="O50" i="41"/>
  <c r="O42" i="41"/>
  <c r="O36" i="41"/>
  <c r="O32" i="41"/>
  <c r="O30" i="41"/>
  <c r="O28" i="41"/>
  <c r="O65" i="39"/>
  <c r="O61" i="39"/>
  <c r="O45" i="39"/>
  <c r="O43" i="39"/>
  <c r="O57" i="34"/>
  <c r="O55" i="34"/>
  <c r="O53" i="34"/>
  <c r="O51" i="34"/>
  <c r="O47" i="34"/>
  <c r="O45" i="34"/>
  <c r="O41" i="34"/>
  <c r="O37" i="34"/>
  <c r="O35" i="34"/>
  <c r="O33" i="34"/>
  <c r="O29" i="34"/>
  <c r="O27" i="34"/>
  <c r="O71" i="32"/>
  <c r="O69" i="32"/>
  <c r="O65" i="32"/>
  <c r="O63" i="32"/>
  <c r="O61" i="32"/>
  <c r="O55" i="32"/>
  <c r="O51" i="32"/>
  <c r="O49" i="32"/>
  <c r="O47" i="32"/>
  <c r="O45" i="32"/>
  <c r="O43" i="32"/>
  <c r="O33" i="32"/>
  <c r="O29" i="32"/>
  <c r="O69" i="31"/>
  <c r="O59" i="31"/>
  <c r="O57" i="31"/>
  <c r="O53" i="31"/>
  <c r="O51" i="31"/>
  <c r="O47" i="31"/>
  <c r="O43" i="31"/>
  <c r="O27" i="31"/>
  <c r="O70" i="30"/>
  <c r="O66" i="30"/>
  <c r="O64" i="30"/>
  <c r="O62" i="30"/>
  <c r="O60" i="30"/>
  <c r="O58" i="30"/>
  <c r="O56" i="30"/>
  <c r="O54" i="30"/>
  <c r="O52" i="30"/>
  <c r="O48" i="30"/>
  <c r="O42" i="30"/>
  <c r="O40" i="30"/>
  <c r="O38" i="30"/>
  <c r="O34" i="30"/>
  <c r="O32" i="30"/>
  <c r="O30" i="30"/>
  <c r="O71" i="29"/>
  <c r="O35" i="29"/>
  <c r="O67" i="27"/>
  <c r="O65" i="27"/>
  <c r="O63" i="27"/>
  <c r="O59" i="27"/>
  <c r="O57" i="27"/>
  <c r="O55" i="27"/>
  <c r="O51" i="27"/>
  <c r="O49" i="27"/>
  <c r="O47" i="27"/>
  <c r="O45" i="27"/>
  <c r="O40" i="27"/>
  <c r="O38" i="27"/>
  <c r="O36" i="27"/>
  <c r="O30" i="27"/>
  <c r="O51" i="24"/>
  <c r="O47" i="24"/>
  <c r="O70" i="24"/>
  <c r="O64" i="24"/>
  <c r="O58" i="24"/>
  <c r="O56" i="24"/>
  <c r="O71" i="22"/>
  <c r="O61" i="22"/>
  <c r="O67" i="19"/>
  <c r="O65" i="19"/>
  <c r="O38" i="19"/>
  <c r="O45" i="20"/>
  <c r="O68" i="20"/>
  <c r="O58" i="20"/>
  <c r="O56" i="20"/>
  <c r="O63" i="21"/>
  <c r="O61" i="21"/>
  <c r="O43" i="21"/>
  <c r="O41" i="21"/>
  <c r="O37" i="21"/>
  <c r="O33" i="21"/>
  <c r="O66" i="20"/>
  <c r="O64" i="20"/>
  <c r="O62" i="20"/>
  <c r="O60" i="20"/>
  <c r="O43" i="20"/>
  <c r="O39" i="20"/>
  <c r="O31" i="20"/>
  <c r="O29" i="20"/>
  <c r="O72" i="19"/>
  <c r="O60" i="19"/>
  <c r="O48" i="19"/>
  <c r="O37" i="19"/>
  <c r="O35" i="19"/>
  <c r="O33" i="19"/>
  <c r="O67" i="18"/>
  <c r="O57" i="18"/>
  <c r="O55" i="18"/>
  <c r="O42" i="18"/>
  <c r="O32" i="18"/>
  <c r="O28" i="18"/>
  <c r="O46" i="78"/>
  <c r="O52" i="78"/>
  <c r="O66" i="78"/>
  <c r="O70" i="78"/>
  <c r="O27" i="78"/>
  <c r="O33" i="78"/>
  <c r="O59" i="78"/>
  <c r="P149" i="55"/>
  <c r="D93" i="82"/>
  <c r="C99" i="82" s="1"/>
  <c r="N5" i="82"/>
  <c r="D94" i="18"/>
  <c r="N6" i="18"/>
  <c r="N6" i="56"/>
  <c r="D94" i="35"/>
  <c r="I10" i="95"/>
  <c r="N6" i="95" s="1"/>
  <c r="D92" i="33"/>
  <c r="J96" i="33" s="1"/>
  <c r="E99" i="33" s="1"/>
  <c r="I10" i="55"/>
  <c r="I10" i="21"/>
  <c r="I10" i="27"/>
  <c r="I10" i="25"/>
  <c r="I10" i="30"/>
  <c r="I10" i="3"/>
  <c r="C148" i="90"/>
  <c r="C149" i="90" s="1"/>
  <c r="C150" i="90" s="1"/>
  <c r="C151" i="90" s="1"/>
  <c r="C152" i="90" s="1"/>
  <c r="C153" i="90" s="1"/>
  <c r="C154" i="90" s="1"/>
  <c r="D94" i="83"/>
  <c r="N5" i="83"/>
  <c r="N7" i="83" s="1"/>
  <c r="D93" i="85"/>
  <c r="C99" i="85" s="1"/>
  <c r="C100" i="85" s="1"/>
  <c r="C101" i="85" s="1"/>
  <c r="C102" i="85" s="1"/>
  <c r="C103" i="85" s="1"/>
  <c r="C104" i="85" s="1"/>
  <c r="C105" i="85" s="1"/>
  <c r="C106" i="85" s="1"/>
  <c r="C107" i="85" s="1"/>
  <c r="C108" i="85" s="1"/>
  <c r="C109" i="85" s="1"/>
  <c r="C110" i="85" s="1"/>
  <c r="C111" i="85" s="1"/>
  <c r="C112" i="85" s="1"/>
  <c r="C113" i="85" s="1"/>
  <c r="C114" i="85" s="1"/>
  <c r="C115" i="85" s="1"/>
  <c r="C116" i="85" s="1"/>
  <c r="C117" i="85" s="1"/>
  <c r="C118" i="85" s="1"/>
  <c r="C119" i="85" s="1"/>
  <c r="C120" i="85" s="1"/>
  <c r="C121" i="85" s="1"/>
  <c r="C122" i="85" s="1"/>
  <c r="C123" i="85" s="1"/>
  <c r="C124" i="85" s="1"/>
  <c r="C125" i="85" s="1"/>
  <c r="C126" i="85" s="1"/>
  <c r="C127" i="85" s="1"/>
  <c r="C128" i="85" s="1"/>
  <c r="C129" i="85" s="1"/>
  <c r="C130" i="85" s="1"/>
  <c r="C131" i="85" s="1"/>
  <c r="C132" i="85" s="1"/>
  <c r="C133" i="85" s="1"/>
  <c r="C134" i="85" s="1"/>
  <c r="C135" i="85" s="1"/>
  <c r="C136" i="85" s="1"/>
  <c r="C137" i="85" s="1"/>
  <c r="C138" i="85" s="1"/>
  <c r="C139" i="85" s="1"/>
  <c r="C140" i="85" s="1"/>
  <c r="C141" i="85" s="1"/>
  <c r="C142" i="85" s="1"/>
  <c r="C143" i="85" s="1"/>
  <c r="C144" i="85" s="1"/>
  <c r="C145" i="85" s="1"/>
  <c r="C146" i="85" s="1"/>
  <c r="C147" i="85" s="1"/>
  <c r="C148" i="85" s="1"/>
  <c r="C149" i="85" s="1"/>
  <c r="C150" i="85" s="1"/>
  <c r="C151" i="85" s="1"/>
  <c r="C152" i="85" s="1"/>
  <c r="C153" i="85" s="1"/>
  <c r="C154" i="85" s="1"/>
  <c r="D93" i="46"/>
  <c r="C99" i="46" s="1"/>
  <c r="C100" i="46" s="1"/>
  <c r="C101" i="46" s="1"/>
  <c r="C102" i="46" s="1"/>
  <c r="C103" i="46" s="1"/>
  <c r="C104" i="46" s="1"/>
  <c r="C105" i="46" s="1"/>
  <c r="C106" i="46" s="1"/>
  <c r="C107" i="46" s="1"/>
  <c r="C108" i="46" s="1"/>
  <c r="C109" i="46" s="1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C127" i="46" s="1"/>
  <c r="C128" i="46" s="1"/>
  <c r="C129" i="46" s="1"/>
  <c r="C130" i="46" s="1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C141" i="46" s="1"/>
  <c r="C142" i="46" s="1"/>
  <c r="C143" i="46" s="1"/>
  <c r="C144" i="46" s="1"/>
  <c r="C145" i="46" s="1"/>
  <c r="C146" i="46" s="1"/>
  <c r="C147" i="46" s="1"/>
  <c r="C148" i="46" s="1"/>
  <c r="C149" i="46" s="1"/>
  <c r="C150" i="46" s="1"/>
  <c r="C151" i="46" s="1"/>
  <c r="C152" i="46" s="1"/>
  <c r="C153" i="46" s="1"/>
  <c r="C154" i="46" s="1"/>
  <c r="D94" i="56"/>
  <c r="D93" i="56"/>
  <c r="C99" i="56" s="1"/>
  <c r="C100" i="56" s="1"/>
  <c r="C101" i="56" s="1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C127" i="56" s="1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D94" i="90"/>
  <c r="N6" i="90"/>
  <c r="D94" i="13"/>
  <c r="D93" i="13"/>
  <c r="C99" i="13" s="1"/>
  <c r="D93" i="89"/>
  <c r="N5" i="89"/>
  <c r="N7" i="89" s="1"/>
  <c r="I10" i="54"/>
  <c r="I10" i="68"/>
  <c r="I10" i="19"/>
  <c r="I10" i="63"/>
  <c r="I10" i="45"/>
  <c r="I10" i="66"/>
  <c r="I10" i="53"/>
  <c r="I10" i="76"/>
  <c r="I10" i="79"/>
  <c r="I10" i="62"/>
  <c r="I10" i="65"/>
  <c r="D93" i="65" s="1"/>
  <c r="C99" i="65" s="1"/>
  <c r="C100" i="65" s="1"/>
  <c r="C101" i="65" s="1"/>
  <c r="C102" i="65" s="1"/>
  <c r="C103" i="65" s="1"/>
  <c r="C104" i="65" s="1"/>
  <c r="C105" i="65" s="1"/>
  <c r="C106" i="65" s="1"/>
  <c r="C107" i="65" s="1"/>
  <c r="C108" i="65" s="1"/>
  <c r="C109" i="65" s="1"/>
  <c r="C110" i="65" s="1"/>
  <c r="C111" i="65" s="1"/>
  <c r="C112" i="65" s="1"/>
  <c r="C113" i="65" s="1"/>
  <c r="C114" i="65" s="1"/>
  <c r="C115" i="65" s="1"/>
  <c r="C116" i="65" s="1"/>
  <c r="C117" i="65" s="1"/>
  <c r="C118" i="65" s="1"/>
  <c r="C119" i="65" s="1"/>
  <c r="C120" i="65" s="1"/>
  <c r="C121" i="65" s="1"/>
  <c r="C122" i="65" s="1"/>
  <c r="C123" i="65" s="1"/>
  <c r="C124" i="65" s="1"/>
  <c r="C125" i="65" s="1"/>
  <c r="C126" i="65" s="1"/>
  <c r="C127" i="65" s="1"/>
  <c r="C128" i="65" s="1"/>
  <c r="C129" i="65" s="1"/>
  <c r="C130" i="65" s="1"/>
  <c r="C131" i="65" s="1"/>
  <c r="C132" i="65" s="1"/>
  <c r="C133" i="65" s="1"/>
  <c r="C134" i="65" s="1"/>
  <c r="C135" i="65" s="1"/>
  <c r="C136" i="65" s="1"/>
  <c r="C137" i="65" s="1"/>
  <c r="C138" i="65" s="1"/>
  <c r="C139" i="65" s="1"/>
  <c r="C140" i="65" s="1"/>
  <c r="C141" i="65" s="1"/>
  <c r="C142" i="65" s="1"/>
  <c r="C143" i="65" s="1"/>
  <c r="C144" i="65" s="1"/>
  <c r="C145" i="65" s="1"/>
  <c r="C146" i="65" s="1"/>
  <c r="C147" i="65" s="1"/>
  <c r="C148" i="65" s="1"/>
  <c r="C149" i="65" s="1"/>
  <c r="C150" i="65" s="1"/>
  <c r="C151" i="65" s="1"/>
  <c r="C152" i="65" s="1"/>
  <c r="C153" i="65" s="1"/>
  <c r="C154" i="65" s="1"/>
  <c r="I10" i="34"/>
  <c r="I10" i="42"/>
  <c r="I10" i="32"/>
  <c r="I10" i="64"/>
  <c r="I10" i="70"/>
  <c r="N6" i="70" s="1"/>
  <c r="I10" i="96"/>
  <c r="N6" i="96" s="1"/>
  <c r="I10" i="58"/>
  <c r="I10" i="57"/>
  <c r="I10" i="71"/>
  <c r="N6" i="71" s="1"/>
  <c r="I10" i="86"/>
  <c r="I10" i="22"/>
  <c r="N6" i="22" s="1"/>
  <c r="I10" i="80"/>
  <c r="I10" i="29"/>
  <c r="I10" i="44"/>
  <c r="D92" i="44" s="1"/>
  <c r="B107" i="44" s="1"/>
  <c r="I10" i="31"/>
  <c r="I10" i="26"/>
  <c r="D93" i="26" s="1"/>
  <c r="I10" i="60"/>
  <c r="N6" i="60" s="1"/>
  <c r="I10" i="39"/>
  <c r="I10" i="43"/>
  <c r="D94" i="43" s="1"/>
  <c r="I10" i="84"/>
  <c r="I10" i="59"/>
  <c r="I10" i="77"/>
  <c r="D94" i="77" s="1"/>
  <c r="I10" i="87"/>
  <c r="D94" i="87" s="1"/>
  <c r="I10" i="24"/>
  <c r="I10" i="93"/>
  <c r="I10" i="94"/>
  <c r="N6" i="28"/>
  <c r="D92" i="13"/>
  <c r="J96" i="13" s="1"/>
  <c r="E99" i="13" s="1"/>
  <c r="D93" i="18"/>
  <c r="C99" i="18" s="1"/>
  <c r="C100" i="18" s="1"/>
  <c r="C101" i="18" s="1"/>
  <c r="C102" i="18" s="1"/>
  <c r="C103" i="18" s="1"/>
  <c r="C104" i="18" s="1"/>
  <c r="C105" i="18" s="1"/>
  <c r="C106" i="18" s="1"/>
  <c r="C107" i="18" s="1"/>
  <c r="C108" i="18" s="1"/>
  <c r="C109" i="18" s="1"/>
  <c r="C110" i="18" s="1"/>
  <c r="C111" i="18" s="1"/>
  <c r="C112" i="18" s="1"/>
  <c r="C113" i="18" s="1"/>
  <c r="C114" i="18" s="1"/>
  <c r="C115" i="18" s="1"/>
  <c r="C116" i="18" s="1"/>
  <c r="C117" i="18" s="1"/>
  <c r="C118" i="18" s="1"/>
  <c r="C119" i="18" s="1"/>
  <c r="C120" i="18" s="1"/>
  <c r="C121" i="18" s="1"/>
  <c r="C122" i="18" s="1"/>
  <c r="C123" i="18" s="1"/>
  <c r="C124" i="18" s="1"/>
  <c r="C125" i="18" s="1"/>
  <c r="C126" i="18" s="1"/>
  <c r="C127" i="18" s="1"/>
  <c r="C128" i="18" s="1"/>
  <c r="C129" i="18" s="1"/>
  <c r="C130" i="18" s="1"/>
  <c r="C131" i="18" s="1"/>
  <c r="C132" i="18" s="1"/>
  <c r="C133" i="18" s="1"/>
  <c r="C134" i="18" s="1"/>
  <c r="C135" i="18" s="1"/>
  <c r="C136" i="18" s="1"/>
  <c r="C137" i="18" s="1"/>
  <c r="C138" i="18" s="1"/>
  <c r="C139" i="18" s="1"/>
  <c r="C140" i="18" s="1"/>
  <c r="C141" i="18" s="1"/>
  <c r="C142" i="18" s="1"/>
  <c r="C143" i="18" s="1"/>
  <c r="C144" i="18" s="1"/>
  <c r="C145" i="18" s="1"/>
  <c r="C146" i="18" s="1"/>
  <c r="C147" i="18" s="1"/>
  <c r="C148" i="18" s="1"/>
  <c r="C149" i="18" s="1"/>
  <c r="C150" i="18" s="1"/>
  <c r="C151" i="18" s="1"/>
  <c r="C152" i="18" s="1"/>
  <c r="C153" i="18" s="1"/>
  <c r="C154" i="18" s="1"/>
  <c r="I10" i="88"/>
  <c r="I10" i="72"/>
  <c r="N6" i="72" s="1"/>
  <c r="I10" i="81"/>
  <c r="I10" i="91"/>
  <c r="I10" i="69"/>
  <c r="N6" i="69" s="1"/>
  <c r="I10" i="67"/>
  <c r="N6" i="67" s="1"/>
  <c r="I10" i="41"/>
  <c r="I10" i="92"/>
  <c r="D93" i="92" s="1"/>
  <c r="J94" i="46"/>
  <c r="J95" i="46" s="1"/>
  <c r="J94" i="28"/>
  <c r="J95" i="28" s="1"/>
  <c r="P110" i="93"/>
  <c r="P105" i="94"/>
  <c r="P109" i="94"/>
  <c r="P117" i="94"/>
  <c r="P127" i="94"/>
  <c r="P154" i="56"/>
  <c r="P152" i="56"/>
  <c r="P150" i="56"/>
  <c r="P146" i="56"/>
  <c r="P130" i="56"/>
  <c r="P126" i="56"/>
  <c r="P126" i="62"/>
  <c r="C100" i="96"/>
  <c r="C101" i="96" s="1"/>
  <c r="C102" i="96" s="1"/>
  <c r="C103" i="96" s="1"/>
  <c r="C104" i="96" s="1"/>
  <c r="C105" i="96" s="1"/>
  <c r="C106" i="96" s="1"/>
  <c r="C107" i="96" s="1"/>
  <c r="C108" i="96" s="1"/>
  <c r="C109" i="96" s="1"/>
  <c r="C110" i="96" s="1"/>
  <c r="C111" i="96" s="1"/>
  <c r="C112" i="96" s="1"/>
  <c r="C113" i="96" s="1"/>
  <c r="C114" i="96" s="1"/>
  <c r="C115" i="96" s="1"/>
  <c r="C116" i="96" s="1"/>
  <c r="C117" i="96" s="1"/>
  <c r="C118" i="96" s="1"/>
  <c r="C119" i="96" s="1"/>
  <c r="C120" i="96" s="1"/>
  <c r="C121" i="96" s="1"/>
  <c r="C122" i="96" s="1"/>
  <c r="C123" i="96" s="1"/>
  <c r="C124" i="96" s="1"/>
  <c r="C125" i="96" s="1"/>
  <c r="C126" i="96" s="1"/>
  <c r="C127" i="96" s="1"/>
  <c r="C128" i="96" s="1"/>
  <c r="C129" i="96" s="1"/>
  <c r="C130" i="96" s="1"/>
  <c r="C131" i="96" s="1"/>
  <c r="C132" i="96" s="1"/>
  <c r="C133" i="96" s="1"/>
  <c r="C134" i="96" s="1"/>
  <c r="C135" i="96" s="1"/>
  <c r="C136" i="96" s="1"/>
  <c r="C137" i="96" s="1"/>
  <c r="C138" i="96" s="1"/>
  <c r="C139" i="96" s="1"/>
  <c r="C140" i="96" s="1"/>
  <c r="C141" i="96" s="1"/>
  <c r="C142" i="96" s="1"/>
  <c r="C143" i="96" s="1"/>
  <c r="C144" i="96" s="1"/>
  <c r="C145" i="96" s="1"/>
  <c r="C146" i="96" s="1"/>
  <c r="C147" i="96" s="1"/>
  <c r="C148" i="96" s="1"/>
  <c r="C149" i="96" s="1"/>
  <c r="C150" i="96" s="1"/>
  <c r="C151" i="96" s="1"/>
  <c r="C152" i="96" s="1"/>
  <c r="C153" i="96" s="1"/>
  <c r="C154" i="96" s="1"/>
  <c r="P120" i="96"/>
  <c r="C45" i="85"/>
  <c r="C46" i="85" s="1"/>
  <c r="C47" i="85" s="1"/>
  <c r="C48" i="85" s="1"/>
  <c r="C49" i="85" s="1"/>
  <c r="C50" i="85" s="1"/>
  <c r="C51" i="85" s="1"/>
  <c r="C52" i="85" s="1"/>
  <c r="C53" i="85" s="1"/>
  <c r="C54" i="85" s="1"/>
  <c r="C55" i="85" s="1"/>
  <c r="C56" i="85" s="1"/>
  <c r="C57" i="85" s="1"/>
  <c r="C58" i="85" s="1"/>
  <c r="C59" i="85" s="1"/>
  <c r="C60" i="85" s="1"/>
  <c r="C61" i="85" s="1"/>
  <c r="C62" i="85" s="1"/>
  <c r="C63" i="85" s="1"/>
  <c r="C64" i="85" s="1"/>
  <c r="C65" i="85" s="1"/>
  <c r="C66" i="85" s="1"/>
  <c r="C67" i="85" s="1"/>
  <c r="C68" i="85" s="1"/>
  <c r="C69" i="85" s="1"/>
  <c r="C70" i="85" s="1"/>
  <c r="C71" i="85" s="1"/>
  <c r="C72" i="85" s="1"/>
  <c r="N5" i="85"/>
  <c r="N6" i="85"/>
  <c r="O17" i="93"/>
  <c r="O41" i="90"/>
  <c r="O63" i="90"/>
  <c r="O67" i="90"/>
  <c r="O71" i="90"/>
  <c r="O18" i="90"/>
  <c r="O49" i="84"/>
  <c r="O51" i="84"/>
  <c r="O55" i="84"/>
  <c r="O57" i="84"/>
  <c r="O59" i="84"/>
  <c r="O65" i="84"/>
  <c r="O67" i="84"/>
  <c r="O71" i="84"/>
  <c r="O19" i="80"/>
  <c r="O64" i="77"/>
  <c r="O68" i="77"/>
  <c r="O70" i="77"/>
  <c r="O20" i="76"/>
  <c r="O20" i="75"/>
  <c r="O31" i="73"/>
  <c r="O35" i="73"/>
  <c r="O37" i="73"/>
  <c r="O41" i="73"/>
  <c r="O43" i="73"/>
  <c r="O23" i="72"/>
  <c r="O27" i="71"/>
  <c r="O27" i="68"/>
  <c r="O21" i="68"/>
  <c r="O21" i="67"/>
  <c r="O22" i="64"/>
  <c r="O22" i="60"/>
  <c r="O40" i="62"/>
  <c r="O46" i="62"/>
  <c r="O48" i="62"/>
  <c r="O58" i="62"/>
  <c r="O62" i="62"/>
  <c r="O70" i="62"/>
  <c r="I24" i="58"/>
  <c r="O23" i="57"/>
  <c r="O70" i="57"/>
  <c r="O60" i="57"/>
  <c r="O54" i="57"/>
  <c r="O52" i="57"/>
  <c r="O50" i="57"/>
  <c r="O44" i="57"/>
  <c r="O42" i="57"/>
  <c r="O28" i="57"/>
  <c r="O26" i="57"/>
  <c r="O24" i="57"/>
  <c r="N5" i="55"/>
  <c r="I25" i="55"/>
  <c r="O71" i="55"/>
  <c r="O69" i="55"/>
  <c r="O67" i="55"/>
  <c r="O65" i="55"/>
  <c r="O61" i="55"/>
  <c r="O23" i="55"/>
  <c r="O62" i="54"/>
  <c r="O23" i="54"/>
  <c r="O23" i="53"/>
  <c r="O50" i="53"/>
  <c r="O48" i="53"/>
  <c r="O46" i="53"/>
  <c r="O42" i="53"/>
  <c r="O38" i="53"/>
  <c r="O32" i="53"/>
  <c r="O30" i="53"/>
  <c r="O28" i="53"/>
  <c r="O24" i="53"/>
  <c r="O25" i="43"/>
  <c r="O25" i="42"/>
  <c r="B27" i="41"/>
  <c r="O54" i="39"/>
  <c r="O37" i="39"/>
  <c r="O35" i="39"/>
  <c r="O28" i="29"/>
  <c r="N5" i="28"/>
  <c r="O29" i="28"/>
  <c r="O71" i="27"/>
  <c r="O27" i="23"/>
  <c r="O46" i="22"/>
  <c r="O38" i="22"/>
  <c r="O36" i="22"/>
  <c r="O34" i="22"/>
  <c r="O32" i="22"/>
  <c r="O28" i="22"/>
  <c r="O26" i="20"/>
  <c r="O50" i="20"/>
  <c r="O51" i="19"/>
  <c r="O26" i="18"/>
  <c r="O63" i="17"/>
  <c r="O47" i="17"/>
  <c r="O71" i="17"/>
  <c r="O61" i="17"/>
  <c r="O39" i="17"/>
  <c r="O67" i="17"/>
  <c r="O59" i="17"/>
  <c r="O70" i="3"/>
  <c r="O50" i="3"/>
  <c r="O39" i="3"/>
  <c r="O31" i="3"/>
  <c r="O29" i="3"/>
  <c r="O53" i="85"/>
  <c r="O60" i="41"/>
  <c r="O48" i="41"/>
  <c r="O66" i="80"/>
  <c r="O60" i="82"/>
  <c r="O28" i="86"/>
  <c r="O26" i="88"/>
  <c r="O60" i="88"/>
  <c r="O47" i="96"/>
  <c r="O61" i="96"/>
  <c r="O70" i="55"/>
  <c r="O65" i="57"/>
  <c r="O59" i="57"/>
  <c r="O45" i="57"/>
  <c r="O72" i="67"/>
  <c r="O37" i="77"/>
  <c r="O28" i="85"/>
  <c r="O38" i="62"/>
  <c r="O42" i="62"/>
  <c r="O57" i="63"/>
  <c r="O64" i="76"/>
  <c r="O57" i="80"/>
  <c r="O63" i="80"/>
  <c r="O67" i="81"/>
  <c r="O55" i="88"/>
  <c r="O67" i="88"/>
  <c r="O57" i="91"/>
  <c r="N5" i="23"/>
  <c r="B29" i="23"/>
  <c r="B19" i="94"/>
  <c r="B20" i="86"/>
  <c r="I19" i="86"/>
  <c r="C99" i="23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C99" i="95"/>
  <c r="I22" i="67"/>
  <c r="O45" i="24"/>
  <c r="O72" i="30"/>
  <c r="O39" i="32"/>
  <c r="O69" i="33"/>
  <c r="O72" i="45"/>
  <c r="O66" i="45"/>
  <c r="O72" i="53"/>
  <c r="O28" i="56"/>
  <c r="O43" i="60"/>
  <c r="O47" i="60"/>
  <c r="O51" i="60"/>
  <c r="O24" i="62"/>
  <c r="O28" i="62"/>
  <c r="O21" i="80"/>
  <c r="O39" i="80"/>
  <c r="O47" i="80"/>
  <c r="O55" i="80"/>
  <c r="N5" i="95"/>
  <c r="N6" i="92"/>
  <c r="N6" i="31"/>
  <c r="D92" i="43"/>
  <c r="B107" i="43" s="1"/>
  <c r="D93" i="33"/>
  <c r="O25" i="59"/>
  <c r="O29" i="59"/>
  <c r="O31" i="59"/>
  <c r="O37" i="59"/>
  <c r="O39" i="59"/>
  <c r="O49" i="59"/>
  <c r="O52" i="61"/>
  <c r="O38" i="64"/>
  <c r="O40" i="64"/>
  <c r="O54" i="64"/>
  <c r="O33" i="66"/>
  <c r="O39" i="68"/>
  <c r="O27" i="83"/>
  <c r="O29" i="83"/>
  <c r="O33" i="83"/>
  <c r="O39" i="83"/>
  <c r="O43" i="83"/>
  <c r="O51" i="83"/>
  <c r="O53" i="83"/>
  <c r="O55" i="83"/>
  <c r="O57" i="83"/>
  <c r="O29" i="84"/>
  <c r="O21" i="85"/>
  <c r="O54" i="86"/>
  <c r="N6" i="77"/>
  <c r="D93" i="75"/>
  <c r="C99" i="75" s="1"/>
  <c r="C100" i="75" s="1"/>
  <c r="C101" i="75" s="1"/>
  <c r="C102" i="75" s="1"/>
  <c r="C103" i="75" s="1"/>
  <c r="C104" i="75" s="1"/>
  <c r="C105" i="75" s="1"/>
  <c r="C106" i="75" s="1"/>
  <c r="C107" i="75" s="1"/>
  <c r="C108" i="75" s="1"/>
  <c r="C109" i="75" s="1"/>
  <c r="C110" i="75" s="1"/>
  <c r="C111" i="75" s="1"/>
  <c r="C112" i="75" s="1"/>
  <c r="C113" i="75" s="1"/>
  <c r="C114" i="75" s="1"/>
  <c r="C115" i="75" s="1"/>
  <c r="C116" i="75" s="1"/>
  <c r="C117" i="75" s="1"/>
  <c r="C118" i="75" s="1"/>
  <c r="C119" i="75" s="1"/>
  <c r="C120" i="75" s="1"/>
  <c r="C121" i="75" s="1"/>
  <c r="C122" i="75" s="1"/>
  <c r="C123" i="75" s="1"/>
  <c r="C124" i="75" s="1"/>
  <c r="C125" i="75" s="1"/>
  <c r="C126" i="75" s="1"/>
  <c r="C127" i="75" s="1"/>
  <c r="C128" i="75" s="1"/>
  <c r="C129" i="75" s="1"/>
  <c r="C130" i="75" s="1"/>
  <c r="C131" i="75" s="1"/>
  <c r="C132" i="75" s="1"/>
  <c r="C133" i="75" s="1"/>
  <c r="C134" i="75" s="1"/>
  <c r="C135" i="75" s="1"/>
  <c r="C136" i="75" s="1"/>
  <c r="C137" i="75" s="1"/>
  <c r="C138" i="75" s="1"/>
  <c r="C139" i="75" s="1"/>
  <c r="C140" i="75" s="1"/>
  <c r="C141" i="75" s="1"/>
  <c r="C142" i="75" s="1"/>
  <c r="C143" i="75" s="1"/>
  <c r="C144" i="75" s="1"/>
  <c r="C145" i="75" s="1"/>
  <c r="C146" i="75" s="1"/>
  <c r="C147" i="75" s="1"/>
  <c r="C148" i="75" s="1"/>
  <c r="C149" i="75" s="1"/>
  <c r="C150" i="75" s="1"/>
  <c r="C151" i="75" s="1"/>
  <c r="C152" i="75" s="1"/>
  <c r="C153" i="75" s="1"/>
  <c r="C154" i="75" s="1"/>
  <c r="D94" i="23"/>
  <c r="D94" i="82"/>
  <c r="D93" i="77"/>
  <c r="C99" i="77" s="1"/>
  <c r="C100" i="77" s="1"/>
  <c r="C101" i="77" s="1"/>
  <c r="C102" i="77" s="1"/>
  <c r="C103" i="77" s="1"/>
  <c r="C104" i="77" s="1"/>
  <c r="C105" i="77" s="1"/>
  <c r="C106" i="77" s="1"/>
  <c r="C107" i="77" s="1"/>
  <c r="C108" i="77" s="1"/>
  <c r="C109" i="77" s="1"/>
  <c r="C110" i="77" s="1"/>
  <c r="C111" i="77" s="1"/>
  <c r="C112" i="77" s="1"/>
  <c r="C113" i="77" s="1"/>
  <c r="C114" i="77" s="1"/>
  <c r="C115" i="77" s="1"/>
  <c r="C116" i="77" s="1"/>
  <c r="C117" i="77" s="1"/>
  <c r="C118" i="77" s="1"/>
  <c r="C119" i="77" s="1"/>
  <c r="C120" i="77" s="1"/>
  <c r="C121" i="77" s="1"/>
  <c r="C122" i="77" s="1"/>
  <c r="C123" i="77" s="1"/>
  <c r="C124" i="77" s="1"/>
  <c r="C125" i="77" s="1"/>
  <c r="C126" i="77" s="1"/>
  <c r="C127" i="77" s="1"/>
  <c r="C128" i="77" s="1"/>
  <c r="C129" i="77" s="1"/>
  <c r="C130" i="77" s="1"/>
  <c r="C131" i="77" s="1"/>
  <c r="C132" i="77" s="1"/>
  <c r="C133" i="77" s="1"/>
  <c r="C134" i="77" s="1"/>
  <c r="C135" i="77" s="1"/>
  <c r="C136" i="77" s="1"/>
  <c r="C137" i="77" s="1"/>
  <c r="C138" i="77" s="1"/>
  <c r="C139" i="77" s="1"/>
  <c r="C140" i="77" s="1"/>
  <c r="C141" i="77" s="1"/>
  <c r="C142" i="77" s="1"/>
  <c r="C143" i="77" s="1"/>
  <c r="C144" i="77" s="1"/>
  <c r="C145" i="77" s="1"/>
  <c r="C146" i="77" s="1"/>
  <c r="C147" i="77" s="1"/>
  <c r="C148" i="77" s="1"/>
  <c r="C149" i="77" s="1"/>
  <c r="C150" i="77" s="1"/>
  <c r="C151" i="77" s="1"/>
  <c r="C152" i="77" s="1"/>
  <c r="C153" i="77" s="1"/>
  <c r="C154" i="77" s="1"/>
  <c r="I19" i="91"/>
  <c r="O46" i="13"/>
  <c r="O44" i="13"/>
  <c r="O28" i="13"/>
  <c r="O26" i="13"/>
  <c r="O24" i="13"/>
  <c r="O20" i="13"/>
  <c r="O18" i="13"/>
  <c r="O59" i="21"/>
  <c r="O19" i="26"/>
  <c r="O24" i="55"/>
  <c r="O41" i="57"/>
  <c r="O31" i="62"/>
  <c r="O33" i="62"/>
  <c r="O45" i="62"/>
  <c r="O24" i="63"/>
  <c r="O28" i="63"/>
  <c r="O42" i="63"/>
  <c r="O44" i="63"/>
  <c r="O46" i="63"/>
  <c r="O48" i="63"/>
  <c r="O54" i="67"/>
  <c r="O40" i="72"/>
  <c r="O28" i="82"/>
  <c r="O30" i="82"/>
  <c r="O62" i="95"/>
  <c r="N6" i="82"/>
  <c r="N5" i="31"/>
  <c r="D94" i="92"/>
  <c r="O49" i="65"/>
  <c r="O57" i="86"/>
  <c r="B20" i="91"/>
  <c r="D22" i="82"/>
  <c r="B22" i="82" s="1"/>
  <c r="O70" i="17"/>
  <c r="O68" i="17"/>
  <c r="O64" i="17"/>
  <c r="O60" i="17"/>
  <c r="O50" i="17"/>
  <c r="O30" i="17"/>
  <c r="O70" i="19"/>
  <c r="O66" i="19"/>
  <c r="O64" i="19"/>
  <c r="O58" i="19"/>
  <c r="O54" i="19"/>
  <c r="O52" i="19"/>
  <c r="O50" i="19"/>
  <c r="O29" i="19"/>
  <c r="O69" i="20"/>
  <c r="O67" i="20"/>
  <c r="O63" i="20"/>
  <c r="O55" i="20"/>
  <c r="O53" i="20"/>
  <c r="O44" i="20"/>
  <c r="O38" i="20"/>
  <c r="O67" i="22"/>
  <c r="O65" i="22"/>
  <c r="O59" i="22"/>
  <c r="O72" i="23"/>
  <c r="O62" i="23"/>
  <c r="O58" i="23"/>
  <c r="O54" i="23"/>
  <c r="O46" i="23"/>
  <c r="O72" i="24"/>
  <c r="O66" i="24"/>
  <c r="O62" i="24"/>
  <c r="O46" i="24"/>
  <c r="O50" i="26"/>
  <c r="O72" i="28"/>
  <c r="O70" i="28"/>
  <c r="O66" i="28"/>
  <c r="O64" i="28"/>
  <c r="O62" i="28"/>
  <c r="O58" i="28"/>
  <c r="O48" i="28"/>
  <c r="O70" i="29"/>
  <c r="O68" i="29"/>
  <c r="O56" i="29"/>
  <c r="O54" i="29"/>
  <c r="O52" i="29"/>
  <c r="O40" i="29"/>
  <c r="O38" i="29"/>
  <c r="O36" i="29"/>
  <c r="O32" i="29"/>
  <c r="O71" i="31"/>
  <c r="O65" i="31"/>
  <c r="O37" i="66"/>
  <c r="O49" i="66"/>
  <c r="O53" i="66"/>
  <c r="O57" i="66"/>
  <c r="O51" i="67"/>
  <c r="O53" i="67"/>
  <c r="O55" i="67"/>
  <c r="O31" i="68"/>
  <c r="O67" i="68"/>
  <c r="P114" i="73"/>
  <c r="O38" i="96"/>
  <c r="O45" i="44"/>
  <c r="O39" i="44"/>
  <c r="O47" i="62"/>
  <c r="O50" i="63"/>
  <c r="O54" i="63"/>
  <c r="O60" i="63"/>
  <c r="O21" i="84"/>
  <c r="B21" i="82"/>
  <c r="I20" i="82"/>
  <c r="D26" i="58"/>
  <c r="O43" i="18"/>
  <c r="O49" i="30"/>
  <c r="O45" i="30"/>
  <c r="O54" i="32"/>
  <c r="O38" i="32"/>
  <c r="O30" i="42"/>
  <c r="O52" i="43"/>
  <c r="O46" i="43"/>
  <c r="O26" i="43"/>
  <c r="O59" i="54"/>
  <c r="O57" i="54"/>
  <c r="O49" i="54"/>
  <c r="O47" i="54"/>
  <c r="O62" i="59"/>
  <c r="O23" i="61"/>
  <c r="O25" i="61"/>
  <c r="O29" i="61"/>
  <c r="O49" i="61"/>
  <c r="O53" i="61"/>
  <c r="O62" i="68"/>
  <c r="O72" i="68"/>
  <c r="O27" i="72"/>
  <c r="O54" i="82"/>
  <c r="O56" i="82"/>
  <c r="O58" i="82"/>
  <c r="D26" i="55"/>
  <c r="I24" i="55"/>
  <c r="O68" i="41"/>
  <c r="O66" i="41"/>
  <c r="O71" i="79"/>
  <c r="O62" i="89"/>
  <c r="O66" i="89"/>
  <c r="O46" i="92"/>
  <c r="D18" i="26"/>
  <c r="B18" i="26" s="1"/>
  <c r="G17" i="26"/>
  <c r="L17" i="26" s="1"/>
  <c r="N5" i="18"/>
  <c r="I21" i="82"/>
  <c r="H17" i="26"/>
  <c r="O38" i="13"/>
  <c r="O67" i="21"/>
  <c r="O69" i="43"/>
  <c r="O72" i="54"/>
  <c r="O70" i="54"/>
  <c r="O68" i="54"/>
  <c r="O66" i="54"/>
  <c r="O49" i="55"/>
  <c r="O23" i="65"/>
  <c r="O44" i="71"/>
  <c r="O24" i="90"/>
  <c r="H21" i="35"/>
  <c r="O67" i="13"/>
  <c r="O59" i="19"/>
  <c r="O68" i="42"/>
  <c r="O50" i="42"/>
  <c r="O50" i="43"/>
  <c r="O33" i="44"/>
  <c r="O53" i="45"/>
  <c r="O28" i="55"/>
  <c r="O36" i="83"/>
  <c r="O44" i="26"/>
  <c r="O64" i="41"/>
  <c r="O72" i="44"/>
  <c r="O70" i="44"/>
  <c r="O64" i="44"/>
  <c r="O52" i="44"/>
  <c r="O46" i="44"/>
  <c r="O43" i="46"/>
  <c r="O43" i="53"/>
  <c r="O72" i="55"/>
  <c r="O32" i="72"/>
  <c r="O34" i="72"/>
  <c r="O27" i="73"/>
  <c r="O47" i="73"/>
  <c r="O18" i="93"/>
  <c r="O42" i="93"/>
  <c r="O46" i="93"/>
  <c r="O48" i="93"/>
  <c r="O58" i="93"/>
  <c r="O62" i="93"/>
  <c r="O68" i="93"/>
  <c r="O70" i="93"/>
  <c r="O23" i="94"/>
  <c r="O25" i="94"/>
  <c r="O29" i="94"/>
  <c r="O31" i="94"/>
  <c r="O33" i="94"/>
  <c r="O35" i="94"/>
  <c r="O45" i="94"/>
  <c r="O51" i="94"/>
  <c r="O72" i="39"/>
  <c r="O62" i="39"/>
  <c r="O60" i="39"/>
  <c r="O43" i="42"/>
  <c r="O39" i="42"/>
  <c r="O33" i="42"/>
  <c r="O59" i="91"/>
  <c r="O32" i="92"/>
  <c r="N17" i="26"/>
  <c r="N6" i="75"/>
  <c r="I17" i="13"/>
  <c r="O65" i="17"/>
  <c r="O57" i="17"/>
  <c r="O55" i="17"/>
  <c r="O53" i="17"/>
  <c r="O45" i="17"/>
  <c r="O43" i="17"/>
  <c r="O41" i="17"/>
  <c r="O37" i="17"/>
  <c r="O35" i="17"/>
  <c r="O33" i="17"/>
  <c r="O29" i="17"/>
  <c r="O27" i="17"/>
  <c r="O71" i="19"/>
  <c r="O63" i="19"/>
  <c r="O61" i="19"/>
  <c r="O53" i="19"/>
  <c r="O49" i="19"/>
  <c r="O30" i="19"/>
  <c r="O72" i="20"/>
  <c r="O48" i="20"/>
  <c r="O41" i="20"/>
  <c r="O37" i="20"/>
  <c r="O33" i="20"/>
  <c r="O40" i="32"/>
  <c r="O72" i="3"/>
  <c r="O68" i="3"/>
  <c r="O62" i="3"/>
  <c r="O60" i="3"/>
  <c r="O52" i="3"/>
  <c r="O46" i="3"/>
  <c r="O41" i="3"/>
  <c r="O37" i="3"/>
  <c r="O35" i="3"/>
  <c r="O63" i="13"/>
  <c r="O57" i="13"/>
  <c r="O51" i="13"/>
  <c r="O47" i="13"/>
  <c r="O45" i="13"/>
  <c r="O39" i="13"/>
  <c r="O29" i="13"/>
  <c r="O27" i="13"/>
  <c r="O51" i="18"/>
  <c r="O47" i="18"/>
  <c r="O45" i="18"/>
  <c r="O44" i="18"/>
  <c r="O45" i="19"/>
  <c r="O54" i="21"/>
  <c r="O50" i="21"/>
  <c r="O46" i="21"/>
  <c r="O42" i="21"/>
  <c r="O38" i="21"/>
  <c r="O28" i="21"/>
  <c r="O44" i="22"/>
  <c r="O42" i="22"/>
  <c r="O40" i="22"/>
  <c r="O64" i="25"/>
  <c r="O62" i="25"/>
  <c r="O54" i="25"/>
  <c r="O52" i="25"/>
  <c r="O38" i="25"/>
  <c r="O30" i="25"/>
  <c r="O28" i="25"/>
  <c r="O26" i="25"/>
  <c r="O24" i="25"/>
  <c r="O18" i="25"/>
  <c r="O71" i="34"/>
  <c r="O69" i="34"/>
  <c r="O67" i="34"/>
  <c r="O65" i="34"/>
  <c r="O63" i="34"/>
  <c r="O59" i="34"/>
  <c r="O43" i="34"/>
  <c r="O42" i="13"/>
  <c r="O47" i="22"/>
  <c r="O69" i="39"/>
  <c r="O67" i="39"/>
  <c r="O59" i="39"/>
  <c r="O69" i="41"/>
  <c r="O46" i="41"/>
  <c r="O40" i="41"/>
  <c r="O38" i="41"/>
  <c r="O34" i="41"/>
  <c r="O26" i="41"/>
  <c r="O49" i="42"/>
  <c r="O28" i="42"/>
  <c r="O72" i="43"/>
  <c r="O70" i="43"/>
  <c r="O68" i="43"/>
  <c r="O66" i="43"/>
  <c r="O62" i="43"/>
  <c r="O67" i="44"/>
  <c r="O37" i="45"/>
  <c r="O33" i="45"/>
  <c r="O69" i="46"/>
  <c r="O67" i="46"/>
  <c r="O49" i="46"/>
  <c r="O39" i="46"/>
  <c r="O37" i="46"/>
  <c r="O25" i="46"/>
  <c r="O55" i="53"/>
  <c r="O51" i="53"/>
  <c r="O49" i="53"/>
  <c r="O45" i="53"/>
  <c r="O61" i="54"/>
  <c r="O52" i="55"/>
  <c r="O25" i="55"/>
  <c r="O61" i="56"/>
  <c r="O53" i="56"/>
  <c r="O51" i="56"/>
  <c r="O39" i="56"/>
  <c r="O46" i="65"/>
  <c r="O61" i="94"/>
  <c r="O23" i="95"/>
  <c r="O25" i="95"/>
  <c r="O27" i="95"/>
  <c r="O33" i="95"/>
  <c r="O41" i="95"/>
  <c r="O45" i="23"/>
  <c r="O39" i="23"/>
  <c r="O33" i="23"/>
  <c r="O31" i="23"/>
  <c r="O29" i="23"/>
  <c r="O69" i="24"/>
  <c r="O67" i="24"/>
  <c r="O63" i="24"/>
  <c r="O59" i="24"/>
  <c r="O57" i="24"/>
  <c r="O55" i="24"/>
  <c r="O49" i="24"/>
  <c r="O45" i="26"/>
  <c r="O69" i="27"/>
  <c r="O71" i="30"/>
  <c r="O67" i="30"/>
  <c r="O31" i="30"/>
  <c r="O61" i="31"/>
  <c r="O72" i="32"/>
  <c r="O70" i="32"/>
  <c r="O50" i="32"/>
  <c r="O44" i="32"/>
  <c r="O54" i="34"/>
  <c r="O52" i="34"/>
  <c r="O46" i="34"/>
  <c r="O44" i="34"/>
  <c r="O40" i="34"/>
  <c r="O36" i="34"/>
  <c r="O34" i="34"/>
  <c r="O28" i="34"/>
  <c r="O39" i="39"/>
  <c r="O70" i="42"/>
  <c r="O41" i="42"/>
  <c r="O71" i="43"/>
  <c r="O61" i="43"/>
  <c r="O37" i="54"/>
  <c r="O44" i="55"/>
  <c r="O44" i="58"/>
  <c r="O40" i="58"/>
  <c r="O56" i="59"/>
  <c r="O58" i="59"/>
  <c r="O60" i="59"/>
  <c r="O50" i="62"/>
  <c r="O52" i="62"/>
  <c r="O54" i="62"/>
  <c r="O60" i="62"/>
  <c r="O64" i="62"/>
  <c r="O31" i="63"/>
  <c r="O25" i="64"/>
  <c r="O35" i="64"/>
  <c r="O37" i="64"/>
  <c r="O39" i="64"/>
  <c r="O41" i="64"/>
  <c r="O45" i="64"/>
  <c r="O49" i="64"/>
  <c r="O22" i="66"/>
  <c r="O24" i="66"/>
  <c r="O38" i="66"/>
  <c r="O44" i="66"/>
  <c r="O54" i="66"/>
  <c r="O56" i="66"/>
  <c r="O58" i="66"/>
  <c r="O28" i="67"/>
  <c r="O30" i="67"/>
  <c r="O32" i="67"/>
  <c r="O40" i="67"/>
  <c r="O26" i="68"/>
  <c r="O28" i="68"/>
  <c r="O44" i="70"/>
  <c r="O48" i="70"/>
  <c r="O72" i="70"/>
  <c r="O21" i="81"/>
  <c r="O27" i="81"/>
  <c r="O29" i="81"/>
  <c r="O31" i="81"/>
  <c r="O33" i="81"/>
  <c r="O35" i="81"/>
  <c r="O37" i="81"/>
  <c r="O43" i="81"/>
  <c r="O45" i="81"/>
  <c r="O61" i="81"/>
  <c r="O65" i="81"/>
  <c r="O29" i="85"/>
  <c r="O51" i="85"/>
  <c r="O19" i="86"/>
  <c r="O23" i="86"/>
  <c r="O27" i="86"/>
  <c r="O29" i="86"/>
  <c r="O39" i="86"/>
  <c r="O41" i="86"/>
  <c r="O65" i="86"/>
  <c r="O25" i="88"/>
  <c r="O33" i="88"/>
  <c r="O41" i="88"/>
  <c r="O43" i="88"/>
  <c r="O45" i="88"/>
  <c r="O49" i="88"/>
  <c r="O51" i="88"/>
  <c r="O51" i="91"/>
  <c r="O53" i="91"/>
  <c r="O22" i="92"/>
  <c r="O24" i="92"/>
  <c r="O26" i="92"/>
  <c r="O62" i="92"/>
  <c r="O66" i="92"/>
  <c r="O70" i="26"/>
  <c r="O66" i="26"/>
  <c r="O62" i="26"/>
  <c r="O54" i="26"/>
  <c r="O24" i="26"/>
  <c r="O22" i="26"/>
  <c r="O71" i="28"/>
  <c r="O67" i="28"/>
  <c r="O43" i="28"/>
  <c r="O65" i="29"/>
  <c r="O43" i="29"/>
  <c r="O41" i="29"/>
  <c r="O72" i="31"/>
  <c r="O64" i="31"/>
  <c r="O62" i="31"/>
  <c r="O28" i="32"/>
  <c r="O44" i="33"/>
  <c r="O40" i="33"/>
  <c r="O38" i="33"/>
  <c r="O34" i="33"/>
  <c r="O32" i="33"/>
  <c r="O28" i="33"/>
  <c r="O18" i="33"/>
  <c r="O66" i="35"/>
  <c r="O62" i="35"/>
  <c r="O58" i="35"/>
  <c r="O70" i="39"/>
  <c r="O40" i="39"/>
  <c r="O38" i="39"/>
  <c r="O33" i="39"/>
  <c r="O29" i="39"/>
  <c r="O54" i="41"/>
  <c r="O44" i="42"/>
  <c r="O42" i="42"/>
  <c r="O32" i="42"/>
  <c r="O53" i="43"/>
  <c r="O49" i="43"/>
  <c r="O42" i="44"/>
  <c r="O65" i="45"/>
  <c r="O63" i="45"/>
  <c r="O57" i="45"/>
  <c r="O62" i="46"/>
  <c r="O62" i="53"/>
  <c r="O40" i="53"/>
  <c r="O36" i="53"/>
  <c r="O34" i="53"/>
  <c r="O44" i="54"/>
  <c r="O38" i="54"/>
  <c r="O34" i="54"/>
  <c r="O28" i="54"/>
  <c r="O24" i="54"/>
  <c r="O64" i="55"/>
  <c r="O62" i="55"/>
  <c r="O45" i="55"/>
  <c r="O43" i="57"/>
  <c r="O35" i="57"/>
  <c r="O31" i="57"/>
  <c r="O65" i="58"/>
  <c r="O59" i="58"/>
  <c r="O57" i="58"/>
  <c r="O49" i="58"/>
  <c r="O47" i="65"/>
  <c r="O41" i="66"/>
  <c r="O31" i="67"/>
  <c r="O40" i="74"/>
  <c r="O46" i="74"/>
  <c r="O50" i="74"/>
  <c r="O25" i="76"/>
  <c r="O27" i="76"/>
  <c r="O31" i="76"/>
  <c r="O37" i="76"/>
  <c r="O28" i="78"/>
  <c r="O30" i="78"/>
  <c r="O26" i="79"/>
  <c r="O40" i="79"/>
  <c r="O42" i="79"/>
  <c r="O44" i="79"/>
  <c r="O52" i="79"/>
  <c r="O62" i="79"/>
  <c r="O70" i="79"/>
  <c r="O56" i="71"/>
  <c r="O60" i="71"/>
  <c r="O60" i="73"/>
  <c r="O66" i="73"/>
  <c r="O68" i="73"/>
  <c r="O70" i="73"/>
  <c r="O72" i="73"/>
  <c r="O21" i="75"/>
  <c r="O31" i="75"/>
  <c r="O33" i="75"/>
  <c r="O37" i="75"/>
  <c r="O41" i="75"/>
  <c r="O51" i="75"/>
  <c r="O53" i="75"/>
  <c r="O57" i="75"/>
  <c r="O59" i="75"/>
  <c r="O61" i="75"/>
  <c r="O67" i="75"/>
  <c r="O69" i="75"/>
  <c r="O21" i="77"/>
  <c r="O31" i="77"/>
  <c r="O61" i="77"/>
  <c r="O30" i="80"/>
  <c r="O32" i="80"/>
  <c r="O38" i="80"/>
  <c r="O40" i="80"/>
  <c r="O50" i="80"/>
  <c r="O52" i="80"/>
  <c r="O21" i="82"/>
  <c r="O23" i="82"/>
  <c r="O29" i="82"/>
  <c r="O33" i="82"/>
  <c r="O51" i="82"/>
  <c r="O22" i="83"/>
  <c r="O26" i="83"/>
  <c r="O30" i="83"/>
  <c r="O44" i="83"/>
  <c r="O46" i="83"/>
  <c r="O50" i="83"/>
  <c r="O54" i="83"/>
  <c r="O56" i="83"/>
  <c r="O58" i="83"/>
  <c r="O30" i="84"/>
  <c r="O40" i="84"/>
  <c r="O50" i="84"/>
  <c r="O60" i="84"/>
  <c r="O62" i="84"/>
  <c r="O64" i="84"/>
  <c r="O66" i="84"/>
  <c r="O68" i="84"/>
  <c r="O70" i="84"/>
  <c r="O27" i="87"/>
  <c r="O29" i="87"/>
  <c r="O31" i="87"/>
  <c r="O35" i="87"/>
  <c r="O39" i="87"/>
  <c r="O47" i="87"/>
  <c r="O49" i="87"/>
  <c r="O51" i="87"/>
  <c r="O53" i="87"/>
  <c r="O55" i="87"/>
  <c r="O71" i="87"/>
  <c r="O21" i="89"/>
  <c r="O23" i="89"/>
  <c r="O25" i="89"/>
  <c r="O27" i="89"/>
  <c r="O29" i="89"/>
  <c r="O37" i="89"/>
  <c r="O39" i="89"/>
  <c r="O43" i="89"/>
  <c r="O59" i="89"/>
  <c r="O65" i="89"/>
  <c r="O20" i="90"/>
  <c r="O30" i="90"/>
  <c r="O32" i="90"/>
  <c r="O34" i="90"/>
  <c r="O38" i="90"/>
  <c r="O64" i="90"/>
  <c r="O66" i="90"/>
  <c r="O68" i="90"/>
  <c r="O70" i="90"/>
  <c r="O41" i="93"/>
  <c r="O29" i="96"/>
  <c r="O65" i="96"/>
  <c r="O67" i="96"/>
  <c r="O25" i="74"/>
  <c r="O29" i="74"/>
  <c r="O31" i="74"/>
  <c r="O33" i="74"/>
  <c r="O46" i="75"/>
  <c r="O21" i="78"/>
  <c r="O35" i="78"/>
  <c r="O37" i="78"/>
  <c r="O39" i="78"/>
  <c r="O43" i="78"/>
  <c r="O45" i="78"/>
  <c r="O49" i="78"/>
  <c r="O53" i="78"/>
  <c r="O57" i="78"/>
  <c r="O63" i="78"/>
  <c r="O31" i="79"/>
  <c r="O39" i="79"/>
  <c r="O55" i="79"/>
  <c r="O57" i="79"/>
  <c r="O63" i="79"/>
  <c r="O67" i="79"/>
  <c r="O27" i="80"/>
  <c r="O41" i="80"/>
  <c r="O20" i="81"/>
  <c r="O42" i="81"/>
  <c r="O44" i="81"/>
  <c r="O52" i="81"/>
  <c r="O60" i="81"/>
  <c r="O66" i="81"/>
  <c r="O45" i="83"/>
  <c r="O63" i="83"/>
  <c r="O33" i="84"/>
  <c r="O69" i="84"/>
  <c r="O36" i="85"/>
  <c r="O52" i="85"/>
  <c r="O66" i="85"/>
  <c r="O44" i="86"/>
  <c r="O66" i="86"/>
  <c r="O68" i="86"/>
  <c r="O28" i="88"/>
  <c r="O30" i="88"/>
  <c r="O36" i="88"/>
  <c r="O38" i="88"/>
  <c r="O42" i="88"/>
  <c r="O44" i="88"/>
  <c r="O46" i="88"/>
  <c r="O52" i="88"/>
  <c r="O54" i="88"/>
  <c r="O46" i="89"/>
  <c r="O20" i="91"/>
  <c r="O26" i="91"/>
  <c r="O32" i="91"/>
  <c r="O34" i="91"/>
  <c r="O38" i="91"/>
  <c r="O42" i="91"/>
  <c r="O44" i="91"/>
  <c r="O46" i="91"/>
  <c r="O50" i="91"/>
  <c r="O64" i="91"/>
  <c r="O66" i="91"/>
  <c r="O68" i="91"/>
  <c r="O67" i="93"/>
  <c r="O69" i="93"/>
  <c r="O71" i="93"/>
  <c r="O20" i="94"/>
  <c r="O22" i="94"/>
  <c r="O34" i="94"/>
  <c r="O36" i="94"/>
  <c r="O40" i="94"/>
  <c r="O56" i="94"/>
  <c r="O58" i="94"/>
  <c r="O60" i="94"/>
  <c r="O66" i="94"/>
  <c r="O60" i="95"/>
  <c r="O64" i="95"/>
  <c r="O66" i="95"/>
  <c r="O46" i="96"/>
  <c r="O60" i="96"/>
  <c r="I30" i="28"/>
  <c r="N5" i="45"/>
  <c r="N5" i="34"/>
  <c r="B28" i="18"/>
  <c r="I27" i="18"/>
  <c r="N5" i="69"/>
  <c r="I25" i="58"/>
  <c r="D13" i="83"/>
  <c r="I14" i="83" s="1"/>
  <c r="C99" i="92"/>
  <c r="C100" i="92" s="1"/>
  <c r="C101" i="92" s="1"/>
  <c r="C102" i="92" s="1"/>
  <c r="C103" i="92" s="1"/>
  <c r="C104" i="92" s="1"/>
  <c r="C105" i="92" s="1"/>
  <c r="C106" i="92" s="1"/>
  <c r="C107" i="92" s="1"/>
  <c r="C108" i="92" s="1"/>
  <c r="C109" i="92" s="1"/>
  <c r="C110" i="92" s="1"/>
  <c r="C111" i="92" s="1"/>
  <c r="C112" i="92" s="1"/>
  <c r="C113" i="92" s="1"/>
  <c r="C114" i="92" s="1"/>
  <c r="C115" i="92" s="1"/>
  <c r="C116" i="92" s="1"/>
  <c r="C117" i="92" s="1"/>
  <c r="C118" i="92" s="1"/>
  <c r="C119" i="92" s="1"/>
  <c r="C120" i="92" s="1"/>
  <c r="C121" i="92" s="1"/>
  <c r="C122" i="92" s="1"/>
  <c r="C123" i="92" s="1"/>
  <c r="C124" i="92" s="1"/>
  <c r="C125" i="92" s="1"/>
  <c r="C126" i="92" s="1"/>
  <c r="C127" i="92" s="1"/>
  <c r="C128" i="92" s="1"/>
  <c r="C129" i="92" s="1"/>
  <c r="C130" i="92" s="1"/>
  <c r="C131" i="92" s="1"/>
  <c r="C132" i="92" s="1"/>
  <c r="C133" i="92" s="1"/>
  <c r="C134" i="92" s="1"/>
  <c r="C135" i="92" s="1"/>
  <c r="C136" i="92" s="1"/>
  <c r="C137" i="92" s="1"/>
  <c r="C138" i="92" s="1"/>
  <c r="C139" i="92" s="1"/>
  <c r="C140" i="92" s="1"/>
  <c r="C141" i="92" s="1"/>
  <c r="C142" i="92" s="1"/>
  <c r="C143" i="92" s="1"/>
  <c r="C144" i="92" s="1"/>
  <c r="C145" i="92" s="1"/>
  <c r="C146" i="92" s="1"/>
  <c r="C147" i="92" s="1"/>
  <c r="C148" i="92" s="1"/>
  <c r="C149" i="92" s="1"/>
  <c r="C150" i="92" s="1"/>
  <c r="C151" i="92" s="1"/>
  <c r="C152" i="92" s="1"/>
  <c r="C153" i="92" s="1"/>
  <c r="C154" i="92" s="1"/>
  <c r="C99" i="93"/>
  <c r="C100" i="93" s="1"/>
  <c r="C101" i="93" s="1"/>
  <c r="C102" i="93" s="1"/>
  <c r="C103" i="93" s="1"/>
  <c r="C104" i="93" s="1"/>
  <c r="C105" i="93" s="1"/>
  <c r="C106" i="93" s="1"/>
  <c r="C107" i="93" s="1"/>
  <c r="C108" i="93" s="1"/>
  <c r="C109" i="93" s="1"/>
  <c r="C110" i="93" s="1"/>
  <c r="C111" i="93" s="1"/>
  <c r="C112" i="93" s="1"/>
  <c r="C113" i="93" s="1"/>
  <c r="C114" i="93" s="1"/>
  <c r="C115" i="93" s="1"/>
  <c r="C116" i="93" s="1"/>
  <c r="C117" i="93" s="1"/>
  <c r="C118" i="93" s="1"/>
  <c r="C119" i="93" s="1"/>
  <c r="C120" i="93" s="1"/>
  <c r="C121" i="93" s="1"/>
  <c r="C122" i="93" s="1"/>
  <c r="C123" i="93" s="1"/>
  <c r="C124" i="93" s="1"/>
  <c r="C125" i="93" s="1"/>
  <c r="C126" i="93" s="1"/>
  <c r="C127" i="93" s="1"/>
  <c r="C128" i="93" s="1"/>
  <c r="C129" i="93" s="1"/>
  <c r="C130" i="93" s="1"/>
  <c r="C131" i="93" s="1"/>
  <c r="C132" i="93" s="1"/>
  <c r="C133" i="93" s="1"/>
  <c r="C134" i="93" s="1"/>
  <c r="C135" i="93" s="1"/>
  <c r="C136" i="93" s="1"/>
  <c r="C137" i="93" s="1"/>
  <c r="C138" i="93" s="1"/>
  <c r="C139" i="93" s="1"/>
  <c r="C140" i="93" s="1"/>
  <c r="C141" i="93" s="1"/>
  <c r="C142" i="93" s="1"/>
  <c r="C143" i="93" s="1"/>
  <c r="C144" i="93" s="1"/>
  <c r="C145" i="93" s="1"/>
  <c r="C146" i="93" s="1"/>
  <c r="C147" i="93" s="1"/>
  <c r="C148" i="93" s="1"/>
  <c r="C149" i="93" s="1"/>
  <c r="C150" i="93" s="1"/>
  <c r="C151" i="93" s="1"/>
  <c r="C152" i="93" s="1"/>
  <c r="C153" i="93" s="1"/>
  <c r="C154" i="93" s="1"/>
  <c r="D19" i="33"/>
  <c r="H18" i="33"/>
  <c r="G18" i="33"/>
  <c r="O71" i="13"/>
  <c r="O71" i="18"/>
  <c r="O69" i="18"/>
  <c r="O61" i="18"/>
  <c r="O53" i="18"/>
  <c r="O48" i="18"/>
  <c r="O40" i="18"/>
  <c r="O38" i="18"/>
  <c r="O36" i="18"/>
  <c r="O34" i="18"/>
  <c r="O30" i="20"/>
  <c r="O28" i="20"/>
  <c r="O57" i="22"/>
  <c r="O51" i="22"/>
  <c r="O49" i="22"/>
  <c r="O30" i="22"/>
  <c r="O35" i="23"/>
  <c r="O48" i="25"/>
  <c r="O36" i="25"/>
  <c r="O32" i="25"/>
  <c r="O43" i="26"/>
  <c r="O27" i="26"/>
  <c r="O48" i="27"/>
  <c r="O39" i="27"/>
  <c r="O37" i="27"/>
  <c r="O31" i="27"/>
  <c r="O29" i="27"/>
  <c r="O41" i="28"/>
  <c r="O37" i="28"/>
  <c r="O69" i="29"/>
  <c r="O63" i="29"/>
  <c r="O55" i="29"/>
  <c r="O61" i="30"/>
  <c r="O59" i="30"/>
  <c r="O53" i="30"/>
  <c r="O63" i="31"/>
  <c r="O49" i="31"/>
  <c r="O45" i="31"/>
  <c r="O37" i="31"/>
  <c r="O33" i="31"/>
  <c r="O31" i="31"/>
  <c r="O29" i="31"/>
  <c r="O67" i="32"/>
  <c r="O37" i="32"/>
  <c r="O59" i="33"/>
  <c r="O51" i="33"/>
  <c r="O42" i="34"/>
  <c r="O32" i="34"/>
  <c r="O63" i="41"/>
  <c r="O61" i="41"/>
  <c r="C100" i="35"/>
  <c r="C101" i="35" s="1"/>
  <c r="C102" i="35" s="1"/>
  <c r="C103" i="35" s="1"/>
  <c r="C104" i="35" s="1"/>
  <c r="C105" i="35" s="1"/>
  <c r="C106" i="35" s="1"/>
  <c r="C107" i="35" s="1"/>
  <c r="C108" i="35" s="1"/>
  <c r="C109" i="35" s="1"/>
  <c r="C110" i="35" s="1"/>
  <c r="C111" i="35" s="1"/>
  <c r="C112" i="35" s="1"/>
  <c r="C113" i="35" s="1"/>
  <c r="C114" i="35" s="1"/>
  <c r="C115" i="35" s="1"/>
  <c r="C116" i="35" s="1"/>
  <c r="C117" i="35" s="1"/>
  <c r="C118" i="35" s="1"/>
  <c r="C119" i="35" s="1"/>
  <c r="C120" i="35" s="1"/>
  <c r="C121" i="35" s="1"/>
  <c r="C122" i="35" s="1"/>
  <c r="C123" i="35" s="1"/>
  <c r="C124" i="35" s="1"/>
  <c r="C125" i="35" s="1"/>
  <c r="C126" i="35" s="1"/>
  <c r="C127" i="35" s="1"/>
  <c r="C128" i="35" s="1"/>
  <c r="C129" i="35" s="1"/>
  <c r="C130" i="35" s="1"/>
  <c r="C131" i="35" s="1"/>
  <c r="C132" i="35" s="1"/>
  <c r="C133" i="35" s="1"/>
  <c r="C134" i="35" s="1"/>
  <c r="C135" i="35" s="1"/>
  <c r="C136" i="35" s="1"/>
  <c r="C137" i="35" s="1"/>
  <c r="C138" i="35" s="1"/>
  <c r="C139" i="35" s="1"/>
  <c r="C140" i="35" s="1"/>
  <c r="C141" i="35" s="1"/>
  <c r="C142" i="35" s="1"/>
  <c r="C143" i="35" s="1"/>
  <c r="C144" i="35" s="1"/>
  <c r="C145" i="35" s="1"/>
  <c r="C146" i="35" s="1"/>
  <c r="C147" i="35" s="1"/>
  <c r="C148" i="35" s="1"/>
  <c r="C149" i="35" s="1"/>
  <c r="C150" i="35" s="1"/>
  <c r="C151" i="35" s="1"/>
  <c r="C152" i="35" s="1"/>
  <c r="C153" i="35" s="1"/>
  <c r="C154" i="35" s="1"/>
  <c r="D93" i="34"/>
  <c r="C99" i="34" s="1"/>
  <c r="C100" i="34" s="1"/>
  <c r="C101" i="34" s="1"/>
  <c r="C102" i="34" s="1"/>
  <c r="C103" i="34" s="1"/>
  <c r="C104" i="34" s="1"/>
  <c r="C105" i="34" s="1"/>
  <c r="C106" i="34" s="1"/>
  <c r="C107" i="34" s="1"/>
  <c r="C108" i="34" s="1"/>
  <c r="C109" i="34" s="1"/>
  <c r="C110" i="34" s="1"/>
  <c r="C111" i="34" s="1"/>
  <c r="C112" i="34" s="1"/>
  <c r="C113" i="34" s="1"/>
  <c r="C114" i="34" s="1"/>
  <c r="C115" i="34" s="1"/>
  <c r="C116" i="34" s="1"/>
  <c r="C117" i="34" s="1"/>
  <c r="C118" i="34" s="1"/>
  <c r="C119" i="34" s="1"/>
  <c r="C120" i="34" s="1"/>
  <c r="C121" i="34" s="1"/>
  <c r="C122" i="34" s="1"/>
  <c r="C123" i="34" s="1"/>
  <c r="C124" i="34" s="1"/>
  <c r="C125" i="34" s="1"/>
  <c r="C126" i="34" s="1"/>
  <c r="C127" i="34" s="1"/>
  <c r="C128" i="34" s="1"/>
  <c r="C129" i="34" s="1"/>
  <c r="C130" i="34" s="1"/>
  <c r="C131" i="34" s="1"/>
  <c r="C132" i="34" s="1"/>
  <c r="C133" i="34" s="1"/>
  <c r="C134" i="34" s="1"/>
  <c r="C135" i="34" s="1"/>
  <c r="C136" i="34" s="1"/>
  <c r="C137" i="34" s="1"/>
  <c r="C138" i="34" s="1"/>
  <c r="C139" i="34" s="1"/>
  <c r="C140" i="34" s="1"/>
  <c r="C141" i="34" s="1"/>
  <c r="C142" i="34" s="1"/>
  <c r="C143" i="34" s="1"/>
  <c r="C144" i="34" s="1"/>
  <c r="C145" i="34" s="1"/>
  <c r="C146" i="34" s="1"/>
  <c r="C147" i="34" s="1"/>
  <c r="C148" i="34" s="1"/>
  <c r="C149" i="34" s="1"/>
  <c r="C150" i="34" s="1"/>
  <c r="C151" i="34" s="1"/>
  <c r="C152" i="34" s="1"/>
  <c r="C153" i="34" s="1"/>
  <c r="C154" i="34" s="1"/>
  <c r="F19" i="1"/>
  <c r="O57" i="3"/>
  <c r="O53" i="3"/>
  <c r="O43" i="3"/>
  <c r="O32" i="13"/>
  <c r="O30" i="13"/>
  <c r="O25" i="13"/>
  <c r="O46" i="19"/>
  <c r="O39" i="19"/>
  <c r="O31" i="19"/>
  <c r="O71" i="21"/>
  <c r="O42" i="25"/>
  <c r="O66" i="32"/>
  <c r="O60" i="32"/>
  <c r="O48" i="32"/>
  <c r="O46" i="32"/>
  <c r="O65" i="33"/>
  <c r="O50" i="39"/>
  <c r="O70" i="41"/>
  <c r="O59" i="41"/>
  <c r="O38" i="3"/>
  <c r="O58" i="17"/>
  <c r="O72" i="18"/>
  <c r="O66" i="18"/>
  <c r="O64" i="18"/>
  <c r="O58" i="18"/>
  <c r="O54" i="18"/>
  <c r="O49" i="18"/>
  <c r="O39" i="18"/>
  <c r="O31" i="18"/>
  <c r="O27" i="18"/>
  <c r="O56" i="19"/>
  <c r="O70" i="20"/>
  <c r="O35" i="20"/>
  <c r="O66" i="22"/>
  <c r="O60" i="22"/>
  <c r="O58" i="22"/>
  <c r="O50" i="22"/>
  <c r="O29" i="22"/>
  <c r="O48" i="24"/>
  <c r="O61" i="25"/>
  <c r="O39" i="25"/>
  <c r="O56" i="26"/>
  <c r="O42" i="26"/>
  <c r="O40" i="26"/>
  <c r="O38" i="26"/>
  <c r="O36" i="26"/>
  <c r="O34" i="26"/>
  <c r="O32" i="26"/>
  <c r="O30" i="26"/>
  <c r="O34" i="27"/>
  <c r="O68" i="28"/>
  <c r="O46" i="28"/>
  <c r="O38" i="28"/>
  <c r="O36" i="28"/>
  <c r="O32" i="28"/>
  <c r="O30" i="28"/>
  <c r="O66" i="29"/>
  <c r="O46" i="29"/>
  <c r="O68" i="30"/>
  <c r="O60" i="31"/>
  <c r="O58" i="31"/>
  <c r="O56" i="31"/>
  <c r="O52" i="31"/>
  <c r="O50" i="31"/>
  <c r="O40" i="31"/>
  <c r="O32" i="31"/>
  <c r="O72" i="33"/>
  <c r="O70" i="33"/>
  <c r="O66" i="33"/>
  <c r="O64" i="33"/>
  <c r="O54" i="33"/>
  <c r="O48" i="33"/>
  <c r="O33" i="33"/>
  <c r="O72" i="34"/>
  <c r="O70" i="34"/>
  <c r="O68" i="34"/>
  <c r="O66" i="34"/>
  <c r="O58" i="34"/>
  <c r="O56" i="34"/>
  <c r="O56" i="35"/>
  <c r="O57" i="39"/>
  <c r="I17" i="33"/>
  <c r="E18" i="26"/>
  <c r="F18" i="26" s="1"/>
  <c r="F17" i="1"/>
  <c r="O66" i="3"/>
  <c r="O58" i="3"/>
  <c r="O56" i="3"/>
  <c r="O43" i="13"/>
  <c r="O37" i="13"/>
  <c r="O35" i="13"/>
  <c r="O36" i="19"/>
  <c r="O34" i="19"/>
  <c r="O65" i="24"/>
  <c r="O27" i="25"/>
  <c r="O72" i="27"/>
  <c r="O58" i="29"/>
  <c r="O46" i="30"/>
  <c r="O44" i="30"/>
  <c r="O57" i="32"/>
  <c r="O53" i="32"/>
  <c r="O41" i="32"/>
  <c r="O30" i="32"/>
  <c r="O61" i="35"/>
  <c r="O44" i="35"/>
  <c r="O30" i="35"/>
  <c r="O24" i="35"/>
  <c r="O22" i="35"/>
  <c r="O44" i="41"/>
  <c r="O67" i="43"/>
  <c r="O47" i="43"/>
  <c r="O35" i="43"/>
  <c r="O33" i="43"/>
  <c r="O29" i="43"/>
  <c r="O71" i="53"/>
  <c r="O69" i="53"/>
  <c r="O61" i="53"/>
  <c r="O31" i="53"/>
  <c r="O50" i="56"/>
  <c r="O32" i="60"/>
  <c r="O55" i="60"/>
  <c r="O63" i="60"/>
  <c r="O67" i="60"/>
  <c r="O69" i="60"/>
  <c r="O71" i="60"/>
  <c r="P130" i="60"/>
  <c r="O33" i="61"/>
  <c r="O37" i="61"/>
  <c r="O51" i="61"/>
  <c r="O44" i="62"/>
  <c r="O32" i="63"/>
  <c r="O38" i="63"/>
  <c r="O40" i="63"/>
  <c r="O27" i="64"/>
  <c r="O42" i="65"/>
  <c r="O58" i="67"/>
  <c r="O68" i="67"/>
  <c r="O41" i="68"/>
  <c r="O45" i="68"/>
  <c r="O47" i="68"/>
  <c r="O51" i="68"/>
  <c r="O53" i="68"/>
  <c r="O57" i="68"/>
  <c r="O46" i="71"/>
  <c r="O61" i="73"/>
  <c r="O27" i="74"/>
  <c r="O48" i="74"/>
  <c r="O34" i="75"/>
  <c r="O36" i="75"/>
  <c r="O42" i="75"/>
  <c r="O48" i="75"/>
  <c r="O50" i="75"/>
  <c r="O54" i="75"/>
  <c r="O56" i="75"/>
  <c r="O72" i="75"/>
  <c r="P108" i="75"/>
  <c r="O70" i="76"/>
  <c r="O72" i="76"/>
  <c r="P104" i="76"/>
  <c r="P116" i="76"/>
  <c r="O43" i="77"/>
  <c r="O51" i="77"/>
  <c r="O55" i="77"/>
  <c r="O36" i="78"/>
  <c r="O42" i="78"/>
  <c r="O28" i="79"/>
  <c r="O45" i="79"/>
  <c r="O51" i="79"/>
  <c r="O70" i="45"/>
  <c r="O61" i="45"/>
  <c r="O51" i="45"/>
  <c r="O49" i="45"/>
  <c r="O43" i="45"/>
  <c r="O39" i="45"/>
  <c r="O26" i="45"/>
  <c r="O64" i="46"/>
  <c r="O56" i="46"/>
  <c r="O54" i="46"/>
  <c r="O42" i="46"/>
  <c r="O30" i="46"/>
  <c r="O28" i="46"/>
  <c r="O26" i="46"/>
  <c r="O26" i="54"/>
  <c r="O55" i="55"/>
  <c r="O48" i="55"/>
  <c r="O46" i="55"/>
  <c r="O41" i="56"/>
  <c r="O30" i="56"/>
  <c r="O67" i="57"/>
  <c r="O63" i="57"/>
  <c r="O61" i="57"/>
  <c r="O57" i="57"/>
  <c r="O55" i="57"/>
  <c r="O53" i="57"/>
  <c r="O51" i="57"/>
  <c r="O40" i="57"/>
  <c r="O34" i="57"/>
  <c r="O32" i="57"/>
  <c r="O41" i="58"/>
  <c r="O29" i="58"/>
  <c r="O27" i="58"/>
  <c r="O64" i="59"/>
  <c r="O72" i="59"/>
  <c r="O67" i="61"/>
  <c r="O71" i="61"/>
  <c r="P128" i="61"/>
  <c r="P130" i="61"/>
  <c r="O68" i="62"/>
  <c r="O72" i="62"/>
  <c r="O63" i="63"/>
  <c r="O65" i="63"/>
  <c r="O51" i="64"/>
  <c r="O65" i="64"/>
  <c r="O69" i="64"/>
  <c r="O71" i="64"/>
  <c r="O67" i="65"/>
  <c r="O69" i="65"/>
  <c r="O28" i="66"/>
  <c r="O30" i="66"/>
  <c r="O50" i="66"/>
  <c r="O52" i="66"/>
  <c r="O59" i="66"/>
  <c r="O71" i="66"/>
  <c r="O22" i="68"/>
  <c r="O63" i="68"/>
  <c r="O35" i="69"/>
  <c r="O47" i="69"/>
  <c r="O55" i="69"/>
  <c r="O61" i="69"/>
  <c r="O69" i="69"/>
  <c r="O49" i="70"/>
  <c r="O51" i="70"/>
  <c r="O53" i="70"/>
  <c r="O39" i="71"/>
  <c r="O46" i="72"/>
  <c r="O58" i="73"/>
  <c r="P115" i="74"/>
  <c r="P119" i="74"/>
  <c r="P121" i="74"/>
  <c r="P123" i="74"/>
  <c r="P125" i="74"/>
  <c r="P127" i="74"/>
  <c r="P120" i="77"/>
  <c r="O41" i="78"/>
  <c r="O61" i="79"/>
  <c r="O72" i="79"/>
  <c r="O26" i="80"/>
  <c r="O47" i="42"/>
  <c r="O66" i="53"/>
  <c r="O64" i="53"/>
  <c r="O53" i="53"/>
  <c r="O41" i="54"/>
  <c r="O33" i="54"/>
  <c r="O31" i="54"/>
  <c r="O27" i="54"/>
  <c r="O25" i="54"/>
  <c r="O70" i="56"/>
  <c r="O66" i="56"/>
  <c r="O54" i="56"/>
  <c r="O37" i="56"/>
  <c r="O31" i="56"/>
  <c r="O29" i="56"/>
  <c r="O25" i="56"/>
  <c r="O41" i="59"/>
  <c r="O23" i="60"/>
  <c r="O52" i="60"/>
  <c r="O54" i="60"/>
  <c r="O60" i="60"/>
  <c r="O62" i="60"/>
  <c r="O68" i="60"/>
  <c r="O72" i="60"/>
  <c r="O26" i="61"/>
  <c r="O32" i="61"/>
  <c r="O38" i="61"/>
  <c r="O46" i="61"/>
  <c r="O26" i="64"/>
  <c r="O28" i="64"/>
  <c r="O36" i="64"/>
  <c r="O25" i="65"/>
  <c r="O27" i="65"/>
  <c r="O31" i="65"/>
  <c r="O29" i="67"/>
  <c r="O34" i="70"/>
  <c r="O40" i="70"/>
  <c r="O71" i="70"/>
  <c r="O45" i="71"/>
  <c r="O49" i="71"/>
  <c r="O29" i="72"/>
  <c r="O56" i="72"/>
  <c r="O58" i="72"/>
  <c r="O72" i="72"/>
  <c r="O39" i="73"/>
  <c r="O25" i="79"/>
  <c r="O31" i="41"/>
  <c r="O58" i="42"/>
  <c r="O58" i="43"/>
  <c r="O56" i="43"/>
  <c r="O65" i="44"/>
  <c r="O61" i="44"/>
  <c r="O53" i="44"/>
  <c r="O47" i="44"/>
  <c r="O38" i="44"/>
  <c r="O34" i="44"/>
  <c r="O67" i="45"/>
  <c r="O50" i="45"/>
  <c r="O42" i="45"/>
  <c r="O40" i="45"/>
  <c r="O27" i="45"/>
  <c r="O61" i="46"/>
  <c r="O45" i="46"/>
  <c r="O33" i="46"/>
  <c r="O54" i="53"/>
  <c r="O39" i="53"/>
  <c r="O63" i="54"/>
  <c r="O50" i="54"/>
  <c r="O46" i="54"/>
  <c r="O38" i="58"/>
  <c r="O30" i="58"/>
  <c r="O24" i="58"/>
  <c r="O65" i="59"/>
  <c r="O56" i="61"/>
  <c r="O30" i="62"/>
  <c r="O34" i="62"/>
  <c r="O57" i="62"/>
  <c r="O51" i="63"/>
  <c r="O55" i="63"/>
  <c r="O62" i="63"/>
  <c r="O64" i="63"/>
  <c r="O44" i="64"/>
  <c r="O48" i="65"/>
  <c r="O50" i="65"/>
  <c r="O66" i="65"/>
  <c r="O29" i="66"/>
  <c r="O40" i="66"/>
  <c r="O62" i="66"/>
  <c r="O64" i="66"/>
  <c r="O68" i="66"/>
  <c r="O30" i="69"/>
  <c r="O32" i="69"/>
  <c r="O44" i="69"/>
  <c r="O50" i="69"/>
  <c r="O58" i="69"/>
  <c r="O66" i="69"/>
  <c r="O68" i="69"/>
  <c r="O72" i="69"/>
  <c r="O40" i="71"/>
  <c r="O57" i="71"/>
  <c r="O26" i="73"/>
  <c r="O40" i="76"/>
  <c r="O42" i="76"/>
  <c r="O44" i="76"/>
  <c r="O50" i="76"/>
  <c r="O52" i="76"/>
  <c r="O54" i="76"/>
  <c r="O58" i="76"/>
  <c r="O60" i="76"/>
  <c r="O62" i="76"/>
  <c r="O33" i="77"/>
  <c r="O58" i="79"/>
  <c r="P117" i="79"/>
  <c r="P121" i="79"/>
  <c r="O49" i="81"/>
  <c r="O62" i="81"/>
  <c r="O39" i="82"/>
  <c r="O49" i="82"/>
  <c r="O62" i="82"/>
  <c r="O64" i="82"/>
  <c r="O35" i="83"/>
  <c r="O59" i="83"/>
  <c r="O46" i="84"/>
  <c r="O32" i="85"/>
  <c r="O40" i="85"/>
  <c r="O55" i="85"/>
  <c r="O57" i="85"/>
  <c r="O59" i="85"/>
  <c r="O65" i="85"/>
  <c r="O67" i="85"/>
  <c r="O71" i="85"/>
  <c r="P125" i="85"/>
  <c r="O45" i="86"/>
  <c r="O47" i="86"/>
  <c r="O49" i="86"/>
  <c r="O55" i="86"/>
  <c r="O59" i="86"/>
  <c r="O61" i="86"/>
  <c r="O63" i="86"/>
  <c r="O36" i="87"/>
  <c r="O44" i="87"/>
  <c r="O50" i="87"/>
  <c r="O33" i="89"/>
  <c r="O41" i="89"/>
  <c r="O22" i="90"/>
  <c r="O55" i="91"/>
  <c r="O20" i="92"/>
  <c r="O70" i="96"/>
  <c r="O36" i="80"/>
  <c r="O43" i="80"/>
  <c r="O49" i="80"/>
  <c r="O64" i="80"/>
  <c r="O68" i="80"/>
  <c r="O70" i="80"/>
  <c r="O72" i="80"/>
  <c r="O22" i="81"/>
  <c r="O28" i="81"/>
  <c r="O30" i="81"/>
  <c r="O34" i="81"/>
  <c r="O38" i="81"/>
  <c r="O40" i="81"/>
  <c r="O53" i="81"/>
  <c r="O55" i="81"/>
  <c r="O57" i="81"/>
  <c r="O59" i="81"/>
  <c r="O70" i="81"/>
  <c r="O65" i="83"/>
  <c r="O67" i="83"/>
  <c r="O71" i="83"/>
  <c r="O23" i="85"/>
  <c r="O27" i="85"/>
  <c r="O26" i="86"/>
  <c r="O32" i="86"/>
  <c r="O34" i="86"/>
  <c r="O58" i="88"/>
  <c r="O62" i="88"/>
  <c r="O70" i="88"/>
  <c r="O47" i="89"/>
  <c r="O51" i="89"/>
  <c r="O68" i="89"/>
  <c r="O70" i="89"/>
  <c r="O72" i="89"/>
  <c r="O40" i="90"/>
  <c r="O58" i="90"/>
  <c r="O60" i="90"/>
  <c r="P118" i="90"/>
  <c r="O31" i="91"/>
  <c r="O33" i="91"/>
  <c r="O37" i="91"/>
  <c r="O63" i="91"/>
  <c r="O65" i="91"/>
  <c r="O19" i="93"/>
  <c r="O21" i="93"/>
  <c r="O27" i="93"/>
  <c r="O39" i="93"/>
  <c r="O47" i="93"/>
  <c r="O50" i="93"/>
  <c r="O52" i="93"/>
  <c r="O54" i="93"/>
  <c r="O60" i="93"/>
  <c r="O19" i="95"/>
  <c r="O21" i="95"/>
  <c r="O28" i="95"/>
  <c r="O32" i="95"/>
  <c r="O34" i="95"/>
  <c r="O36" i="95"/>
  <c r="O38" i="95"/>
  <c r="O44" i="95"/>
  <c r="O46" i="95"/>
  <c r="O54" i="95"/>
  <c r="O58" i="95"/>
  <c r="O19" i="96"/>
  <c r="O21" i="96"/>
  <c r="O45" i="96"/>
  <c r="O59" i="96"/>
  <c r="O63" i="96"/>
  <c r="O50" i="81"/>
  <c r="O63" i="81"/>
  <c r="O40" i="82"/>
  <c r="O42" i="82"/>
  <c r="O46" i="82"/>
  <c r="O61" i="82"/>
  <c r="O63" i="82"/>
  <c r="O65" i="82"/>
  <c r="O69" i="82"/>
  <c r="P113" i="82"/>
  <c r="O32" i="83"/>
  <c r="O35" i="84"/>
  <c r="O37" i="84"/>
  <c r="O41" i="84"/>
  <c r="O43" i="84"/>
  <c r="O33" i="85"/>
  <c r="O35" i="85"/>
  <c r="O37" i="85"/>
  <c r="O41" i="85"/>
  <c r="O49" i="85"/>
  <c r="O54" i="85"/>
  <c r="O64" i="85"/>
  <c r="O70" i="85"/>
  <c r="O72" i="85"/>
  <c r="O19" i="87"/>
  <c r="O41" i="87"/>
  <c r="O25" i="90"/>
  <c r="O27" i="90"/>
  <c r="O62" i="91"/>
  <c r="O38" i="92"/>
  <c r="O40" i="92"/>
  <c r="O67" i="92"/>
  <c r="O71" i="92"/>
  <c r="O39" i="95"/>
  <c r="O46" i="80"/>
  <c r="O59" i="80"/>
  <c r="O61" i="80"/>
  <c r="O65" i="80"/>
  <c r="O67" i="80"/>
  <c r="O69" i="80"/>
  <c r="O39" i="81"/>
  <c r="O41" i="81"/>
  <c r="O71" i="81"/>
  <c r="O25" i="82"/>
  <c r="O21" i="83"/>
  <c r="O25" i="83"/>
  <c r="O49" i="83"/>
  <c r="O64" i="83"/>
  <c r="O72" i="83"/>
  <c r="O38" i="84"/>
  <c r="O26" i="85"/>
  <c r="O31" i="86"/>
  <c r="O20" i="88"/>
  <c r="O57" i="88"/>
  <c r="O59" i="88"/>
  <c r="O48" i="89"/>
  <c r="O54" i="89"/>
  <c r="P115" i="89"/>
  <c r="O45" i="90"/>
  <c r="O55" i="90"/>
  <c r="O59" i="90"/>
  <c r="O70" i="91"/>
  <c r="O72" i="91"/>
  <c r="P108" i="91"/>
  <c r="P110" i="91"/>
  <c r="P118" i="91"/>
  <c r="P122" i="91"/>
  <c r="P124" i="91"/>
  <c r="P128" i="91"/>
  <c r="O48" i="92"/>
  <c r="O52" i="92"/>
  <c r="O58" i="92"/>
  <c r="O60" i="92"/>
  <c r="O22" i="93"/>
  <c r="O24" i="93"/>
  <c r="O26" i="93"/>
  <c r="O28" i="93"/>
  <c r="O30" i="93"/>
  <c r="O34" i="93"/>
  <c r="O36" i="93"/>
  <c r="O40" i="93"/>
  <c r="O49" i="93"/>
  <c r="O55" i="93"/>
  <c r="O66" i="93"/>
  <c r="O64" i="94"/>
  <c r="O18" i="95"/>
  <c r="O26" i="95"/>
  <c r="O35" i="95"/>
  <c r="O26" i="96"/>
  <c r="O34" i="96"/>
  <c r="O42" i="96"/>
  <c r="O50" i="96"/>
  <c r="O54" i="96"/>
  <c r="C99" i="94"/>
  <c r="C100" i="94" s="1"/>
  <c r="C101" i="94" s="1"/>
  <c r="C102" i="94" s="1"/>
  <c r="C103" i="94" s="1"/>
  <c r="C104" i="94" s="1"/>
  <c r="C105" i="94" s="1"/>
  <c r="C106" i="94" s="1"/>
  <c r="C107" i="94" s="1"/>
  <c r="C108" i="94" s="1"/>
  <c r="C109" i="94" s="1"/>
  <c r="C110" i="94" s="1"/>
  <c r="C111" i="94" s="1"/>
  <c r="C112" i="94" s="1"/>
  <c r="C113" i="94" s="1"/>
  <c r="C114" i="94" s="1"/>
  <c r="C115" i="94" s="1"/>
  <c r="C116" i="94" s="1"/>
  <c r="C117" i="94" s="1"/>
  <c r="C118" i="94" s="1"/>
  <c r="C119" i="94" s="1"/>
  <c r="C120" i="94" s="1"/>
  <c r="C121" i="94" s="1"/>
  <c r="C122" i="94" s="1"/>
  <c r="C123" i="94" s="1"/>
  <c r="C124" i="94" s="1"/>
  <c r="C125" i="94" s="1"/>
  <c r="C126" i="94" s="1"/>
  <c r="C127" i="94" s="1"/>
  <c r="C128" i="94" s="1"/>
  <c r="C129" i="94" s="1"/>
  <c r="C130" i="94" s="1"/>
  <c r="C131" i="94" s="1"/>
  <c r="C132" i="94" s="1"/>
  <c r="C133" i="94" s="1"/>
  <c r="C134" i="94" s="1"/>
  <c r="C135" i="94" s="1"/>
  <c r="C136" i="94" s="1"/>
  <c r="C137" i="94" s="1"/>
  <c r="C138" i="94" s="1"/>
  <c r="C139" i="94" s="1"/>
  <c r="C140" i="94" s="1"/>
  <c r="C141" i="94" s="1"/>
  <c r="C142" i="94" s="1"/>
  <c r="C143" i="94" s="1"/>
  <c r="C144" i="94" s="1"/>
  <c r="C145" i="94" s="1"/>
  <c r="C146" i="94" s="1"/>
  <c r="C147" i="94" s="1"/>
  <c r="C148" i="94" s="1"/>
  <c r="C149" i="94" s="1"/>
  <c r="C150" i="94" s="1"/>
  <c r="C151" i="94" s="1"/>
  <c r="C152" i="94" s="1"/>
  <c r="C153" i="94" s="1"/>
  <c r="C154" i="94" s="1"/>
  <c r="C100" i="13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D99" i="13"/>
  <c r="C100" i="82"/>
  <c r="C101" i="82" s="1"/>
  <c r="C102" i="82" s="1"/>
  <c r="C103" i="82" s="1"/>
  <c r="C104" i="82" s="1"/>
  <c r="C105" i="82" s="1"/>
  <c r="C106" i="82" s="1"/>
  <c r="C107" i="82" s="1"/>
  <c r="C108" i="82" s="1"/>
  <c r="C109" i="82" s="1"/>
  <c r="C110" i="82" s="1"/>
  <c r="C111" i="82" s="1"/>
  <c r="C112" i="82" s="1"/>
  <c r="C113" i="82" s="1"/>
  <c r="C114" i="82" s="1"/>
  <c r="C115" i="82" s="1"/>
  <c r="C116" i="82" s="1"/>
  <c r="C117" i="82" s="1"/>
  <c r="C118" i="82" s="1"/>
  <c r="C119" i="82" s="1"/>
  <c r="C120" i="82" s="1"/>
  <c r="C121" i="82" s="1"/>
  <c r="C122" i="82" s="1"/>
  <c r="C123" i="82" s="1"/>
  <c r="C124" i="82" s="1"/>
  <c r="C125" i="82" s="1"/>
  <c r="C126" i="82" s="1"/>
  <c r="C127" i="82" s="1"/>
  <c r="C128" i="82" s="1"/>
  <c r="C129" i="82" s="1"/>
  <c r="C130" i="82" s="1"/>
  <c r="C131" i="82" s="1"/>
  <c r="C132" i="82" s="1"/>
  <c r="C133" i="82" s="1"/>
  <c r="C134" i="82" s="1"/>
  <c r="C135" i="82" s="1"/>
  <c r="C136" i="82" s="1"/>
  <c r="C137" i="82" s="1"/>
  <c r="C138" i="82" s="1"/>
  <c r="C139" i="82" s="1"/>
  <c r="C140" i="82" s="1"/>
  <c r="C141" i="82" s="1"/>
  <c r="C142" i="82" s="1"/>
  <c r="C143" i="82" s="1"/>
  <c r="C144" i="82" s="1"/>
  <c r="C145" i="82" s="1"/>
  <c r="C146" i="82" s="1"/>
  <c r="C147" i="82" s="1"/>
  <c r="C148" i="82" s="1"/>
  <c r="C149" i="82" s="1"/>
  <c r="C150" i="82" s="1"/>
  <c r="C151" i="82" s="1"/>
  <c r="C152" i="82" s="1"/>
  <c r="C153" i="82" s="1"/>
  <c r="C154" i="82" s="1"/>
  <c r="O72" i="13"/>
  <c r="O40" i="13"/>
  <c r="O64" i="3"/>
  <c r="O54" i="3"/>
  <c r="O65" i="13"/>
  <c r="O61" i="20"/>
  <c r="O42" i="20"/>
  <c r="O27" i="20"/>
  <c r="O57" i="21"/>
  <c r="O49" i="21"/>
  <c r="O35" i="21"/>
  <c r="O27" i="21"/>
  <c r="O40" i="23"/>
  <c r="O58" i="25"/>
  <c r="O22" i="25"/>
  <c r="O72" i="26"/>
  <c r="O60" i="27"/>
  <c r="O39" i="28"/>
  <c r="O34" i="28"/>
  <c r="O67" i="29"/>
  <c r="O44" i="29"/>
  <c r="O42" i="29"/>
  <c r="O69" i="30"/>
  <c r="O71" i="41"/>
  <c r="O72" i="42"/>
  <c r="O57" i="43"/>
  <c r="O60" i="44"/>
  <c r="O68" i="45"/>
  <c r="O55" i="45"/>
  <c r="O65" i="46"/>
  <c r="O64" i="54"/>
  <c r="O34" i="64"/>
  <c r="O72" i="17"/>
  <c r="O66" i="17"/>
  <c r="O51" i="17"/>
  <c r="O49" i="17"/>
  <c r="O70" i="18"/>
  <c r="O68" i="18"/>
  <c r="O37" i="18"/>
  <c r="O33" i="18"/>
  <c r="O47" i="19"/>
  <c r="O68" i="24"/>
  <c r="O61" i="24"/>
  <c r="O40" i="24"/>
  <c r="O30" i="24"/>
  <c r="O35" i="27"/>
  <c r="O56" i="28"/>
  <c r="O72" i="29"/>
  <c r="O36" i="30"/>
  <c r="O34" i="31"/>
  <c r="O57" i="33"/>
  <c r="O49" i="33"/>
  <c r="O54" i="35"/>
  <c r="O31" i="35"/>
  <c r="O23" i="35"/>
  <c r="O58" i="39"/>
  <c r="O30" i="39"/>
  <c r="O47" i="41"/>
  <c r="O43" i="44"/>
  <c r="O64" i="45"/>
  <c r="O32" i="46"/>
  <c r="O71" i="54"/>
  <c r="O40" i="54"/>
  <c r="O43" i="56"/>
  <c r="O68" i="57"/>
  <c r="O66" i="58"/>
  <c r="O58" i="58"/>
  <c r="O52" i="58"/>
  <c r="O25" i="58"/>
  <c r="O56" i="60"/>
  <c r="O36" i="13"/>
  <c r="O54" i="20"/>
  <c r="O52" i="20"/>
  <c r="O46" i="20"/>
  <c r="O32" i="20"/>
  <c r="O52" i="21"/>
  <c r="O44" i="21"/>
  <c r="O32" i="21"/>
  <c r="O31" i="22"/>
  <c r="O53" i="24"/>
  <c r="O34" i="25"/>
  <c r="O25" i="25"/>
  <c r="O19" i="25"/>
  <c r="O52" i="26"/>
  <c r="O35" i="26"/>
  <c r="O29" i="26"/>
  <c r="O42" i="28"/>
  <c r="O53" i="29"/>
  <c r="O51" i="29"/>
  <c r="O30" i="29"/>
  <c r="O57" i="30"/>
  <c r="O54" i="31"/>
  <c r="O59" i="32"/>
  <c r="O35" i="32"/>
  <c r="O48" i="34"/>
  <c r="O42" i="39"/>
  <c r="O63" i="43"/>
  <c r="O26" i="53"/>
  <c r="O68" i="56"/>
  <c r="O60" i="56"/>
  <c r="O33" i="56"/>
  <c r="O33" i="57"/>
  <c r="O69" i="17"/>
  <c r="O31" i="17"/>
  <c r="O65" i="18"/>
  <c r="O63" i="18"/>
  <c r="O30" i="18"/>
  <c r="O69" i="19"/>
  <c r="O55" i="22"/>
  <c r="O56" i="23"/>
  <c r="O71" i="24"/>
  <c r="O35" i="24"/>
  <c r="O72" i="25"/>
  <c r="O32" i="27"/>
  <c r="O59" i="28"/>
  <c r="O33" i="30"/>
  <c r="O46" i="31"/>
  <c r="O52" i="33"/>
  <c r="O17" i="33"/>
  <c r="O26" i="35"/>
  <c r="O71" i="44"/>
  <c r="O37" i="44"/>
  <c r="O35" i="46"/>
  <c r="O69" i="58"/>
  <c r="O63" i="58"/>
  <c r="O55" i="58"/>
  <c r="O40" i="65"/>
  <c r="O54" i="65"/>
  <c r="O71" i="65"/>
  <c r="O66" i="66"/>
  <c r="O72" i="66"/>
  <c r="O27" i="75"/>
  <c r="O29" i="75"/>
  <c r="O25" i="80"/>
  <c r="O34" i="80"/>
  <c r="O27" i="84"/>
  <c r="O39" i="84"/>
  <c r="O63" i="84"/>
  <c r="O51" i="86"/>
  <c r="O53" i="86"/>
  <c r="O21" i="87"/>
  <c r="O36" i="90"/>
  <c r="O43" i="90"/>
  <c r="O57" i="74"/>
  <c r="O32" i="78"/>
  <c r="O38" i="78"/>
  <c r="O48" i="84"/>
  <c r="O61" i="85"/>
  <c r="O72" i="86"/>
  <c r="O32" i="93"/>
  <c r="O38" i="93"/>
  <c r="O57" i="93"/>
  <c r="O54" i="94"/>
  <c r="O20" i="95"/>
  <c r="O68" i="95"/>
  <c r="O70" i="95"/>
  <c r="O31" i="96"/>
  <c r="O35" i="96"/>
  <c r="O52" i="96"/>
  <c r="O69" i="66"/>
  <c r="O29" i="68"/>
  <c r="O24" i="75"/>
  <c r="O63" i="75"/>
  <c r="O23" i="77"/>
  <c r="O67" i="78"/>
  <c r="O31" i="85"/>
  <c r="O38" i="85"/>
  <c r="O37" i="87"/>
  <c r="O72" i="88"/>
  <c r="O46" i="90"/>
  <c r="O27" i="94"/>
  <c r="O43" i="94"/>
  <c r="O25" i="86"/>
  <c r="O21" i="88"/>
  <c r="O40" i="88"/>
  <c r="O56" i="88"/>
  <c r="O55" i="89"/>
  <c r="O30" i="92"/>
  <c r="O44" i="93"/>
  <c r="O53" i="94"/>
  <c r="O62" i="94"/>
  <c r="O71" i="94"/>
  <c r="O30" i="95"/>
  <c r="O50" i="95"/>
  <c r="O52" i="95"/>
  <c r="O32" i="96"/>
  <c r="O36" i="96"/>
  <c r="O72" i="96"/>
  <c r="P116" i="23"/>
  <c r="P143" i="25"/>
  <c r="P115" i="25"/>
  <c r="P133" i="27"/>
  <c r="P146" i="28"/>
  <c r="P149" i="29"/>
  <c r="P125" i="29"/>
  <c r="P127" i="31"/>
  <c r="P113" i="31"/>
  <c r="P151" i="35"/>
  <c r="P147" i="35"/>
  <c r="P141" i="35"/>
  <c r="P122" i="39"/>
  <c r="P121" i="41"/>
  <c r="P153" i="57"/>
  <c r="P149" i="57"/>
  <c r="P139" i="57"/>
  <c r="P153" i="58"/>
  <c r="P149" i="58"/>
  <c r="P143" i="58"/>
  <c r="P133" i="58"/>
  <c r="P131" i="58"/>
  <c r="P121" i="58"/>
  <c r="P119" i="58"/>
  <c r="P105" i="58"/>
  <c r="P104" i="63"/>
  <c r="P110" i="63"/>
  <c r="P114" i="63"/>
  <c r="P116" i="63"/>
  <c r="P118" i="63"/>
  <c r="P120" i="63"/>
  <c r="P122" i="63"/>
  <c r="P124" i="63"/>
  <c r="P106" i="66"/>
  <c r="P108" i="66"/>
  <c r="P110" i="66"/>
  <c r="P112" i="66"/>
  <c r="P114" i="66"/>
  <c r="P120" i="66"/>
  <c r="P122" i="66"/>
  <c r="P124" i="66"/>
  <c r="P126" i="66"/>
  <c r="P110" i="68"/>
  <c r="P115" i="69"/>
  <c r="P122" i="70"/>
  <c r="P117" i="71"/>
  <c r="P129" i="71"/>
  <c r="P106" i="75"/>
  <c r="P110" i="75"/>
  <c r="P112" i="75"/>
  <c r="P114" i="75"/>
  <c r="P118" i="75"/>
  <c r="P124" i="75"/>
  <c r="P126" i="75"/>
  <c r="P128" i="75"/>
  <c r="P130" i="75"/>
  <c r="P104" i="77"/>
  <c r="P108" i="77"/>
  <c r="P110" i="77"/>
  <c r="P114" i="77"/>
  <c r="P118" i="77"/>
  <c r="P124" i="77"/>
  <c r="P102" i="78"/>
  <c r="P110" i="78"/>
  <c r="P114" i="78"/>
  <c r="P116" i="78"/>
  <c r="P118" i="78"/>
  <c r="P120" i="78"/>
  <c r="P119" i="79"/>
  <c r="P123" i="79"/>
  <c r="P125" i="79"/>
  <c r="P127" i="79"/>
  <c r="P129" i="79"/>
  <c r="P103" i="80"/>
  <c r="P113" i="80"/>
  <c r="P115" i="80"/>
  <c r="P117" i="80"/>
  <c r="P119" i="80"/>
  <c r="P121" i="80"/>
  <c r="P125" i="80"/>
  <c r="P127" i="80"/>
  <c r="P129" i="80"/>
  <c r="P101" i="81"/>
  <c r="P103" i="81"/>
  <c r="P105" i="81"/>
  <c r="P107" i="81"/>
  <c r="P113" i="81"/>
  <c r="P117" i="81"/>
  <c r="P119" i="81"/>
  <c r="P121" i="81"/>
  <c r="P123" i="81"/>
  <c r="P125" i="81"/>
  <c r="P105" i="82"/>
  <c r="P107" i="82"/>
  <c r="P109" i="82"/>
  <c r="P115" i="82"/>
  <c r="P117" i="82"/>
  <c r="P121" i="82"/>
  <c r="P123" i="82"/>
  <c r="P129" i="82"/>
  <c r="P102" i="83"/>
  <c r="P108" i="83"/>
  <c r="P124" i="83"/>
  <c r="P102" i="84"/>
  <c r="P118" i="84"/>
  <c r="P120" i="84"/>
  <c r="P122" i="84"/>
  <c r="P124" i="84"/>
  <c r="P126" i="84"/>
  <c r="P130" i="84"/>
  <c r="P100" i="86"/>
  <c r="P104" i="86"/>
  <c r="P106" i="86"/>
  <c r="P112" i="86"/>
  <c r="P121" i="87"/>
  <c r="P125" i="87"/>
  <c r="P105" i="88"/>
  <c r="P113" i="88"/>
  <c r="P125" i="88"/>
  <c r="P130" i="92"/>
  <c r="P100" i="93"/>
  <c r="P102" i="93"/>
  <c r="P104" i="93"/>
  <c r="P106" i="93"/>
  <c r="P108" i="93"/>
  <c r="P112" i="93"/>
  <c r="P114" i="93"/>
  <c r="P124" i="93"/>
  <c r="P130" i="93"/>
  <c r="P114" i="64"/>
  <c r="P106" i="76"/>
  <c r="P116" i="39"/>
  <c r="P112" i="39"/>
  <c r="P147" i="41"/>
  <c r="P137" i="41"/>
  <c r="P135" i="41"/>
  <c r="P125" i="46"/>
  <c r="P106" i="68"/>
  <c r="P108" i="68"/>
  <c r="P112" i="68"/>
  <c r="P114" i="68"/>
  <c r="P116" i="68"/>
  <c r="P118" i="68"/>
  <c r="P122" i="68"/>
  <c r="P110" i="70"/>
  <c r="P112" i="70"/>
  <c r="P114" i="70"/>
  <c r="P124" i="70"/>
  <c r="P126" i="70"/>
  <c r="P128" i="70"/>
  <c r="P119" i="71"/>
  <c r="P121" i="71"/>
  <c r="P123" i="71"/>
  <c r="P125" i="71"/>
  <c r="P112" i="77"/>
  <c r="P114" i="86"/>
  <c r="P116" i="86"/>
  <c r="P119" i="61"/>
  <c r="P121" i="61"/>
  <c r="P123" i="61"/>
  <c r="P125" i="61"/>
  <c r="P113" i="19"/>
  <c r="P142" i="23"/>
  <c r="P126" i="23"/>
  <c r="P147" i="25"/>
  <c r="P145" i="25"/>
  <c r="P139" i="25"/>
  <c r="P137" i="25"/>
  <c r="P131" i="25"/>
  <c r="P127" i="25"/>
  <c r="P125" i="25"/>
  <c r="P123" i="25"/>
  <c r="P121" i="25"/>
  <c r="P117" i="25"/>
  <c r="P113" i="25"/>
  <c r="P109" i="25"/>
  <c r="P107" i="25"/>
  <c r="P153" i="27"/>
  <c r="P149" i="27"/>
  <c r="P145" i="27"/>
  <c r="J92" i="29"/>
  <c r="J92" i="26"/>
  <c r="N87" i="26" s="1"/>
  <c r="J92" i="84"/>
  <c r="J92" i="96"/>
  <c r="M87" i="96" s="1"/>
  <c r="J92" i="59"/>
  <c r="L86" i="59" s="1"/>
  <c r="J92" i="45"/>
  <c r="M87" i="45" s="1"/>
  <c r="J92" i="55"/>
  <c r="M87" i="55" s="1"/>
  <c r="J92" i="20"/>
  <c r="N87" i="20" s="1"/>
  <c r="J92" i="57"/>
  <c r="M87" i="57" s="1"/>
  <c r="J92" i="41"/>
  <c r="N87" i="41" s="1"/>
  <c r="J92" i="54"/>
  <c r="N87" i="54" s="1"/>
  <c r="J92" i="71"/>
  <c r="N87" i="71" s="1"/>
  <c r="J92" i="68"/>
  <c r="N87" i="68" s="1"/>
  <c r="J92" i="81"/>
  <c r="N87" i="81" s="1"/>
  <c r="J92" i="83"/>
  <c r="N87" i="83" s="1"/>
  <c r="M19" i="2"/>
  <c r="J92" i="35"/>
  <c r="L86" i="35" s="1"/>
  <c r="J92" i="19"/>
  <c r="N87" i="19" s="1"/>
  <c r="P107" i="80"/>
  <c r="M87" i="80"/>
  <c r="J92" i="63"/>
  <c r="N87" i="63" s="1"/>
  <c r="J92" i="53"/>
  <c r="N87" i="53" s="1"/>
  <c r="J92" i="22"/>
  <c r="J92" i="44"/>
  <c r="N87" i="44" s="1"/>
  <c r="J92" i="82"/>
  <c r="M87" i="82" s="1"/>
  <c r="J92" i="85"/>
  <c r="L86" i="85" s="1"/>
  <c r="J92" i="62"/>
  <c r="L86" i="62" s="1"/>
  <c r="J92" i="56"/>
  <c r="M87" i="56" s="1"/>
  <c r="J92" i="77"/>
  <c r="J92" i="32"/>
  <c r="L86" i="32" s="1"/>
  <c r="J92" i="89"/>
  <c r="N87" i="89" s="1"/>
  <c r="P109" i="64"/>
  <c r="P113" i="64"/>
  <c r="P117" i="64"/>
  <c r="P119" i="64"/>
  <c r="P123" i="64"/>
  <c r="P125" i="64"/>
  <c r="P129" i="64"/>
  <c r="P141" i="27"/>
  <c r="P135" i="27"/>
  <c r="P123" i="27"/>
  <c r="P117" i="27"/>
  <c r="P115" i="27"/>
  <c r="P111" i="27"/>
  <c r="P152" i="28"/>
  <c r="P150" i="28"/>
  <c r="P142" i="28"/>
  <c r="P140" i="28"/>
  <c r="P138" i="28"/>
  <c r="P126" i="28"/>
  <c r="P153" i="29"/>
  <c r="P133" i="29"/>
  <c r="P131" i="29"/>
  <c r="P121" i="29"/>
  <c r="P119" i="29"/>
  <c r="P117" i="29"/>
  <c r="P115" i="29"/>
  <c r="P113" i="29"/>
  <c r="P111" i="29"/>
  <c r="P151" i="31"/>
  <c r="P149" i="31"/>
  <c r="P143" i="31"/>
  <c r="P141" i="31"/>
  <c r="P137" i="31"/>
  <c r="P129" i="31"/>
  <c r="P125" i="31"/>
  <c r="P123" i="31"/>
  <c r="P121" i="31"/>
  <c r="P119" i="31"/>
  <c r="P117" i="31"/>
  <c r="P154" i="32"/>
  <c r="P116" i="32"/>
  <c r="P114" i="32"/>
  <c r="P112" i="32"/>
  <c r="P127" i="61"/>
  <c r="P129" i="61"/>
  <c r="P107" i="62"/>
  <c r="P109" i="62"/>
  <c r="P111" i="62"/>
  <c r="P113" i="62"/>
  <c r="P115" i="62"/>
  <c r="P117" i="62"/>
  <c r="P119" i="62"/>
  <c r="P121" i="62"/>
  <c r="P127" i="62"/>
  <c r="P127" i="42"/>
  <c r="P121" i="54"/>
  <c r="P143" i="41"/>
  <c r="P131" i="41"/>
  <c r="P117" i="41"/>
  <c r="F48" i="2"/>
  <c r="F52" i="2" s="1"/>
  <c r="P105" i="65"/>
  <c r="P107" i="65"/>
  <c r="P109" i="65"/>
  <c r="P111" i="65"/>
  <c r="P119" i="65"/>
  <c r="P121" i="65"/>
  <c r="P123" i="65"/>
  <c r="P125" i="65"/>
  <c r="P127" i="65"/>
  <c r="P129" i="65"/>
  <c r="P125" i="67"/>
  <c r="P127" i="67"/>
  <c r="P106" i="74"/>
  <c r="P108" i="74"/>
  <c r="P110" i="74"/>
  <c r="P118" i="74"/>
  <c r="P128" i="74"/>
  <c r="P102" i="94"/>
  <c r="P104" i="94"/>
  <c r="P106" i="94"/>
  <c r="P114" i="94"/>
  <c r="P116" i="94"/>
  <c r="P118" i="94"/>
  <c r="P120" i="94"/>
  <c r="P124" i="94"/>
  <c r="P130" i="94"/>
  <c r="P112" i="95"/>
  <c r="P116" i="95"/>
  <c r="P118" i="95"/>
  <c r="P124" i="95"/>
  <c r="P128" i="95"/>
  <c r="P130" i="95"/>
  <c r="P99" i="96"/>
  <c r="P101" i="96"/>
  <c r="P103" i="96"/>
  <c r="P107" i="96"/>
  <c r="P123" i="96"/>
  <c r="P152" i="3"/>
  <c r="P146" i="3"/>
  <c r="P144" i="3"/>
  <c r="P142" i="3"/>
  <c r="P140" i="3"/>
  <c r="P130" i="3"/>
  <c r="P128" i="3"/>
  <c r="P116" i="3"/>
  <c r="P110" i="3"/>
  <c r="P129" i="13"/>
  <c r="P127" i="13"/>
  <c r="P125" i="13"/>
  <c r="P123" i="13"/>
  <c r="P121" i="13"/>
  <c r="P99" i="13"/>
  <c r="P149" i="18"/>
  <c r="P135" i="18"/>
  <c r="P133" i="18"/>
  <c r="P131" i="18"/>
  <c r="P129" i="18"/>
  <c r="P127" i="18"/>
  <c r="P125" i="18"/>
  <c r="P119" i="18"/>
  <c r="P109" i="18"/>
  <c r="P129" i="24"/>
  <c r="P123" i="24"/>
  <c r="P117" i="24"/>
  <c r="P148" i="26"/>
  <c r="P146" i="26"/>
  <c r="P122" i="26"/>
  <c r="P154" i="30"/>
  <c r="P132" i="30"/>
  <c r="P130" i="30"/>
  <c r="P116" i="30"/>
  <c r="P153" i="33"/>
  <c r="P139" i="33"/>
  <c r="P137" i="33"/>
  <c r="P121" i="33"/>
  <c r="P113" i="33"/>
  <c r="P111" i="33"/>
  <c r="P101" i="33"/>
  <c r="P99" i="33"/>
  <c r="P149" i="34"/>
  <c r="P145" i="34"/>
  <c r="P143" i="34"/>
  <c r="P139" i="34"/>
  <c r="P131" i="34"/>
  <c r="P109" i="3"/>
  <c r="P104" i="13"/>
  <c r="P147" i="21"/>
  <c r="P135" i="21"/>
  <c r="P129" i="21"/>
  <c r="P111" i="21"/>
  <c r="P136" i="24"/>
  <c r="P134" i="24"/>
  <c r="P132" i="24"/>
  <c r="P118" i="24"/>
  <c r="P116" i="24"/>
  <c r="P139" i="26"/>
  <c r="P137" i="26"/>
  <c r="P133" i="26"/>
  <c r="P131" i="26"/>
  <c r="P129" i="26"/>
  <c r="P127" i="26"/>
  <c r="P111" i="26"/>
  <c r="P109" i="26"/>
  <c r="P103" i="26"/>
  <c r="P101" i="26"/>
  <c r="P135" i="35"/>
  <c r="P101" i="35"/>
  <c r="P153" i="41"/>
  <c r="P149" i="41"/>
  <c r="P141" i="41"/>
  <c r="P139" i="41"/>
  <c r="P133" i="41"/>
  <c r="P125" i="41"/>
  <c r="P119" i="41"/>
  <c r="P153" i="46"/>
  <c r="P111" i="46"/>
  <c r="P151" i="57"/>
  <c r="P151" i="58"/>
  <c r="P141" i="58"/>
  <c r="P137" i="58"/>
  <c r="P125" i="58"/>
  <c r="P123" i="58"/>
  <c r="P113" i="58"/>
  <c r="P109" i="58"/>
  <c r="P122" i="59"/>
  <c r="P130" i="59"/>
  <c r="P128" i="63"/>
  <c r="P130" i="63"/>
  <c r="P129" i="34"/>
  <c r="P119" i="34"/>
  <c r="P148" i="42"/>
  <c r="P122" i="42"/>
  <c r="P152" i="43"/>
  <c r="P150" i="43"/>
  <c r="P146" i="43"/>
  <c r="P140" i="43"/>
  <c r="P136" i="43"/>
  <c r="P130" i="43"/>
  <c r="P128" i="43"/>
  <c r="P126" i="43"/>
  <c r="P124" i="43"/>
  <c r="P122" i="43"/>
  <c r="P120" i="43"/>
  <c r="P118" i="43"/>
  <c r="P116" i="43"/>
  <c r="P114" i="43"/>
  <c r="P112" i="43"/>
  <c r="P110" i="43"/>
  <c r="P108" i="43"/>
  <c r="P145" i="44"/>
  <c r="P143" i="44"/>
  <c r="P137" i="44"/>
  <c r="P133" i="44"/>
  <c r="P127" i="44"/>
  <c r="P125" i="44"/>
  <c r="P123" i="44"/>
  <c r="P121" i="44"/>
  <c r="P119" i="44"/>
  <c r="P107" i="44"/>
  <c r="P143" i="45"/>
  <c r="P141" i="45"/>
  <c r="P139" i="45"/>
  <c r="P137" i="45"/>
  <c r="P135" i="45"/>
  <c r="P133" i="45"/>
  <c r="P131" i="45"/>
  <c r="P129" i="45"/>
  <c r="P127" i="45"/>
  <c r="P125" i="45"/>
  <c r="P123" i="45"/>
  <c r="P121" i="45"/>
  <c r="P119" i="45"/>
  <c r="P117" i="45"/>
  <c r="P115" i="45"/>
  <c r="P113" i="45"/>
  <c r="P111" i="45"/>
  <c r="P109" i="45"/>
  <c r="P107" i="45"/>
  <c r="P118" i="54"/>
  <c r="P116" i="54"/>
  <c r="P114" i="54"/>
  <c r="P112" i="54"/>
  <c r="P110" i="54"/>
  <c r="P106" i="54"/>
  <c r="P154" i="55"/>
  <c r="P126" i="55"/>
  <c r="P124" i="55"/>
  <c r="P122" i="55"/>
  <c r="P120" i="55"/>
  <c r="P118" i="55"/>
  <c r="P116" i="55"/>
  <c r="P114" i="55"/>
  <c r="P112" i="55"/>
  <c r="P110" i="55"/>
  <c r="P108" i="55"/>
  <c r="P106" i="55"/>
  <c r="P145" i="56"/>
  <c r="P133" i="56"/>
  <c r="P129" i="56"/>
  <c r="P121" i="56"/>
  <c r="P105" i="60"/>
  <c r="P107" i="60"/>
  <c r="P113" i="60"/>
  <c r="P105" i="61"/>
  <c r="P107" i="61"/>
  <c r="P109" i="61"/>
  <c r="P111" i="61"/>
  <c r="P113" i="61"/>
  <c r="P115" i="61"/>
  <c r="P103" i="67"/>
  <c r="P106" i="95"/>
  <c r="P120" i="95"/>
  <c r="P111" i="96"/>
  <c r="P126" i="3"/>
  <c r="P117" i="18"/>
  <c r="P138" i="21"/>
  <c r="P114" i="21"/>
  <c r="P128" i="22"/>
  <c r="P113" i="23"/>
  <c r="P151" i="24"/>
  <c r="P149" i="24"/>
  <c r="P139" i="24"/>
  <c r="P137" i="24"/>
  <c r="P135" i="24"/>
  <c r="P154" i="25"/>
  <c r="P152" i="25"/>
  <c r="P106" i="25"/>
  <c r="P102" i="25"/>
  <c r="P100" i="25"/>
  <c r="P154" i="27"/>
  <c r="P152" i="27"/>
  <c r="P150" i="27"/>
  <c r="P148" i="27"/>
  <c r="P146" i="27"/>
  <c r="P144" i="27"/>
  <c r="P142" i="27"/>
  <c r="P126" i="27"/>
  <c r="P124" i="27"/>
  <c r="P143" i="57"/>
  <c r="P137" i="57"/>
  <c r="P135" i="57"/>
  <c r="P133" i="57"/>
  <c r="P131" i="57"/>
  <c r="P127" i="57"/>
  <c r="P117" i="57"/>
  <c r="P113" i="57"/>
  <c r="P107" i="57"/>
  <c r="P105" i="57"/>
  <c r="P107" i="58"/>
  <c r="P120" i="27"/>
  <c r="P116" i="27"/>
  <c r="P145" i="28"/>
  <c r="P143" i="28"/>
  <c r="P137" i="28"/>
  <c r="P135" i="28"/>
  <c r="P133" i="28"/>
  <c r="P125" i="28"/>
  <c r="P123" i="28"/>
  <c r="P121" i="28"/>
  <c r="P119" i="28"/>
  <c r="P117" i="28"/>
  <c r="P115" i="28"/>
  <c r="P113" i="28"/>
  <c r="P154" i="29"/>
  <c r="P144" i="29"/>
  <c r="P140" i="29"/>
  <c r="P130" i="29"/>
  <c r="P128" i="29"/>
  <c r="P126" i="29"/>
  <c r="P124" i="29"/>
  <c r="P120" i="29"/>
  <c r="P116" i="29"/>
  <c r="P114" i="29"/>
  <c r="P112" i="29"/>
  <c r="P150" i="31"/>
  <c r="P148" i="31"/>
  <c r="P146" i="31"/>
  <c r="P142" i="31"/>
  <c r="P140" i="31"/>
  <c r="P138" i="31"/>
  <c r="P112" i="31"/>
  <c r="P137" i="32"/>
  <c r="P127" i="32"/>
  <c r="P119" i="32"/>
  <c r="P119" i="33"/>
  <c r="P152" i="35"/>
  <c r="P140" i="35"/>
  <c r="P138" i="35"/>
  <c r="P120" i="35"/>
  <c r="P118" i="35"/>
  <c r="P153" i="39"/>
  <c r="P151" i="39"/>
  <c r="P149" i="39"/>
  <c r="P147" i="39"/>
  <c r="P145" i="39"/>
  <c r="P143" i="39"/>
  <c r="P141" i="39"/>
  <c r="P139" i="39"/>
  <c r="P137" i="39"/>
  <c r="P131" i="39"/>
  <c r="P129" i="39"/>
  <c r="P123" i="39"/>
  <c r="P119" i="39"/>
  <c r="P115" i="39"/>
  <c r="P113" i="39"/>
  <c r="P111" i="39"/>
  <c r="P109" i="39"/>
  <c r="P152" i="41"/>
  <c r="P150" i="41"/>
  <c r="P146" i="41"/>
  <c r="P144" i="41"/>
  <c r="P140" i="41"/>
  <c r="P136" i="41"/>
  <c r="P134" i="41"/>
  <c r="P132" i="41"/>
  <c r="P130" i="41"/>
  <c r="P128" i="41"/>
  <c r="P126" i="41"/>
  <c r="P124" i="41"/>
  <c r="P122" i="41"/>
  <c r="P120" i="41"/>
  <c r="P118" i="41"/>
  <c r="P116" i="41"/>
  <c r="P110" i="41"/>
  <c r="P108" i="41"/>
  <c r="P141" i="44"/>
  <c r="P154" i="46"/>
  <c r="P152" i="46"/>
  <c r="P150" i="46"/>
  <c r="P146" i="46"/>
  <c r="P142" i="46"/>
  <c r="P134" i="46"/>
  <c r="P126" i="46"/>
  <c r="P122" i="46"/>
  <c r="P116" i="46"/>
  <c r="P147" i="53"/>
  <c r="P145" i="53"/>
  <c r="P141" i="53"/>
  <c r="P135" i="53"/>
  <c r="P133" i="53"/>
  <c r="P129" i="53"/>
  <c r="P127" i="53"/>
  <c r="P121" i="53"/>
  <c r="P119" i="53"/>
  <c r="P117" i="53"/>
  <c r="P111" i="53"/>
  <c r="P107" i="53"/>
  <c r="P149" i="56"/>
  <c r="P147" i="56"/>
  <c r="P137" i="56"/>
  <c r="P154" i="57"/>
  <c r="P122" i="57"/>
  <c r="P110" i="57"/>
  <c r="P128" i="58"/>
  <c r="P118" i="58"/>
  <c r="P112" i="58"/>
  <c r="P106" i="58"/>
  <c r="P109" i="59"/>
  <c r="P117" i="59"/>
  <c r="P123" i="59"/>
  <c r="P129" i="59"/>
  <c r="P123" i="62"/>
  <c r="P113" i="66"/>
  <c r="P121" i="66"/>
  <c r="P115" i="68"/>
  <c r="P117" i="68"/>
  <c r="P112" i="69"/>
  <c r="P114" i="69"/>
  <c r="P116" i="69"/>
  <c r="P118" i="69"/>
  <c r="P120" i="69"/>
  <c r="P128" i="69"/>
  <c r="P111" i="70"/>
  <c r="P115" i="70"/>
  <c r="P117" i="70"/>
  <c r="P121" i="70"/>
  <c r="P123" i="70"/>
  <c r="P125" i="70"/>
  <c r="P114" i="71"/>
  <c r="P122" i="71"/>
  <c r="P124" i="71"/>
  <c r="P130" i="71"/>
  <c r="P113" i="72"/>
  <c r="P119" i="72"/>
  <c r="P121" i="72"/>
  <c r="P127" i="72"/>
  <c r="P129" i="72"/>
  <c r="P107" i="73"/>
  <c r="P109" i="73"/>
  <c r="P111" i="73"/>
  <c r="P113" i="73"/>
  <c r="P117" i="73"/>
  <c r="P125" i="73"/>
  <c r="P107" i="75"/>
  <c r="P117" i="75"/>
  <c r="P119" i="75"/>
  <c r="P121" i="75"/>
  <c r="P129" i="75"/>
  <c r="P103" i="76"/>
  <c r="P105" i="76"/>
  <c r="P113" i="76"/>
  <c r="P119" i="76"/>
  <c r="P123" i="76"/>
  <c r="P129" i="76"/>
  <c r="P105" i="77"/>
  <c r="P129" i="77"/>
  <c r="P107" i="78"/>
  <c r="P125" i="78"/>
  <c r="P129" i="78"/>
  <c r="P102" i="79"/>
  <c r="P104" i="79"/>
  <c r="P112" i="79"/>
  <c r="P118" i="79"/>
  <c r="P120" i="79"/>
  <c r="P102" i="80"/>
  <c r="P104" i="80"/>
  <c r="P106" i="80"/>
  <c r="P108" i="80"/>
  <c r="P110" i="80"/>
  <c r="P120" i="80"/>
  <c r="P124" i="80"/>
  <c r="P128" i="80"/>
  <c r="P130" i="80"/>
  <c r="P102" i="81"/>
  <c r="P104" i="81"/>
  <c r="P106" i="81"/>
  <c r="P114" i="81"/>
  <c r="P118" i="81"/>
  <c r="P120" i="82"/>
  <c r="P128" i="82"/>
  <c r="P130" i="82"/>
  <c r="P101" i="83"/>
  <c r="P103" i="83"/>
  <c r="P105" i="83"/>
  <c r="P113" i="83"/>
  <c r="P121" i="83"/>
  <c r="P123" i="83"/>
  <c r="P125" i="83"/>
  <c r="P127" i="83"/>
  <c r="P111" i="84"/>
  <c r="P113" i="84"/>
  <c r="P121" i="84"/>
  <c r="P125" i="84"/>
  <c r="P127" i="84"/>
  <c r="P129" i="84"/>
  <c r="P102" i="85"/>
  <c r="P104" i="85"/>
  <c r="P114" i="85"/>
  <c r="P116" i="85"/>
  <c r="P120" i="85"/>
  <c r="P126" i="85"/>
  <c r="P128" i="85"/>
  <c r="P107" i="86"/>
  <c r="P113" i="86"/>
  <c r="P117" i="86"/>
  <c r="P127" i="86"/>
  <c r="P104" i="87"/>
  <c r="P106" i="87"/>
  <c r="P100" i="88"/>
  <c r="P104" i="88"/>
  <c r="P108" i="88"/>
  <c r="P110" i="88"/>
  <c r="P112" i="88"/>
  <c r="P118" i="88"/>
  <c r="P120" i="88"/>
  <c r="P126" i="88"/>
  <c r="P128" i="88"/>
  <c r="P100" i="89"/>
  <c r="P104" i="89"/>
  <c r="P106" i="89"/>
  <c r="P110" i="89"/>
  <c r="P112" i="89"/>
  <c r="P114" i="89"/>
  <c r="P116" i="89"/>
  <c r="P120" i="89"/>
  <c r="P124" i="89"/>
  <c r="P101" i="90"/>
  <c r="P103" i="90"/>
  <c r="P107" i="90"/>
  <c r="P111" i="90"/>
  <c r="P113" i="90"/>
  <c r="P115" i="90"/>
  <c r="P117" i="90"/>
  <c r="P119" i="90"/>
  <c r="P121" i="90"/>
  <c r="P125" i="90"/>
  <c r="P127" i="90"/>
  <c r="P129" i="90"/>
  <c r="P107" i="91"/>
  <c r="P109" i="91"/>
  <c r="P111" i="91"/>
  <c r="P127" i="91"/>
  <c r="P129" i="91"/>
  <c r="P103" i="92"/>
  <c r="P117" i="92"/>
  <c r="P125" i="92"/>
  <c r="P99" i="93"/>
  <c r="P101" i="93"/>
  <c r="P105" i="93"/>
  <c r="P109" i="93"/>
  <c r="P111" i="93"/>
  <c r="P113" i="93"/>
  <c r="P121" i="93"/>
  <c r="P125" i="93"/>
  <c r="P154" i="17"/>
  <c r="P144" i="17"/>
  <c r="P142" i="17"/>
  <c r="P124" i="17"/>
  <c r="P120" i="17"/>
  <c r="P118" i="17"/>
  <c r="P153" i="19"/>
  <c r="P151" i="19"/>
  <c r="P149" i="19"/>
  <c r="P147" i="19"/>
  <c r="P143" i="19"/>
  <c r="P141" i="19"/>
  <c r="P139" i="19"/>
  <c r="P137" i="19"/>
  <c r="P119" i="19"/>
  <c r="P111" i="19"/>
  <c r="P148" i="20"/>
  <c r="P142" i="20"/>
  <c r="P136" i="20"/>
  <c r="P132" i="20"/>
  <c r="P117" i="22"/>
  <c r="P152" i="23"/>
  <c r="P150" i="23"/>
  <c r="P146" i="23"/>
  <c r="P104" i="66"/>
  <c r="P104" i="78"/>
  <c r="P145" i="3"/>
  <c r="P143" i="3"/>
  <c r="P137" i="3"/>
  <c r="P122" i="18"/>
  <c r="P127" i="21"/>
  <c r="P125" i="21"/>
  <c r="P121" i="21"/>
  <c r="P150" i="24"/>
  <c r="P112" i="24"/>
  <c r="P110" i="24"/>
  <c r="P147" i="30"/>
  <c r="P145" i="30"/>
  <c r="P125" i="30"/>
  <c r="P123" i="30"/>
  <c r="P121" i="30"/>
  <c r="P113" i="30"/>
  <c r="P102" i="33"/>
  <c r="P152" i="34"/>
  <c r="P144" i="34"/>
  <c r="P132" i="34"/>
  <c r="P130" i="34"/>
  <c r="P126" i="34"/>
  <c r="P124" i="34"/>
  <c r="P122" i="34"/>
  <c r="P110" i="34"/>
  <c r="P151" i="43"/>
  <c r="P149" i="43"/>
  <c r="P147" i="43"/>
  <c r="P145" i="43"/>
  <c r="P141" i="43"/>
  <c r="P123" i="43"/>
  <c r="P121" i="43"/>
  <c r="P119" i="43"/>
  <c r="P115" i="43"/>
  <c r="P113" i="43"/>
  <c r="P111" i="43"/>
  <c r="P107" i="43"/>
  <c r="P154" i="44"/>
  <c r="P152" i="44"/>
  <c r="P150" i="44"/>
  <c r="P142" i="44"/>
  <c r="P140" i="44"/>
  <c r="P136" i="44"/>
  <c r="P132" i="44"/>
  <c r="P112" i="44"/>
  <c r="P110" i="44"/>
  <c r="P112" i="45"/>
  <c r="P119" i="54"/>
  <c r="P108" i="60"/>
  <c r="P104" i="61"/>
  <c r="P102" i="96"/>
  <c r="P112" i="78"/>
  <c r="P122" i="78"/>
  <c r="P124" i="78"/>
  <c r="P105" i="80"/>
  <c r="P140" i="23"/>
  <c r="P138" i="23"/>
  <c r="P136" i="23"/>
  <c r="P134" i="23"/>
  <c r="P141" i="25"/>
  <c r="P111" i="25"/>
  <c r="P143" i="27"/>
  <c r="P147" i="29"/>
  <c r="P145" i="29"/>
  <c r="P137" i="29"/>
  <c r="P135" i="29"/>
  <c r="P123" i="29"/>
  <c r="P152" i="32"/>
  <c r="P144" i="32"/>
  <c r="P142" i="32"/>
  <c r="P136" i="32"/>
  <c r="P134" i="32"/>
  <c r="P132" i="32"/>
  <c r="P130" i="32"/>
  <c r="P128" i="32"/>
  <c r="P123" i="46"/>
  <c r="P119" i="46"/>
  <c r="P117" i="46"/>
  <c r="P115" i="46"/>
  <c r="P113" i="46"/>
  <c r="P109" i="46"/>
  <c r="P107" i="46"/>
  <c r="P105" i="46"/>
  <c r="P130" i="68"/>
  <c r="P108" i="78"/>
  <c r="J94" i="44"/>
  <c r="J95" i="44" s="1"/>
  <c r="P151" i="42"/>
  <c r="P149" i="42"/>
  <c r="P147" i="42"/>
  <c r="P145" i="42"/>
  <c r="P143" i="42"/>
  <c r="P141" i="42"/>
  <c r="P139" i="42"/>
  <c r="P137" i="42"/>
  <c r="P135" i="42"/>
  <c r="P133" i="42"/>
  <c r="P131" i="42"/>
  <c r="P125" i="42"/>
  <c r="P119" i="42"/>
  <c r="P115" i="42"/>
  <c r="P113" i="42"/>
  <c r="P111" i="42"/>
  <c r="P109" i="42"/>
  <c r="P107" i="42"/>
  <c r="P152" i="45"/>
  <c r="P146" i="45"/>
  <c r="P142" i="45"/>
  <c r="P140" i="45"/>
  <c r="P138" i="45"/>
  <c r="P136" i="45"/>
  <c r="P134" i="45"/>
  <c r="P132" i="45"/>
  <c r="P130" i="45"/>
  <c r="P128" i="45"/>
  <c r="P126" i="45"/>
  <c r="P124" i="45"/>
  <c r="P122" i="45"/>
  <c r="P120" i="45"/>
  <c r="P118" i="45"/>
  <c r="P116" i="45"/>
  <c r="P114" i="45"/>
  <c r="P110" i="45"/>
  <c r="P108" i="45"/>
  <c r="P106" i="45"/>
  <c r="P153" i="54"/>
  <c r="P143" i="54"/>
  <c r="P141" i="54"/>
  <c r="P135" i="54"/>
  <c r="P133" i="54"/>
  <c r="P123" i="54"/>
  <c r="P109" i="54"/>
  <c r="P107" i="54"/>
  <c r="P105" i="54"/>
  <c r="J94" i="95"/>
  <c r="J95" i="95" s="1"/>
  <c r="J94" i="53"/>
  <c r="J95" i="53" s="1"/>
  <c r="P114" i="17"/>
  <c r="P149" i="25"/>
  <c r="P133" i="25"/>
  <c r="P131" i="31"/>
  <c r="P149" i="35"/>
  <c r="P143" i="35"/>
  <c r="J94" i="63"/>
  <c r="J95" i="63" s="1"/>
  <c r="J94" i="23"/>
  <c r="J95" i="23" s="1"/>
  <c r="J94" i="93"/>
  <c r="J95" i="93" s="1"/>
  <c r="J94" i="64"/>
  <c r="J95" i="64" s="1"/>
  <c r="J94" i="83"/>
  <c r="J95" i="83" s="1"/>
  <c r="J94" i="45"/>
  <c r="J95" i="45" s="1"/>
  <c r="J94" i="78"/>
  <c r="J95" i="78" s="1"/>
  <c r="J94" i="66"/>
  <c r="J95" i="66" s="1"/>
  <c r="J94" i="32"/>
  <c r="J95" i="32" s="1"/>
  <c r="J94" i="13"/>
  <c r="J95" i="13" s="1"/>
  <c r="J94" i="19"/>
  <c r="J95" i="19" s="1"/>
  <c r="J94" i="35"/>
  <c r="J95" i="35" s="1"/>
  <c r="J94" i="60"/>
  <c r="J95" i="60" s="1"/>
  <c r="J94" i="75"/>
  <c r="J95" i="75" s="1"/>
  <c r="P138" i="17"/>
  <c r="P145" i="46"/>
  <c r="P139" i="46"/>
  <c r="P137" i="46"/>
  <c r="P135" i="46"/>
  <c r="P131" i="46"/>
  <c r="J94" i="96"/>
  <c r="J95" i="96" s="1"/>
  <c r="J94" i="72"/>
  <c r="J95" i="72" s="1"/>
  <c r="J94" i="85"/>
  <c r="J94" i="69"/>
  <c r="J95" i="69" s="1"/>
  <c r="J94" i="94"/>
  <c r="J95" i="94" s="1"/>
  <c r="J94" i="26"/>
  <c r="J95" i="26" s="1"/>
  <c r="J94" i="67"/>
  <c r="J95" i="67" s="1"/>
  <c r="J94" i="41"/>
  <c r="J95" i="41" s="1"/>
  <c r="J94" i="76"/>
  <c r="J95" i="76" s="1"/>
  <c r="J94" i="27"/>
  <c r="J95" i="27" s="1"/>
  <c r="J94" i="62"/>
  <c r="J95" i="62" s="1"/>
  <c r="J94" i="17"/>
  <c r="J95" i="17" s="1"/>
  <c r="J94" i="87"/>
  <c r="J95" i="87" s="1"/>
  <c r="P138" i="3"/>
  <c r="P136" i="3"/>
  <c r="P134" i="3"/>
  <c r="P132" i="3"/>
  <c r="P118" i="3"/>
  <c r="P108" i="3"/>
  <c r="P151" i="18"/>
  <c r="C62" i="2"/>
  <c r="F17" i="2"/>
  <c r="P147" i="17"/>
  <c r="P117" i="17"/>
  <c r="P113" i="17"/>
  <c r="P136" i="19"/>
  <c r="P116" i="19"/>
  <c r="P153" i="20"/>
  <c r="P134" i="22"/>
  <c r="J92" i="87"/>
  <c r="M87" i="87" s="1"/>
  <c r="J92" i="34"/>
  <c r="N87" i="34" s="1"/>
  <c r="J92" i="78"/>
  <c r="N87" i="78" s="1"/>
  <c r="J92" i="25"/>
  <c r="M87" i="25" s="1"/>
  <c r="J92" i="31"/>
  <c r="L86" i="31" s="1"/>
  <c r="J92" i="75"/>
  <c r="N87" i="75" s="1"/>
  <c r="J92" i="64"/>
  <c r="L86" i="64" s="1"/>
  <c r="J92" i="27"/>
  <c r="M87" i="27" s="1"/>
  <c r="J92" i="76"/>
  <c r="L86" i="76" s="1"/>
  <c r="J92" i="28"/>
  <c r="M87" i="28" s="1"/>
  <c r="J92" i="95"/>
  <c r="M87" i="95" s="1"/>
  <c r="J92" i="66"/>
  <c r="L86" i="66" s="1"/>
  <c r="J92" i="86"/>
  <c r="M87" i="86" s="1"/>
  <c r="J92" i="93"/>
  <c r="M87" i="93" s="1"/>
  <c r="J92" i="65"/>
  <c r="L86" i="65" s="1"/>
  <c r="J92" i="70"/>
  <c r="N87" i="70" s="1"/>
  <c r="J92" i="94"/>
  <c r="M87" i="94" s="1"/>
  <c r="J92" i="43"/>
  <c r="M87" i="43" s="1"/>
  <c r="J92" i="69"/>
  <c r="N87" i="69" s="1"/>
  <c r="C79" i="2"/>
  <c r="C22" i="2"/>
  <c r="C59" i="2"/>
  <c r="C80" i="2"/>
  <c r="F14" i="2"/>
  <c r="E19" i="2" s="1"/>
  <c r="P109" i="81"/>
  <c r="P127" i="81"/>
  <c r="C73" i="2"/>
  <c r="C14" i="2"/>
  <c r="C61" i="2"/>
  <c r="C39" i="2"/>
  <c r="P153" i="17"/>
  <c r="P151" i="17"/>
  <c r="P133" i="17"/>
  <c r="P115" i="17"/>
  <c r="P134" i="19"/>
  <c r="P112" i="19"/>
  <c r="P149" i="20"/>
  <c r="P154" i="22"/>
  <c r="P136" i="22"/>
  <c r="P126" i="22"/>
  <c r="P118" i="22"/>
  <c r="P110" i="22"/>
  <c r="N87" i="18"/>
  <c r="J92" i="61"/>
  <c r="N87" i="61" s="1"/>
  <c r="J92" i="79"/>
  <c r="L86" i="79" s="1"/>
  <c r="J92" i="23"/>
  <c r="M87" i="23" s="1"/>
  <c r="J92" i="46"/>
  <c r="M87" i="46" s="1"/>
  <c r="J92" i="67"/>
  <c r="L86" i="67" s="1"/>
  <c r="J92" i="58"/>
  <c r="M87" i="58" s="1"/>
  <c r="J92" i="60"/>
  <c r="L86" i="60" s="1"/>
  <c r="J92" i="33"/>
  <c r="L86" i="33" s="1"/>
  <c r="J92" i="88"/>
  <c r="M87" i="88" s="1"/>
  <c r="J92" i="3"/>
  <c r="M87" i="3" s="1"/>
  <c r="J92" i="17"/>
  <c r="L86" i="17" s="1"/>
  <c r="J92" i="21"/>
  <c r="N87" i="21" s="1"/>
  <c r="J92" i="90"/>
  <c r="M87" i="90" s="1"/>
  <c r="J92" i="74"/>
  <c r="N87" i="74" s="1"/>
  <c r="J92" i="39"/>
  <c r="L86" i="39" s="1"/>
  <c r="J92" i="24"/>
  <c r="C28" i="2"/>
  <c r="C50" i="2"/>
  <c r="C56" i="2"/>
  <c r="C77" i="2"/>
  <c r="P111" i="58"/>
  <c r="P116" i="60"/>
  <c r="P118" i="60"/>
  <c r="P120" i="60"/>
  <c r="P122" i="60"/>
  <c r="P128" i="60"/>
  <c r="P106" i="61"/>
  <c r="P108" i="61"/>
  <c r="P114" i="61"/>
  <c r="P116" i="61"/>
  <c r="P118" i="61"/>
  <c r="P122" i="61"/>
  <c r="P108" i="62"/>
  <c r="P110" i="62"/>
  <c r="P112" i="62"/>
  <c r="P114" i="62"/>
  <c r="P116" i="62"/>
  <c r="P120" i="62"/>
  <c r="P122" i="62"/>
  <c r="P124" i="62"/>
  <c r="P128" i="62"/>
  <c r="P112" i="64"/>
  <c r="P116" i="64"/>
  <c r="P104" i="65"/>
  <c r="P120" i="65"/>
  <c r="P122" i="65"/>
  <c r="P104" i="67"/>
  <c r="P106" i="67"/>
  <c r="P114" i="67"/>
  <c r="P116" i="67"/>
  <c r="P120" i="67"/>
  <c r="P122" i="67"/>
  <c r="P124" i="67"/>
  <c r="P108" i="72"/>
  <c r="P110" i="72"/>
  <c r="P116" i="72"/>
  <c r="P120" i="72"/>
  <c r="P124" i="72"/>
  <c r="P126" i="72"/>
  <c r="P108" i="73"/>
  <c r="P112" i="73"/>
  <c r="P116" i="73"/>
  <c r="P118" i="73"/>
  <c r="P120" i="73"/>
  <c r="P122" i="73"/>
  <c r="P124" i="73"/>
  <c r="P128" i="73"/>
  <c r="P102" i="76"/>
  <c r="P108" i="76"/>
  <c r="P110" i="76"/>
  <c r="P112" i="76"/>
  <c r="P114" i="76"/>
  <c r="P122" i="76"/>
  <c r="P124" i="76"/>
  <c r="P126" i="76"/>
  <c r="P128" i="76"/>
  <c r="P130" i="76"/>
  <c r="P103" i="85"/>
  <c r="P107" i="85"/>
  <c r="P113" i="85"/>
  <c r="P127" i="85"/>
  <c r="P129" i="85"/>
  <c r="P107" i="89"/>
  <c r="P109" i="89"/>
  <c r="P111" i="89"/>
  <c r="P113" i="89"/>
  <c r="P117" i="89"/>
  <c r="P127" i="89"/>
  <c r="P100" i="90"/>
  <c r="P108" i="90"/>
  <c r="P110" i="90"/>
  <c r="P122" i="90"/>
  <c r="P128" i="90"/>
  <c r="P112" i="96"/>
  <c r="P114" i="96"/>
  <c r="P122" i="96"/>
  <c r="P128" i="96"/>
  <c r="P115" i="79"/>
  <c r="P129" i="88"/>
  <c r="P105" i="25"/>
  <c r="P154" i="28"/>
  <c r="P154" i="53"/>
  <c r="P152" i="53"/>
  <c r="P150" i="53"/>
  <c r="P148" i="53"/>
  <c r="P146" i="53"/>
  <c r="P144" i="53"/>
  <c r="P140" i="53"/>
  <c r="P138" i="53"/>
  <c r="P134" i="53"/>
  <c r="P132" i="53"/>
  <c r="P130" i="53"/>
  <c r="P128" i="53"/>
  <c r="P126" i="53"/>
  <c r="P124" i="53"/>
  <c r="P121" i="59"/>
  <c r="P105" i="68"/>
  <c r="P119" i="70"/>
  <c r="P126" i="71"/>
  <c r="P102" i="88"/>
  <c r="P147" i="3"/>
  <c r="P123" i="3"/>
  <c r="P113" i="3"/>
  <c r="P126" i="13"/>
  <c r="P110" i="13"/>
  <c r="P102" i="13"/>
  <c r="P154" i="18"/>
  <c r="P146" i="18"/>
  <c r="P132" i="18"/>
  <c r="P112" i="18"/>
  <c r="P137" i="21"/>
  <c r="P123" i="21"/>
  <c r="P119" i="21"/>
  <c r="P111" i="23"/>
  <c r="P134" i="25"/>
  <c r="P110" i="71"/>
  <c r="P120" i="71"/>
  <c r="P109" i="75"/>
  <c r="P116" i="81"/>
  <c r="P123" i="84"/>
  <c r="P111" i="86"/>
  <c r="P116" i="87"/>
  <c r="P113" i="92"/>
  <c r="N87" i="42"/>
  <c r="L86" i="42"/>
  <c r="M87" i="42"/>
  <c r="N87" i="30"/>
  <c r="M87" i="30"/>
  <c r="L86" i="30"/>
  <c r="L86" i="81"/>
  <c r="M87" i="13"/>
  <c r="N87" i="13"/>
  <c r="P117" i="3"/>
  <c r="P128" i="13"/>
  <c r="P124" i="13"/>
  <c r="P116" i="13"/>
  <c r="P136" i="18"/>
  <c r="P130" i="18"/>
  <c r="P114" i="18"/>
  <c r="P133" i="21"/>
  <c r="P117" i="21"/>
  <c r="P132" i="25"/>
  <c r="P126" i="25"/>
  <c r="P107" i="63"/>
  <c r="P126" i="80"/>
  <c r="P133" i="35"/>
  <c r="P129" i="35"/>
  <c r="P123" i="35"/>
  <c r="P121" i="35"/>
  <c r="P115" i="35"/>
  <c r="P113" i="35"/>
  <c r="P111" i="35"/>
  <c r="P109" i="35"/>
  <c r="P107" i="35"/>
  <c r="P105" i="35"/>
  <c r="P145" i="17"/>
  <c r="P125" i="17"/>
  <c r="P154" i="19"/>
  <c r="P150" i="19"/>
  <c r="P142" i="19"/>
  <c r="P115" i="20"/>
  <c r="P113" i="20"/>
  <c r="P122" i="53"/>
  <c r="M87" i="72"/>
  <c r="O87" i="72" s="1"/>
  <c r="L86" i="72"/>
  <c r="L86" i="91"/>
  <c r="N87" i="91"/>
  <c r="O87" i="91" s="1"/>
  <c r="L86" i="92"/>
  <c r="N87" i="92"/>
  <c r="L86" i="19"/>
  <c r="M87" i="32"/>
  <c r="M87" i="78"/>
  <c r="O87" i="78" s="1"/>
  <c r="N87" i="31"/>
  <c r="M87" i="41"/>
  <c r="P153" i="53"/>
  <c r="P151" i="53"/>
  <c r="P149" i="53"/>
  <c r="P143" i="53"/>
  <c r="P139" i="53"/>
  <c r="P137" i="53"/>
  <c r="P131" i="53"/>
  <c r="P125" i="53"/>
  <c r="P123" i="53"/>
  <c r="P115" i="53"/>
  <c r="P113" i="53"/>
  <c r="P109" i="53"/>
  <c r="P105" i="53"/>
  <c r="P154" i="58"/>
  <c r="P152" i="58"/>
  <c r="P150" i="58"/>
  <c r="P148" i="58"/>
  <c r="P146" i="58"/>
  <c r="P144" i="58"/>
  <c r="P142" i="58"/>
  <c r="P140" i="58"/>
  <c r="P138" i="58"/>
  <c r="P132" i="58"/>
  <c r="P126" i="58"/>
  <c r="P122" i="58"/>
  <c r="P120" i="58"/>
  <c r="P114" i="58"/>
  <c r="P110" i="58"/>
  <c r="P108" i="58"/>
  <c r="P109" i="63"/>
  <c r="P111" i="63"/>
  <c r="P115" i="63"/>
  <c r="P117" i="63"/>
  <c r="P119" i="63"/>
  <c r="P125" i="63"/>
  <c r="P129" i="63"/>
  <c r="P112" i="17"/>
  <c r="P114" i="24"/>
  <c r="P118" i="71"/>
  <c r="P128" i="81"/>
  <c r="P121" i="86"/>
  <c r="P129" i="92"/>
  <c r="P117" i="13"/>
  <c r="P113" i="13"/>
  <c r="P111" i="13"/>
  <c r="P109" i="13"/>
  <c r="P153" i="18"/>
  <c r="P147" i="18"/>
  <c r="P137" i="18"/>
  <c r="P123" i="18"/>
  <c r="P135" i="26"/>
  <c r="P115" i="26"/>
  <c r="P113" i="26"/>
  <c r="P107" i="26"/>
  <c r="P105" i="26"/>
  <c r="P151" i="54"/>
  <c r="P149" i="54"/>
  <c r="P147" i="54"/>
  <c r="P145" i="54"/>
  <c r="P139" i="54"/>
  <c r="P137" i="54"/>
  <c r="P131" i="54"/>
  <c r="P129" i="54"/>
  <c r="P127" i="54"/>
  <c r="P125" i="54"/>
  <c r="P117" i="54"/>
  <c r="P115" i="54"/>
  <c r="P113" i="54"/>
  <c r="P111" i="54"/>
  <c r="P110" i="60"/>
  <c r="P112" i="60"/>
  <c r="P124" i="60"/>
  <c r="P126" i="60"/>
  <c r="P120" i="76"/>
  <c r="P129" i="94"/>
  <c r="P130" i="96"/>
  <c r="P141" i="3"/>
  <c r="P139" i="3"/>
  <c r="P131" i="3"/>
  <c r="P129" i="3"/>
  <c r="P127" i="3"/>
  <c r="P125" i="3"/>
  <c r="P121" i="3"/>
  <c r="P115" i="3"/>
  <c r="P111" i="3"/>
  <c r="P125" i="23"/>
  <c r="P123" i="23"/>
  <c r="P119" i="23"/>
  <c r="P117" i="23"/>
  <c r="P115" i="23"/>
  <c r="P150" i="25"/>
  <c r="P142" i="25"/>
  <c r="P140" i="25"/>
  <c r="P138" i="25"/>
  <c r="P136" i="25"/>
  <c r="P130" i="25"/>
  <c r="P128" i="25"/>
  <c r="P122" i="25"/>
  <c r="P120" i="25"/>
  <c r="P118" i="25"/>
  <c r="P116" i="25"/>
  <c r="P114" i="25"/>
  <c r="P112" i="25"/>
  <c r="P110" i="25"/>
  <c r="P108" i="25"/>
  <c r="P136" i="30"/>
  <c r="P134" i="30"/>
  <c r="P128" i="30"/>
  <c r="P126" i="30"/>
  <c r="P124" i="30"/>
  <c r="P122" i="30"/>
  <c r="P120" i="30"/>
  <c r="P118" i="30"/>
  <c r="P114" i="30"/>
  <c r="P113" i="34"/>
  <c r="P151" i="45"/>
  <c r="P142" i="53"/>
  <c r="P136" i="53"/>
  <c r="P153" i="56"/>
  <c r="P151" i="56"/>
  <c r="P143" i="56"/>
  <c r="P141" i="56"/>
  <c r="P139" i="56"/>
  <c r="P135" i="56"/>
  <c r="P131" i="56"/>
  <c r="P127" i="56"/>
  <c r="P125" i="56"/>
  <c r="P123" i="56"/>
  <c r="P119" i="56"/>
  <c r="P117" i="56"/>
  <c r="P115" i="56"/>
  <c r="P113" i="56"/>
  <c r="P111" i="56"/>
  <c r="P109" i="56"/>
  <c r="P107" i="56"/>
  <c r="P145" i="57"/>
  <c r="P141" i="57"/>
  <c r="P129" i="58"/>
  <c r="P111" i="72"/>
  <c r="P115" i="73"/>
  <c r="P127" i="73"/>
  <c r="P129" i="73"/>
  <c r="P104" i="83"/>
  <c r="P108" i="94"/>
  <c r="P122" i="94"/>
  <c r="P129" i="96"/>
  <c r="N5" i="90"/>
  <c r="I19" i="90"/>
  <c r="N5" i="96"/>
  <c r="N6" i="39"/>
  <c r="N5" i="66"/>
  <c r="I22" i="66"/>
  <c r="N5" i="75"/>
  <c r="I21" i="75"/>
  <c r="N5" i="24"/>
  <c r="N6" i="30"/>
  <c r="I28" i="31"/>
  <c r="O87" i="18"/>
  <c r="O22" i="74"/>
  <c r="B19" i="92"/>
  <c r="B22" i="35"/>
  <c r="E22" i="35"/>
  <c r="F22" i="35" s="1"/>
  <c r="G21" i="35"/>
  <c r="I21" i="35" s="1"/>
  <c r="D93" i="28"/>
  <c r="F20" i="1"/>
  <c r="F19" i="2"/>
  <c r="P151" i="3"/>
  <c r="O40" i="3"/>
  <c r="O33" i="3"/>
  <c r="O27" i="3"/>
  <c r="O38" i="17"/>
  <c r="O59" i="18"/>
  <c r="O62" i="19"/>
  <c r="P99" i="21"/>
  <c r="O34" i="3"/>
  <c r="O35" i="18"/>
  <c r="O27" i="19"/>
  <c r="P100" i="20"/>
  <c r="P147" i="20"/>
  <c r="P145" i="20"/>
  <c r="P141" i="20"/>
  <c r="P137" i="20"/>
  <c r="P130" i="20"/>
  <c r="P128" i="20"/>
  <c r="P126" i="20"/>
  <c r="P114" i="20"/>
  <c r="P154" i="21"/>
  <c r="P152" i="21"/>
  <c r="P150" i="21"/>
  <c r="P146" i="21"/>
  <c r="P142" i="21"/>
  <c r="P140" i="21"/>
  <c r="P136" i="21"/>
  <c r="P134" i="21"/>
  <c r="P132" i="21"/>
  <c r="P118" i="21"/>
  <c r="P116" i="21"/>
  <c r="P110" i="21"/>
  <c r="P108" i="21"/>
  <c r="P153" i="22"/>
  <c r="P151" i="22"/>
  <c r="P149" i="22"/>
  <c r="P145" i="22"/>
  <c r="P143" i="22"/>
  <c r="P139" i="22"/>
  <c r="P129" i="22"/>
  <c r="P119" i="22"/>
  <c r="P113" i="22"/>
  <c r="P154" i="23"/>
  <c r="P129" i="27"/>
  <c r="P121" i="27"/>
  <c r="P113" i="27"/>
  <c r="P103" i="32"/>
  <c r="O21" i="32"/>
  <c r="P103" i="28"/>
  <c r="O18" i="44"/>
  <c r="O72" i="58"/>
  <c r="O17" i="28"/>
  <c r="O61" i="34"/>
  <c r="P99" i="46"/>
  <c r="O67" i="54"/>
  <c r="P152" i="17"/>
  <c r="P132" i="17"/>
  <c r="P130" i="17"/>
  <c r="P128" i="17"/>
  <c r="P138" i="19"/>
  <c r="P110" i="19"/>
  <c r="P152" i="20"/>
  <c r="P150" i="20"/>
  <c r="P146" i="20"/>
  <c r="P144" i="20"/>
  <c r="P153" i="21"/>
  <c r="P149" i="21"/>
  <c r="P109" i="21"/>
  <c r="P153" i="23"/>
  <c r="P151" i="23"/>
  <c r="P143" i="23"/>
  <c r="P141" i="23"/>
  <c r="P130" i="23"/>
  <c r="P128" i="23"/>
  <c r="P118" i="23"/>
  <c r="P114" i="23"/>
  <c r="P138" i="27"/>
  <c r="P132" i="27"/>
  <c r="P128" i="27"/>
  <c r="P118" i="27"/>
  <c r="P112" i="27"/>
  <c r="O63" i="28"/>
  <c r="O18" i="28"/>
  <c r="P99" i="39"/>
  <c r="P99" i="44"/>
  <c r="O29" i="53"/>
  <c r="P153" i="28"/>
  <c r="P151" i="28"/>
  <c r="P147" i="28"/>
  <c r="P139" i="28"/>
  <c r="P129" i="28"/>
  <c r="P151" i="30"/>
  <c r="P149" i="30"/>
  <c r="P143" i="30"/>
  <c r="P137" i="30"/>
  <c r="P133" i="30"/>
  <c r="P131" i="30"/>
  <c r="P129" i="30"/>
  <c r="P127" i="30"/>
  <c r="P117" i="30"/>
  <c r="P115" i="30"/>
  <c r="P111" i="30"/>
  <c r="P153" i="31"/>
  <c r="P147" i="31"/>
  <c r="P145" i="31"/>
  <c r="P139" i="31"/>
  <c r="P135" i="31"/>
  <c r="P133" i="31"/>
  <c r="P124" i="31"/>
  <c r="P122" i="31"/>
  <c r="P114" i="31"/>
  <c r="P141" i="32"/>
  <c r="P139" i="32"/>
  <c r="P135" i="32"/>
  <c r="P129" i="32"/>
  <c r="P121" i="32"/>
  <c r="P149" i="33"/>
  <c r="P145" i="33"/>
  <c r="P143" i="33"/>
  <c r="P141" i="33"/>
  <c r="P135" i="33"/>
  <c r="P133" i="33"/>
  <c r="P131" i="33"/>
  <c r="P129" i="33"/>
  <c r="P125" i="33"/>
  <c r="P123" i="33"/>
  <c r="P115" i="33"/>
  <c r="P109" i="33"/>
  <c r="P107" i="33"/>
  <c r="P105" i="33"/>
  <c r="P103" i="33"/>
  <c r="P141" i="34"/>
  <c r="P137" i="34"/>
  <c r="P135" i="34"/>
  <c r="P133" i="34"/>
  <c r="P127" i="34"/>
  <c r="P125" i="34"/>
  <c r="P117" i="34"/>
  <c r="P115" i="34"/>
  <c r="P112" i="34"/>
  <c r="P154" i="35"/>
  <c r="P142" i="35"/>
  <c r="P132" i="35"/>
  <c r="P128" i="35"/>
  <c r="P126" i="35"/>
  <c r="P124" i="35"/>
  <c r="P116" i="35"/>
  <c r="P114" i="35"/>
  <c r="P112" i="35"/>
  <c r="P108" i="35"/>
  <c r="P106" i="35"/>
  <c r="P104" i="35"/>
  <c r="P144" i="39"/>
  <c r="P130" i="39"/>
  <c r="P151" i="41"/>
  <c r="P145" i="41"/>
  <c r="P129" i="41"/>
  <c r="P127" i="41"/>
  <c r="P123" i="41"/>
  <c r="P115" i="41"/>
  <c r="P154" i="42"/>
  <c r="P116" i="42"/>
  <c r="P153" i="43"/>
  <c r="P129" i="43"/>
  <c r="P109" i="43"/>
  <c r="P131" i="44"/>
  <c r="P129" i="44"/>
  <c r="P117" i="44"/>
  <c r="P113" i="44"/>
  <c r="P111" i="44"/>
  <c r="P109" i="44"/>
  <c r="P154" i="45"/>
  <c r="P149" i="45"/>
  <c r="P147" i="45"/>
  <c r="P139" i="58"/>
  <c r="P135" i="58"/>
  <c r="O23" i="59"/>
  <c r="O43" i="59"/>
  <c r="O69" i="59"/>
  <c r="O28" i="60"/>
  <c r="O50" i="60"/>
  <c r="O34" i="61"/>
  <c r="O26" i="62"/>
  <c r="O35" i="62"/>
  <c r="O69" i="63"/>
  <c r="O33" i="64"/>
  <c r="O56" i="64"/>
  <c r="O24" i="30"/>
  <c r="O20" i="22"/>
  <c r="P148" i="28"/>
  <c r="P144" i="28"/>
  <c r="P132" i="28"/>
  <c r="P114" i="28"/>
  <c r="P148" i="29"/>
  <c r="P154" i="31"/>
  <c r="P144" i="31"/>
  <c r="P104" i="33"/>
  <c r="P138" i="34"/>
  <c r="P136" i="34"/>
  <c r="P134" i="34"/>
  <c r="P116" i="34"/>
  <c r="P114" i="34"/>
  <c r="P133" i="39"/>
  <c r="P117" i="39"/>
  <c r="P107" i="39"/>
  <c r="P130" i="46"/>
  <c r="P112" i="46"/>
  <c r="P146" i="55"/>
  <c r="P140" i="55"/>
  <c r="P134" i="55"/>
  <c r="P132" i="55"/>
  <c r="P130" i="55"/>
  <c r="P128" i="55"/>
  <c r="P142" i="56"/>
  <c r="P136" i="56"/>
  <c r="O33" i="59"/>
  <c r="O31" i="61"/>
  <c r="O48" i="61"/>
  <c r="O36" i="62"/>
  <c r="O29" i="63"/>
  <c r="O58" i="63"/>
  <c r="O70" i="63"/>
  <c r="O22" i="24"/>
  <c r="P104" i="62"/>
  <c r="P106" i="62"/>
  <c r="P118" i="62"/>
  <c r="O38" i="65"/>
  <c r="O60" i="65"/>
  <c r="O27" i="66"/>
  <c r="O55" i="66"/>
  <c r="O21" i="41"/>
  <c r="P100" i="53"/>
  <c r="O19" i="54"/>
  <c r="O19" i="56"/>
  <c r="P100" i="56"/>
  <c r="O19" i="58"/>
  <c r="O18" i="59"/>
  <c r="O18" i="63"/>
  <c r="P99" i="63"/>
  <c r="O17" i="68"/>
  <c r="O34" i="69"/>
  <c r="O53" i="69"/>
  <c r="O47" i="70"/>
  <c r="O25" i="72"/>
  <c r="O32" i="73"/>
  <c r="O48" i="73"/>
  <c r="O24" i="76"/>
  <c r="O66" i="76"/>
  <c r="O66" i="77"/>
  <c r="O26" i="78"/>
  <c r="O19" i="69"/>
  <c r="P104" i="3"/>
  <c r="O23" i="20"/>
  <c r="O24" i="23"/>
  <c r="P106" i="27"/>
  <c r="O20" i="57"/>
  <c r="O22" i="45"/>
  <c r="O21" i="79"/>
  <c r="O27" i="79"/>
  <c r="O22" i="69"/>
  <c r="P104" i="21"/>
  <c r="P104" i="22"/>
  <c r="O20" i="46"/>
  <c r="P100" i="59"/>
  <c r="P100" i="61"/>
  <c r="O19" i="60"/>
  <c r="P104" i="59"/>
  <c r="P106" i="59"/>
  <c r="P108" i="59"/>
  <c r="P112" i="59"/>
  <c r="P114" i="59"/>
  <c r="P128" i="59"/>
  <c r="P115" i="60"/>
  <c r="P117" i="60"/>
  <c r="P119" i="60"/>
  <c r="P121" i="60"/>
  <c r="O18" i="62"/>
  <c r="P99" i="60"/>
  <c r="O17" i="66"/>
  <c r="O37" i="69"/>
  <c r="O41" i="69"/>
  <c r="O65" i="69"/>
  <c r="O46" i="70"/>
  <c r="O50" i="70"/>
  <c r="O42" i="71"/>
  <c r="O33" i="73"/>
  <c r="O57" i="73"/>
  <c r="O44" i="75"/>
  <c r="O48" i="76"/>
  <c r="O27" i="77"/>
  <c r="O58" i="77"/>
  <c r="O71" i="78"/>
  <c r="O18" i="67"/>
  <c r="P102" i="57"/>
  <c r="P109" i="66"/>
  <c r="P129" i="66"/>
  <c r="P113" i="71"/>
  <c r="P115" i="71"/>
  <c r="O20" i="72"/>
  <c r="O22" i="73"/>
  <c r="O29" i="80"/>
  <c r="O64" i="81"/>
  <c r="O44" i="82"/>
  <c r="O50" i="82"/>
  <c r="O37" i="83"/>
  <c r="O34" i="84"/>
  <c r="O44" i="84"/>
  <c r="O61" i="84"/>
  <c r="P105" i="19"/>
  <c r="O25" i="23"/>
  <c r="P104" i="41"/>
  <c r="P125" i="75"/>
  <c r="P127" i="75"/>
  <c r="P104" i="43"/>
  <c r="P127" i="68"/>
  <c r="P127" i="76"/>
  <c r="O24" i="81"/>
  <c r="O68" i="81"/>
  <c r="O47" i="82"/>
  <c r="O72" i="82"/>
  <c r="O24" i="20"/>
  <c r="P108" i="28"/>
  <c r="O25" i="31"/>
  <c r="O23" i="41"/>
  <c r="P102" i="55"/>
  <c r="P101" i="63"/>
  <c r="P125" i="82"/>
  <c r="P115" i="83"/>
  <c r="P101" i="60"/>
  <c r="O21" i="72"/>
  <c r="O23" i="73"/>
  <c r="O22" i="86"/>
  <c r="O18" i="78"/>
  <c r="P120" i="81"/>
  <c r="P124" i="81"/>
  <c r="P126" i="81"/>
  <c r="P106" i="82"/>
  <c r="P108" i="82"/>
  <c r="P112" i="82"/>
  <c r="P122" i="82"/>
  <c r="P106" i="83"/>
  <c r="P116" i="83"/>
  <c r="P118" i="83"/>
  <c r="P126" i="83"/>
  <c r="P114" i="84"/>
  <c r="P116" i="84"/>
  <c r="O18" i="76"/>
  <c r="O43" i="85"/>
  <c r="O47" i="85"/>
  <c r="O36" i="86"/>
  <c r="O46" i="86"/>
  <c r="O33" i="87"/>
  <c r="O31" i="88"/>
  <c r="O35" i="88"/>
  <c r="O49" i="89"/>
  <c r="O60" i="89"/>
  <c r="P106" i="21"/>
  <c r="P111" i="85"/>
  <c r="P119" i="85"/>
  <c r="P123" i="85"/>
  <c r="P109" i="28"/>
  <c r="P125" i="86"/>
  <c r="P129" i="86"/>
  <c r="P106" i="19"/>
  <c r="O29" i="90"/>
  <c r="O62" i="90"/>
  <c r="O22" i="91"/>
  <c r="O40" i="91"/>
  <c r="P106" i="20"/>
  <c r="P108" i="30"/>
  <c r="O22" i="58"/>
  <c r="P101" i="66"/>
  <c r="P101" i="68"/>
  <c r="P103" i="72"/>
  <c r="O49" i="94"/>
  <c r="O19" i="85"/>
  <c r="P108" i="85"/>
  <c r="P126" i="86"/>
  <c r="P130" i="86"/>
  <c r="P101" i="87"/>
  <c r="P103" i="87"/>
  <c r="P107" i="87"/>
  <c r="P109" i="87"/>
  <c r="P111" i="87"/>
  <c r="P113" i="87"/>
  <c r="P115" i="87"/>
  <c r="P117" i="87"/>
  <c r="P129" i="87"/>
  <c r="O32" i="89"/>
  <c r="O72" i="90"/>
  <c r="O56" i="91"/>
  <c r="O71" i="91"/>
  <c r="P112" i="92"/>
  <c r="P105" i="41"/>
  <c r="O22" i="56"/>
  <c r="O22" i="72"/>
  <c r="P103" i="86"/>
  <c r="P105" i="86"/>
  <c r="P115" i="86"/>
  <c r="P103" i="91"/>
  <c r="P121" i="91"/>
  <c r="O28" i="28"/>
  <c r="O27" i="30"/>
  <c r="P107" i="32"/>
  <c r="O24" i="41"/>
  <c r="P104" i="74"/>
  <c r="P128" i="89"/>
  <c r="P109" i="90"/>
  <c r="P102" i="92"/>
  <c r="P104" i="92"/>
  <c r="P108" i="92"/>
  <c r="P110" i="92"/>
  <c r="O23" i="74"/>
  <c r="O26" i="17"/>
  <c r="O28" i="30"/>
  <c r="P101" i="89"/>
  <c r="P119" i="89"/>
  <c r="P121" i="89"/>
  <c r="P123" i="89"/>
  <c r="P104" i="90"/>
  <c r="O19" i="78"/>
  <c r="O24" i="95"/>
  <c r="O43" i="95"/>
  <c r="O56" i="96"/>
  <c r="P128" i="93"/>
  <c r="O33" i="96"/>
  <c r="O44" i="96"/>
  <c r="P107" i="19"/>
  <c r="O27" i="24"/>
  <c r="P109" i="30"/>
  <c r="O25" i="39"/>
  <c r="O23" i="46"/>
  <c r="O23" i="58"/>
  <c r="O22" i="63"/>
  <c r="O20" i="79"/>
  <c r="O19" i="81"/>
  <c r="P111" i="94"/>
  <c r="P119" i="94"/>
  <c r="O26" i="21"/>
  <c r="O27" i="32"/>
  <c r="O25" i="44"/>
  <c r="O23" i="56"/>
  <c r="O21" i="65"/>
  <c r="O28" i="69"/>
  <c r="O25" i="73"/>
  <c r="O20" i="77"/>
  <c r="E104" i="35"/>
  <c r="F104" i="35" s="1"/>
  <c r="B105" i="35" s="1"/>
  <c r="P112" i="20"/>
  <c r="P147" i="33"/>
  <c r="P154" i="39"/>
  <c r="P152" i="39"/>
  <c r="P150" i="39"/>
  <c r="P148" i="39"/>
  <c r="P142" i="39"/>
  <c r="P140" i="39"/>
  <c r="P138" i="39"/>
  <c r="P136" i="39"/>
  <c r="P134" i="39"/>
  <c r="P128" i="39"/>
  <c r="P126" i="39"/>
  <c r="P124" i="39"/>
  <c r="P120" i="39"/>
  <c r="P118" i="39"/>
  <c r="P114" i="39"/>
  <c r="P110" i="39"/>
  <c r="P108" i="39"/>
  <c r="P136" i="17"/>
  <c r="P151" i="21"/>
  <c r="P135" i="25"/>
  <c r="P132" i="29"/>
  <c r="P100" i="13"/>
  <c r="P144" i="18"/>
  <c r="P142" i="18"/>
  <c r="P140" i="18"/>
  <c r="P128" i="18"/>
  <c r="P124" i="18"/>
  <c r="P120" i="18"/>
  <c r="P132" i="19"/>
  <c r="P122" i="19"/>
  <c r="P120" i="19"/>
  <c r="P118" i="19"/>
  <c r="P121" i="20"/>
  <c r="P119" i="20"/>
  <c r="P117" i="20"/>
  <c r="P131" i="23"/>
  <c r="P129" i="23"/>
  <c r="P127" i="23"/>
  <c r="P124" i="23"/>
  <c r="P122" i="23"/>
  <c r="P153" i="24"/>
  <c r="P147" i="24"/>
  <c r="P145" i="24"/>
  <c r="P154" i="26"/>
  <c r="P152" i="26"/>
  <c r="P144" i="26"/>
  <c r="P142" i="26"/>
  <c r="P136" i="26"/>
  <c r="P134" i="26"/>
  <c r="P132" i="26"/>
  <c r="P130" i="26"/>
  <c r="P128" i="26"/>
  <c r="P120" i="26"/>
  <c r="P118" i="26"/>
  <c r="P116" i="26"/>
  <c r="P114" i="26"/>
  <c r="P106" i="26"/>
  <c r="P104" i="26"/>
  <c r="P102" i="26"/>
  <c r="P100" i="26"/>
  <c r="P126" i="42"/>
  <c r="P112" i="42"/>
  <c r="P149" i="44"/>
  <c r="P147" i="44"/>
  <c r="P139" i="44"/>
  <c r="P115" i="44"/>
  <c r="P149" i="46"/>
  <c r="P147" i="46"/>
  <c r="P129" i="57"/>
  <c r="P130" i="58"/>
  <c r="P124" i="58"/>
  <c r="P143" i="29"/>
  <c r="P148" i="30"/>
  <c r="P124" i="32"/>
  <c r="P122" i="32"/>
  <c r="P110" i="32"/>
  <c r="P139" i="43"/>
  <c r="P137" i="43"/>
  <c r="P133" i="43"/>
  <c r="P131" i="43"/>
  <c r="P117" i="43"/>
  <c r="P119" i="55"/>
  <c r="P105" i="55"/>
  <c r="P101" i="13"/>
  <c r="P135" i="17"/>
  <c r="P109" i="17"/>
  <c r="P129" i="19"/>
  <c r="P125" i="19"/>
  <c r="P123" i="19"/>
  <c r="P121" i="19"/>
  <c r="P109" i="19"/>
  <c r="P122" i="20"/>
  <c r="P118" i="20"/>
  <c r="P116" i="20"/>
  <c r="P111" i="20"/>
  <c r="P124" i="21"/>
  <c r="P112" i="21"/>
  <c r="P148" i="22"/>
  <c r="P146" i="22"/>
  <c r="P144" i="22"/>
  <c r="P140" i="22"/>
  <c r="P138" i="22"/>
  <c r="P132" i="22"/>
  <c r="P122" i="22"/>
  <c r="P116" i="22"/>
  <c r="P132" i="23"/>
  <c r="P152" i="24"/>
  <c r="P148" i="24"/>
  <c r="P142" i="24"/>
  <c r="P126" i="24"/>
  <c r="P122" i="24"/>
  <c r="P120" i="24"/>
  <c r="P149" i="26"/>
  <c r="P147" i="26"/>
  <c r="P145" i="26"/>
  <c r="P143" i="26"/>
  <c r="P141" i="26"/>
  <c r="P125" i="26"/>
  <c r="P123" i="26"/>
  <c r="P121" i="26"/>
  <c r="P119" i="26"/>
  <c r="P117" i="26"/>
  <c r="P132" i="31"/>
  <c r="P116" i="31"/>
  <c r="P110" i="31"/>
  <c r="P145" i="32"/>
  <c r="P143" i="32"/>
  <c r="P131" i="32"/>
  <c r="P123" i="32"/>
  <c r="P154" i="33"/>
  <c r="P152" i="33"/>
  <c r="P146" i="33"/>
  <c r="P144" i="33"/>
  <c r="P142" i="33"/>
  <c r="P140" i="33"/>
  <c r="P138" i="33"/>
  <c r="P136" i="33"/>
  <c r="P134" i="33"/>
  <c r="P132" i="33"/>
  <c r="P130" i="33"/>
  <c r="P128" i="33"/>
  <c r="P120" i="33"/>
  <c r="P118" i="33"/>
  <c r="P116" i="33"/>
  <c r="P112" i="33"/>
  <c r="P108" i="33"/>
  <c r="P146" i="35"/>
  <c r="P134" i="35"/>
  <c r="P121" i="39"/>
  <c r="P128" i="42"/>
  <c r="P134" i="43"/>
  <c r="P132" i="43"/>
  <c r="P138" i="44"/>
  <c r="P134" i="44"/>
  <c r="P130" i="44"/>
  <c r="P128" i="44"/>
  <c r="P126" i="44"/>
  <c r="P124" i="44"/>
  <c r="P118" i="44"/>
  <c r="P116" i="44"/>
  <c r="P153" i="45"/>
  <c r="P150" i="45"/>
  <c r="P148" i="45"/>
  <c r="P106" i="56"/>
  <c r="P107" i="64"/>
  <c r="P111" i="64"/>
  <c r="P130" i="66"/>
  <c r="P113" i="67"/>
  <c r="P121" i="69"/>
  <c r="P123" i="69"/>
  <c r="P112" i="71"/>
  <c r="P115" i="72"/>
  <c r="P102" i="77"/>
  <c r="P130" i="77"/>
  <c r="P110" i="79"/>
  <c r="P116" i="79"/>
  <c r="P122" i="79"/>
  <c r="P124" i="79"/>
  <c r="P126" i="79"/>
  <c r="P128" i="79"/>
  <c r="P104" i="84"/>
  <c r="P106" i="84"/>
  <c r="P108" i="84"/>
  <c r="P112" i="84"/>
  <c r="P124" i="85"/>
  <c r="P124" i="86"/>
  <c r="P116" i="88"/>
  <c r="P130" i="88"/>
  <c r="P100" i="91"/>
  <c r="P102" i="91"/>
  <c r="P126" i="91"/>
  <c r="P130" i="91"/>
  <c r="P122" i="92"/>
  <c r="P126" i="92"/>
  <c r="P112" i="94"/>
  <c r="P128" i="94"/>
  <c r="P115" i="96"/>
  <c r="P117" i="96"/>
  <c r="P119" i="96"/>
  <c r="P120" i="53"/>
  <c r="P118" i="53"/>
  <c r="P116" i="53"/>
  <c r="P114" i="53"/>
  <c r="P112" i="53"/>
  <c r="P110" i="53"/>
  <c r="P108" i="53"/>
  <c r="P106" i="53"/>
  <c r="P152" i="54"/>
  <c r="P150" i="54"/>
  <c r="P148" i="54"/>
  <c r="P146" i="54"/>
  <c r="P144" i="54"/>
  <c r="P142" i="54"/>
  <c r="P140" i="54"/>
  <c r="P138" i="54"/>
  <c r="P136" i="54"/>
  <c r="P134" i="54"/>
  <c r="P132" i="54"/>
  <c r="P130" i="54"/>
  <c r="P128" i="54"/>
  <c r="P126" i="54"/>
  <c r="P124" i="54"/>
  <c r="P124" i="56"/>
  <c r="P122" i="56"/>
  <c r="P114" i="56"/>
  <c r="P108" i="56"/>
  <c r="P105" i="56"/>
  <c r="P152" i="57"/>
  <c r="P150" i="57"/>
  <c r="P148" i="57"/>
  <c r="P146" i="57"/>
  <c r="P140" i="57"/>
  <c r="P136" i="57"/>
  <c r="P132" i="57"/>
  <c r="P126" i="57"/>
  <c r="P124" i="57"/>
  <c r="P120" i="57"/>
  <c r="P147" i="58"/>
  <c r="F88" i="2"/>
  <c r="F89" i="2" s="1"/>
  <c r="F91" i="2" s="1"/>
  <c r="F92" i="2" s="1"/>
  <c r="F93" i="2" s="1"/>
  <c r="D95" i="99" s="1"/>
  <c r="J96" i="99" s="1"/>
  <c r="P116" i="59"/>
  <c r="P120" i="59"/>
  <c r="P124" i="59"/>
  <c r="P105" i="62"/>
  <c r="P129" i="62"/>
  <c r="P116" i="70"/>
  <c r="P118" i="70"/>
  <c r="P120" i="70"/>
  <c r="P130" i="70"/>
  <c r="P116" i="74"/>
  <c r="P120" i="74"/>
  <c r="P122" i="74"/>
  <c r="P124" i="74"/>
  <c r="P130" i="74"/>
  <c r="P104" i="75"/>
  <c r="P123" i="78"/>
  <c r="P127" i="78"/>
  <c r="P128" i="84"/>
  <c r="P108" i="87"/>
  <c r="P110" i="87"/>
  <c r="P112" i="87"/>
  <c r="P114" i="87"/>
  <c r="P118" i="87"/>
  <c r="P124" i="87"/>
  <c r="P128" i="87"/>
  <c r="P130" i="87"/>
  <c r="P129" i="89"/>
  <c r="P112" i="90"/>
  <c r="P114" i="90"/>
  <c r="P126" i="90"/>
  <c r="P101" i="92"/>
  <c r="P107" i="93"/>
  <c r="P117" i="93"/>
  <c r="P103" i="95"/>
  <c r="P121" i="95"/>
  <c r="P123" i="95"/>
  <c r="P106" i="96"/>
  <c r="P108" i="96"/>
  <c r="P110" i="96"/>
  <c r="P105" i="59"/>
  <c r="P107" i="59"/>
  <c r="P113" i="59"/>
  <c r="P115" i="59"/>
  <c r="P126" i="63"/>
  <c r="P106" i="64"/>
  <c r="P118" i="64"/>
  <c r="P120" i="64"/>
  <c r="P122" i="64"/>
  <c r="P124" i="64"/>
  <c r="P126" i="64"/>
  <c r="P128" i="64"/>
  <c r="P115" i="65"/>
  <c r="P117" i="65"/>
  <c r="P119" i="66"/>
  <c r="P125" i="66"/>
  <c r="P108" i="67"/>
  <c r="P110" i="67"/>
  <c r="P126" i="67"/>
  <c r="P128" i="67"/>
  <c r="P107" i="68"/>
  <c r="P122" i="69"/>
  <c r="P124" i="69"/>
  <c r="P126" i="69"/>
  <c r="P126" i="73"/>
  <c r="P130" i="73"/>
  <c r="P107" i="74"/>
  <c r="P109" i="74"/>
  <c r="P111" i="74"/>
  <c r="P113" i="74"/>
  <c r="P113" i="75"/>
  <c r="P128" i="78"/>
  <c r="P103" i="79"/>
  <c r="P105" i="79"/>
  <c r="P107" i="79"/>
  <c r="P109" i="79"/>
  <c r="P129" i="81"/>
  <c r="P119" i="83"/>
  <c r="P103" i="84"/>
  <c r="P105" i="84"/>
  <c r="P107" i="84"/>
  <c r="P109" i="84"/>
  <c r="P117" i="84"/>
  <c r="P118" i="86"/>
  <c r="P101" i="88"/>
  <c r="P107" i="88"/>
  <c r="P109" i="88"/>
  <c r="P111" i="88"/>
  <c r="P115" i="88"/>
  <c r="P127" i="88"/>
  <c r="P102" i="89"/>
  <c r="P118" i="89"/>
  <c r="P101" i="91"/>
  <c r="P115" i="92"/>
  <c r="P123" i="92"/>
  <c r="P118" i="93"/>
  <c r="P120" i="93"/>
  <c r="P122" i="93"/>
  <c r="P126" i="93"/>
  <c r="P99" i="94"/>
  <c r="P101" i="94"/>
  <c r="P103" i="94"/>
  <c r="P107" i="94"/>
  <c r="P115" i="94"/>
  <c r="P123" i="94"/>
  <c r="P110" i="95"/>
  <c r="P122" i="95"/>
  <c r="P126" i="95"/>
  <c r="L86" i="13"/>
  <c r="L86" i="53"/>
  <c r="L86" i="73"/>
  <c r="N87" i="73"/>
  <c r="O87" i="73" s="1"/>
  <c r="N87" i="80"/>
  <c r="L86" i="41"/>
  <c r="M87" i="92"/>
  <c r="N87" i="58"/>
  <c r="L86" i="18"/>
  <c r="J94" i="58"/>
  <c r="J94" i="56"/>
  <c r="J95" i="56" s="1"/>
  <c r="J94" i="91"/>
  <c r="J94" i="61"/>
  <c r="J95" i="61" s="1"/>
  <c r="J94" i="24"/>
  <c r="J95" i="24" s="1"/>
  <c r="J94" i="42"/>
  <c r="J95" i="42" s="1"/>
  <c r="J94" i="73"/>
  <c r="J95" i="73" s="1"/>
  <c r="J94" i="82"/>
  <c r="J95" i="82" s="1"/>
  <c r="J94" i="89"/>
  <c r="J95" i="89" s="1"/>
  <c r="J94" i="84"/>
  <c r="J95" i="84" s="1"/>
  <c r="J94" i="3"/>
  <c r="J95" i="3" s="1"/>
  <c r="J94" i="79"/>
  <c r="J95" i="79" s="1"/>
  <c r="J94" i="34"/>
  <c r="J95" i="34" s="1"/>
  <c r="J94" i="80"/>
  <c r="J95" i="80" s="1"/>
  <c r="J94" i="77"/>
  <c r="J95" i="77" s="1"/>
  <c r="J94" i="21"/>
  <c r="J95" i="21" s="1"/>
  <c r="J94" i="55"/>
  <c r="J95" i="55" s="1"/>
  <c r="J94" i="59"/>
  <c r="J94" i="39"/>
  <c r="J94" i="30"/>
  <c r="J94" i="92"/>
  <c r="J94" i="70"/>
  <c r="J95" i="70" s="1"/>
  <c r="J94" i="74"/>
  <c r="J95" i="74" s="1"/>
  <c r="J94" i="31"/>
  <c r="J95" i="31" s="1"/>
  <c r="J94" i="22"/>
  <c r="J94" i="57"/>
  <c r="J95" i="57" s="1"/>
  <c r="J94" i="88"/>
  <c r="J95" i="88" s="1"/>
  <c r="J94" i="18"/>
  <c r="J94" i="25"/>
  <c r="J95" i="25" s="1"/>
  <c r="J94" i="54"/>
  <c r="J95" i="54" s="1"/>
  <c r="J94" i="43"/>
  <c r="J95" i="43" s="1"/>
  <c r="J94" i="33"/>
  <c r="J95" i="33" s="1"/>
  <c r="J94" i="86"/>
  <c r="J95" i="86" s="1"/>
  <c r="J94" i="68"/>
  <c r="J95" i="68" s="1"/>
  <c r="J94" i="65"/>
  <c r="J94" i="20"/>
  <c r="J95" i="20" s="1"/>
  <c r="J94" i="29"/>
  <c r="J94" i="81"/>
  <c r="J95" i="81" s="1"/>
  <c r="J94" i="71"/>
  <c r="J95" i="71" s="1"/>
  <c r="P153" i="3"/>
  <c r="P124" i="3"/>
  <c r="P119" i="13"/>
  <c r="P107" i="13"/>
  <c r="P105" i="13"/>
  <c r="P103" i="13"/>
  <c r="P149" i="17"/>
  <c r="P140" i="17"/>
  <c r="P126" i="17"/>
  <c r="P126" i="18"/>
  <c r="P118" i="18"/>
  <c r="P116" i="18"/>
  <c r="P148" i="19"/>
  <c r="P130" i="19"/>
  <c r="P127" i="19"/>
  <c r="P115" i="19"/>
  <c r="P140" i="20"/>
  <c r="P130" i="21"/>
  <c r="P128" i="21"/>
  <c r="P126" i="21"/>
  <c r="P122" i="21"/>
  <c r="P120" i="21"/>
  <c r="P133" i="23"/>
  <c r="P138" i="26"/>
  <c r="P124" i="26"/>
  <c r="P130" i="28"/>
  <c r="P128" i="28"/>
  <c r="P124" i="28"/>
  <c r="P118" i="28"/>
  <c r="P116" i="28"/>
  <c r="P144" i="30"/>
  <c r="P140" i="30"/>
  <c r="P146" i="44"/>
  <c r="P114" i="44"/>
  <c r="P129" i="46"/>
  <c r="P144" i="23"/>
  <c r="P136" i="31"/>
  <c r="P126" i="32"/>
  <c r="P144" i="35"/>
  <c r="P121" i="46"/>
  <c r="P154" i="3"/>
  <c r="P148" i="3"/>
  <c r="P122" i="13"/>
  <c r="P120" i="13"/>
  <c r="P118" i="13"/>
  <c r="P108" i="13"/>
  <c r="P150" i="17"/>
  <c r="P146" i="17"/>
  <c r="P143" i="17"/>
  <c r="P127" i="17"/>
  <c r="P122" i="17"/>
  <c r="P150" i="18"/>
  <c r="P148" i="18"/>
  <c r="P115" i="18"/>
  <c r="P113" i="18"/>
  <c r="P111" i="18"/>
  <c r="P133" i="19"/>
  <c r="P124" i="19"/>
  <c r="P114" i="19"/>
  <c r="P143" i="20"/>
  <c r="P133" i="20"/>
  <c r="P125" i="20"/>
  <c r="P137" i="23"/>
  <c r="P120" i="23"/>
  <c r="P112" i="23"/>
  <c r="P146" i="24"/>
  <c r="P137" i="27"/>
  <c r="P150" i="29"/>
  <c r="P146" i="29"/>
  <c r="P139" i="29"/>
  <c r="P127" i="29"/>
  <c r="P128" i="31"/>
  <c r="P118" i="31"/>
  <c r="P146" i="32"/>
  <c r="P106" i="33"/>
  <c r="P146" i="39"/>
  <c r="P132" i="39"/>
  <c r="P113" i="41"/>
  <c r="P109" i="41"/>
  <c r="P152" i="42"/>
  <c r="P150" i="42"/>
  <c r="P146" i="42"/>
  <c r="P144" i="42"/>
  <c r="P142" i="42"/>
  <c r="P140" i="42"/>
  <c r="P138" i="42"/>
  <c r="P136" i="42"/>
  <c r="P134" i="42"/>
  <c r="P132" i="42"/>
  <c r="P154" i="43"/>
  <c r="P148" i="43"/>
  <c r="P144" i="43"/>
  <c r="P142" i="43"/>
  <c r="P138" i="43"/>
  <c r="P140" i="46"/>
  <c r="P136" i="46"/>
  <c r="P132" i="46"/>
  <c r="P120" i="46"/>
  <c r="P128" i="66"/>
  <c r="P107" i="67"/>
  <c r="P123" i="68"/>
  <c r="P112" i="72"/>
  <c r="P116" i="75"/>
  <c r="P120" i="75"/>
  <c r="P122" i="75"/>
  <c r="P103" i="78"/>
  <c r="P105" i="78"/>
  <c r="P117" i="78"/>
  <c r="P118" i="92"/>
  <c r="P109" i="20"/>
  <c r="P145" i="21"/>
  <c r="P139" i="21"/>
  <c r="P152" i="22"/>
  <c r="P150" i="22"/>
  <c r="P142" i="22"/>
  <c r="P130" i="22"/>
  <c r="P124" i="22"/>
  <c r="P144" i="24"/>
  <c r="P138" i="24"/>
  <c r="P130" i="24"/>
  <c r="P112" i="26"/>
  <c r="P110" i="26"/>
  <c r="P108" i="26"/>
  <c r="P134" i="27"/>
  <c r="P142" i="29"/>
  <c r="P138" i="29"/>
  <c r="P134" i="29"/>
  <c r="P153" i="30"/>
  <c r="P140" i="32"/>
  <c r="P138" i="32"/>
  <c r="P117" i="32"/>
  <c r="P115" i="32"/>
  <c r="P113" i="32"/>
  <c r="P100" i="33"/>
  <c r="P150" i="34"/>
  <c r="P142" i="34"/>
  <c r="P140" i="34"/>
  <c r="P127" i="39"/>
  <c r="P125" i="39"/>
  <c r="P148" i="41"/>
  <c r="P142" i="41"/>
  <c r="P114" i="41"/>
  <c r="P129" i="42"/>
  <c r="P124" i="42"/>
  <c r="P120" i="42"/>
  <c r="P118" i="42"/>
  <c r="P143" i="46"/>
  <c r="P141" i="46"/>
  <c r="P120" i="54"/>
  <c r="P112" i="65"/>
  <c r="P114" i="65"/>
  <c r="P124" i="65"/>
  <c r="P126" i="65"/>
  <c r="P130" i="65"/>
  <c r="P111" i="69"/>
  <c r="P113" i="69"/>
  <c r="P117" i="69"/>
  <c r="P119" i="69"/>
  <c r="P113" i="70"/>
  <c r="P105" i="75"/>
  <c r="P111" i="75"/>
  <c r="P107" i="77"/>
  <c r="P113" i="77"/>
  <c r="P115" i="77"/>
  <c r="P117" i="77"/>
  <c r="P123" i="77"/>
  <c r="P125" i="77"/>
  <c r="P127" i="77"/>
  <c r="P118" i="80"/>
  <c r="P113" i="95"/>
  <c r="P110" i="20"/>
  <c r="P108" i="20"/>
  <c r="P147" i="22"/>
  <c r="P141" i="22"/>
  <c r="P135" i="22"/>
  <c r="P133" i="22"/>
  <c r="P127" i="22"/>
  <c r="P125" i="22"/>
  <c r="P123" i="22"/>
  <c r="P149" i="23"/>
  <c r="P147" i="23"/>
  <c r="P135" i="23"/>
  <c r="P154" i="24"/>
  <c r="P141" i="24"/>
  <c r="P133" i="24"/>
  <c r="P131" i="24"/>
  <c r="P119" i="24"/>
  <c r="P111" i="24"/>
  <c r="P153" i="25"/>
  <c r="P151" i="25"/>
  <c r="P103" i="25"/>
  <c r="P99" i="25"/>
  <c r="P153" i="26"/>
  <c r="P147" i="27"/>
  <c r="P134" i="28"/>
  <c r="P141" i="29"/>
  <c r="P122" i="29"/>
  <c r="P152" i="30"/>
  <c r="P141" i="30"/>
  <c r="P119" i="30"/>
  <c r="P134" i="31"/>
  <c r="P111" i="31"/>
  <c r="P149" i="32"/>
  <c r="P120" i="32"/>
  <c r="P148" i="35"/>
  <c r="P131" i="35"/>
  <c r="P123" i="42"/>
  <c r="P143" i="43"/>
  <c r="P127" i="43"/>
  <c r="P148" i="44"/>
  <c r="P151" i="46"/>
  <c r="P144" i="46"/>
  <c r="P110" i="46"/>
  <c r="P106" i="46"/>
  <c r="P142" i="55"/>
  <c r="P136" i="55"/>
  <c r="P148" i="56"/>
  <c r="P134" i="56"/>
  <c r="P128" i="56"/>
  <c r="P109" i="57"/>
  <c r="P134" i="58"/>
  <c r="P127" i="58"/>
  <c r="P117" i="58"/>
  <c r="P115" i="58"/>
  <c r="P126" i="59"/>
  <c r="P117" i="66"/>
  <c r="P126" i="68"/>
  <c r="P119" i="73"/>
  <c r="P121" i="73"/>
  <c r="P123" i="73"/>
  <c r="P126" i="78"/>
  <c r="P123" i="80"/>
  <c r="P153" i="55"/>
  <c r="P127" i="55"/>
  <c r="P121" i="55"/>
  <c r="P134" i="57"/>
  <c r="P114" i="57"/>
  <c r="P112" i="57"/>
  <c r="P108" i="57"/>
  <c r="P119" i="59"/>
  <c r="P111" i="60"/>
  <c r="P110" i="61"/>
  <c r="P112" i="61"/>
  <c r="P120" i="61"/>
  <c r="P124" i="61"/>
  <c r="P126" i="61"/>
  <c r="P106" i="63"/>
  <c r="P108" i="63"/>
  <c r="P112" i="63"/>
  <c r="P121" i="64"/>
  <c r="P129" i="67"/>
  <c r="P109" i="68"/>
  <c r="P111" i="68"/>
  <c r="P119" i="68"/>
  <c r="P121" i="68"/>
  <c r="P125" i="69"/>
  <c r="P127" i="69"/>
  <c r="P129" i="69"/>
  <c r="P129" i="70"/>
  <c r="P116" i="71"/>
  <c r="P105" i="72"/>
  <c r="P122" i="72"/>
  <c r="P109" i="76"/>
  <c r="P117" i="76"/>
  <c r="P121" i="76"/>
  <c r="P125" i="76"/>
  <c r="P116" i="77"/>
  <c r="P122" i="77"/>
  <c r="P128" i="77"/>
  <c r="P106" i="78"/>
  <c r="P109" i="78"/>
  <c r="P111" i="78"/>
  <c r="P113" i="78"/>
  <c r="P115" i="78"/>
  <c r="P119" i="78"/>
  <c r="P112" i="80"/>
  <c r="P116" i="80"/>
  <c r="P122" i="80"/>
  <c r="P111" i="81"/>
  <c r="P116" i="82"/>
  <c r="P126" i="82"/>
  <c r="P120" i="83"/>
  <c r="P128" i="83"/>
  <c r="P130" i="83"/>
  <c r="P119" i="84"/>
  <c r="P101" i="85"/>
  <c r="P105" i="85"/>
  <c r="P101" i="86"/>
  <c r="P109" i="86"/>
  <c r="P106" i="88"/>
  <c r="P105" i="89"/>
  <c r="P123" i="90"/>
  <c r="P119" i="91"/>
  <c r="P107" i="92"/>
  <c r="P116" i="92"/>
  <c r="P120" i="92"/>
  <c r="P116" i="93"/>
  <c r="P113" i="94"/>
  <c r="P125" i="96"/>
  <c r="P127" i="96"/>
  <c r="P152" i="55"/>
  <c r="P147" i="57"/>
  <c r="P123" i="57"/>
  <c r="P119" i="57"/>
  <c r="P110" i="59"/>
  <c r="P127" i="59"/>
  <c r="P114" i="60"/>
  <c r="P104" i="64"/>
  <c r="P108" i="64"/>
  <c r="P113" i="65"/>
  <c r="P123" i="66"/>
  <c r="P127" i="66"/>
  <c r="P130" i="69"/>
  <c r="P117" i="72"/>
  <c r="P106" i="79"/>
  <c r="P109" i="80"/>
  <c r="P111" i="80"/>
  <c r="P114" i="88"/>
  <c r="P106" i="91"/>
  <c r="P112" i="91"/>
  <c r="P120" i="91"/>
  <c r="P119" i="93"/>
  <c r="P108" i="81"/>
  <c r="P111" i="83"/>
  <c r="P106" i="85"/>
  <c r="P118" i="85"/>
  <c r="P130" i="85"/>
  <c r="P110" i="86"/>
  <c r="P103" i="88"/>
  <c r="P122" i="88"/>
  <c r="P124" i="88"/>
  <c r="P108" i="89"/>
  <c r="P126" i="89"/>
  <c r="P105" i="90"/>
  <c r="P125" i="94"/>
  <c r="P107" i="95"/>
  <c r="P104" i="96"/>
  <c r="B102" i="35"/>
  <c r="G101" i="35"/>
  <c r="B103" i="35"/>
  <c r="G102" i="35"/>
  <c r="P110" i="18"/>
  <c r="P148" i="21"/>
  <c r="P148" i="25"/>
  <c r="P140" i="26"/>
  <c r="P150" i="3"/>
  <c r="P119" i="3"/>
  <c r="P112" i="3"/>
  <c r="P114" i="13"/>
  <c r="P112" i="13"/>
  <c r="P148" i="17"/>
  <c r="P137" i="17"/>
  <c r="P131" i="17"/>
  <c r="P129" i="17"/>
  <c r="P119" i="17"/>
  <c r="P143" i="18"/>
  <c r="P141" i="18"/>
  <c r="P139" i="18"/>
  <c r="P145" i="19"/>
  <c r="P140" i="19"/>
  <c r="P154" i="20"/>
  <c r="P129" i="20"/>
  <c r="P127" i="20"/>
  <c r="P124" i="20"/>
  <c r="P120" i="20"/>
  <c r="P139" i="23"/>
  <c r="P110" i="23"/>
  <c r="P127" i="24"/>
  <c r="P125" i="24"/>
  <c r="P124" i="25"/>
  <c r="P101" i="25"/>
  <c r="P126" i="26"/>
  <c r="P127" i="60"/>
  <c r="P115" i="64"/>
  <c r="P111" i="66"/>
  <c r="P135" i="3"/>
  <c r="P111" i="17"/>
  <c r="P138" i="18"/>
  <c r="P143" i="24"/>
  <c r="P128" i="24"/>
  <c r="P121" i="24"/>
  <c r="P119" i="25"/>
  <c r="P104" i="25"/>
  <c r="P150" i="26"/>
  <c r="P133" i="3"/>
  <c r="P122" i="3"/>
  <c r="P130" i="13"/>
  <c r="P115" i="13"/>
  <c r="P141" i="17"/>
  <c r="P139" i="17"/>
  <c r="P134" i="17"/>
  <c r="P123" i="17"/>
  <c r="P121" i="17"/>
  <c r="P116" i="17"/>
  <c r="P110" i="17"/>
  <c r="P152" i="18"/>
  <c r="P145" i="18"/>
  <c r="P134" i="18"/>
  <c r="P121" i="18"/>
  <c r="P152" i="19"/>
  <c r="P146" i="19"/>
  <c r="P144" i="19"/>
  <c r="P135" i="19"/>
  <c r="P128" i="19"/>
  <c r="P126" i="19"/>
  <c r="P117" i="19"/>
  <c r="P151" i="20"/>
  <c r="P135" i="20"/>
  <c r="P123" i="20"/>
  <c r="P121" i="22"/>
  <c r="P115" i="22"/>
  <c r="P111" i="22"/>
  <c r="P109" i="22"/>
  <c r="P121" i="23"/>
  <c r="P124" i="24"/>
  <c r="P113" i="24"/>
  <c r="P146" i="25"/>
  <c r="P144" i="25"/>
  <c r="P151" i="26"/>
  <c r="P129" i="29"/>
  <c r="P144" i="56"/>
  <c r="P105" i="63"/>
  <c r="P106" i="65"/>
  <c r="P151" i="27"/>
  <c r="P131" i="27"/>
  <c r="P127" i="27"/>
  <c r="P125" i="27"/>
  <c r="P149" i="28"/>
  <c r="P136" i="28"/>
  <c r="P112" i="28"/>
  <c r="P118" i="29"/>
  <c r="P142" i="30"/>
  <c r="P152" i="31"/>
  <c r="P126" i="31"/>
  <c r="P150" i="32"/>
  <c r="P148" i="32"/>
  <c r="P118" i="32"/>
  <c r="P117" i="33"/>
  <c r="P154" i="34"/>
  <c r="P148" i="34"/>
  <c r="P146" i="34"/>
  <c r="P153" i="35"/>
  <c r="P136" i="35"/>
  <c r="P127" i="35"/>
  <c r="P125" i="35"/>
  <c r="P138" i="41"/>
  <c r="P112" i="41"/>
  <c r="P153" i="42"/>
  <c r="P121" i="42"/>
  <c r="P117" i="42"/>
  <c r="P110" i="42"/>
  <c r="P145" i="45"/>
  <c r="P133" i="46"/>
  <c r="P108" i="46"/>
  <c r="P108" i="54"/>
  <c r="P147" i="55"/>
  <c r="P138" i="55"/>
  <c r="P132" i="56"/>
  <c r="P142" i="57"/>
  <c r="P130" i="57"/>
  <c r="P115" i="57"/>
  <c r="P106" i="57"/>
  <c r="P104" i="60"/>
  <c r="P106" i="60"/>
  <c r="P123" i="60"/>
  <c r="P125" i="60"/>
  <c r="P108" i="65"/>
  <c r="P105" i="66"/>
  <c r="P107" i="66"/>
  <c r="P118" i="66"/>
  <c r="P111" i="67"/>
  <c r="P115" i="67"/>
  <c r="P117" i="67"/>
  <c r="P123" i="67"/>
  <c r="P118" i="72"/>
  <c r="P114" i="82"/>
  <c r="P112" i="83"/>
  <c r="P117" i="85"/>
  <c r="P119" i="88"/>
  <c r="P125" i="89"/>
  <c r="P105" i="91"/>
  <c r="P123" i="91"/>
  <c r="P135" i="43"/>
  <c r="P127" i="46"/>
  <c r="P116" i="56"/>
  <c r="P145" i="58"/>
  <c r="P104" i="95"/>
  <c r="P139" i="27"/>
  <c r="P130" i="27"/>
  <c r="P122" i="27"/>
  <c r="P114" i="27"/>
  <c r="P141" i="28"/>
  <c r="P120" i="28"/>
  <c r="P151" i="29"/>
  <c r="P136" i="29"/>
  <c r="P146" i="30"/>
  <c r="P138" i="30"/>
  <c r="P112" i="30"/>
  <c r="P130" i="31"/>
  <c r="P115" i="31"/>
  <c r="P153" i="32"/>
  <c r="P151" i="32"/>
  <c r="P147" i="32"/>
  <c r="P133" i="32"/>
  <c r="P122" i="33"/>
  <c r="P114" i="33"/>
  <c r="P110" i="33"/>
  <c r="P153" i="34"/>
  <c r="P151" i="34"/>
  <c r="P147" i="34"/>
  <c r="P128" i="34"/>
  <c r="P150" i="35"/>
  <c r="P145" i="35"/>
  <c r="P139" i="35"/>
  <c r="P137" i="35"/>
  <c r="P117" i="35"/>
  <c r="P102" i="35"/>
  <c r="P107" i="41"/>
  <c r="P130" i="42"/>
  <c r="P114" i="42"/>
  <c r="P125" i="43"/>
  <c r="P122" i="44"/>
  <c r="P120" i="44"/>
  <c r="P144" i="45"/>
  <c r="P148" i="46"/>
  <c r="P138" i="46"/>
  <c r="P124" i="46"/>
  <c r="P122" i="54"/>
  <c r="P150" i="55"/>
  <c r="P143" i="55"/>
  <c r="P141" i="55"/>
  <c r="P125" i="55"/>
  <c r="P138" i="56"/>
  <c r="P112" i="56"/>
  <c r="P110" i="56"/>
  <c r="P138" i="57"/>
  <c r="P125" i="57"/>
  <c r="P121" i="57"/>
  <c r="P116" i="57"/>
  <c r="P111" i="57"/>
  <c r="P118" i="59"/>
  <c r="P125" i="59"/>
  <c r="P109" i="60"/>
  <c r="P121" i="63"/>
  <c r="P123" i="63"/>
  <c r="P127" i="63"/>
  <c r="P105" i="64"/>
  <c r="P110" i="64"/>
  <c r="P116" i="65"/>
  <c r="P118" i="65"/>
  <c r="P116" i="66"/>
  <c r="P105" i="67"/>
  <c r="P109" i="67"/>
  <c r="P112" i="67"/>
  <c r="P120" i="68"/>
  <c r="P107" i="83"/>
  <c r="P129" i="83"/>
  <c r="P102" i="86"/>
  <c r="P108" i="86"/>
  <c r="P120" i="90"/>
  <c r="P106" i="92"/>
  <c r="P119" i="67"/>
  <c r="P121" i="67"/>
  <c r="P113" i="68"/>
  <c r="P125" i="68"/>
  <c r="P128" i="68"/>
  <c r="P128" i="71"/>
  <c r="P106" i="72"/>
  <c r="P109" i="72"/>
  <c r="P123" i="72"/>
  <c r="P128" i="72"/>
  <c r="P110" i="73"/>
  <c r="P118" i="76"/>
  <c r="P121" i="78"/>
  <c r="P130" i="78"/>
  <c r="P108" i="79"/>
  <c r="P113" i="79"/>
  <c r="P130" i="81"/>
  <c r="P102" i="82"/>
  <c r="P104" i="82"/>
  <c r="P110" i="82"/>
  <c r="P119" i="82"/>
  <c r="P109" i="83"/>
  <c r="P114" i="83"/>
  <c r="P109" i="85"/>
  <c r="P115" i="85"/>
  <c r="P128" i="86"/>
  <c r="P100" i="87"/>
  <c r="P102" i="87"/>
  <c r="P119" i="87"/>
  <c r="P123" i="87"/>
  <c r="P117" i="88"/>
  <c r="P121" i="88"/>
  <c r="P123" i="88"/>
  <c r="P130" i="89"/>
  <c r="P116" i="90"/>
  <c r="P124" i="90"/>
  <c r="P116" i="91"/>
  <c r="P109" i="92"/>
  <c r="P119" i="92"/>
  <c r="P127" i="92"/>
  <c r="P103" i="93"/>
  <c r="P115" i="93"/>
  <c r="P115" i="95"/>
  <c r="P105" i="96"/>
  <c r="P124" i="96"/>
  <c r="P126" i="77"/>
  <c r="P122" i="83"/>
  <c r="P121" i="85"/>
  <c r="P123" i="86"/>
  <c r="P109" i="96"/>
  <c r="P121" i="96"/>
  <c r="P118" i="67"/>
  <c r="P104" i="68"/>
  <c r="P129" i="68"/>
  <c r="P127" i="70"/>
  <c r="P111" i="71"/>
  <c r="P127" i="71"/>
  <c r="P107" i="72"/>
  <c r="P114" i="72"/>
  <c r="P125" i="72"/>
  <c r="P112" i="74"/>
  <c r="P126" i="74"/>
  <c r="P107" i="76"/>
  <c r="P111" i="76"/>
  <c r="P115" i="76"/>
  <c r="P103" i="77"/>
  <c r="P109" i="77"/>
  <c r="P119" i="77"/>
  <c r="P111" i="79"/>
  <c r="P114" i="79"/>
  <c r="P101" i="80"/>
  <c r="P114" i="80"/>
  <c r="P110" i="81"/>
  <c r="P112" i="81"/>
  <c r="P122" i="81"/>
  <c r="P103" i="82"/>
  <c r="P118" i="82"/>
  <c r="P117" i="83"/>
  <c r="P101" i="84"/>
  <c r="P110" i="84"/>
  <c r="P115" i="84"/>
  <c r="P112" i="85"/>
  <c r="P122" i="85"/>
  <c r="P120" i="86"/>
  <c r="P122" i="86"/>
  <c r="P105" i="87"/>
  <c r="P120" i="87"/>
  <c r="P122" i="87"/>
  <c r="P126" i="87"/>
  <c r="P103" i="89"/>
  <c r="P106" i="90"/>
  <c r="P104" i="91"/>
  <c r="P115" i="91"/>
  <c r="P105" i="92"/>
  <c r="P124" i="92"/>
  <c r="P128" i="92"/>
  <c r="P123" i="93"/>
  <c r="P127" i="93"/>
  <c r="P129" i="93"/>
  <c r="P110" i="94"/>
  <c r="P121" i="94"/>
  <c r="P102" i="95"/>
  <c r="P114" i="95"/>
  <c r="P118" i="96"/>
  <c r="P106" i="13"/>
  <c r="P149" i="3"/>
  <c r="P120" i="3"/>
  <c r="P114" i="3"/>
  <c r="P131" i="19"/>
  <c r="P138" i="20"/>
  <c r="P143" i="21"/>
  <c r="P141" i="21"/>
  <c r="P137" i="22"/>
  <c r="P120" i="22"/>
  <c r="P145" i="23"/>
  <c r="P136" i="27"/>
  <c r="P131" i="28"/>
  <c r="P122" i="28"/>
  <c r="P139" i="30"/>
  <c r="P151" i="33"/>
  <c r="P127" i="33"/>
  <c r="P120" i="34"/>
  <c r="P118" i="34"/>
  <c r="P111" i="34"/>
  <c r="P122" i="35"/>
  <c r="P154" i="41"/>
  <c r="P144" i="55"/>
  <c r="P111" i="59"/>
  <c r="P125" i="62"/>
  <c r="P131" i="20"/>
  <c r="P131" i="22"/>
  <c r="P118" i="46"/>
  <c r="P114" i="46"/>
  <c r="P115" i="66"/>
  <c r="P130" i="67"/>
  <c r="P139" i="20"/>
  <c r="P134" i="20"/>
  <c r="P144" i="21"/>
  <c r="P131" i="21"/>
  <c r="P115" i="21"/>
  <c r="P113" i="21"/>
  <c r="P114" i="22"/>
  <c r="P112" i="22"/>
  <c r="P148" i="23"/>
  <c r="P140" i="24"/>
  <c r="P115" i="24"/>
  <c r="P129" i="25"/>
  <c r="P140" i="27"/>
  <c r="P119" i="27"/>
  <c r="P127" i="28"/>
  <c r="P152" i="29"/>
  <c r="P150" i="30"/>
  <c r="P135" i="30"/>
  <c r="P120" i="31"/>
  <c r="P125" i="32"/>
  <c r="P111" i="32"/>
  <c r="P150" i="33"/>
  <c r="P148" i="33"/>
  <c r="P126" i="33"/>
  <c r="P124" i="33"/>
  <c r="P123" i="34"/>
  <c r="P121" i="34"/>
  <c r="P130" i="35"/>
  <c r="P119" i="35"/>
  <c r="P110" i="35"/>
  <c r="P135" i="39"/>
  <c r="P111" i="41"/>
  <c r="P108" i="42"/>
  <c r="P153" i="44"/>
  <c r="P151" i="44"/>
  <c r="P144" i="44"/>
  <c r="P135" i="44"/>
  <c r="P108" i="44"/>
  <c r="P128" i="46"/>
  <c r="P154" i="54"/>
  <c r="P148" i="55"/>
  <c r="P123" i="55"/>
  <c r="P116" i="58"/>
  <c r="P117" i="61"/>
  <c r="P115" i="75"/>
  <c r="P114" i="91"/>
  <c r="P114" i="92"/>
  <c r="P121" i="92"/>
  <c r="P101" i="95"/>
  <c r="P108" i="95"/>
  <c r="P129" i="95"/>
  <c r="P129" i="60"/>
  <c r="P130" i="64"/>
  <c r="P110" i="65"/>
  <c r="P128" i="65"/>
  <c r="P124" i="68"/>
  <c r="P117" i="74"/>
  <c r="P123" i="75"/>
  <c r="P127" i="82"/>
  <c r="P140" i="56"/>
  <c r="P120" i="56"/>
  <c r="P118" i="56"/>
  <c r="P144" i="57"/>
  <c r="P128" i="57"/>
  <c r="P118" i="57"/>
  <c r="P136" i="58"/>
  <c r="P130" i="62"/>
  <c r="P113" i="63"/>
  <c r="P127" i="64"/>
  <c r="P130" i="72"/>
  <c r="P114" i="74"/>
  <c r="P129" i="74"/>
  <c r="P103" i="75"/>
  <c r="P111" i="77"/>
  <c r="P130" i="79"/>
  <c r="P111" i="82"/>
  <c r="P110" i="83"/>
  <c r="P119" i="86"/>
  <c r="P127" i="87"/>
  <c r="P130" i="90"/>
  <c r="P125" i="91"/>
  <c r="P111" i="92"/>
  <c r="P116" i="96"/>
  <c r="P126" i="96"/>
  <c r="P121" i="77"/>
  <c r="P124" i="82"/>
  <c r="P110" i="85"/>
  <c r="P122" i="89"/>
  <c r="P102" i="90"/>
  <c r="P113" i="91"/>
  <c r="P117" i="91"/>
  <c r="P100" i="92"/>
  <c r="P126" i="94"/>
  <c r="P105" i="95"/>
  <c r="P113" i="96"/>
  <c r="D30" i="36"/>
  <c r="F75" i="36"/>
  <c r="D71" i="36"/>
  <c r="D24" i="36"/>
  <c r="C19" i="36"/>
  <c r="D32" i="36"/>
  <c r="D23" i="36"/>
  <c r="C81" i="36"/>
  <c r="C70" i="36"/>
  <c r="C43" i="36"/>
  <c r="D68" i="36"/>
  <c r="C22" i="36"/>
  <c r="C45" i="36"/>
  <c r="D55" i="36"/>
  <c r="D79" i="36"/>
  <c r="C34" i="36"/>
  <c r="C42" i="36"/>
  <c r="C24" i="36"/>
  <c r="D46" i="36"/>
  <c r="D63" i="36"/>
  <c r="C80" i="36"/>
  <c r="C58" i="36"/>
  <c r="C27" i="36"/>
  <c r="C90" i="36"/>
  <c r="C51" i="36"/>
  <c r="C56" i="36"/>
  <c r="C85" i="36"/>
  <c r="C41" i="36"/>
  <c r="C76" i="36"/>
  <c r="D31" i="36"/>
  <c r="C62" i="36"/>
  <c r="D40" i="36"/>
  <c r="C33" i="36"/>
  <c r="D25" i="36"/>
  <c r="C63" i="36"/>
  <c r="C78" i="36"/>
  <c r="D67" i="36"/>
  <c r="D48" i="36"/>
  <c r="D20" i="36"/>
  <c r="D78" i="36"/>
  <c r="C40" i="36"/>
  <c r="C61" i="36"/>
  <c r="D56" i="36"/>
  <c r="C89" i="36"/>
  <c r="D69" i="36"/>
  <c r="C66" i="36"/>
  <c r="C21" i="36"/>
  <c r="C59" i="36"/>
  <c r="D45" i="36"/>
  <c r="D44" i="36"/>
  <c r="D29" i="36"/>
  <c r="D43" i="36"/>
  <c r="C49" i="36"/>
  <c r="D87" i="36"/>
  <c r="C32" i="36"/>
  <c r="C60" i="36"/>
  <c r="C54" i="36"/>
  <c r="C23" i="36"/>
  <c r="D86" i="36"/>
  <c r="C25" i="36"/>
  <c r="D57" i="36"/>
  <c r="D39" i="36"/>
  <c r="D49" i="36"/>
  <c r="D62" i="36"/>
  <c r="C53" i="36"/>
  <c r="D53" i="36"/>
  <c r="D33" i="36"/>
  <c r="D70" i="36"/>
  <c r="D18" i="36"/>
  <c r="D64" i="36"/>
  <c r="D77" i="36"/>
  <c r="D85" i="36"/>
  <c r="C26" i="36"/>
  <c r="C29" i="36"/>
  <c r="C37" i="36"/>
  <c r="D42" i="36"/>
  <c r="D41" i="36"/>
  <c r="C72" i="36"/>
  <c r="C55" i="36"/>
  <c r="D84" i="36"/>
  <c r="C65" i="36"/>
  <c r="D21" i="36"/>
  <c r="D81" i="36"/>
  <c r="D37" i="36"/>
  <c r="D83" i="36"/>
  <c r="C18" i="36"/>
  <c r="D75" i="36"/>
  <c r="C47" i="36"/>
  <c r="D65" i="36"/>
  <c r="C69" i="36"/>
  <c r="D89" i="36"/>
  <c r="D73" i="36"/>
  <c r="D76" i="36"/>
  <c r="D27" i="36"/>
  <c r="C36" i="36"/>
  <c r="C67" i="36"/>
  <c r="D88" i="36"/>
  <c r="C50" i="36"/>
  <c r="C44" i="36"/>
  <c r="D26" i="36"/>
  <c r="C64" i="36"/>
  <c r="D38" i="36"/>
  <c r="D80" i="36"/>
  <c r="D58" i="36"/>
  <c r="C46" i="36"/>
  <c r="D59" i="36"/>
  <c r="C75" i="36"/>
  <c r="D66" i="36"/>
  <c r="C91" i="36"/>
  <c r="C82" i="36"/>
  <c r="C77" i="36"/>
  <c r="D91" i="36"/>
  <c r="C38" i="36"/>
  <c r="C57" i="36"/>
  <c r="D54" i="36"/>
  <c r="C74" i="36"/>
  <c r="D50" i="36"/>
  <c r="C39" i="36"/>
  <c r="D60" i="36"/>
  <c r="C84" i="36"/>
  <c r="C35" i="36"/>
  <c r="D22" i="36"/>
  <c r="D82" i="36"/>
  <c r="C52" i="36"/>
  <c r="F81" i="36"/>
  <c r="D19" i="36"/>
  <c r="C31" i="36"/>
  <c r="D51" i="36"/>
  <c r="C20" i="36"/>
  <c r="C68" i="36"/>
  <c r="C88" i="36"/>
  <c r="C87" i="36"/>
  <c r="C73" i="36"/>
  <c r="D90" i="36"/>
  <c r="D35" i="36"/>
  <c r="C83" i="36"/>
  <c r="C48" i="36"/>
  <c r="D52" i="36"/>
  <c r="C28" i="36"/>
  <c r="D74" i="36"/>
  <c r="D72" i="36"/>
  <c r="C71" i="36"/>
  <c r="D36" i="36"/>
  <c r="D61" i="36"/>
  <c r="C86" i="36"/>
  <c r="D34" i="36"/>
  <c r="C30" i="36"/>
  <c r="D28" i="36"/>
  <c r="D47" i="36"/>
  <c r="C79" i="36"/>
  <c r="D13" i="56" l="1"/>
  <c r="I14" i="56" s="1"/>
  <c r="D13" i="68"/>
  <c r="I14" i="68" s="1"/>
  <c r="D13" i="31"/>
  <c r="I14" i="31" s="1"/>
  <c r="D13" i="81"/>
  <c r="I14" i="81" s="1"/>
  <c r="D13" i="84"/>
  <c r="I14" i="84" s="1"/>
  <c r="D13" i="27"/>
  <c r="I14" i="27" s="1"/>
  <c r="D13" i="46"/>
  <c r="I14" i="46" s="1"/>
  <c r="D13" i="61"/>
  <c r="I14" i="61" s="1"/>
  <c r="D13" i="73"/>
  <c r="I14" i="73" s="1"/>
  <c r="D13" i="25"/>
  <c r="D13" i="65"/>
  <c r="I14" i="65" s="1"/>
  <c r="D13" i="79"/>
  <c r="I14" i="79" s="1"/>
  <c r="D13" i="90"/>
  <c r="I14" i="90" s="1"/>
  <c r="E21" i="90" s="1"/>
  <c r="D13" i="72"/>
  <c r="I14" i="72" s="1"/>
  <c r="D13" i="96"/>
  <c r="I14" i="96" s="1"/>
  <c r="D13" i="39"/>
  <c r="I14" i="39" s="1"/>
  <c r="D13" i="74"/>
  <c r="I14" i="74" s="1"/>
  <c r="D13" i="35"/>
  <c r="D13" i="99"/>
  <c r="I14" i="99" s="1"/>
  <c r="D13" i="3"/>
  <c r="I14" i="3" s="1"/>
  <c r="D13" i="57"/>
  <c r="I14" i="57" s="1"/>
  <c r="D13" i="42"/>
  <c r="I14" i="42" s="1"/>
  <c r="D13" i="22"/>
  <c r="I14" i="22" s="1"/>
  <c r="D13" i="29"/>
  <c r="I14" i="29" s="1"/>
  <c r="D13" i="54"/>
  <c r="I14" i="54" s="1"/>
  <c r="D13" i="75"/>
  <c r="I14" i="75" s="1"/>
  <c r="D13" i="94"/>
  <c r="I14" i="94" s="1"/>
  <c r="D13" i="80"/>
  <c r="I14" i="80" s="1"/>
  <c r="D13" i="59"/>
  <c r="I14" i="59" s="1"/>
  <c r="D13" i="93"/>
  <c r="I14" i="93" s="1"/>
  <c r="D13" i="55"/>
  <c r="I14" i="55" s="1"/>
  <c r="E26" i="55" s="1"/>
  <c r="D13" i="77"/>
  <c r="I14" i="77" s="1"/>
  <c r="D13" i="82"/>
  <c r="I14" i="82" s="1"/>
  <c r="E22" i="82" s="1"/>
  <c r="D13" i="85"/>
  <c r="I14" i="85" s="1"/>
  <c r="D13" i="20"/>
  <c r="I14" i="20" s="1"/>
  <c r="D13" i="76"/>
  <c r="I14" i="76" s="1"/>
  <c r="D13" i="30"/>
  <c r="I14" i="30" s="1"/>
  <c r="D13" i="60"/>
  <c r="I14" i="60" s="1"/>
  <c r="D13" i="32"/>
  <c r="I14" i="32" s="1"/>
  <c r="D13" i="66"/>
  <c r="I14" i="66" s="1"/>
  <c r="D13" i="53"/>
  <c r="I14" i="53" s="1"/>
  <c r="D13" i="21"/>
  <c r="I14" i="21" s="1"/>
  <c r="D13" i="19"/>
  <c r="I14" i="19" s="1"/>
  <c r="D13" i="24"/>
  <c r="I14" i="24" s="1"/>
  <c r="D13" i="69"/>
  <c r="I14" i="69" s="1"/>
  <c r="D13" i="67"/>
  <c r="I14" i="67" s="1"/>
  <c r="B23" i="67" s="1"/>
  <c r="D13" i="86"/>
  <c r="I14" i="86" s="1"/>
  <c r="D13" i="95"/>
  <c r="I14" i="95" s="1"/>
  <c r="D13" i="45"/>
  <c r="I14" i="45" s="1"/>
  <c r="D13" i="17"/>
  <c r="D13" i="78"/>
  <c r="I14" i="78" s="1"/>
  <c r="D13" i="41"/>
  <c r="I14" i="41" s="1"/>
  <c r="D13" i="33"/>
  <c r="D13" i="70"/>
  <c r="I14" i="70" s="1"/>
  <c r="D13" i="18"/>
  <c r="I14" i="18" s="1"/>
  <c r="N7" i="18"/>
  <c r="N7" i="69"/>
  <c r="N7" i="96"/>
  <c r="L86" i="45"/>
  <c r="M87" i="31"/>
  <c r="O87" i="31" s="1"/>
  <c r="N87" i="32"/>
  <c r="M87" i="19"/>
  <c r="O87" i="19" s="1"/>
  <c r="M87" i="81"/>
  <c r="O87" i="81" s="1"/>
  <c r="M87" i="53"/>
  <c r="O87" i="53" s="1"/>
  <c r="N87" i="76"/>
  <c r="L86" i="86"/>
  <c r="M87" i="76"/>
  <c r="M87" i="85"/>
  <c r="M87" i="21"/>
  <c r="O87" i="21" s="1"/>
  <c r="M87" i="26"/>
  <c r="O87" i="26" s="1"/>
  <c r="N87" i="45"/>
  <c r="O87" i="45" s="1"/>
  <c r="L86" i="26"/>
  <c r="N87" i="85"/>
  <c r="D19" i="25"/>
  <c r="B19" i="25" s="1"/>
  <c r="G18" i="25"/>
  <c r="H18" i="25"/>
  <c r="H18" i="13"/>
  <c r="I18" i="13" s="1"/>
  <c r="D19" i="13"/>
  <c r="B19" i="13" s="1"/>
  <c r="N7" i="75"/>
  <c r="O17" i="26"/>
  <c r="I14" i="17"/>
  <c r="C22" i="17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E19" i="98"/>
  <c r="F19" i="98" s="1"/>
  <c r="D20" i="98" s="1"/>
  <c r="E19" i="97"/>
  <c r="F19" i="97" s="1"/>
  <c r="D20" i="97" s="1"/>
  <c r="E19" i="99"/>
  <c r="F19" i="99" s="1"/>
  <c r="D20" i="99" s="1"/>
  <c r="I13" i="97"/>
  <c r="I13" i="99"/>
  <c r="I13" i="98"/>
  <c r="N6" i="43"/>
  <c r="D93" i="87"/>
  <c r="C99" i="87" s="1"/>
  <c r="C100" i="87" s="1"/>
  <c r="C101" i="87" s="1"/>
  <c r="C102" i="87" s="1"/>
  <c r="C103" i="87" s="1"/>
  <c r="C104" i="87" s="1"/>
  <c r="C105" i="87" s="1"/>
  <c r="C106" i="87" s="1"/>
  <c r="C107" i="87" s="1"/>
  <c r="C108" i="87" s="1"/>
  <c r="C109" i="87" s="1"/>
  <c r="C110" i="87" s="1"/>
  <c r="C111" i="87" s="1"/>
  <c r="C112" i="87" s="1"/>
  <c r="C113" i="87" s="1"/>
  <c r="C114" i="87" s="1"/>
  <c r="C115" i="87" s="1"/>
  <c r="C116" i="87" s="1"/>
  <c r="C117" i="87" s="1"/>
  <c r="C118" i="87" s="1"/>
  <c r="C119" i="87" s="1"/>
  <c r="C120" i="87" s="1"/>
  <c r="C121" i="87" s="1"/>
  <c r="C122" i="87" s="1"/>
  <c r="C123" i="87" s="1"/>
  <c r="C124" i="87" s="1"/>
  <c r="C125" i="87" s="1"/>
  <c r="C126" i="87" s="1"/>
  <c r="C127" i="87" s="1"/>
  <c r="C128" i="87" s="1"/>
  <c r="C129" i="87" s="1"/>
  <c r="C130" i="87" s="1"/>
  <c r="C131" i="87" s="1"/>
  <c r="C132" i="87" s="1"/>
  <c r="C133" i="87" s="1"/>
  <c r="C134" i="87" s="1"/>
  <c r="C135" i="87" s="1"/>
  <c r="C136" i="87" s="1"/>
  <c r="C137" i="87" s="1"/>
  <c r="C138" i="87" s="1"/>
  <c r="C139" i="87" s="1"/>
  <c r="C140" i="87" s="1"/>
  <c r="C141" i="87" s="1"/>
  <c r="C142" i="87" s="1"/>
  <c r="C143" i="87" s="1"/>
  <c r="C144" i="87" s="1"/>
  <c r="C145" i="87" s="1"/>
  <c r="C146" i="87" s="1"/>
  <c r="C147" i="87" s="1"/>
  <c r="C148" i="87" s="1"/>
  <c r="C149" i="87" s="1"/>
  <c r="C150" i="87" s="1"/>
  <c r="C151" i="87" s="1"/>
  <c r="C152" i="87" s="1"/>
  <c r="C153" i="87" s="1"/>
  <c r="C154" i="87" s="1"/>
  <c r="N5" i="97"/>
  <c r="N6" i="97"/>
  <c r="D93" i="43"/>
  <c r="E100" i="99"/>
  <c r="N5" i="99"/>
  <c r="N6" i="99"/>
  <c r="N5" i="98"/>
  <c r="N6" i="98"/>
  <c r="N7" i="28"/>
  <c r="D93" i="20"/>
  <c r="C99" i="20" s="1"/>
  <c r="C100" i="20" s="1"/>
  <c r="C101" i="20" s="1"/>
  <c r="C102" i="20" s="1"/>
  <c r="C103" i="20" s="1"/>
  <c r="C104" i="20" s="1"/>
  <c r="C105" i="20" s="1"/>
  <c r="C106" i="20" s="1"/>
  <c r="C107" i="20" s="1"/>
  <c r="C108" i="20" s="1"/>
  <c r="C109" i="20" s="1"/>
  <c r="C110" i="20" s="1"/>
  <c r="C111" i="20" s="1"/>
  <c r="C112" i="20" s="1"/>
  <c r="C113" i="20" s="1"/>
  <c r="C114" i="20" s="1"/>
  <c r="C115" i="20" s="1"/>
  <c r="C116" i="20" s="1"/>
  <c r="C117" i="20" s="1"/>
  <c r="C118" i="20" s="1"/>
  <c r="C119" i="20" s="1"/>
  <c r="C120" i="20" s="1"/>
  <c r="C121" i="20" s="1"/>
  <c r="C122" i="20" s="1"/>
  <c r="C123" i="20" s="1"/>
  <c r="C124" i="20" s="1"/>
  <c r="C125" i="20" s="1"/>
  <c r="C126" i="20" s="1"/>
  <c r="C127" i="20" s="1"/>
  <c r="C128" i="20" s="1"/>
  <c r="C129" i="20" s="1"/>
  <c r="C130" i="20" s="1"/>
  <c r="C131" i="20" s="1"/>
  <c r="C132" i="20" s="1"/>
  <c r="C133" i="20" s="1"/>
  <c r="C134" i="20" s="1"/>
  <c r="C135" i="20" s="1"/>
  <c r="C136" i="20" s="1"/>
  <c r="C137" i="20" s="1"/>
  <c r="C138" i="20" s="1"/>
  <c r="C139" i="20" s="1"/>
  <c r="C140" i="20" s="1"/>
  <c r="C141" i="20" s="1"/>
  <c r="C142" i="20" s="1"/>
  <c r="C143" i="20" s="1"/>
  <c r="C144" i="20" s="1"/>
  <c r="C145" i="20" s="1"/>
  <c r="C146" i="20" s="1"/>
  <c r="C147" i="20" s="1"/>
  <c r="C148" i="20" s="1"/>
  <c r="C149" i="20" s="1"/>
  <c r="C150" i="20" s="1"/>
  <c r="C151" i="20" s="1"/>
  <c r="C152" i="20" s="1"/>
  <c r="C153" i="20" s="1"/>
  <c r="C154" i="20" s="1"/>
  <c r="D94" i="20"/>
  <c r="N87" i="59"/>
  <c r="L86" i="71"/>
  <c r="M87" i="60"/>
  <c r="L86" i="58"/>
  <c r="F20" i="2"/>
  <c r="L86" i="63"/>
  <c r="J95" i="97"/>
  <c r="J95" i="98"/>
  <c r="J95" i="99"/>
  <c r="B21" i="86"/>
  <c r="N7" i="95"/>
  <c r="D21" i="90"/>
  <c r="B21" i="90" s="1"/>
  <c r="E21" i="88"/>
  <c r="D21" i="88"/>
  <c r="B21" i="88" s="1"/>
  <c r="N7" i="85"/>
  <c r="N7" i="82"/>
  <c r="E30" i="31"/>
  <c r="D30" i="31"/>
  <c r="B29" i="31"/>
  <c r="N87" i="64"/>
  <c r="O87" i="80"/>
  <c r="M87" i="71"/>
  <c r="O87" i="71" s="1"/>
  <c r="M87" i="34"/>
  <c r="O87" i="34" s="1"/>
  <c r="L86" i="56"/>
  <c r="N87" i="56"/>
  <c r="O87" i="56" s="1"/>
  <c r="N87" i="23"/>
  <c r="O87" i="23" s="1"/>
  <c r="L86" i="20"/>
  <c r="N87" i="86"/>
  <c r="O87" i="86" s="1"/>
  <c r="M87" i="54"/>
  <c r="O87" i="54" s="1"/>
  <c r="L86" i="23"/>
  <c r="M87" i="75"/>
  <c r="O87" i="75" s="1"/>
  <c r="M87" i="20"/>
  <c r="O87" i="20" s="1"/>
  <c r="N87" i="33"/>
  <c r="D95" i="82"/>
  <c r="J96" i="82" s="1"/>
  <c r="D95" i="98"/>
  <c r="J96" i="98" s="1"/>
  <c r="D95" i="97"/>
  <c r="J96" i="97" s="1"/>
  <c r="N87" i="67"/>
  <c r="M87" i="69"/>
  <c r="O87" i="69" s="1"/>
  <c r="L86" i="78"/>
  <c r="O87" i="32"/>
  <c r="M87" i="59"/>
  <c r="M87" i="63"/>
  <c r="O87" i="63" s="1"/>
  <c r="L86" i="21"/>
  <c r="L86" i="61"/>
  <c r="O87" i="41"/>
  <c r="L86" i="57"/>
  <c r="L86" i="82"/>
  <c r="N87" i="82"/>
  <c r="O87" i="82" s="1"/>
  <c r="M87" i="64"/>
  <c r="N87" i="57"/>
  <c r="O87" i="57" s="1"/>
  <c r="N87" i="65"/>
  <c r="M87" i="65"/>
  <c r="N7" i="90"/>
  <c r="N5" i="64"/>
  <c r="N5" i="65"/>
  <c r="D94" i="67"/>
  <c r="D93" i="67"/>
  <c r="C99" i="67" s="1"/>
  <c r="C100" i="67" s="1"/>
  <c r="C101" i="67" s="1"/>
  <c r="C102" i="67" s="1"/>
  <c r="C103" i="67" s="1"/>
  <c r="C104" i="67" s="1"/>
  <c r="C105" i="67" s="1"/>
  <c r="C106" i="67" s="1"/>
  <c r="C107" i="67" s="1"/>
  <c r="C108" i="67" s="1"/>
  <c r="C109" i="67" s="1"/>
  <c r="C110" i="67" s="1"/>
  <c r="C111" i="67" s="1"/>
  <c r="C112" i="67" s="1"/>
  <c r="C113" i="67" s="1"/>
  <c r="C114" i="67" s="1"/>
  <c r="C115" i="67" s="1"/>
  <c r="C116" i="67" s="1"/>
  <c r="C117" i="67" s="1"/>
  <c r="C118" i="67" s="1"/>
  <c r="C119" i="67" s="1"/>
  <c r="C120" i="67" s="1"/>
  <c r="C121" i="67" s="1"/>
  <c r="C122" i="67" s="1"/>
  <c r="C123" i="67" s="1"/>
  <c r="C124" i="67" s="1"/>
  <c r="C125" i="67" s="1"/>
  <c r="C126" i="67" s="1"/>
  <c r="C127" i="67" s="1"/>
  <c r="C128" i="67" s="1"/>
  <c r="C129" i="67" s="1"/>
  <c r="C130" i="67" s="1"/>
  <c r="C131" i="67" s="1"/>
  <c r="C132" i="67" s="1"/>
  <c r="C133" i="67" s="1"/>
  <c r="C134" i="67" s="1"/>
  <c r="C135" i="67" s="1"/>
  <c r="C136" i="67" s="1"/>
  <c r="C137" i="67" s="1"/>
  <c r="C138" i="67" s="1"/>
  <c r="C139" i="67" s="1"/>
  <c r="C140" i="67" s="1"/>
  <c r="C141" i="67" s="1"/>
  <c r="C142" i="67" s="1"/>
  <c r="C143" i="67" s="1"/>
  <c r="C144" i="67" s="1"/>
  <c r="C145" i="67" s="1"/>
  <c r="C146" i="67" s="1"/>
  <c r="C147" i="67" s="1"/>
  <c r="C148" i="67" s="1"/>
  <c r="C149" i="67" s="1"/>
  <c r="C150" i="67" s="1"/>
  <c r="C151" i="67" s="1"/>
  <c r="C152" i="67" s="1"/>
  <c r="C153" i="67" s="1"/>
  <c r="C154" i="67" s="1"/>
  <c r="D92" i="31"/>
  <c r="B109" i="31" s="1"/>
  <c r="D94" i="31"/>
  <c r="D93" i="22"/>
  <c r="C99" i="22" s="1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D94" i="22"/>
  <c r="N6" i="58"/>
  <c r="D94" i="58"/>
  <c r="D93" i="58"/>
  <c r="C99" i="58" s="1"/>
  <c r="C100" i="58" s="1"/>
  <c r="C101" i="58" s="1"/>
  <c r="C102" i="58" s="1"/>
  <c r="C103" i="58" s="1"/>
  <c r="C104" i="58" s="1"/>
  <c r="C105" i="58" s="1"/>
  <c r="C106" i="58" s="1"/>
  <c r="C107" i="58" s="1"/>
  <c r="C108" i="58" s="1"/>
  <c r="C109" i="58" s="1"/>
  <c r="C110" i="58" s="1"/>
  <c r="C111" i="58" s="1"/>
  <c r="C112" i="58" s="1"/>
  <c r="C113" i="58" s="1"/>
  <c r="C114" i="58" s="1"/>
  <c r="C115" i="58" s="1"/>
  <c r="C116" i="58" s="1"/>
  <c r="C117" i="58" s="1"/>
  <c r="C118" i="58" s="1"/>
  <c r="C119" i="58" s="1"/>
  <c r="C120" i="58" s="1"/>
  <c r="C121" i="58" s="1"/>
  <c r="C122" i="58" s="1"/>
  <c r="C123" i="58" s="1"/>
  <c r="C124" i="58" s="1"/>
  <c r="C125" i="58" s="1"/>
  <c r="C126" i="58" s="1"/>
  <c r="C127" i="58" s="1"/>
  <c r="C128" i="58" s="1"/>
  <c r="C129" i="58" s="1"/>
  <c r="C130" i="58" s="1"/>
  <c r="C131" i="58" s="1"/>
  <c r="C132" i="58" s="1"/>
  <c r="C133" i="58" s="1"/>
  <c r="C134" i="58" s="1"/>
  <c r="C135" i="58" s="1"/>
  <c r="C136" i="58" s="1"/>
  <c r="C137" i="58" s="1"/>
  <c r="C138" i="58" s="1"/>
  <c r="C139" i="58" s="1"/>
  <c r="C140" i="58" s="1"/>
  <c r="C141" i="58" s="1"/>
  <c r="C142" i="58" s="1"/>
  <c r="C143" i="58" s="1"/>
  <c r="C144" i="58" s="1"/>
  <c r="C145" i="58" s="1"/>
  <c r="C146" i="58" s="1"/>
  <c r="C147" i="58" s="1"/>
  <c r="C148" i="58" s="1"/>
  <c r="C149" i="58" s="1"/>
  <c r="C150" i="58" s="1"/>
  <c r="C151" i="58" s="1"/>
  <c r="C152" i="58" s="1"/>
  <c r="C153" i="58" s="1"/>
  <c r="C154" i="58" s="1"/>
  <c r="D93" i="32"/>
  <c r="C99" i="32" s="1"/>
  <c r="C100" i="32" s="1"/>
  <c r="C101" i="32" s="1"/>
  <c r="C102" i="32" s="1"/>
  <c r="C103" i="32" s="1"/>
  <c r="C104" i="32" s="1"/>
  <c r="C105" i="32" s="1"/>
  <c r="C106" i="32" s="1"/>
  <c r="C107" i="32" s="1"/>
  <c r="C108" i="32" s="1"/>
  <c r="C109" i="32" s="1"/>
  <c r="C110" i="32" s="1"/>
  <c r="C111" i="32" s="1"/>
  <c r="C112" i="32" s="1"/>
  <c r="C113" i="32" s="1"/>
  <c r="C114" i="32" s="1"/>
  <c r="C115" i="32" s="1"/>
  <c r="C116" i="32" s="1"/>
  <c r="C117" i="32" s="1"/>
  <c r="C118" i="32" s="1"/>
  <c r="C119" i="32" s="1"/>
  <c r="C120" i="32" s="1"/>
  <c r="C121" i="32" s="1"/>
  <c r="C122" i="32" s="1"/>
  <c r="C123" i="32" s="1"/>
  <c r="C124" i="32" s="1"/>
  <c r="C125" i="32" s="1"/>
  <c r="C126" i="32" s="1"/>
  <c r="C127" i="32" s="1"/>
  <c r="C128" i="32" s="1"/>
  <c r="C129" i="32" s="1"/>
  <c r="C130" i="32" s="1"/>
  <c r="C131" i="32" s="1"/>
  <c r="C132" i="32" s="1"/>
  <c r="C133" i="32" s="1"/>
  <c r="C134" i="32" s="1"/>
  <c r="C135" i="32" s="1"/>
  <c r="C136" i="32" s="1"/>
  <c r="C137" i="32" s="1"/>
  <c r="C138" i="32" s="1"/>
  <c r="C139" i="32" s="1"/>
  <c r="C140" i="32" s="1"/>
  <c r="C141" i="32" s="1"/>
  <c r="C142" i="32" s="1"/>
  <c r="C143" i="32" s="1"/>
  <c r="C144" i="32" s="1"/>
  <c r="C145" i="32" s="1"/>
  <c r="C146" i="32" s="1"/>
  <c r="C147" i="32" s="1"/>
  <c r="C148" i="32" s="1"/>
  <c r="C149" i="32" s="1"/>
  <c r="C150" i="32" s="1"/>
  <c r="C151" i="32" s="1"/>
  <c r="C152" i="32" s="1"/>
  <c r="C153" i="32" s="1"/>
  <c r="C154" i="32" s="1"/>
  <c r="D94" i="32"/>
  <c r="N6" i="66"/>
  <c r="N7" i="66" s="1"/>
  <c r="D94" i="66"/>
  <c r="D93" i="66"/>
  <c r="C99" i="66" s="1"/>
  <c r="C100" i="66" s="1"/>
  <c r="C101" i="66" s="1"/>
  <c r="C102" i="66" s="1"/>
  <c r="C103" i="66" s="1"/>
  <c r="C104" i="66" s="1"/>
  <c r="C105" i="66" s="1"/>
  <c r="C106" i="66" s="1"/>
  <c r="C107" i="66" s="1"/>
  <c r="C108" i="66" s="1"/>
  <c r="C109" i="66" s="1"/>
  <c r="C110" i="66" s="1"/>
  <c r="C111" i="66" s="1"/>
  <c r="C112" i="66" s="1"/>
  <c r="C113" i="66" s="1"/>
  <c r="C114" i="66" s="1"/>
  <c r="C115" i="66" s="1"/>
  <c r="C116" i="66" s="1"/>
  <c r="C117" i="66" s="1"/>
  <c r="C118" i="66" s="1"/>
  <c r="C119" i="66" s="1"/>
  <c r="C120" i="66" s="1"/>
  <c r="C121" i="66" s="1"/>
  <c r="C122" i="66" s="1"/>
  <c r="C123" i="66" s="1"/>
  <c r="C124" i="66" s="1"/>
  <c r="C125" i="66" s="1"/>
  <c r="C126" i="66" s="1"/>
  <c r="C127" i="66" s="1"/>
  <c r="C128" i="66" s="1"/>
  <c r="C129" i="66" s="1"/>
  <c r="C130" i="66" s="1"/>
  <c r="C131" i="66" s="1"/>
  <c r="C132" i="66" s="1"/>
  <c r="C133" i="66" s="1"/>
  <c r="C134" i="66" s="1"/>
  <c r="C135" i="66" s="1"/>
  <c r="C136" i="66" s="1"/>
  <c r="C137" i="66" s="1"/>
  <c r="C138" i="66" s="1"/>
  <c r="C139" i="66" s="1"/>
  <c r="C140" i="66" s="1"/>
  <c r="C141" i="66" s="1"/>
  <c r="C142" i="66" s="1"/>
  <c r="C143" i="66" s="1"/>
  <c r="C144" i="66" s="1"/>
  <c r="C145" i="66" s="1"/>
  <c r="C146" i="66" s="1"/>
  <c r="C147" i="66" s="1"/>
  <c r="C148" i="66" s="1"/>
  <c r="C149" i="66" s="1"/>
  <c r="C150" i="66" s="1"/>
  <c r="C151" i="66" s="1"/>
  <c r="C152" i="66" s="1"/>
  <c r="C153" i="66" s="1"/>
  <c r="C154" i="66" s="1"/>
  <c r="D93" i="19"/>
  <c r="N6" i="19"/>
  <c r="D94" i="19"/>
  <c r="C99" i="89"/>
  <c r="C100" i="89" s="1"/>
  <c r="C101" i="89" s="1"/>
  <c r="C102" i="89" s="1"/>
  <c r="C103" i="89" s="1"/>
  <c r="C104" i="89" s="1"/>
  <c r="C105" i="89" s="1"/>
  <c r="C106" i="89" s="1"/>
  <c r="C107" i="89" s="1"/>
  <c r="C108" i="89" s="1"/>
  <c r="C109" i="89" s="1"/>
  <c r="C110" i="89" s="1"/>
  <c r="C111" i="89" s="1"/>
  <c r="C112" i="89" s="1"/>
  <c r="C113" i="89" s="1"/>
  <c r="C114" i="89" s="1"/>
  <c r="C115" i="89" s="1"/>
  <c r="C116" i="89" s="1"/>
  <c r="C117" i="89" s="1"/>
  <c r="C118" i="89" s="1"/>
  <c r="C119" i="89" s="1"/>
  <c r="C120" i="89" s="1"/>
  <c r="C121" i="89" s="1"/>
  <c r="C122" i="89" s="1"/>
  <c r="C123" i="89" s="1"/>
  <c r="C124" i="89" s="1"/>
  <c r="C125" i="89" s="1"/>
  <c r="C126" i="89" s="1"/>
  <c r="C127" i="89" s="1"/>
  <c r="C128" i="89" s="1"/>
  <c r="C129" i="89" s="1"/>
  <c r="C130" i="89" s="1"/>
  <c r="C131" i="89" s="1"/>
  <c r="C132" i="89" s="1"/>
  <c r="C133" i="89" s="1"/>
  <c r="C134" i="89" s="1"/>
  <c r="C135" i="89" s="1"/>
  <c r="C136" i="89" s="1"/>
  <c r="C137" i="89" s="1"/>
  <c r="C138" i="89" s="1"/>
  <c r="C139" i="89" s="1"/>
  <c r="C140" i="89" s="1"/>
  <c r="C141" i="89" s="1"/>
  <c r="C142" i="89" s="1"/>
  <c r="C143" i="89" s="1"/>
  <c r="C144" i="89" s="1"/>
  <c r="C145" i="89" s="1"/>
  <c r="C146" i="89" s="1"/>
  <c r="C147" i="89" s="1"/>
  <c r="C148" i="89" s="1"/>
  <c r="C149" i="89" s="1"/>
  <c r="C150" i="89" s="1"/>
  <c r="C151" i="89" s="1"/>
  <c r="C152" i="89" s="1"/>
  <c r="C153" i="89" s="1"/>
  <c r="C154" i="89" s="1"/>
  <c r="N6" i="3"/>
  <c r="D93" i="3"/>
  <c r="D94" i="3"/>
  <c r="D93" i="21"/>
  <c r="N6" i="21"/>
  <c r="D94" i="21"/>
  <c r="D93" i="41"/>
  <c r="C99" i="41" s="1"/>
  <c r="C100" i="41" s="1"/>
  <c r="C101" i="41" s="1"/>
  <c r="C102" i="41" s="1"/>
  <c r="C103" i="41" s="1"/>
  <c r="C104" i="41" s="1"/>
  <c r="C105" i="41" s="1"/>
  <c r="C106" i="41" s="1"/>
  <c r="C107" i="41" s="1"/>
  <c r="C108" i="41" s="1"/>
  <c r="C109" i="41" s="1"/>
  <c r="C110" i="41" s="1"/>
  <c r="C111" i="41" s="1"/>
  <c r="C112" i="41" s="1"/>
  <c r="C113" i="41" s="1"/>
  <c r="C114" i="41" s="1"/>
  <c r="C115" i="41" s="1"/>
  <c r="C116" i="41" s="1"/>
  <c r="C117" i="41" s="1"/>
  <c r="C118" i="41" s="1"/>
  <c r="C119" i="41" s="1"/>
  <c r="C120" i="41" s="1"/>
  <c r="C121" i="41" s="1"/>
  <c r="C122" i="41" s="1"/>
  <c r="C123" i="41" s="1"/>
  <c r="C124" i="41" s="1"/>
  <c r="C125" i="41" s="1"/>
  <c r="C126" i="41" s="1"/>
  <c r="C127" i="41" s="1"/>
  <c r="C128" i="41" s="1"/>
  <c r="C129" i="41" s="1"/>
  <c r="C130" i="41" s="1"/>
  <c r="C131" i="41" s="1"/>
  <c r="C132" i="41" s="1"/>
  <c r="C133" i="41" s="1"/>
  <c r="C134" i="41" s="1"/>
  <c r="C135" i="41" s="1"/>
  <c r="C136" i="41" s="1"/>
  <c r="C137" i="41" s="1"/>
  <c r="C138" i="41" s="1"/>
  <c r="C139" i="41" s="1"/>
  <c r="C140" i="41" s="1"/>
  <c r="C141" i="41" s="1"/>
  <c r="C142" i="41" s="1"/>
  <c r="C143" i="41" s="1"/>
  <c r="C144" i="41" s="1"/>
  <c r="C145" i="41" s="1"/>
  <c r="C146" i="41" s="1"/>
  <c r="C147" i="41" s="1"/>
  <c r="C148" i="41" s="1"/>
  <c r="C149" i="41" s="1"/>
  <c r="C150" i="41" s="1"/>
  <c r="C151" i="41" s="1"/>
  <c r="C152" i="41" s="1"/>
  <c r="C153" i="41" s="1"/>
  <c r="C154" i="41" s="1"/>
  <c r="N6" i="41"/>
  <c r="D94" i="41"/>
  <c r="D92" i="41"/>
  <c r="B107" i="41" s="1"/>
  <c r="N5" i="81"/>
  <c r="D94" i="81"/>
  <c r="D93" i="81"/>
  <c r="N6" i="81"/>
  <c r="D94" i="84"/>
  <c r="N5" i="84"/>
  <c r="D93" i="84"/>
  <c r="C99" i="84" s="1"/>
  <c r="C100" i="84" s="1"/>
  <c r="C101" i="84" s="1"/>
  <c r="C102" i="84" s="1"/>
  <c r="C103" i="84" s="1"/>
  <c r="C104" i="84" s="1"/>
  <c r="C105" i="84" s="1"/>
  <c r="C106" i="84" s="1"/>
  <c r="C107" i="84" s="1"/>
  <c r="C108" i="84" s="1"/>
  <c r="C109" i="84" s="1"/>
  <c r="C110" i="84" s="1"/>
  <c r="C111" i="84" s="1"/>
  <c r="C112" i="84" s="1"/>
  <c r="C113" i="84" s="1"/>
  <c r="C114" i="84" s="1"/>
  <c r="C115" i="84" s="1"/>
  <c r="C116" i="84" s="1"/>
  <c r="C117" i="84" s="1"/>
  <c r="C118" i="84" s="1"/>
  <c r="C119" i="84" s="1"/>
  <c r="C120" i="84" s="1"/>
  <c r="C121" i="84" s="1"/>
  <c r="C122" i="84" s="1"/>
  <c r="C123" i="84" s="1"/>
  <c r="C124" i="84" s="1"/>
  <c r="C125" i="84" s="1"/>
  <c r="C126" i="84" s="1"/>
  <c r="C127" i="84" s="1"/>
  <c r="C128" i="84" s="1"/>
  <c r="C129" i="84" s="1"/>
  <c r="C130" i="84" s="1"/>
  <c r="C131" i="84" s="1"/>
  <c r="C132" i="84" s="1"/>
  <c r="C133" i="84" s="1"/>
  <c r="C134" i="84" s="1"/>
  <c r="C135" i="84" s="1"/>
  <c r="C136" i="84" s="1"/>
  <c r="C137" i="84" s="1"/>
  <c r="C138" i="84" s="1"/>
  <c r="C139" i="84" s="1"/>
  <c r="C140" i="84" s="1"/>
  <c r="C141" i="84" s="1"/>
  <c r="C142" i="84" s="1"/>
  <c r="C143" i="84" s="1"/>
  <c r="C144" i="84" s="1"/>
  <c r="C145" i="84" s="1"/>
  <c r="C146" i="84" s="1"/>
  <c r="C147" i="84" s="1"/>
  <c r="C148" i="84" s="1"/>
  <c r="C149" i="84" s="1"/>
  <c r="C150" i="84" s="1"/>
  <c r="C151" i="84" s="1"/>
  <c r="C152" i="84" s="1"/>
  <c r="C153" i="84" s="1"/>
  <c r="C154" i="84" s="1"/>
  <c r="D94" i="57"/>
  <c r="D93" i="57"/>
  <c r="C99" i="57" s="1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C127" i="57" s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N6" i="57"/>
  <c r="D94" i="27"/>
  <c r="D93" i="27"/>
  <c r="N5" i="41"/>
  <c r="D93" i="31"/>
  <c r="C99" i="31" s="1"/>
  <c r="C100" i="31" s="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C127" i="31" s="1"/>
  <c r="C128" i="31" s="1"/>
  <c r="C129" i="31" s="1"/>
  <c r="C130" i="31" s="1"/>
  <c r="C131" i="31" s="1"/>
  <c r="C132" i="31" s="1"/>
  <c r="C133" i="31" s="1"/>
  <c r="C134" i="31" s="1"/>
  <c r="C135" i="31" s="1"/>
  <c r="C136" i="31" s="1"/>
  <c r="C137" i="31" s="1"/>
  <c r="C138" i="31" s="1"/>
  <c r="C139" i="31" s="1"/>
  <c r="C140" i="31" s="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N6" i="84"/>
  <c r="N5" i="58"/>
  <c r="D93" i="88"/>
  <c r="C99" i="88" s="1"/>
  <c r="C100" i="88" s="1"/>
  <c r="C101" i="88" s="1"/>
  <c r="C102" i="88" s="1"/>
  <c r="C103" i="88" s="1"/>
  <c r="C104" i="88" s="1"/>
  <c r="C105" i="88" s="1"/>
  <c r="C106" i="88" s="1"/>
  <c r="C107" i="88" s="1"/>
  <c r="C108" i="88" s="1"/>
  <c r="C109" i="88" s="1"/>
  <c r="C110" i="88" s="1"/>
  <c r="C111" i="88" s="1"/>
  <c r="C112" i="88" s="1"/>
  <c r="C113" i="88" s="1"/>
  <c r="C114" i="88" s="1"/>
  <c r="C115" i="88" s="1"/>
  <c r="C116" i="88" s="1"/>
  <c r="C117" i="88" s="1"/>
  <c r="C118" i="88" s="1"/>
  <c r="C119" i="88" s="1"/>
  <c r="C120" i="88" s="1"/>
  <c r="C121" i="88" s="1"/>
  <c r="C122" i="88" s="1"/>
  <c r="C123" i="88" s="1"/>
  <c r="C124" i="88" s="1"/>
  <c r="C125" i="88" s="1"/>
  <c r="C126" i="88" s="1"/>
  <c r="C127" i="88" s="1"/>
  <c r="C128" i="88" s="1"/>
  <c r="C129" i="88" s="1"/>
  <c r="C130" i="88" s="1"/>
  <c r="C131" i="88" s="1"/>
  <c r="C132" i="88" s="1"/>
  <c r="C133" i="88" s="1"/>
  <c r="C134" i="88" s="1"/>
  <c r="C135" i="88" s="1"/>
  <c r="C136" i="88" s="1"/>
  <c r="C137" i="88" s="1"/>
  <c r="C138" i="88" s="1"/>
  <c r="C139" i="88" s="1"/>
  <c r="C140" i="88" s="1"/>
  <c r="C141" i="88" s="1"/>
  <c r="C142" i="88" s="1"/>
  <c r="C143" i="88" s="1"/>
  <c r="C144" i="88" s="1"/>
  <c r="C145" i="88" s="1"/>
  <c r="C146" i="88" s="1"/>
  <c r="C147" i="88" s="1"/>
  <c r="C148" i="88" s="1"/>
  <c r="C149" i="88" s="1"/>
  <c r="C150" i="88" s="1"/>
  <c r="C151" i="88" s="1"/>
  <c r="C152" i="88" s="1"/>
  <c r="C153" i="88" s="1"/>
  <c r="C154" i="88" s="1"/>
  <c r="D94" i="88"/>
  <c r="N6" i="88"/>
  <c r="N5" i="88"/>
  <c r="N5" i="94"/>
  <c r="N6" i="94"/>
  <c r="D94" i="39"/>
  <c r="D93" i="39"/>
  <c r="C99" i="39" s="1"/>
  <c r="C100" i="39" s="1"/>
  <c r="C101" i="39" s="1"/>
  <c r="C102" i="39" s="1"/>
  <c r="C103" i="39" s="1"/>
  <c r="C104" i="39" s="1"/>
  <c r="C105" i="39" s="1"/>
  <c r="C106" i="39" s="1"/>
  <c r="C107" i="39" s="1"/>
  <c r="C108" i="39" s="1"/>
  <c r="C109" i="39" s="1"/>
  <c r="C110" i="39" s="1"/>
  <c r="C111" i="39" s="1"/>
  <c r="C112" i="39" s="1"/>
  <c r="C113" i="39" s="1"/>
  <c r="C114" i="39" s="1"/>
  <c r="C115" i="39" s="1"/>
  <c r="C116" i="39" s="1"/>
  <c r="C117" i="39" s="1"/>
  <c r="C118" i="39" s="1"/>
  <c r="C119" i="39" s="1"/>
  <c r="C120" i="39" s="1"/>
  <c r="C121" i="39" s="1"/>
  <c r="C122" i="39" s="1"/>
  <c r="C123" i="39" s="1"/>
  <c r="C124" i="39" s="1"/>
  <c r="C125" i="39" s="1"/>
  <c r="C126" i="39" s="1"/>
  <c r="C127" i="39" s="1"/>
  <c r="C128" i="39" s="1"/>
  <c r="C129" i="39" s="1"/>
  <c r="C130" i="39" s="1"/>
  <c r="C131" i="39" s="1"/>
  <c r="C132" i="39" s="1"/>
  <c r="C133" i="39" s="1"/>
  <c r="C134" i="39" s="1"/>
  <c r="C135" i="39" s="1"/>
  <c r="C136" i="39" s="1"/>
  <c r="C137" i="39" s="1"/>
  <c r="C138" i="39" s="1"/>
  <c r="C139" i="39" s="1"/>
  <c r="C140" i="39" s="1"/>
  <c r="C141" i="39" s="1"/>
  <c r="C142" i="39" s="1"/>
  <c r="C143" i="39" s="1"/>
  <c r="C144" i="39" s="1"/>
  <c r="C145" i="39" s="1"/>
  <c r="C146" i="39" s="1"/>
  <c r="C147" i="39" s="1"/>
  <c r="C148" i="39" s="1"/>
  <c r="C149" i="39" s="1"/>
  <c r="C150" i="39" s="1"/>
  <c r="C151" i="39" s="1"/>
  <c r="C152" i="39" s="1"/>
  <c r="C153" i="39" s="1"/>
  <c r="C154" i="39" s="1"/>
  <c r="D94" i="44"/>
  <c r="D93" i="44"/>
  <c r="C99" i="44" s="1"/>
  <c r="C100" i="44" s="1"/>
  <c r="C101" i="44" s="1"/>
  <c r="C102" i="44" s="1"/>
  <c r="C103" i="44" s="1"/>
  <c r="C104" i="44" s="1"/>
  <c r="C105" i="44" s="1"/>
  <c r="C106" i="44" s="1"/>
  <c r="C107" i="44" s="1"/>
  <c r="C108" i="44" s="1"/>
  <c r="C109" i="44" s="1"/>
  <c r="C110" i="44" s="1"/>
  <c r="C111" i="44" s="1"/>
  <c r="C112" i="44" s="1"/>
  <c r="C113" i="44" s="1"/>
  <c r="C114" i="44" s="1"/>
  <c r="C115" i="44" s="1"/>
  <c r="C116" i="44" s="1"/>
  <c r="C117" i="44" s="1"/>
  <c r="C118" i="44" s="1"/>
  <c r="C119" i="44" s="1"/>
  <c r="C120" i="44" s="1"/>
  <c r="C121" i="44" s="1"/>
  <c r="C122" i="44" s="1"/>
  <c r="C123" i="44" s="1"/>
  <c r="C124" i="44" s="1"/>
  <c r="C125" i="44" s="1"/>
  <c r="C126" i="44" s="1"/>
  <c r="C127" i="44" s="1"/>
  <c r="C128" i="44" s="1"/>
  <c r="C129" i="44" s="1"/>
  <c r="C130" i="44" s="1"/>
  <c r="C131" i="44" s="1"/>
  <c r="C132" i="44" s="1"/>
  <c r="C133" i="44" s="1"/>
  <c r="C134" i="44" s="1"/>
  <c r="C135" i="44" s="1"/>
  <c r="C136" i="44" s="1"/>
  <c r="C137" i="44" s="1"/>
  <c r="C138" i="44" s="1"/>
  <c r="C139" i="44" s="1"/>
  <c r="C140" i="44" s="1"/>
  <c r="C141" i="44" s="1"/>
  <c r="C142" i="44" s="1"/>
  <c r="C143" i="44" s="1"/>
  <c r="C144" i="44" s="1"/>
  <c r="C145" i="44" s="1"/>
  <c r="C146" i="44" s="1"/>
  <c r="C147" i="44" s="1"/>
  <c r="C148" i="44" s="1"/>
  <c r="C149" i="44" s="1"/>
  <c r="C150" i="44" s="1"/>
  <c r="C151" i="44" s="1"/>
  <c r="C152" i="44" s="1"/>
  <c r="C153" i="44" s="1"/>
  <c r="C154" i="44" s="1"/>
  <c r="N5" i="86"/>
  <c r="N6" i="86"/>
  <c r="D94" i="42"/>
  <c r="D92" i="42"/>
  <c r="B107" i="42" s="1"/>
  <c r="D93" i="42"/>
  <c r="C99" i="42" s="1"/>
  <c r="C100" i="42" s="1"/>
  <c r="C101" i="42" s="1"/>
  <c r="C102" i="42" s="1"/>
  <c r="C103" i="42" s="1"/>
  <c r="C104" i="42" s="1"/>
  <c r="C105" i="42" s="1"/>
  <c r="C106" i="42" s="1"/>
  <c r="C107" i="42" s="1"/>
  <c r="C108" i="42" s="1"/>
  <c r="C109" i="42" s="1"/>
  <c r="C110" i="42" s="1"/>
  <c r="C111" i="42" s="1"/>
  <c r="C112" i="42" s="1"/>
  <c r="C113" i="42" s="1"/>
  <c r="C114" i="42" s="1"/>
  <c r="C115" i="42" s="1"/>
  <c r="C116" i="42" s="1"/>
  <c r="C117" i="42" s="1"/>
  <c r="C118" i="42" s="1"/>
  <c r="C119" i="42" s="1"/>
  <c r="C120" i="42" s="1"/>
  <c r="C121" i="42" s="1"/>
  <c r="C122" i="42" s="1"/>
  <c r="C123" i="42" s="1"/>
  <c r="C124" i="42" s="1"/>
  <c r="C125" i="42" s="1"/>
  <c r="C126" i="42" s="1"/>
  <c r="C127" i="42" s="1"/>
  <c r="C128" i="42" s="1"/>
  <c r="C129" i="42" s="1"/>
  <c r="C130" i="42" s="1"/>
  <c r="C131" i="42" s="1"/>
  <c r="C132" i="42" s="1"/>
  <c r="C133" i="42" s="1"/>
  <c r="C134" i="42" s="1"/>
  <c r="C135" i="42" s="1"/>
  <c r="C136" i="42" s="1"/>
  <c r="C137" i="42" s="1"/>
  <c r="C138" i="42" s="1"/>
  <c r="C139" i="42" s="1"/>
  <c r="C140" i="42" s="1"/>
  <c r="C141" i="42" s="1"/>
  <c r="C142" i="42" s="1"/>
  <c r="C143" i="42" s="1"/>
  <c r="C144" i="42" s="1"/>
  <c r="C145" i="42" s="1"/>
  <c r="C146" i="42" s="1"/>
  <c r="C147" i="42" s="1"/>
  <c r="C148" i="42" s="1"/>
  <c r="C149" i="42" s="1"/>
  <c r="C150" i="42" s="1"/>
  <c r="C151" i="42" s="1"/>
  <c r="C152" i="42" s="1"/>
  <c r="C153" i="42" s="1"/>
  <c r="C154" i="42" s="1"/>
  <c r="D93" i="79"/>
  <c r="C99" i="79" s="1"/>
  <c r="C100" i="79" s="1"/>
  <c r="C101" i="79" s="1"/>
  <c r="C102" i="79" s="1"/>
  <c r="C103" i="79" s="1"/>
  <c r="C104" i="79" s="1"/>
  <c r="C105" i="79" s="1"/>
  <c r="C106" i="79" s="1"/>
  <c r="C107" i="79" s="1"/>
  <c r="C108" i="79" s="1"/>
  <c r="C109" i="79" s="1"/>
  <c r="C110" i="79" s="1"/>
  <c r="C111" i="79" s="1"/>
  <c r="C112" i="79" s="1"/>
  <c r="C113" i="79" s="1"/>
  <c r="C114" i="79" s="1"/>
  <c r="C115" i="79" s="1"/>
  <c r="C116" i="79" s="1"/>
  <c r="C117" i="79" s="1"/>
  <c r="C118" i="79" s="1"/>
  <c r="C119" i="79" s="1"/>
  <c r="C120" i="79" s="1"/>
  <c r="C121" i="79" s="1"/>
  <c r="C122" i="79" s="1"/>
  <c r="C123" i="79" s="1"/>
  <c r="C124" i="79" s="1"/>
  <c r="C125" i="79" s="1"/>
  <c r="C126" i="79" s="1"/>
  <c r="C127" i="79" s="1"/>
  <c r="C128" i="79" s="1"/>
  <c r="C129" i="79" s="1"/>
  <c r="C130" i="79" s="1"/>
  <c r="C131" i="79" s="1"/>
  <c r="C132" i="79" s="1"/>
  <c r="C133" i="79" s="1"/>
  <c r="C134" i="79" s="1"/>
  <c r="C135" i="79" s="1"/>
  <c r="C136" i="79" s="1"/>
  <c r="C137" i="79" s="1"/>
  <c r="C138" i="79" s="1"/>
  <c r="C139" i="79" s="1"/>
  <c r="C140" i="79" s="1"/>
  <c r="C141" i="79" s="1"/>
  <c r="C142" i="79" s="1"/>
  <c r="C143" i="79" s="1"/>
  <c r="C144" i="79" s="1"/>
  <c r="C145" i="79" s="1"/>
  <c r="C146" i="79" s="1"/>
  <c r="C147" i="79" s="1"/>
  <c r="C148" i="79" s="1"/>
  <c r="C149" i="79" s="1"/>
  <c r="C150" i="79" s="1"/>
  <c r="C151" i="79" s="1"/>
  <c r="C152" i="79" s="1"/>
  <c r="C153" i="79" s="1"/>
  <c r="C154" i="79" s="1"/>
  <c r="N6" i="79"/>
  <c r="D94" i="79"/>
  <c r="D93" i="45"/>
  <c r="N6" i="45"/>
  <c r="N7" i="45" s="1"/>
  <c r="D94" i="45"/>
  <c r="D92" i="45"/>
  <c r="B106" i="45" s="1"/>
  <c r="D93" i="68"/>
  <c r="C99" i="68" s="1"/>
  <c r="C100" i="68" s="1"/>
  <c r="C101" i="68" s="1"/>
  <c r="C102" i="68" s="1"/>
  <c r="C103" i="68" s="1"/>
  <c r="C104" i="68" s="1"/>
  <c r="C105" i="68" s="1"/>
  <c r="C106" i="68" s="1"/>
  <c r="C107" i="68" s="1"/>
  <c r="C108" i="68" s="1"/>
  <c r="C109" i="68" s="1"/>
  <c r="C110" i="68" s="1"/>
  <c r="C111" i="68" s="1"/>
  <c r="C112" i="68" s="1"/>
  <c r="C113" i="68" s="1"/>
  <c r="C114" i="68" s="1"/>
  <c r="C115" i="68" s="1"/>
  <c r="C116" i="68" s="1"/>
  <c r="C117" i="68" s="1"/>
  <c r="C118" i="68" s="1"/>
  <c r="C119" i="68" s="1"/>
  <c r="C120" i="68" s="1"/>
  <c r="C121" i="68" s="1"/>
  <c r="C122" i="68" s="1"/>
  <c r="C123" i="68" s="1"/>
  <c r="C124" i="68" s="1"/>
  <c r="C125" i="68" s="1"/>
  <c r="C126" i="68" s="1"/>
  <c r="C127" i="68" s="1"/>
  <c r="C128" i="68" s="1"/>
  <c r="C129" i="68" s="1"/>
  <c r="C130" i="68" s="1"/>
  <c r="C131" i="68" s="1"/>
  <c r="C132" i="68" s="1"/>
  <c r="C133" i="68" s="1"/>
  <c r="C134" i="68" s="1"/>
  <c r="C135" i="68" s="1"/>
  <c r="C136" i="68" s="1"/>
  <c r="C137" i="68" s="1"/>
  <c r="C138" i="68" s="1"/>
  <c r="C139" i="68" s="1"/>
  <c r="C140" i="68" s="1"/>
  <c r="C141" i="68" s="1"/>
  <c r="C142" i="68" s="1"/>
  <c r="C143" i="68" s="1"/>
  <c r="C144" i="68" s="1"/>
  <c r="C145" i="68" s="1"/>
  <c r="C146" i="68" s="1"/>
  <c r="C147" i="68" s="1"/>
  <c r="C148" i="68" s="1"/>
  <c r="C149" i="68" s="1"/>
  <c r="C150" i="68" s="1"/>
  <c r="C151" i="68" s="1"/>
  <c r="C152" i="68" s="1"/>
  <c r="C153" i="68" s="1"/>
  <c r="C154" i="68" s="1"/>
  <c r="N6" i="68"/>
  <c r="D94" i="68"/>
  <c r="D93" i="30"/>
  <c r="C99" i="30" s="1"/>
  <c r="C100" i="30" s="1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D92" i="30"/>
  <c r="D94" i="30"/>
  <c r="D93" i="55"/>
  <c r="C99" i="55" s="1"/>
  <c r="C100" i="55" s="1"/>
  <c r="C101" i="55" s="1"/>
  <c r="C102" i="55" s="1"/>
  <c r="C103" i="55" s="1"/>
  <c r="C104" i="55" s="1"/>
  <c r="C105" i="55" s="1"/>
  <c r="C106" i="55" s="1"/>
  <c r="C107" i="55" s="1"/>
  <c r="C108" i="55" s="1"/>
  <c r="C109" i="55" s="1"/>
  <c r="C110" i="55" s="1"/>
  <c r="C111" i="55" s="1"/>
  <c r="C112" i="55" s="1"/>
  <c r="C113" i="55" s="1"/>
  <c r="C114" i="55" s="1"/>
  <c r="C115" i="55" s="1"/>
  <c r="C116" i="55" s="1"/>
  <c r="C117" i="55" s="1"/>
  <c r="C118" i="55" s="1"/>
  <c r="C119" i="55" s="1"/>
  <c r="C120" i="55" s="1"/>
  <c r="C121" i="55" s="1"/>
  <c r="C122" i="55" s="1"/>
  <c r="C123" i="55" s="1"/>
  <c r="C124" i="55" s="1"/>
  <c r="C125" i="55" s="1"/>
  <c r="C126" i="55" s="1"/>
  <c r="C127" i="55" s="1"/>
  <c r="C128" i="55" s="1"/>
  <c r="C129" i="55" s="1"/>
  <c r="C130" i="55" s="1"/>
  <c r="C131" i="55" s="1"/>
  <c r="C132" i="55" s="1"/>
  <c r="C133" i="55" s="1"/>
  <c r="C134" i="55" s="1"/>
  <c r="C135" i="55" s="1"/>
  <c r="C136" i="55" s="1"/>
  <c r="C137" i="55" s="1"/>
  <c r="C138" i="55" s="1"/>
  <c r="C139" i="55" s="1"/>
  <c r="C140" i="55" s="1"/>
  <c r="C141" i="55" s="1"/>
  <c r="C142" i="55" s="1"/>
  <c r="C143" i="55" s="1"/>
  <c r="C144" i="55" s="1"/>
  <c r="C145" i="55" s="1"/>
  <c r="C146" i="55" s="1"/>
  <c r="C147" i="55" s="1"/>
  <c r="C148" i="55" s="1"/>
  <c r="C149" i="55" s="1"/>
  <c r="C150" i="55" s="1"/>
  <c r="C151" i="55" s="1"/>
  <c r="C152" i="55" s="1"/>
  <c r="C153" i="55" s="1"/>
  <c r="C154" i="55" s="1"/>
  <c r="D94" i="55"/>
  <c r="N6" i="55"/>
  <c r="N7" i="55" s="1"/>
  <c r="D94" i="24"/>
  <c r="D93" i="24"/>
  <c r="C99" i="24" s="1"/>
  <c r="C100" i="24" s="1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N6" i="24"/>
  <c r="N7" i="24" s="1"/>
  <c r="D92" i="26"/>
  <c r="J96" i="26" s="1"/>
  <c r="D94" i="26"/>
  <c r="D94" i="80"/>
  <c r="D93" i="80"/>
  <c r="C99" i="80" s="1"/>
  <c r="C100" i="80" s="1"/>
  <c r="C101" i="80" s="1"/>
  <c r="C102" i="80" s="1"/>
  <c r="C103" i="80" s="1"/>
  <c r="C104" i="80" s="1"/>
  <c r="C105" i="80" s="1"/>
  <c r="C106" i="80" s="1"/>
  <c r="C107" i="80" s="1"/>
  <c r="C108" i="80" s="1"/>
  <c r="C109" i="80" s="1"/>
  <c r="C110" i="80" s="1"/>
  <c r="C111" i="80" s="1"/>
  <c r="C112" i="80" s="1"/>
  <c r="C113" i="80" s="1"/>
  <c r="C114" i="80" s="1"/>
  <c r="C115" i="80" s="1"/>
  <c r="C116" i="80" s="1"/>
  <c r="C117" i="80" s="1"/>
  <c r="C118" i="80" s="1"/>
  <c r="C119" i="80" s="1"/>
  <c r="C120" i="80" s="1"/>
  <c r="C121" i="80" s="1"/>
  <c r="C122" i="80" s="1"/>
  <c r="C123" i="80" s="1"/>
  <c r="C124" i="80" s="1"/>
  <c r="C125" i="80" s="1"/>
  <c r="C126" i="80" s="1"/>
  <c r="C127" i="80" s="1"/>
  <c r="C128" i="80" s="1"/>
  <c r="C129" i="80" s="1"/>
  <c r="C130" i="80" s="1"/>
  <c r="C131" i="80" s="1"/>
  <c r="C132" i="80" s="1"/>
  <c r="C133" i="80" s="1"/>
  <c r="C134" i="80" s="1"/>
  <c r="C135" i="80" s="1"/>
  <c r="C136" i="80" s="1"/>
  <c r="C137" i="80" s="1"/>
  <c r="C138" i="80" s="1"/>
  <c r="C139" i="80" s="1"/>
  <c r="C140" i="80" s="1"/>
  <c r="C141" i="80" s="1"/>
  <c r="C142" i="80" s="1"/>
  <c r="C143" i="80" s="1"/>
  <c r="C144" i="80" s="1"/>
  <c r="C145" i="80" s="1"/>
  <c r="C146" i="80" s="1"/>
  <c r="C147" i="80" s="1"/>
  <c r="C148" i="80" s="1"/>
  <c r="C149" i="80" s="1"/>
  <c r="C150" i="80" s="1"/>
  <c r="C151" i="80" s="1"/>
  <c r="C152" i="80" s="1"/>
  <c r="C153" i="80" s="1"/>
  <c r="C154" i="80" s="1"/>
  <c r="N6" i="80"/>
  <c r="N5" i="80"/>
  <c r="D93" i="64"/>
  <c r="D94" i="64"/>
  <c r="N6" i="64"/>
  <c r="D94" i="65"/>
  <c r="D92" i="65"/>
  <c r="B103" i="65" s="1"/>
  <c r="N6" i="65"/>
  <c r="D93" i="53"/>
  <c r="C99" i="53" s="1"/>
  <c r="C100" i="53" s="1"/>
  <c r="C101" i="53" s="1"/>
  <c r="C102" i="53" s="1"/>
  <c r="C103" i="53" s="1"/>
  <c r="C104" i="53" s="1"/>
  <c r="C105" i="53" s="1"/>
  <c r="C106" i="53" s="1"/>
  <c r="C107" i="53" s="1"/>
  <c r="C108" i="53" s="1"/>
  <c r="C109" i="53" s="1"/>
  <c r="C110" i="53" s="1"/>
  <c r="C111" i="53" s="1"/>
  <c r="C112" i="53" s="1"/>
  <c r="C113" i="53" s="1"/>
  <c r="C114" i="53" s="1"/>
  <c r="C115" i="53" s="1"/>
  <c r="C116" i="53" s="1"/>
  <c r="C117" i="53" s="1"/>
  <c r="C118" i="53" s="1"/>
  <c r="C119" i="53" s="1"/>
  <c r="C120" i="53" s="1"/>
  <c r="C121" i="53" s="1"/>
  <c r="C122" i="53" s="1"/>
  <c r="C123" i="53" s="1"/>
  <c r="C124" i="53" s="1"/>
  <c r="C125" i="53" s="1"/>
  <c r="C126" i="53" s="1"/>
  <c r="C127" i="53" s="1"/>
  <c r="C128" i="53" s="1"/>
  <c r="C129" i="53" s="1"/>
  <c r="C130" i="53" s="1"/>
  <c r="C131" i="53" s="1"/>
  <c r="C132" i="53" s="1"/>
  <c r="C133" i="53" s="1"/>
  <c r="C134" i="53" s="1"/>
  <c r="C135" i="53" s="1"/>
  <c r="C136" i="53" s="1"/>
  <c r="C137" i="53" s="1"/>
  <c r="C138" i="53" s="1"/>
  <c r="C139" i="53" s="1"/>
  <c r="C140" i="53" s="1"/>
  <c r="C141" i="53" s="1"/>
  <c r="C142" i="53" s="1"/>
  <c r="C143" i="53" s="1"/>
  <c r="C144" i="53" s="1"/>
  <c r="C145" i="53" s="1"/>
  <c r="C146" i="53" s="1"/>
  <c r="C147" i="53" s="1"/>
  <c r="C148" i="53" s="1"/>
  <c r="C149" i="53" s="1"/>
  <c r="C150" i="53" s="1"/>
  <c r="C151" i="53" s="1"/>
  <c r="C152" i="53" s="1"/>
  <c r="C153" i="53" s="1"/>
  <c r="C154" i="53" s="1"/>
  <c r="D92" i="53"/>
  <c r="B105" i="53" s="1"/>
  <c r="N6" i="53"/>
  <c r="D94" i="53"/>
  <c r="N5" i="67"/>
  <c r="N7" i="67" s="1"/>
  <c r="D93" i="91"/>
  <c r="N6" i="91"/>
  <c r="N5" i="91"/>
  <c r="D94" i="91"/>
  <c r="N5" i="93"/>
  <c r="N6" i="93"/>
  <c r="D94" i="29"/>
  <c r="D93" i="29"/>
  <c r="N6" i="29"/>
  <c r="D94" i="34"/>
  <c r="N6" i="34"/>
  <c r="N7" i="34" s="1"/>
  <c r="D93" i="76"/>
  <c r="C99" i="76" s="1"/>
  <c r="C100" i="76" s="1"/>
  <c r="C101" i="76" s="1"/>
  <c r="C102" i="76" s="1"/>
  <c r="C103" i="76" s="1"/>
  <c r="C104" i="76" s="1"/>
  <c r="C105" i="76" s="1"/>
  <c r="C106" i="76" s="1"/>
  <c r="C107" i="76" s="1"/>
  <c r="C108" i="76" s="1"/>
  <c r="C109" i="76" s="1"/>
  <c r="C110" i="76" s="1"/>
  <c r="C111" i="76" s="1"/>
  <c r="C112" i="76" s="1"/>
  <c r="C113" i="76" s="1"/>
  <c r="C114" i="76" s="1"/>
  <c r="C115" i="76" s="1"/>
  <c r="C116" i="76" s="1"/>
  <c r="C117" i="76" s="1"/>
  <c r="C118" i="76" s="1"/>
  <c r="C119" i="76" s="1"/>
  <c r="C120" i="76" s="1"/>
  <c r="C121" i="76" s="1"/>
  <c r="C122" i="76" s="1"/>
  <c r="C123" i="76" s="1"/>
  <c r="C124" i="76" s="1"/>
  <c r="C125" i="76" s="1"/>
  <c r="C126" i="76" s="1"/>
  <c r="C127" i="76" s="1"/>
  <c r="C128" i="76" s="1"/>
  <c r="C129" i="76" s="1"/>
  <c r="C130" i="76" s="1"/>
  <c r="C131" i="76" s="1"/>
  <c r="C132" i="76" s="1"/>
  <c r="C133" i="76" s="1"/>
  <c r="C134" i="76" s="1"/>
  <c r="C135" i="76" s="1"/>
  <c r="C136" i="76" s="1"/>
  <c r="C137" i="76" s="1"/>
  <c r="C138" i="76" s="1"/>
  <c r="C139" i="76" s="1"/>
  <c r="C140" i="76" s="1"/>
  <c r="C141" i="76" s="1"/>
  <c r="C142" i="76" s="1"/>
  <c r="C143" i="76" s="1"/>
  <c r="C144" i="76" s="1"/>
  <c r="C145" i="76" s="1"/>
  <c r="C146" i="76" s="1"/>
  <c r="C147" i="76" s="1"/>
  <c r="C148" i="76" s="1"/>
  <c r="C149" i="76" s="1"/>
  <c r="C150" i="76" s="1"/>
  <c r="C151" i="76" s="1"/>
  <c r="C152" i="76" s="1"/>
  <c r="C153" i="76" s="1"/>
  <c r="C154" i="76" s="1"/>
  <c r="D94" i="76"/>
  <c r="N6" i="76"/>
  <c r="D92" i="54"/>
  <c r="B105" i="54" s="1"/>
  <c r="N6" i="54"/>
  <c r="D93" i="54"/>
  <c r="D94" i="54"/>
  <c r="D93" i="25"/>
  <c r="D92" i="25"/>
  <c r="J96" i="25" s="1"/>
  <c r="D94" i="25"/>
  <c r="J95" i="85"/>
  <c r="K94" i="85"/>
  <c r="N87" i="27"/>
  <c r="O87" i="27" s="1"/>
  <c r="L86" i="55"/>
  <c r="N87" i="55"/>
  <c r="O87" i="55" s="1"/>
  <c r="L86" i="83"/>
  <c r="L86" i="54"/>
  <c r="M87" i="83"/>
  <c r="O87" i="83" s="1"/>
  <c r="C100" i="95"/>
  <c r="C101" i="95" s="1"/>
  <c r="C102" i="95" s="1"/>
  <c r="C103" i="95" s="1"/>
  <c r="C104" i="95" s="1"/>
  <c r="C105" i="95" s="1"/>
  <c r="C106" i="95" s="1"/>
  <c r="C107" i="95" s="1"/>
  <c r="C108" i="95" s="1"/>
  <c r="C109" i="95" s="1"/>
  <c r="C110" i="95" s="1"/>
  <c r="C111" i="95" s="1"/>
  <c r="C112" i="95" s="1"/>
  <c r="C113" i="95" s="1"/>
  <c r="C114" i="95" s="1"/>
  <c r="C115" i="95" s="1"/>
  <c r="C116" i="95" s="1"/>
  <c r="C117" i="95" s="1"/>
  <c r="C118" i="95" s="1"/>
  <c r="C119" i="95" s="1"/>
  <c r="C120" i="95" s="1"/>
  <c r="C121" i="95" s="1"/>
  <c r="C122" i="95" s="1"/>
  <c r="C123" i="95" s="1"/>
  <c r="C124" i="95" s="1"/>
  <c r="C125" i="95" s="1"/>
  <c r="C126" i="95" s="1"/>
  <c r="C127" i="95" s="1"/>
  <c r="C128" i="95" s="1"/>
  <c r="C129" i="95" s="1"/>
  <c r="C130" i="95" s="1"/>
  <c r="C131" i="95" s="1"/>
  <c r="C132" i="95" s="1"/>
  <c r="C133" i="95" s="1"/>
  <c r="C134" i="95" s="1"/>
  <c r="C135" i="95" s="1"/>
  <c r="C136" i="95" s="1"/>
  <c r="C137" i="95" s="1"/>
  <c r="C138" i="95" s="1"/>
  <c r="C139" i="95" s="1"/>
  <c r="C140" i="95" s="1"/>
  <c r="C141" i="95" s="1"/>
  <c r="C142" i="95" s="1"/>
  <c r="C143" i="95" s="1"/>
  <c r="C144" i="95" s="1"/>
  <c r="C145" i="95" s="1"/>
  <c r="C146" i="95" s="1"/>
  <c r="C147" i="95" s="1"/>
  <c r="C148" i="95" s="1"/>
  <c r="C149" i="95" s="1"/>
  <c r="C150" i="95" s="1"/>
  <c r="C151" i="95" s="1"/>
  <c r="C152" i="95" s="1"/>
  <c r="C153" i="95" s="1"/>
  <c r="C154" i="95" s="1"/>
  <c r="I20" i="90"/>
  <c r="I18" i="94"/>
  <c r="F21" i="90"/>
  <c r="D22" i="90" s="1"/>
  <c r="I20" i="80"/>
  <c r="N5" i="71"/>
  <c r="N7" i="71" s="1"/>
  <c r="D24" i="67"/>
  <c r="E24" i="67"/>
  <c r="O87" i="58"/>
  <c r="N5" i="46"/>
  <c r="N7" i="46" s="1"/>
  <c r="O87" i="42"/>
  <c r="I28" i="24"/>
  <c r="F22" i="82"/>
  <c r="I19" i="88"/>
  <c r="C99" i="26"/>
  <c r="C99" i="33"/>
  <c r="C100" i="33" s="1"/>
  <c r="C101" i="33" s="1"/>
  <c r="C102" i="33" s="1"/>
  <c r="C103" i="33" s="1"/>
  <c r="C104" i="33" s="1"/>
  <c r="C105" i="33" s="1"/>
  <c r="C106" i="33" s="1"/>
  <c r="C107" i="33" s="1"/>
  <c r="C108" i="33" s="1"/>
  <c r="C109" i="33" s="1"/>
  <c r="C110" i="33" s="1"/>
  <c r="C111" i="33" s="1"/>
  <c r="C112" i="33" s="1"/>
  <c r="C113" i="33" s="1"/>
  <c r="C114" i="33" s="1"/>
  <c r="C115" i="33" s="1"/>
  <c r="C116" i="33" s="1"/>
  <c r="C117" i="33" s="1"/>
  <c r="C118" i="33" s="1"/>
  <c r="C119" i="33" s="1"/>
  <c r="C120" i="33" s="1"/>
  <c r="C121" i="33" s="1"/>
  <c r="C122" i="33" s="1"/>
  <c r="C123" i="33" s="1"/>
  <c r="C124" i="33" s="1"/>
  <c r="C125" i="33" s="1"/>
  <c r="C126" i="33" s="1"/>
  <c r="C127" i="33" s="1"/>
  <c r="C128" i="33" s="1"/>
  <c r="C129" i="33" s="1"/>
  <c r="C130" i="33" s="1"/>
  <c r="C131" i="33" s="1"/>
  <c r="C132" i="33" s="1"/>
  <c r="C133" i="33" s="1"/>
  <c r="C134" i="33" s="1"/>
  <c r="C135" i="33" s="1"/>
  <c r="C136" i="33" s="1"/>
  <c r="C137" i="33" s="1"/>
  <c r="C138" i="33" s="1"/>
  <c r="C139" i="33" s="1"/>
  <c r="C140" i="33" s="1"/>
  <c r="C141" i="33" s="1"/>
  <c r="C142" i="33" s="1"/>
  <c r="C143" i="33" s="1"/>
  <c r="C144" i="33" s="1"/>
  <c r="C145" i="33" s="1"/>
  <c r="C146" i="33" s="1"/>
  <c r="C147" i="33" s="1"/>
  <c r="C148" i="33" s="1"/>
  <c r="C149" i="33" s="1"/>
  <c r="C150" i="33" s="1"/>
  <c r="C151" i="33" s="1"/>
  <c r="C152" i="33" s="1"/>
  <c r="C153" i="33" s="1"/>
  <c r="C154" i="33" s="1"/>
  <c r="N7" i="31"/>
  <c r="I17" i="26"/>
  <c r="B21" i="80"/>
  <c r="I18" i="93"/>
  <c r="I28" i="34"/>
  <c r="N5" i="53"/>
  <c r="F26" i="55"/>
  <c r="B26" i="55"/>
  <c r="F26" i="58"/>
  <c r="B26" i="58"/>
  <c r="N6" i="23"/>
  <c r="N7" i="23" s="1"/>
  <c r="I28" i="23"/>
  <c r="B23" i="65"/>
  <c r="E30" i="23"/>
  <c r="D30" i="23"/>
  <c r="I24" i="53"/>
  <c r="I23" i="66"/>
  <c r="E24" i="66"/>
  <c r="D24" i="66"/>
  <c r="I29" i="23"/>
  <c r="B22" i="75"/>
  <c r="E21" i="91"/>
  <c r="D21" i="91"/>
  <c r="N5" i="76"/>
  <c r="N5" i="72"/>
  <c r="N7" i="72" s="1"/>
  <c r="N5" i="44"/>
  <c r="N5" i="27"/>
  <c r="I22" i="65"/>
  <c r="I18" i="96"/>
  <c r="N5" i="61"/>
  <c r="N7" i="61" s="1"/>
  <c r="N5" i="39"/>
  <c r="N7" i="39" s="1"/>
  <c r="I27" i="22"/>
  <c r="D28" i="41"/>
  <c r="E28" i="41"/>
  <c r="B19" i="33"/>
  <c r="E19" i="33"/>
  <c r="F19" i="33" s="1"/>
  <c r="N5" i="21"/>
  <c r="N5" i="57"/>
  <c r="N7" i="57" s="1"/>
  <c r="N5" i="3"/>
  <c r="N5" i="43"/>
  <c r="N5" i="63"/>
  <c r="N5" i="32"/>
  <c r="N5" i="79"/>
  <c r="B26" i="45"/>
  <c r="G18" i="26"/>
  <c r="D19" i="26"/>
  <c r="H18" i="26"/>
  <c r="N5" i="78"/>
  <c r="N7" i="78" s="1"/>
  <c r="N5" i="54"/>
  <c r="I29" i="69"/>
  <c r="I25" i="45"/>
  <c r="N5" i="70"/>
  <c r="N7" i="70" s="1"/>
  <c r="B24" i="64"/>
  <c r="N5" i="92"/>
  <c r="N7" i="92" s="1"/>
  <c r="N5" i="73"/>
  <c r="N7" i="73" s="1"/>
  <c r="N5" i="19"/>
  <c r="B29" i="34"/>
  <c r="B29" i="71"/>
  <c r="I18" i="33"/>
  <c r="N5" i="29"/>
  <c r="B26" i="74"/>
  <c r="N5" i="77"/>
  <c r="N7" i="77" s="1"/>
  <c r="I21" i="77"/>
  <c r="B30" i="69"/>
  <c r="I26" i="41"/>
  <c r="N5" i="68"/>
  <c r="B31" i="28"/>
  <c r="I23" i="64"/>
  <c r="E105" i="35"/>
  <c r="F105" i="35" s="1"/>
  <c r="G105" i="35" s="1"/>
  <c r="G104" i="35"/>
  <c r="I104" i="35" s="1"/>
  <c r="D95" i="87"/>
  <c r="J96" i="87" s="1"/>
  <c r="D95" i="28"/>
  <c r="J96" i="28" s="1"/>
  <c r="L86" i="44"/>
  <c r="M87" i="44"/>
  <c r="O87" i="44" s="1"/>
  <c r="L86" i="96"/>
  <c r="N87" i="96"/>
  <c r="O87" i="96" s="1"/>
  <c r="M87" i="66"/>
  <c r="L86" i="88"/>
  <c r="L86" i="89"/>
  <c r="M87" i="89"/>
  <c r="O87" i="89" s="1"/>
  <c r="N87" i="62"/>
  <c r="M87" i="62"/>
  <c r="N87" i="22"/>
  <c r="M87" i="22"/>
  <c r="L86" i="22"/>
  <c r="N87" i="84"/>
  <c r="L86" i="84"/>
  <c r="M87" i="84"/>
  <c r="M87" i="79"/>
  <c r="L86" i="27"/>
  <c r="M87" i="67"/>
  <c r="N87" i="88"/>
  <c r="O87" i="88" s="1"/>
  <c r="M87" i="61"/>
  <c r="O87" i="61" s="1"/>
  <c r="L86" i="69"/>
  <c r="N87" i="66"/>
  <c r="N87" i="79"/>
  <c r="M87" i="33"/>
  <c r="L86" i="77"/>
  <c r="N87" i="77"/>
  <c r="M87" i="77"/>
  <c r="L86" i="68"/>
  <c r="M87" i="68"/>
  <c r="O87" i="68" s="1"/>
  <c r="N87" i="29"/>
  <c r="M87" i="29"/>
  <c r="L86" i="29"/>
  <c r="D95" i="67"/>
  <c r="J96" i="67" s="1"/>
  <c r="D95" i="3"/>
  <c r="J96" i="3" s="1"/>
  <c r="D95" i="44"/>
  <c r="J96" i="44" s="1"/>
  <c r="M87" i="39"/>
  <c r="N87" i="39"/>
  <c r="L86" i="75"/>
  <c r="N87" i="93"/>
  <c r="O87" i="93" s="1"/>
  <c r="L86" i="74"/>
  <c r="M87" i="74"/>
  <c r="O87" i="74" s="1"/>
  <c r="N87" i="3"/>
  <c r="O87" i="3" s="1"/>
  <c r="L86" i="3"/>
  <c r="L86" i="94"/>
  <c r="N87" i="94"/>
  <c r="O87" i="94" s="1"/>
  <c r="N87" i="87"/>
  <c r="O87" i="87" s="1"/>
  <c r="L86" i="87"/>
  <c r="N87" i="43"/>
  <c r="O87" i="43" s="1"/>
  <c r="L86" i="43"/>
  <c r="N87" i="28"/>
  <c r="O87" i="28" s="1"/>
  <c r="L86" i="28"/>
  <c r="L86" i="34"/>
  <c r="L86" i="93"/>
  <c r="N87" i="60"/>
  <c r="O87" i="30"/>
  <c r="L86" i="46"/>
  <c r="N87" i="90"/>
  <c r="O87" i="90" s="1"/>
  <c r="L86" i="90"/>
  <c r="L86" i="70"/>
  <c r="M87" i="70"/>
  <c r="O87" i="70" s="1"/>
  <c r="L86" i="25"/>
  <c r="N87" i="25"/>
  <c r="O87" i="25" s="1"/>
  <c r="O87" i="13"/>
  <c r="N87" i="46"/>
  <c r="O87" i="46" s="1"/>
  <c r="M87" i="24"/>
  <c r="N87" i="24"/>
  <c r="L86" i="24"/>
  <c r="N87" i="95"/>
  <c r="O87" i="95" s="1"/>
  <c r="L86" i="95"/>
  <c r="O87" i="92"/>
  <c r="G22" i="35"/>
  <c r="B23" i="35"/>
  <c r="E23" i="35"/>
  <c r="F23" i="35" s="1"/>
  <c r="H22" i="35"/>
  <c r="I28" i="32"/>
  <c r="N6" i="32"/>
  <c r="N5" i="74"/>
  <c r="D29" i="18"/>
  <c r="C99" i="28"/>
  <c r="C100" i="28" s="1"/>
  <c r="C101" i="28" s="1"/>
  <c r="C102" i="28" s="1"/>
  <c r="C103" i="28" s="1"/>
  <c r="C104" i="28" s="1"/>
  <c r="C105" i="28" s="1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I25" i="74"/>
  <c r="N6" i="74"/>
  <c r="N6" i="87"/>
  <c r="I19" i="87"/>
  <c r="N5" i="42"/>
  <c r="N5" i="22"/>
  <c r="N7" i="22" s="1"/>
  <c r="B20" i="87"/>
  <c r="E25" i="1"/>
  <c r="E26" i="1" s="1"/>
  <c r="E32" i="1"/>
  <c r="N6" i="42"/>
  <c r="I26" i="42"/>
  <c r="N5" i="87"/>
  <c r="D95" i="17"/>
  <c r="J96" i="17" s="1"/>
  <c r="D95" i="74"/>
  <c r="J96" i="74" s="1"/>
  <c r="D95" i="96"/>
  <c r="J96" i="96" s="1"/>
  <c r="D95" i="53"/>
  <c r="J96" i="53" s="1"/>
  <c r="D95" i="25"/>
  <c r="D95" i="83"/>
  <c r="J96" i="83" s="1"/>
  <c r="D95" i="29"/>
  <c r="J96" i="29" s="1"/>
  <c r="D95" i="22"/>
  <c r="J96" i="22" s="1"/>
  <c r="D95" i="60"/>
  <c r="J96" i="60" s="1"/>
  <c r="D95" i="45"/>
  <c r="J96" i="45" s="1"/>
  <c r="D95" i="88"/>
  <c r="J96" i="88" s="1"/>
  <c r="D95" i="77"/>
  <c r="J96" i="77" s="1"/>
  <c r="D95" i="54"/>
  <c r="D95" i="30"/>
  <c r="D95" i="31"/>
  <c r="J96" i="31" s="1"/>
  <c r="D95" i="19"/>
  <c r="J96" i="19" s="1"/>
  <c r="D95" i="81"/>
  <c r="J96" i="81" s="1"/>
  <c r="D95" i="33"/>
  <c r="D95" i="20"/>
  <c r="J96" i="20" s="1"/>
  <c r="D95" i="35"/>
  <c r="D95" i="27"/>
  <c r="J96" i="27" s="1"/>
  <c r="D95" i="70"/>
  <c r="J96" i="70" s="1"/>
  <c r="D95" i="65"/>
  <c r="D95" i="61"/>
  <c r="J96" i="61" s="1"/>
  <c r="D95" i="75"/>
  <c r="J96" i="75" s="1"/>
  <c r="D95" i="34"/>
  <c r="J96" i="34" s="1"/>
  <c r="D95" i="62"/>
  <c r="J96" i="62" s="1"/>
  <c r="D95" i="85"/>
  <c r="J96" i="85" s="1"/>
  <c r="D95" i="84"/>
  <c r="J96" i="84" s="1"/>
  <c r="D95" i="89"/>
  <c r="J96" i="89" s="1"/>
  <c r="D95" i="66"/>
  <c r="J96" i="66" s="1"/>
  <c r="D95" i="42"/>
  <c r="D95" i="46"/>
  <c r="J96" i="46" s="1"/>
  <c r="D95" i="86"/>
  <c r="J96" i="86" s="1"/>
  <c r="D95" i="39"/>
  <c r="J96" i="39" s="1"/>
  <c r="D95" i="64"/>
  <c r="J96" i="64" s="1"/>
  <c r="D95" i="24"/>
  <c r="J96" i="24" s="1"/>
  <c r="D95" i="23"/>
  <c r="J96" i="23" s="1"/>
  <c r="D95" i="80"/>
  <c r="J96" i="80" s="1"/>
  <c r="D95" i="21"/>
  <c r="J96" i="21" s="1"/>
  <c r="D95" i="43"/>
  <c r="J96" i="43" s="1"/>
  <c r="D95" i="71"/>
  <c r="J96" i="71" s="1"/>
  <c r="D95" i="69"/>
  <c r="J96" i="69" s="1"/>
  <c r="D95" i="59"/>
  <c r="J96" i="59" s="1"/>
  <c r="D95" i="95"/>
  <c r="J96" i="95" s="1"/>
  <c r="D95" i="57"/>
  <c r="J96" i="57" s="1"/>
  <c r="D95" i="68"/>
  <c r="J96" i="68" s="1"/>
  <c r="D95" i="32"/>
  <c r="J96" i="32" s="1"/>
  <c r="D95" i="26"/>
  <c r="D95" i="94"/>
  <c r="J96" i="94" s="1"/>
  <c r="D95" i="90"/>
  <c r="J96" i="90" s="1"/>
  <c r="D95" i="58"/>
  <c r="J96" i="58" s="1"/>
  <c r="D95" i="79"/>
  <c r="J96" i="79" s="1"/>
  <c r="D95" i="41"/>
  <c r="D95" i="72"/>
  <c r="J96" i="72" s="1"/>
  <c r="D95" i="78"/>
  <c r="J96" i="78" s="1"/>
  <c r="D95" i="91"/>
  <c r="J96" i="91" s="1"/>
  <c r="D95" i="18"/>
  <c r="J96" i="18" s="1"/>
  <c r="D95" i="76"/>
  <c r="J96" i="76" s="1"/>
  <c r="D95" i="92"/>
  <c r="J96" i="92" s="1"/>
  <c r="D95" i="55"/>
  <c r="J96" i="55" s="1"/>
  <c r="D95" i="73"/>
  <c r="J96" i="73" s="1"/>
  <c r="D95" i="13"/>
  <c r="D95" i="63"/>
  <c r="J96" i="63" s="1"/>
  <c r="D95" i="93"/>
  <c r="J96" i="93" s="1"/>
  <c r="D95" i="56"/>
  <c r="J96" i="56" s="1"/>
  <c r="B106" i="56" s="1"/>
  <c r="J95" i="29"/>
  <c r="J95" i="22"/>
  <c r="J95" i="92"/>
  <c r="J95" i="58"/>
  <c r="J95" i="18"/>
  <c r="J95" i="30"/>
  <c r="J95" i="65"/>
  <c r="J95" i="39"/>
  <c r="J95" i="91"/>
  <c r="E25" i="2"/>
  <c r="E26" i="2" s="1"/>
  <c r="E32" i="2"/>
  <c r="J95" i="59"/>
  <c r="I102" i="35"/>
  <c r="H102" i="35"/>
  <c r="H101" i="35"/>
  <c r="I101" i="35"/>
  <c r="F99" i="13"/>
  <c r="G81" i="36"/>
  <c r="G75" i="36"/>
  <c r="F38" i="36"/>
  <c r="F87" i="36"/>
  <c r="F25" i="36"/>
  <c r="F61" i="36"/>
  <c r="F26" i="36"/>
  <c r="F49" i="36"/>
  <c r="F59" i="36"/>
  <c r="F20" i="36"/>
  <c r="F88" i="36"/>
  <c r="F52" i="36"/>
  <c r="F30" i="36"/>
  <c r="F65" i="36"/>
  <c r="F74" i="36"/>
  <c r="F47" i="36"/>
  <c r="F77" i="36"/>
  <c r="F82" i="36"/>
  <c r="F84" i="36"/>
  <c r="F58" i="36"/>
  <c r="F62" i="36"/>
  <c r="F24" i="36"/>
  <c r="F43" i="36"/>
  <c r="F33" i="36"/>
  <c r="F64" i="36"/>
  <c r="F70" i="36"/>
  <c r="F67" i="36"/>
  <c r="F44" i="36"/>
  <c r="F63" i="36"/>
  <c r="F36" i="36"/>
  <c r="F69" i="36"/>
  <c r="G19" i="98" l="1"/>
  <c r="O87" i="85"/>
  <c r="G88" i="36"/>
  <c r="G61" i="36"/>
  <c r="G20" i="36"/>
  <c r="O87" i="76"/>
  <c r="I18" i="25"/>
  <c r="E19" i="25"/>
  <c r="F19" i="25" s="1"/>
  <c r="H19" i="25" s="1"/>
  <c r="G19" i="99"/>
  <c r="O87" i="59"/>
  <c r="E19" i="13"/>
  <c r="F19" i="13" s="1"/>
  <c r="D20" i="13" s="1"/>
  <c r="N7" i="43"/>
  <c r="N7" i="98"/>
  <c r="G67" i="36"/>
  <c r="G19" i="97"/>
  <c r="B20" i="98"/>
  <c r="F30" i="31"/>
  <c r="G30" i="31" s="1"/>
  <c r="E20" i="97"/>
  <c r="F20" i="97" s="1"/>
  <c r="B20" i="97"/>
  <c r="E20" i="99"/>
  <c r="F20" i="99" s="1"/>
  <c r="B20" i="99"/>
  <c r="E20" i="98"/>
  <c r="F20" i="98" s="1"/>
  <c r="H19" i="99"/>
  <c r="J96" i="65"/>
  <c r="H19" i="98"/>
  <c r="H19" i="97"/>
  <c r="E22" i="90"/>
  <c r="N7" i="84"/>
  <c r="O87" i="64"/>
  <c r="O87" i="60"/>
  <c r="B30" i="31"/>
  <c r="N7" i="21"/>
  <c r="G30" i="36"/>
  <c r="D100" i="99"/>
  <c r="B100" i="99" s="1"/>
  <c r="L99" i="99"/>
  <c r="M99" i="99" s="1"/>
  <c r="D100" i="97"/>
  <c r="B100" i="97" s="1"/>
  <c r="J96" i="54"/>
  <c r="L99" i="98"/>
  <c r="M99" i="98" s="1"/>
  <c r="D100" i="98"/>
  <c r="B100" i="98" s="1"/>
  <c r="C99" i="43"/>
  <c r="C100" i="43" s="1"/>
  <c r="C101" i="43" s="1"/>
  <c r="C102" i="43" s="1"/>
  <c r="C103" i="43" s="1"/>
  <c r="C104" i="43" s="1"/>
  <c r="C105" i="43" s="1"/>
  <c r="C106" i="43" s="1"/>
  <c r="C107" i="43" s="1"/>
  <c r="C108" i="43" s="1"/>
  <c r="C109" i="43" s="1"/>
  <c r="C110" i="43" s="1"/>
  <c r="C111" i="43" s="1"/>
  <c r="C112" i="43" s="1"/>
  <c r="C113" i="43" s="1"/>
  <c r="C114" i="43" s="1"/>
  <c r="C115" i="43" s="1"/>
  <c r="C116" i="43" s="1"/>
  <c r="C117" i="43" s="1"/>
  <c r="C118" i="43" s="1"/>
  <c r="C119" i="43" s="1"/>
  <c r="C120" i="43" s="1"/>
  <c r="C121" i="43" s="1"/>
  <c r="C122" i="43" s="1"/>
  <c r="C123" i="43" s="1"/>
  <c r="C124" i="43" s="1"/>
  <c r="C125" i="43" s="1"/>
  <c r="C126" i="43" s="1"/>
  <c r="C127" i="43" s="1"/>
  <c r="C128" i="43" s="1"/>
  <c r="C129" i="43" s="1"/>
  <c r="C130" i="43" s="1"/>
  <c r="C131" i="43" s="1"/>
  <c r="C132" i="43" s="1"/>
  <c r="C133" i="43" s="1"/>
  <c r="C134" i="43" s="1"/>
  <c r="C135" i="43" s="1"/>
  <c r="C136" i="43" s="1"/>
  <c r="C137" i="43" s="1"/>
  <c r="C138" i="43" s="1"/>
  <c r="C139" i="43" s="1"/>
  <c r="C140" i="43" s="1"/>
  <c r="C141" i="43" s="1"/>
  <c r="C142" i="43" s="1"/>
  <c r="C143" i="43" s="1"/>
  <c r="C144" i="43" s="1"/>
  <c r="C145" i="43" s="1"/>
  <c r="C146" i="43" s="1"/>
  <c r="C147" i="43" s="1"/>
  <c r="C148" i="43" s="1"/>
  <c r="C149" i="43" s="1"/>
  <c r="C150" i="43" s="1"/>
  <c r="C151" i="43" s="1"/>
  <c r="C152" i="43" s="1"/>
  <c r="C153" i="43" s="1"/>
  <c r="C154" i="43" s="1"/>
  <c r="B110" i="30"/>
  <c r="J96" i="42"/>
  <c r="N7" i="53"/>
  <c r="N7" i="99"/>
  <c r="N7" i="97"/>
  <c r="N7" i="3"/>
  <c r="O87" i="33"/>
  <c r="N7" i="64"/>
  <c r="I29" i="31"/>
  <c r="I20" i="86"/>
  <c r="F21" i="88"/>
  <c r="G21" i="88" s="1"/>
  <c r="I20" i="88"/>
  <c r="N7" i="76"/>
  <c r="G87" i="36"/>
  <c r="N7" i="86"/>
  <c r="G77" i="36"/>
  <c r="G74" i="36"/>
  <c r="N7" i="81"/>
  <c r="N7" i="79"/>
  <c r="O87" i="67"/>
  <c r="I23" i="67"/>
  <c r="N7" i="32"/>
  <c r="N7" i="19"/>
  <c r="E29" i="18"/>
  <c r="F29" i="18" s="1"/>
  <c r="G29" i="18" s="1"/>
  <c r="I28" i="18"/>
  <c r="O87" i="66"/>
  <c r="O87" i="65"/>
  <c r="E100" i="97"/>
  <c r="E100" i="98"/>
  <c r="B100" i="95"/>
  <c r="G43" i="36"/>
  <c r="G26" i="36"/>
  <c r="G59" i="36"/>
  <c r="G47" i="36"/>
  <c r="G36" i="36"/>
  <c r="G82" i="36"/>
  <c r="G58" i="36"/>
  <c r="C99" i="54"/>
  <c r="C100" i="54" s="1"/>
  <c r="C101" i="54" s="1"/>
  <c r="C102" i="54" s="1"/>
  <c r="C103" i="54" s="1"/>
  <c r="C104" i="54" s="1"/>
  <c r="C105" i="54" s="1"/>
  <c r="C106" i="54" s="1"/>
  <c r="C107" i="54" s="1"/>
  <c r="C108" i="54" s="1"/>
  <c r="C109" i="54" s="1"/>
  <c r="C110" i="54" s="1"/>
  <c r="C111" i="54" s="1"/>
  <c r="C112" i="54" s="1"/>
  <c r="C113" i="54" s="1"/>
  <c r="C114" i="54" s="1"/>
  <c r="C115" i="54" s="1"/>
  <c r="C116" i="54" s="1"/>
  <c r="C117" i="54" s="1"/>
  <c r="C118" i="54" s="1"/>
  <c r="C119" i="54" s="1"/>
  <c r="C120" i="54" s="1"/>
  <c r="C121" i="54" s="1"/>
  <c r="C122" i="54" s="1"/>
  <c r="C123" i="54" s="1"/>
  <c r="C124" i="54" s="1"/>
  <c r="C125" i="54" s="1"/>
  <c r="C126" i="54" s="1"/>
  <c r="C127" i="54" s="1"/>
  <c r="C128" i="54" s="1"/>
  <c r="C129" i="54" s="1"/>
  <c r="C130" i="54" s="1"/>
  <c r="C131" i="54" s="1"/>
  <c r="C132" i="54" s="1"/>
  <c r="C133" i="54" s="1"/>
  <c r="C134" i="54" s="1"/>
  <c r="C135" i="54" s="1"/>
  <c r="C136" i="54" s="1"/>
  <c r="C137" i="54" s="1"/>
  <c r="C138" i="54" s="1"/>
  <c r="C139" i="54" s="1"/>
  <c r="C140" i="54" s="1"/>
  <c r="C141" i="54" s="1"/>
  <c r="C142" i="54" s="1"/>
  <c r="C143" i="54" s="1"/>
  <c r="C144" i="54" s="1"/>
  <c r="C145" i="54" s="1"/>
  <c r="C146" i="54" s="1"/>
  <c r="C147" i="54" s="1"/>
  <c r="C148" i="54" s="1"/>
  <c r="C149" i="54" s="1"/>
  <c r="C150" i="54" s="1"/>
  <c r="C151" i="54" s="1"/>
  <c r="C152" i="54" s="1"/>
  <c r="C153" i="54" s="1"/>
  <c r="C154" i="54" s="1"/>
  <c r="C99" i="29"/>
  <c r="D99" i="29" s="1"/>
  <c r="E99" i="26"/>
  <c r="F99" i="26" s="1"/>
  <c r="D100" i="26" s="1"/>
  <c r="B100" i="26" s="1"/>
  <c r="N7" i="88"/>
  <c r="J96" i="41"/>
  <c r="J96" i="30"/>
  <c r="N7" i="68"/>
  <c r="C99" i="25"/>
  <c r="D99" i="25" s="1"/>
  <c r="N7" i="94"/>
  <c r="N7" i="41"/>
  <c r="C99" i="91"/>
  <c r="C100" i="91" s="1"/>
  <c r="C101" i="91" s="1"/>
  <c r="C102" i="91" s="1"/>
  <c r="C103" i="91" s="1"/>
  <c r="C104" i="91" s="1"/>
  <c r="C105" i="91" s="1"/>
  <c r="C106" i="91" s="1"/>
  <c r="C107" i="91" s="1"/>
  <c r="C108" i="91" s="1"/>
  <c r="C109" i="91" s="1"/>
  <c r="C110" i="91" s="1"/>
  <c r="C111" i="91" s="1"/>
  <c r="C112" i="91" s="1"/>
  <c r="C113" i="91" s="1"/>
  <c r="C114" i="91" s="1"/>
  <c r="C115" i="91" s="1"/>
  <c r="C116" i="91" s="1"/>
  <c r="C117" i="91" s="1"/>
  <c r="C118" i="91" s="1"/>
  <c r="C119" i="91" s="1"/>
  <c r="C120" i="91" s="1"/>
  <c r="C121" i="91" s="1"/>
  <c r="C122" i="91" s="1"/>
  <c r="C123" i="91" s="1"/>
  <c r="C124" i="91" s="1"/>
  <c r="C125" i="91" s="1"/>
  <c r="C126" i="91" s="1"/>
  <c r="C127" i="91" s="1"/>
  <c r="C128" i="91" s="1"/>
  <c r="C129" i="91" s="1"/>
  <c r="C130" i="91" s="1"/>
  <c r="C131" i="91" s="1"/>
  <c r="C132" i="91" s="1"/>
  <c r="C133" i="91" s="1"/>
  <c r="C134" i="91" s="1"/>
  <c r="C135" i="91" s="1"/>
  <c r="C136" i="91" s="1"/>
  <c r="C137" i="91" s="1"/>
  <c r="C138" i="91" s="1"/>
  <c r="C139" i="91" s="1"/>
  <c r="C140" i="91" s="1"/>
  <c r="C141" i="91" s="1"/>
  <c r="C142" i="91" s="1"/>
  <c r="C143" i="91" s="1"/>
  <c r="C144" i="91" s="1"/>
  <c r="C145" i="91" s="1"/>
  <c r="C146" i="91" s="1"/>
  <c r="C147" i="91" s="1"/>
  <c r="C148" i="91" s="1"/>
  <c r="C149" i="91" s="1"/>
  <c r="C150" i="91" s="1"/>
  <c r="C151" i="91" s="1"/>
  <c r="C152" i="91" s="1"/>
  <c r="C153" i="91" s="1"/>
  <c r="C154" i="91" s="1"/>
  <c r="C99" i="27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E99" i="25"/>
  <c r="N7" i="80"/>
  <c r="C99" i="45"/>
  <c r="C100" i="45" s="1"/>
  <c r="C101" i="45" s="1"/>
  <c r="C102" i="45" s="1"/>
  <c r="C103" i="45" s="1"/>
  <c r="C104" i="45" s="1"/>
  <c r="C105" i="45" s="1"/>
  <c r="C106" i="45" s="1"/>
  <c r="C107" i="45" s="1"/>
  <c r="C108" i="45" s="1"/>
  <c r="C109" i="45" s="1"/>
  <c r="C110" i="45" s="1"/>
  <c r="C111" i="45" s="1"/>
  <c r="C112" i="45" s="1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C128" i="45" s="1"/>
  <c r="C129" i="45" s="1"/>
  <c r="C130" i="45" s="1"/>
  <c r="C131" i="45" s="1"/>
  <c r="C132" i="45" s="1"/>
  <c r="C133" i="45" s="1"/>
  <c r="C134" i="45" s="1"/>
  <c r="C135" i="45" s="1"/>
  <c r="C136" i="45" s="1"/>
  <c r="C137" i="45" s="1"/>
  <c r="C138" i="45" s="1"/>
  <c r="C139" i="45" s="1"/>
  <c r="C140" i="45" s="1"/>
  <c r="C141" i="45" s="1"/>
  <c r="C142" i="45" s="1"/>
  <c r="C143" i="45" s="1"/>
  <c r="C144" i="45" s="1"/>
  <c r="C145" i="45" s="1"/>
  <c r="C146" i="45" s="1"/>
  <c r="C147" i="45" s="1"/>
  <c r="C148" i="45" s="1"/>
  <c r="C149" i="45" s="1"/>
  <c r="C150" i="45" s="1"/>
  <c r="C151" i="45" s="1"/>
  <c r="C152" i="45" s="1"/>
  <c r="C153" i="45" s="1"/>
  <c r="C154" i="45" s="1"/>
  <c r="C99" i="81"/>
  <c r="C100" i="81" s="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126" i="81" s="1"/>
  <c r="C127" i="81" s="1"/>
  <c r="C128" i="81" s="1"/>
  <c r="C129" i="81" s="1"/>
  <c r="C130" i="81" s="1"/>
  <c r="C131" i="81" s="1"/>
  <c r="C132" i="81" s="1"/>
  <c r="C133" i="81" s="1"/>
  <c r="C134" i="81" s="1"/>
  <c r="C135" i="81" s="1"/>
  <c r="C136" i="81" s="1"/>
  <c r="C137" i="81" s="1"/>
  <c r="C138" i="81" s="1"/>
  <c r="C139" i="81" s="1"/>
  <c r="C140" i="81" s="1"/>
  <c r="C141" i="81" s="1"/>
  <c r="C142" i="81" s="1"/>
  <c r="C143" i="81" s="1"/>
  <c r="C144" i="81" s="1"/>
  <c r="C145" i="81" s="1"/>
  <c r="C146" i="81" s="1"/>
  <c r="C147" i="81" s="1"/>
  <c r="C148" i="81" s="1"/>
  <c r="C149" i="81" s="1"/>
  <c r="C150" i="81" s="1"/>
  <c r="C151" i="81" s="1"/>
  <c r="C152" i="81" s="1"/>
  <c r="C153" i="81" s="1"/>
  <c r="C154" i="81" s="1"/>
  <c r="C99" i="3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F99" i="33"/>
  <c r="N7" i="29"/>
  <c r="N7" i="54"/>
  <c r="N7" i="93"/>
  <c r="N7" i="91"/>
  <c r="C99" i="64"/>
  <c r="C100" i="64" s="1"/>
  <c r="C101" i="64" s="1"/>
  <c r="C102" i="64" s="1"/>
  <c r="C103" i="64" s="1"/>
  <c r="C104" i="64" s="1"/>
  <c r="C105" i="64" s="1"/>
  <c r="C106" i="64" s="1"/>
  <c r="C107" i="64" s="1"/>
  <c r="C108" i="64" s="1"/>
  <c r="C109" i="64" s="1"/>
  <c r="C110" i="64" s="1"/>
  <c r="C111" i="64" s="1"/>
  <c r="C112" i="64" s="1"/>
  <c r="C113" i="64" s="1"/>
  <c r="C114" i="64" s="1"/>
  <c r="C115" i="64" s="1"/>
  <c r="C116" i="64" s="1"/>
  <c r="C117" i="64" s="1"/>
  <c r="C118" i="64" s="1"/>
  <c r="C119" i="64" s="1"/>
  <c r="C120" i="64" s="1"/>
  <c r="C121" i="64" s="1"/>
  <c r="C122" i="64" s="1"/>
  <c r="C123" i="64" s="1"/>
  <c r="C124" i="64" s="1"/>
  <c r="C125" i="64" s="1"/>
  <c r="C126" i="64" s="1"/>
  <c r="C127" i="64" s="1"/>
  <c r="C128" i="64" s="1"/>
  <c r="C129" i="64" s="1"/>
  <c r="C130" i="64" s="1"/>
  <c r="C131" i="64" s="1"/>
  <c r="C132" i="64" s="1"/>
  <c r="C133" i="64" s="1"/>
  <c r="C134" i="64" s="1"/>
  <c r="C135" i="64" s="1"/>
  <c r="C136" i="64" s="1"/>
  <c r="C137" i="64" s="1"/>
  <c r="C138" i="64" s="1"/>
  <c r="C139" i="64" s="1"/>
  <c r="C140" i="64" s="1"/>
  <c r="C141" i="64" s="1"/>
  <c r="C142" i="64" s="1"/>
  <c r="C143" i="64" s="1"/>
  <c r="C144" i="64" s="1"/>
  <c r="C145" i="64" s="1"/>
  <c r="C146" i="64" s="1"/>
  <c r="C147" i="64" s="1"/>
  <c r="C148" i="64" s="1"/>
  <c r="C149" i="64" s="1"/>
  <c r="C150" i="64" s="1"/>
  <c r="C151" i="64" s="1"/>
  <c r="C152" i="64" s="1"/>
  <c r="C153" i="64" s="1"/>
  <c r="C154" i="64" s="1"/>
  <c r="C99" i="21"/>
  <c r="C100" i="21" s="1"/>
  <c r="C101" i="21" s="1"/>
  <c r="C102" i="21" s="1"/>
  <c r="C103" i="21" s="1"/>
  <c r="C104" i="21" s="1"/>
  <c r="C105" i="21" s="1"/>
  <c r="C106" i="21" s="1"/>
  <c r="C107" i="21" s="1"/>
  <c r="C108" i="21" s="1"/>
  <c r="C109" i="21" s="1"/>
  <c r="C110" i="21" s="1"/>
  <c r="C111" i="21" s="1"/>
  <c r="C112" i="21" s="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C138" i="21" s="1"/>
  <c r="C139" i="21" s="1"/>
  <c r="C140" i="21" s="1"/>
  <c r="C141" i="21" s="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C154" i="21" s="1"/>
  <c r="C100" i="19"/>
  <c r="C101" i="19" s="1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C121" i="19" s="1"/>
  <c r="C122" i="19" s="1"/>
  <c r="C123" i="19" s="1"/>
  <c r="C124" i="19" s="1"/>
  <c r="C125" i="19" s="1"/>
  <c r="C126" i="19" s="1"/>
  <c r="C127" i="19" s="1"/>
  <c r="C128" i="19" s="1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C99" i="19"/>
  <c r="N7" i="58"/>
  <c r="N7" i="65"/>
  <c r="E106" i="35"/>
  <c r="F106" i="35" s="1"/>
  <c r="G106" i="35" s="1"/>
  <c r="B106" i="35"/>
  <c r="H104" i="35"/>
  <c r="J104" i="35" s="1"/>
  <c r="B100" i="96"/>
  <c r="H21" i="90"/>
  <c r="G21" i="90"/>
  <c r="I21" i="78"/>
  <c r="G63" i="36"/>
  <c r="I28" i="71"/>
  <c r="B24" i="67"/>
  <c r="F24" i="67"/>
  <c r="G24" i="67" s="1"/>
  <c r="G44" i="36"/>
  <c r="B25" i="46"/>
  <c r="I24" i="46"/>
  <c r="B29" i="24"/>
  <c r="I27" i="19"/>
  <c r="G33" i="36"/>
  <c r="O87" i="39"/>
  <c r="I21" i="76"/>
  <c r="E22" i="80"/>
  <c r="D22" i="80"/>
  <c r="I21" i="80"/>
  <c r="D99" i="26"/>
  <c r="E23" i="82"/>
  <c r="H22" i="82"/>
  <c r="D23" i="82"/>
  <c r="G22" i="82"/>
  <c r="C100" i="26"/>
  <c r="C101" i="26" s="1"/>
  <c r="C102" i="26" s="1"/>
  <c r="C103" i="26" s="1"/>
  <c r="C104" i="26" s="1"/>
  <c r="C105" i="26" s="1"/>
  <c r="C106" i="26" s="1"/>
  <c r="C107" i="26" s="1"/>
  <c r="C108" i="26" s="1"/>
  <c r="C109" i="26" s="1"/>
  <c r="C110" i="26" s="1"/>
  <c r="C111" i="26" s="1"/>
  <c r="C112" i="26" s="1"/>
  <c r="C113" i="26" s="1"/>
  <c r="C114" i="26" s="1"/>
  <c r="C115" i="26" s="1"/>
  <c r="C116" i="26" s="1"/>
  <c r="C117" i="26" s="1"/>
  <c r="C118" i="26" s="1"/>
  <c r="C119" i="26" s="1"/>
  <c r="C120" i="26" s="1"/>
  <c r="C121" i="26" s="1"/>
  <c r="C122" i="26" s="1"/>
  <c r="C123" i="26" s="1"/>
  <c r="C124" i="26" s="1"/>
  <c r="C125" i="26" s="1"/>
  <c r="C126" i="26" s="1"/>
  <c r="C127" i="26" s="1"/>
  <c r="C128" i="26" s="1"/>
  <c r="C129" i="26" s="1"/>
  <c r="C130" i="26" s="1"/>
  <c r="C131" i="26" s="1"/>
  <c r="C132" i="26" s="1"/>
  <c r="C133" i="26" s="1"/>
  <c r="C134" i="26" s="1"/>
  <c r="C135" i="26" s="1"/>
  <c r="C136" i="26" s="1"/>
  <c r="C137" i="26" s="1"/>
  <c r="C138" i="26" s="1"/>
  <c r="C139" i="26" s="1"/>
  <c r="C140" i="26" s="1"/>
  <c r="C141" i="26" s="1"/>
  <c r="C142" i="26" s="1"/>
  <c r="C143" i="26" s="1"/>
  <c r="C144" i="26" s="1"/>
  <c r="C145" i="26" s="1"/>
  <c r="C146" i="26" s="1"/>
  <c r="C147" i="26" s="1"/>
  <c r="C148" i="26" s="1"/>
  <c r="C149" i="26" s="1"/>
  <c r="C150" i="26" s="1"/>
  <c r="C151" i="26" s="1"/>
  <c r="C152" i="26" s="1"/>
  <c r="C153" i="26" s="1"/>
  <c r="C154" i="26" s="1"/>
  <c r="E22" i="86"/>
  <c r="D22" i="86"/>
  <c r="I18" i="26"/>
  <c r="B19" i="93"/>
  <c r="D99" i="33"/>
  <c r="G25" i="36"/>
  <c r="F21" i="91"/>
  <c r="G21" i="91" s="1"/>
  <c r="B21" i="91"/>
  <c r="F24" i="66"/>
  <c r="H24" i="66" s="1"/>
  <c r="B24" i="66"/>
  <c r="I23" i="61"/>
  <c r="I20" i="85"/>
  <c r="B21" i="84"/>
  <c r="G26" i="58"/>
  <c r="D27" i="58"/>
  <c r="E27" i="58"/>
  <c r="H26" i="58"/>
  <c r="B25" i="53"/>
  <c r="I27" i="17"/>
  <c r="I27" i="21"/>
  <c r="I20" i="81"/>
  <c r="I18" i="95"/>
  <c r="I20" i="91"/>
  <c r="D23" i="75"/>
  <c r="E23" i="75"/>
  <c r="I22" i="75"/>
  <c r="B27" i="42"/>
  <c r="B30" i="23"/>
  <c r="F30" i="23"/>
  <c r="H30" i="23" s="1"/>
  <c r="I20" i="84"/>
  <c r="F22" i="90"/>
  <c r="H22" i="90" s="1"/>
  <c r="B22" i="90"/>
  <c r="I22" i="68"/>
  <c r="I27" i="41"/>
  <c r="I24" i="72"/>
  <c r="D24" i="65"/>
  <c r="E24" i="65"/>
  <c r="I23" i="65"/>
  <c r="D27" i="55"/>
  <c r="E27" i="55"/>
  <c r="G26" i="55"/>
  <c r="H26" i="55"/>
  <c r="G38" i="36"/>
  <c r="G52" i="36"/>
  <c r="G64" i="36"/>
  <c r="I24" i="57"/>
  <c r="B28" i="22"/>
  <c r="B21" i="81"/>
  <c r="B19" i="95"/>
  <c r="B30" i="27"/>
  <c r="N6" i="44"/>
  <c r="N7" i="44" s="1"/>
  <c r="I26" i="44"/>
  <c r="N7" i="74"/>
  <c r="I26" i="39"/>
  <c r="B22" i="76"/>
  <c r="B19" i="96"/>
  <c r="N6" i="27"/>
  <c r="N7" i="27" s="1"/>
  <c r="I29" i="27"/>
  <c r="B27" i="44"/>
  <c r="B25" i="72"/>
  <c r="I24" i="54"/>
  <c r="B27" i="39"/>
  <c r="B24" i="61"/>
  <c r="B21" i="85"/>
  <c r="G70" i="36"/>
  <c r="G49" i="36"/>
  <c r="G65" i="36"/>
  <c r="G84" i="36"/>
  <c r="G69" i="36"/>
  <c r="G62" i="36"/>
  <c r="I26" i="73"/>
  <c r="I29" i="29"/>
  <c r="O87" i="79"/>
  <c r="D20" i="33"/>
  <c r="H19" i="33"/>
  <c r="G19" i="33"/>
  <c r="B27" i="73"/>
  <c r="I27" i="73"/>
  <c r="D25" i="64"/>
  <c r="E25" i="64"/>
  <c r="B22" i="79"/>
  <c r="N6" i="63"/>
  <c r="N7" i="63" s="1"/>
  <c r="I23" i="63"/>
  <c r="E31" i="69"/>
  <c r="D31" i="69"/>
  <c r="I29" i="71"/>
  <c r="C37" i="17"/>
  <c r="B28" i="17"/>
  <c r="N5" i="56"/>
  <c r="N7" i="56" s="1"/>
  <c r="B20" i="89"/>
  <c r="D31" i="31"/>
  <c r="B30" i="70"/>
  <c r="B25" i="54"/>
  <c r="D22" i="88"/>
  <c r="E27" i="45"/>
  <c r="D27" i="45"/>
  <c r="B24" i="63"/>
  <c r="I26" i="43"/>
  <c r="B28" i="21"/>
  <c r="I26" i="74"/>
  <c r="B30" i="29"/>
  <c r="B20" i="92"/>
  <c r="I29" i="70"/>
  <c r="B22" i="78"/>
  <c r="E19" i="26"/>
  <c r="F19" i="26" s="1"/>
  <c r="H19" i="26" s="1"/>
  <c r="B19" i="26"/>
  <c r="B29" i="32"/>
  <c r="B28" i="3"/>
  <c r="B23" i="68"/>
  <c r="N5" i="30"/>
  <c r="N7" i="30" s="1"/>
  <c r="D30" i="71"/>
  <c r="E30" i="71"/>
  <c r="O87" i="22"/>
  <c r="I31" i="28"/>
  <c r="D32" i="28"/>
  <c r="E32" i="28"/>
  <c r="B22" i="77"/>
  <c r="D30" i="34"/>
  <c r="E30" i="34"/>
  <c r="B28" i="19"/>
  <c r="I19" i="92"/>
  <c r="I19" i="89"/>
  <c r="I26" i="45"/>
  <c r="I21" i="79"/>
  <c r="B27" i="43"/>
  <c r="I27" i="3"/>
  <c r="B25" i="57"/>
  <c r="N5" i="60"/>
  <c r="N7" i="60" s="1"/>
  <c r="F28" i="41"/>
  <c r="H28" i="41" s="1"/>
  <c r="B28" i="41"/>
  <c r="O87" i="62"/>
  <c r="O87" i="29"/>
  <c r="O87" i="77"/>
  <c r="O87" i="84"/>
  <c r="O87" i="24"/>
  <c r="G24" i="36"/>
  <c r="F53" i="1"/>
  <c r="E30" i="1"/>
  <c r="E33" i="1" s="1"/>
  <c r="B24" i="59"/>
  <c r="B29" i="18"/>
  <c r="B20" i="13"/>
  <c r="E21" i="87"/>
  <c r="D21" i="87"/>
  <c r="B106" i="57"/>
  <c r="N7" i="42"/>
  <c r="N7" i="87"/>
  <c r="N6" i="59"/>
  <c r="I23" i="59"/>
  <c r="I22" i="35"/>
  <c r="B110" i="71"/>
  <c r="B109" i="18"/>
  <c r="E20" i="13"/>
  <c r="N5" i="59"/>
  <c r="E24" i="35"/>
  <c r="F24" i="35" s="1"/>
  <c r="H23" i="35"/>
  <c r="G23" i="35"/>
  <c r="B24" i="35"/>
  <c r="E104" i="34"/>
  <c r="J102" i="35"/>
  <c r="J101" i="35"/>
  <c r="F53" i="2"/>
  <c r="E30" i="2"/>
  <c r="E33" i="2" s="1"/>
  <c r="H105" i="35"/>
  <c r="I105" i="35"/>
  <c r="G99" i="13"/>
  <c r="D100" i="13"/>
  <c r="E100" i="13" s="1"/>
  <c r="F91" i="36"/>
  <c r="F39" i="36"/>
  <c r="F48" i="36"/>
  <c r="F18" i="36"/>
  <c r="F90" i="36"/>
  <c r="F21" i="36"/>
  <c r="F83" i="36"/>
  <c r="F57" i="36"/>
  <c r="F66" i="36"/>
  <c r="F86" i="36"/>
  <c r="F29" i="36"/>
  <c r="F85" i="36"/>
  <c r="F56" i="36"/>
  <c r="F23" i="36"/>
  <c r="F72" i="36"/>
  <c r="F55" i="36"/>
  <c r="F53" i="36"/>
  <c r="F78" i="36"/>
  <c r="F45" i="36"/>
  <c r="F79" i="36"/>
  <c r="F40" i="36"/>
  <c r="F76" i="36"/>
  <c r="F31" i="36"/>
  <c r="F50" i="36"/>
  <c r="F68" i="36"/>
  <c r="F73" i="36"/>
  <c r="F42" i="36"/>
  <c r="F34" i="36"/>
  <c r="F71" i="36"/>
  <c r="F80" i="36"/>
  <c r="F46" i="36"/>
  <c r="F41" i="36"/>
  <c r="F89" i="36"/>
  <c r="F32" i="36"/>
  <c r="F60" i="36"/>
  <c r="G19" i="25" l="1"/>
  <c r="I19" i="25" s="1"/>
  <c r="D20" i="25"/>
  <c r="H19" i="13"/>
  <c r="I19" i="13" s="1"/>
  <c r="G90" i="36"/>
  <c r="G41" i="36"/>
  <c r="H30" i="31"/>
  <c r="I30" i="31" s="1"/>
  <c r="E31" i="31"/>
  <c r="F31" i="31" s="1"/>
  <c r="H31" i="31" s="1"/>
  <c r="G19" i="13"/>
  <c r="D21" i="98"/>
  <c r="E21" i="98"/>
  <c r="G20" i="98"/>
  <c r="H20" i="98"/>
  <c r="D21" i="97"/>
  <c r="G20" i="97"/>
  <c r="H20" i="97"/>
  <c r="D21" i="99"/>
  <c r="G20" i="99"/>
  <c r="E21" i="99"/>
  <c r="H20" i="99"/>
  <c r="I19" i="97"/>
  <c r="I19" i="98"/>
  <c r="I19" i="99"/>
  <c r="H21" i="88"/>
  <c r="I21" i="88" s="1"/>
  <c r="E22" i="88"/>
  <c r="F22" i="88" s="1"/>
  <c r="G22" i="88" s="1"/>
  <c r="F100" i="97"/>
  <c r="G100" i="97" s="1"/>
  <c r="G76" i="36"/>
  <c r="G24" i="66"/>
  <c r="I24" i="66" s="1"/>
  <c r="G23" i="36"/>
  <c r="F100" i="98"/>
  <c r="E101" i="98" s="1"/>
  <c r="G91" i="36"/>
  <c r="G45" i="36"/>
  <c r="G89" i="36"/>
  <c r="J99" i="97"/>
  <c r="F99" i="25"/>
  <c r="D100" i="25" s="1"/>
  <c r="B100" i="25" s="1"/>
  <c r="C100" i="29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C127" i="29" s="1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N99" i="99"/>
  <c r="O99" i="99" s="1"/>
  <c r="P99" i="99" s="1"/>
  <c r="G99" i="33"/>
  <c r="H99" i="33" s="1"/>
  <c r="C100" i="25"/>
  <c r="C101" i="25" s="1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F100" i="99"/>
  <c r="G18" i="36"/>
  <c r="B107" i="35"/>
  <c r="G56" i="36"/>
  <c r="E37" i="1"/>
  <c r="F54" i="1" s="1"/>
  <c r="F55" i="1" s="1"/>
  <c r="G68" i="36"/>
  <c r="I21" i="86"/>
  <c r="G78" i="36"/>
  <c r="G73" i="36"/>
  <c r="G71" i="36"/>
  <c r="G34" i="36"/>
  <c r="G21" i="36"/>
  <c r="I28" i="3"/>
  <c r="D100" i="33"/>
  <c r="E100" i="33" s="1"/>
  <c r="D101" i="95"/>
  <c r="E107" i="35"/>
  <c r="F107" i="35" s="1"/>
  <c r="G107" i="35" s="1"/>
  <c r="G31" i="36"/>
  <c r="G72" i="36"/>
  <c r="G60" i="36"/>
  <c r="G57" i="36"/>
  <c r="G83" i="36"/>
  <c r="G50" i="36"/>
  <c r="G85" i="36"/>
  <c r="G39" i="36"/>
  <c r="G46" i="36"/>
  <c r="G86" i="36"/>
  <c r="G80" i="36"/>
  <c r="G99" i="26"/>
  <c r="I99" i="26" s="1"/>
  <c r="D99" i="27"/>
  <c r="D101" i="96"/>
  <c r="E100" i="26"/>
  <c r="F100" i="26" s="1"/>
  <c r="D101" i="26" s="1"/>
  <c r="B101" i="26" s="1"/>
  <c r="E110" i="18"/>
  <c r="J99" i="96"/>
  <c r="D101" i="93"/>
  <c r="E21" i="94"/>
  <c r="I19" i="94"/>
  <c r="I21" i="90"/>
  <c r="E25" i="67"/>
  <c r="D25" i="67"/>
  <c r="H24" i="67"/>
  <c r="I24" i="67" s="1"/>
  <c r="D26" i="46"/>
  <c r="E26" i="46"/>
  <c r="I25" i="46"/>
  <c r="D30" i="24"/>
  <c r="E30" i="24"/>
  <c r="I29" i="24"/>
  <c r="I26" i="55"/>
  <c r="H99" i="26"/>
  <c r="M99" i="26" s="1"/>
  <c r="I23" i="35"/>
  <c r="I22" i="76"/>
  <c r="D21" i="94"/>
  <c r="B22" i="80"/>
  <c r="F22" i="80"/>
  <c r="I25" i="53"/>
  <c r="I22" i="82"/>
  <c r="I21" i="84"/>
  <c r="B20" i="94"/>
  <c r="I19" i="93"/>
  <c r="E20" i="93"/>
  <c r="D20" i="93"/>
  <c r="F22" i="86"/>
  <c r="B22" i="86"/>
  <c r="B23" i="82"/>
  <c r="F23" i="82"/>
  <c r="F27" i="55"/>
  <c r="H27" i="55" s="1"/>
  <c r="B27" i="55"/>
  <c r="B100" i="93"/>
  <c r="I27" i="43"/>
  <c r="I30" i="69"/>
  <c r="E26" i="53"/>
  <c r="D26" i="53"/>
  <c r="I26" i="58"/>
  <c r="E22" i="91"/>
  <c r="D22" i="91"/>
  <c r="B24" i="65"/>
  <c r="F24" i="65"/>
  <c r="G24" i="65" s="1"/>
  <c r="E28" i="42"/>
  <c r="D28" i="42"/>
  <c r="I30" i="29"/>
  <c r="E31" i="23"/>
  <c r="D31" i="23"/>
  <c r="G30" i="23"/>
  <c r="I30" i="23" s="1"/>
  <c r="I27" i="42"/>
  <c r="D25" i="66"/>
  <c r="E25" i="66"/>
  <c r="I29" i="34"/>
  <c r="I22" i="77"/>
  <c r="G22" i="90"/>
  <c r="I22" i="90" s="1"/>
  <c r="D23" i="90"/>
  <c r="E23" i="90"/>
  <c r="F23" i="75"/>
  <c r="G23" i="75" s="1"/>
  <c r="B23" i="75"/>
  <c r="B27" i="58"/>
  <c r="F27" i="58"/>
  <c r="G27" i="58" s="1"/>
  <c r="D22" i="84"/>
  <c r="E22" i="84"/>
  <c r="H21" i="91"/>
  <c r="I21" i="91" s="1"/>
  <c r="G29" i="36"/>
  <c r="G42" i="36"/>
  <c r="G66" i="36"/>
  <c r="I24" i="56"/>
  <c r="I24" i="61"/>
  <c r="E25" i="61"/>
  <c r="D25" i="61"/>
  <c r="I19" i="95"/>
  <c r="D22" i="81"/>
  <c r="E22" i="81"/>
  <c r="D22" i="85"/>
  <c r="E22" i="85"/>
  <c r="I27" i="39"/>
  <c r="D26" i="72"/>
  <c r="E26" i="72"/>
  <c r="I27" i="44"/>
  <c r="E28" i="44"/>
  <c r="D28" i="44"/>
  <c r="I28" i="22"/>
  <c r="D29" i="22"/>
  <c r="E29" i="22"/>
  <c r="I25" i="72"/>
  <c r="D23" i="76"/>
  <c r="E23" i="76"/>
  <c r="E31" i="27"/>
  <c r="D31" i="27"/>
  <c r="E28" i="39"/>
  <c r="D28" i="39"/>
  <c r="I19" i="96"/>
  <c r="D20" i="96"/>
  <c r="E20" i="96"/>
  <c r="D20" i="95"/>
  <c r="E20" i="95"/>
  <c r="G53" i="36"/>
  <c r="G55" i="36"/>
  <c r="G32" i="36"/>
  <c r="G48" i="36"/>
  <c r="N7" i="59"/>
  <c r="I23" i="60"/>
  <c r="F30" i="71"/>
  <c r="G30" i="71" s="1"/>
  <c r="B30" i="71"/>
  <c r="B21" i="83"/>
  <c r="D23" i="79"/>
  <c r="E23" i="79"/>
  <c r="G28" i="41"/>
  <c r="I28" i="41" s="1"/>
  <c r="I24" i="64"/>
  <c r="I28" i="19"/>
  <c r="E29" i="19"/>
  <c r="D29" i="19"/>
  <c r="B32" i="28"/>
  <c r="F32" i="28"/>
  <c r="H32" i="28" s="1"/>
  <c r="B30" i="30"/>
  <c r="E24" i="68"/>
  <c r="D24" i="68"/>
  <c r="D25" i="63"/>
  <c r="E25" i="63"/>
  <c r="D31" i="70"/>
  <c r="E31" i="70"/>
  <c r="B31" i="31"/>
  <c r="I20" i="89"/>
  <c r="B31" i="69"/>
  <c r="F31" i="69"/>
  <c r="D23" i="77"/>
  <c r="E23" i="77"/>
  <c r="I23" i="68"/>
  <c r="D29" i="3"/>
  <c r="E29" i="3"/>
  <c r="D20" i="26"/>
  <c r="E20" i="26" s="1"/>
  <c r="E23" i="78"/>
  <c r="D23" i="78"/>
  <c r="D21" i="92"/>
  <c r="E21" i="92"/>
  <c r="B27" i="74"/>
  <c r="F27" i="45"/>
  <c r="B27" i="45"/>
  <c r="I20" i="83"/>
  <c r="D26" i="54"/>
  <c r="E26" i="54"/>
  <c r="F25" i="64"/>
  <c r="B25" i="64"/>
  <c r="D29" i="41"/>
  <c r="E29" i="41"/>
  <c r="E26" i="57"/>
  <c r="D26" i="57"/>
  <c r="I29" i="32"/>
  <c r="E30" i="32"/>
  <c r="D30" i="32"/>
  <c r="E29" i="21"/>
  <c r="D29" i="21"/>
  <c r="D21" i="89"/>
  <c r="E21" i="89"/>
  <c r="E20" i="33"/>
  <c r="F20" i="33" s="1"/>
  <c r="H20" i="33" s="1"/>
  <c r="B20" i="33"/>
  <c r="B24" i="60"/>
  <c r="I25" i="57"/>
  <c r="D28" i="43"/>
  <c r="E28" i="43"/>
  <c r="B30" i="34"/>
  <c r="F30" i="34"/>
  <c r="G30" i="34" s="1"/>
  <c r="I29" i="30"/>
  <c r="G19" i="26"/>
  <c r="I19" i="26" s="1"/>
  <c r="I22" i="78"/>
  <c r="I20" i="92"/>
  <c r="E31" i="29"/>
  <c r="D31" i="29"/>
  <c r="B22" i="88"/>
  <c r="I25" i="54"/>
  <c r="I30" i="70"/>
  <c r="B25" i="56"/>
  <c r="D29" i="17"/>
  <c r="E29" i="17"/>
  <c r="I28" i="17"/>
  <c r="I22" i="79"/>
  <c r="D28" i="73"/>
  <c r="E28" i="73"/>
  <c r="I19" i="33"/>
  <c r="B100" i="94"/>
  <c r="E111" i="71"/>
  <c r="J105" i="57"/>
  <c r="J105" i="56"/>
  <c r="D107" i="57"/>
  <c r="B105" i="59"/>
  <c r="E37" i="2"/>
  <c r="F54" i="2" s="1"/>
  <c r="F55" i="2" s="1"/>
  <c r="D107" i="56"/>
  <c r="B107" i="56" s="1"/>
  <c r="G40" i="36"/>
  <c r="G79" i="36"/>
  <c r="E25" i="59"/>
  <c r="D25" i="59"/>
  <c r="I23" i="62"/>
  <c r="N6" i="62"/>
  <c r="B25" i="35"/>
  <c r="G24" i="35"/>
  <c r="H24" i="35"/>
  <c r="E25" i="35"/>
  <c r="F25" i="35" s="1"/>
  <c r="I20" i="87"/>
  <c r="B21" i="87"/>
  <c r="F21" i="87"/>
  <c r="H21" i="87" s="1"/>
  <c r="E30" i="18"/>
  <c r="D30" i="18"/>
  <c r="B24" i="62"/>
  <c r="N5" i="20"/>
  <c r="B110" i="23"/>
  <c r="N6" i="20"/>
  <c r="I27" i="20"/>
  <c r="F20" i="13"/>
  <c r="N5" i="62"/>
  <c r="B28" i="20"/>
  <c r="H29" i="18"/>
  <c r="B109" i="22"/>
  <c r="B102" i="81"/>
  <c r="B101" i="89"/>
  <c r="F104" i="34"/>
  <c r="B108" i="41"/>
  <c r="B106" i="58"/>
  <c r="B107" i="45"/>
  <c r="B108" i="73"/>
  <c r="B101" i="92"/>
  <c r="E107" i="56"/>
  <c r="B101" i="91"/>
  <c r="B104" i="65"/>
  <c r="B111" i="30"/>
  <c r="B103" i="79"/>
  <c r="J109" i="23"/>
  <c r="D106" i="59"/>
  <c r="E106" i="59"/>
  <c r="B103" i="76"/>
  <c r="B109" i="17"/>
  <c r="B106" i="55"/>
  <c r="H106" i="35"/>
  <c r="I106" i="35"/>
  <c r="F100" i="13"/>
  <c r="B100" i="13"/>
  <c r="J105" i="35"/>
  <c r="B102" i="80"/>
  <c r="I99" i="13"/>
  <c r="H99" i="13"/>
  <c r="B103" i="75"/>
  <c r="B102" i="83"/>
  <c r="B108" i="42"/>
  <c r="B103" i="77"/>
  <c r="B110" i="24"/>
  <c r="B106" i="54"/>
  <c r="B109" i="21"/>
  <c r="F51" i="36"/>
  <c r="B20" i="25" l="1"/>
  <c r="E20" i="25"/>
  <c r="F20" i="25" s="1"/>
  <c r="I20" i="98"/>
  <c r="I20" i="99"/>
  <c r="I20" i="97"/>
  <c r="F21" i="99"/>
  <c r="B21" i="99"/>
  <c r="E21" i="97"/>
  <c r="F21" i="97" s="1"/>
  <c r="B21" i="97"/>
  <c r="F21" i="98"/>
  <c r="G21" i="98" s="1"/>
  <c r="B21" i="98"/>
  <c r="G100" i="98"/>
  <c r="I100" i="98" s="1"/>
  <c r="G99" i="25"/>
  <c r="I99" i="25" s="1"/>
  <c r="D101" i="97"/>
  <c r="E101" i="97" s="1"/>
  <c r="D101" i="98"/>
  <c r="B101" i="98" s="1"/>
  <c r="I99" i="33"/>
  <c r="J99" i="33" s="1"/>
  <c r="J99" i="98"/>
  <c r="N99" i="98"/>
  <c r="O99" i="98" s="1"/>
  <c r="P99" i="98" s="1"/>
  <c r="B100" i="33"/>
  <c r="E101" i="99"/>
  <c r="G100" i="99"/>
  <c r="D101" i="99"/>
  <c r="J99" i="99"/>
  <c r="E100" i="25"/>
  <c r="F100" i="25" s="1"/>
  <c r="D101" i="25" s="1"/>
  <c r="E101" i="25" s="1"/>
  <c r="B108" i="35"/>
  <c r="E108" i="35"/>
  <c r="F108" i="35" s="1"/>
  <c r="B109" i="35" s="1"/>
  <c r="N100" i="96"/>
  <c r="O100" i="96" s="1"/>
  <c r="F76" i="1"/>
  <c r="F77" i="1" s="1"/>
  <c r="F62" i="1"/>
  <c r="F65" i="1" s="1"/>
  <c r="F67" i="1" s="1"/>
  <c r="F69" i="1" s="1"/>
  <c r="I20" i="94"/>
  <c r="I21" i="85"/>
  <c r="I28" i="21"/>
  <c r="E101" i="95"/>
  <c r="F101" i="95" s="1"/>
  <c r="B101" i="95"/>
  <c r="H100" i="98"/>
  <c r="M88" i="98" s="1"/>
  <c r="M89" i="98" s="1"/>
  <c r="L100" i="95"/>
  <c r="M100" i="95" s="1"/>
  <c r="J99" i="95"/>
  <c r="I100" i="97"/>
  <c r="H100" i="97"/>
  <c r="M88" i="97" s="1"/>
  <c r="M89" i="97" s="1"/>
  <c r="F100" i="33"/>
  <c r="G100" i="33" s="1"/>
  <c r="G100" i="26"/>
  <c r="H100" i="26" s="1"/>
  <c r="E101" i="26"/>
  <c r="F101" i="26" s="1"/>
  <c r="G101" i="26" s="1"/>
  <c r="I101" i="26" s="1"/>
  <c r="J109" i="71"/>
  <c r="D111" i="71"/>
  <c r="B111" i="71" s="1"/>
  <c r="D110" i="18"/>
  <c r="B110" i="18" s="1"/>
  <c r="K95" i="85"/>
  <c r="J99" i="93"/>
  <c r="H23" i="75"/>
  <c r="I23" i="75" s="1"/>
  <c r="B25" i="67"/>
  <c r="F25" i="67"/>
  <c r="F26" i="46"/>
  <c r="H26" i="46" s="1"/>
  <c r="B26" i="46"/>
  <c r="I30" i="27"/>
  <c r="B30" i="24"/>
  <c r="F30" i="24"/>
  <c r="H30" i="24" s="1"/>
  <c r="H22" i="86"/>
  <c r="D23" i="86"/>
  <c r="E23" i="86"/>
  <c r="G22" i="86"/>
  <c r="H22" i="80"/>
  <c r="D23" i="80"/>
  <c r="E23" i="80"/>
  <c r="H23" i="82"/>
  <c r="G23" i="82"/>
  <c r="E24" i="82"/>
  <c r="D24" i="82"/>
  <c r="B20" i="93"/>
  <c r="F20" i="93"/>
  <c r="H20" i="93" s="1"/>
  <c r="J99" i="26"/>
  <c r="O99" i="26"/>
  <c r="P99" i="26" s="1"/>
  <c r="G22" i="80"/>
  <c r="B21" i="94"/>
  <c r="F21" i="94"/>
  <c r="H21" i="94" s="1"/>
  <c r="F23" i="90"/>
  <c r="G23" i="90" s="1"/>
  <c r="B23" i="90"/>
  <c r="F31" i="23"/>
  <c r="B31" i="23"/>
  <c r="B28" i="42"/>
  <c r="F28" i="42"/>
  <c r="G28" i="42" s="1"/>
  <c r="D25" i="65"/>
  <c r="E25" i="65"/>
  <c r="E28" i="55"/>
  <c r="D28" i="55"/>
  <c r="G20" i="33"/>
  <c r="I20" i="33" s="1"/>
  <c r="H27" i="58"/>
  <c r="I27" i="58" s="1"/>
  <c r="E28" i="58"/>
  <c r="D28" i="58"/>
  <c r="B25" i="66"/>
  <c r="F25" i="66"/>
  <c r="H25" i="66" s="1"/>
  <c r="G27" i="55"/>
  <c r="I27" i="55" s="1"/>
  <c r="F22" i="84"/>
  <c r="B22" i="84"/>
  <c r="D24" i="75"/>
  <c r="E24" i="75"/>
  <c r="H24" i="65"/>
  <c r="I24" i="65" s="1"/>
  <c r="F22" i="91"/>
  <c r="G22" i="91" s="1"/>
  <c r="B22" i="91"/>
  <c r="F26" i="53"/>
  <c r="H26" i="53" s="1"/>
  <c r="B26" i="53"/>
  <c r="I21" i="83"/>
  <c r="F20" i="96"/>
  <c r="G20" i="96" s="1"/>
  <c r="B20" i="96"/>
  <c r="B23" i="76"/>
  <c r="F23" i="76"/>
  <c r="F29" i="22"/>
  <c r="H29" i="22" s="1"/>
  <c r="I28" i="20"/>
  <c r="B29" i="22"/>
  <c r="B22" i="85"/>
  <c r="F22" i="85"/>
  <c r="G22" i="85" s="1"/>
  <c r="B22" i="81"/>
  <c r="F22" i="81"/>
  <c r="H22" i="81" s="1"/>
  <c r="B25" i="61"/>
  <c r="F25" i="61"/>
  <c r="H25" i="61" s="1"/>
  <c r="I27" i="74"/>
  <c r="B20" i="95"/>
  <c r="F20" i="95"/>
  <c r="H20" i="95" s="1"/>
  <c r="F28" i="39"/>
  <c r="G28" i="39" s="1"/>
  <c r="B28" i="39"/>
  <c r="B31" i="27"/>
  <c r="F31" i="27"/>
  <c r="I21" i="81"/>
  <c r="B28" i="44"/>
  <c r="F28" i="44"/>
  <c r="G28" i="44" s="1"/>
  <c r="F26" i="72"/>
  <c r="B26" i="72"/>
  <c r="G51" i="36"/>
  <c r="I24" i="35"/>
  <c r="N7" i="20"/>
  <c r="B26" i="57"/>
  <c r="F26" i="57"/>
  <c r="H26" i="57" s="1"/>
  <c r="B31" i="70"/>
  <c r="F31" i="70"/>
  <c r="H31" i="70" s="1"/>
  <c r="B28" i="43"/>
  <c r="F28" i="43"/>
  <c r="D26" i="64"/>
  <c r="E26" i="64"/>
  <c r="H27" i="45"/>
  <c r="D28" i="45"/>
  <c r="E28" i="45"/>
  <c r="B21" i="92"/>
  <c r="F21" i="92"/>
  <c r="H21" i="92" s="1"/>
  <c r="B20" i="26"/>
  <c r="F20" i="26"/>
  <c r="H20" i="26" s="1"/>
  <c r="E32" i="31"/>
  <c r="D32" i="31"/>
  <c r="D31" i="30"/>
  <c r="E31" i="30"/>
  <c r="G32" i="28"/>
  <c r="I32" i="28" s="1"/>
  <c r="E33" i="28"/>
  <c r="D33" i="28"/>
  <c r="F29" i="19"/>
  <c r="G29" i="19" s="1"/>
  <c r="B29" i="19"/>
  <c r="B23" i="79"/>
  <c r="F23" i="79"/>
  <c r="G23" i="79" s="1"/>
  <c r="H30" i="71"/>
  <c r="I30" i="71" s="1"/>
  <c r="F29" i="21"/>
  <c r="G29" i="21" s="1"/>
  <c r="B29" i="21"/>
  <c r="G21" i="87"/>
  <c r="I21" i="87" s="1"/>
  <c r="F28" i="73"/>
  <c r="B28" i="73"/>
  <c r="D26" i="56"/>
  <c r="E26" i="56"/>
  <c r="D25" i="60"/>
  <c r="E25" i="60"/>
  <c r="B21" i="89"/>
  <c r="F21" i="89"/>
  <c r="G21" i="89" s="1"/>
  <c r="F30" i="32"/>
  <c r="H30" i="32" s="1"/>
  <c r="B30" i="32"/>
  <c r="H25" i="64"/>
  <c r="F26" i="54"/>
  <c r="H26" i="54" s="1"/>
  <c r="B26" i="54"/>
  <c r="G27" i="45"/>
  <c r="E28" i="74"/>
  <c r="D28" i="74"/>
  <c r="B23" i="78"/>
  <c r="F23" i="78"/>
  <c r="H23" i="78" s="1"/>
  <c r="F23" i="77"/>
  <c r="H23" i="77" s="1"/>
  <c r="B23" i="77"/>
  <c r="F25" i="63"/>
  <c r="B25" i="63"/>
  <c r="B24" i="68"/>
  <c r="F24" i="68"/>
  <c r="H24" i="68" s="1"/>
  <c r="G31" i="69"/>
  <c r="D32" i="69"/>
  <c r="E32" i="69"/>
  <c r="D31" i="71"/>
  <c r="E31" i="71"/>
  <c r="F29" i="17"/>
  <c r="H29" i="17" s="1"/>
  <c r="C38" i="17"/>
  <c r="B29" i="17"/>
  <c r="I25" i="56"/>
  <c r="H22" i="88"/>
  <c r="I22" i="88" s="1"/>
  <c r="D23" i="88"/>
  <c r="E23" i="88"/>
  <c r="B31" i="29"/>
  <c r="F31" i="29"/>
  <c r="H31" i="29" s="1"/>
  <c r="H30" i="34"/>
  <c r="I30" i="34" s="1"/>
  <c r="E31" i="34"/>
  <c r="D31" i="34"/>
  <c r="I24" i="60"/>
  <c r="D21" i="33"/>
  <c r="E21" i="33" s="1"/>
  <c r="F21" i="33" s="1"/>
  <c r="F29" i="41"/>
  <c r="H29" i="41" s="1"/>
  <c r="B29" i="41"/>
  <c r="G25" i="64"/>
  <c r="B29" i="3"/>
  <c r="F29" i="3"/>
  <c r="G29" i="3" s="1"/>
  <c r="H31" i="69"/>
  <c r="G31" i="31"/>
  <c r="I31" i="31" s="1"/>
  <c r="I24" i="63"/>
  <c r="I30" i="30"/>
  <c r="D22" i="83"/>
  <c r="E22" i="83"/>
  <c r="J99" i="94"/>
  <c r="E107" i="57"/>
  <c r="F107" i="57" s="1"/>
  <c r="D111" i="23"/>
  <c r="B111" i="23" s="1"/>
  <c r="F107" i="56"/>
  <c r="E108" i="56" s="1"/>
  <c r="D108" i="45"/>
  <c r="E110" i="22"/>
  <c r="E111" i="23"/>
  <c r="E101" i="93"/>
  <c r="F101" i="93" s="1"/>
  <c r="B101" i="93"/>
  <c r="J108" i="18"/>
  <c r="D102" i="91"/>
  <c r="E109" i="41"/>
  <c r="E109" i="73"/>
  <c r="J104" i="59"/>
  <c r="F70" i="1"/>
  <c r="F71" i="1" s="1"/>
  <c r="F56" i="1" s="1"/>
  <c r="F57" i="1" s="1"/>
  <c r="F59" i="1" s="1"/>
  <c r="F79" i="1" s="1"/>
  <c r="F80" i="1" s="1"/>
  <c r="F82" i="1" s="1"/>
  <c r="E29" i="20"/>
  <c r="D29" i="20"/>
  <c r="I24" i="59"/>
  <c r="N7" i="62"/>
  <c r="I29" i="18"/>
  <c r="E26" i="35"/>
  <c r="F26" i="35" s="1"/>
  <c r="H25" i="35"/>
  <c r="B26" i="35"/>
  <c r="G25" i="35"/>
  <c r="E22" i="87"/>
  <c r="D22" i="87"/>
  <c r="D25" i="62"/>
  <c r="E25" i="62"/>
  <c r="D21" i="13"/>
  <c r="E21" i="13" s="1"/>
  <c r="G20" i="13"/>
  <c r="H20" i="13"/>
  <c r="I24" i="62"/>
  <c r="B30" i="18"/>
  <c r="F30" i="18"/>
  <c r="H30" i="18" s="1"/>
  <c r="B25" i="59"/>
  <c r="F25" i="59"/>
  <c r="G25" i="59" s="1"/>
  <c r="B101" i="86"/>
  <c r="B104" i="66"/>
  <c r="B109" i="19"/>
  <c r="B109" i="34"/>
  <c r="B105" i="64"/>
  <c r="J100" i="89"/>
  <c r="B104" i="68"/>
  <c r="B110" i="32"/>
  <c r="B109" i="20"/>
  <c r="B111" i="29"/>
  <c r="B105" i="63"/>
  <c r="B106" i="46"/>
  <c r="B103" i="78"/>
  <c r="B101" i="90"/>
  <c r="B105" i="61"/>
  <c r="B105" i="60"/>
  <c r="B107" i="74"/>
  <c r="E102" i="89"/>
  <c r="D102" i="89"/>
  <c r="B110" i="31"/>
  <c r="B106" i="53"/>
  <c r="B105" i="62"/>
  <c r="B111" i="70"/>
  <c r="B101" i="84"/>
  <c r="B106" i="72"/>
  <c r="B108" i="39"/>
  <c r="B102" i="85"/>
  <c r="B108" i="43"/>
  <c r="B111" i="27"/>
  <c r="B101" i="88"/>
  <c r="B105" i="34"/>
  <c r="G104" i="34"/>
  <c r="B111" i="69"/>
  <c r="F106" i="59"/>
  <c r="B106" i="59"/>
  <c r="F62" i="2"/>
  <c r="F65" i="2" s="1"/>
  <c r="F67" i="2" s="1"/>
  <c r="F69" i="2" s="1"/>
  <c r="B107" i="57"/>
  <c r="J108" i="21"/>
  <c r="E103" i="83"/>
  <c r="D103" i="83"/>
  <c r="G100" i="13"/>
  <c r="D101" i="13"/>
  <c r="E101" i="13" s="1"/>
  <c r="B101" i="96"/>
  <c r="D104" i="75"/>
  <c r="E104" i="75"/>
  <c r="J99" i="13"/>
  <c r="J107" i="42"/>
  <c r="B104" i="67"/>
  <c r="D110" i="17"/>
  <c r="E110" i="17"/>
  <c r="J105" i="54"/>
  <c r="D110" i="21"/>
  <c r="E110" i="21"/>
  <c r="I107" i="35"/>
  <c r="H107" i="35"/>
  <c r="J105" i="55"/>
  <c r="J102" i="77"/>
  <c r="D107" i="54"/>
  <c r="E107" i="54"/>
  <c r="D111" i="24"/>
  <c r="E111" i="24"/>
  <c r="B102" i="82"/>
  <c r="E104" i="77"/>
  <c r="D104" i="77"/>
  <c r="J108" i="17"/>
  <c r="B108" i="44"/>
  <c r="J102" i="75"/>
  <c r="D104" i="76"/>
  <c r="E104" i="76"/>
  <c r="E101" i="96"/>
  <c r="F101" i="96" s="1"/>
  <c r="J101" i="80"/>
  <c r="D107" i="55"/>
  <c r="E107" i="55"/>
  <c r="B112" i="28"/>
  <c r="J101" i="83"/>
  <c r="B101" i="87"/>
  <c r="D109" i="42"/>
  <c r="E109" i="42"/>
  <c r="E103" i="80"/>
  <c r="D103" i="80"/>
  <c r="J109" i="24"/>
  <c r="J102" i="76"/>
  <c r="B109" i="3"/>
  <c r="J106" i="35"/>
  <c r="F22" i="36"/>
  <c r="I89" i="36"/>
  <c r="F54" i="36"/>
  <c r="I90" i="36"/>
  <c r="H20" i="25" l="1"/>
  <c r="D21" i="25"/>
  <c r="G20" i="25"/>
  <c r="I20" i="25" s="1"/>
  <c r="B101" i="25"/>
  <c r="H99" i="25"/>
  <c r="D22" i="97"/>
  <c r="G21" i="97"/>
  <c r="E22" i="97"/>
  <c r="D22" i="99"/>
  <c r="E22" i="99"/>
  <c r="D22" i="98"/>
  <c r="E22" i="98"/>
  <c r="H21" i="99"/>
  <c r="H21" i="98"/>
  <c r="H21" i="97"/>
  <c r="G21" i="99"/>
  <c r="F101" i="98"/>
  <c r="D102" i="98" s="1"/>
  <c r="F101" i="97"/>
  <c r="D102" i="97" s="1"/>
  <c r="B101" i="97"/>
  <c r="D101" i="33"/>
  <c r="B101" i="33" s="1"/>
  <c r="G100" i="25"/>
  <c r="H100" i="25" s="1"/>
  <c r="F101" i="99"/>
  <c r="B101" i="99"/>
  <c r="I100" i="99"/>
  <c r="N88" i="99" s="1"/>
  <c r="N89" i="99" s="1"/>
  <c r="H100" i="99"/>
  <c r="M88" i="99" s="1"/>
  <c r="M89" i="99" s="1"/>
  <c r="L100" i="96"/>
  <c r="M100" i="96" s="1"/>
  <c r="P100" i="96" s="1"/>
  <c r="E109" i="35"/>
  <c r="F109" i="35" s="1"/>
  <c r="G109" i="35" s="1"/>
  <c r="F101" i="25"/>
  <c r="G101" i="25" s="1"/>
  <c r="H101" i="25" s="1"/>
  <c r="G108" i="35"/>
  <c r="H108" i="35" s="1"/>
  <c r="I100" i="26"/>
  <c r="J100" i="26" s="1"/>
  <c r="D105" i="65"/>
  <c r="B105" i="65" s="1"/>
  <c r="N100" i="95"/>
  <c r="O100" i="95" s="1"/>
  <c r="P100" i="95" s="1"/>
  <c r="G20" i="93"/>
  <c r="I20" i="93" s="1"/>
  <c r="G26" i="46"/>
  <c r="I26" i="46" s="1"/>
  <c r="G29" i="22"/>
  <c r="I29" i="22" s="1"/>
  <c r="G101" i="98"/>
  <c r="E102" i="98"/>
  <c r="N88" i="98"/>
  <c r="J100" i="98"/>
  <c r="H101" i="26"/>
  <c r="J101" i="26" s="1"/>
  <c r="D103" i="81"/>
  <c r="B103" i="81" s="1"/>
  <c r="J99" i="25"/>
  <c r="N88" i="97"/>
  <c r="J100" i="97"/>
  <c r="J106" i="56"/>
  <c r="F110" i="18"/>
  <c r="G110" i="18" s="1"/>
  <c r="G101" i="95"/>
  <c r="D102" i="95"/>
  <c r="D102" i="26"/>
  <c r="F111" i="71"/>
  <c r="D112" i="71" s="1"/>
  <c r="G107" i="56"/>
  <c r="I107" i="56" s="1"/>
  <c r="N88" i="56" s="1"/>
  <c r="N89" i="56" s="1"/>
  <c r="D108" i="56"/>
  <c r="B108" i="56" s="1"/>
  <c r="F111" i="23"/>
  <c r="E112" i="23" s="1"/>
  <c r="I22" i="86"/>
  <c r="G24" i="68"/>
  <c r="I24" i="68" s="1"/>
  <c r="H25" i="67"/>
  <c r="D26" i="67"/>
  <c r="E26" i="67"/>
  <c r="G25" i="67"/>
  <c r="G26" i="53"/>
  <c r="I26" i="53" s="1"/>
  <c r="D27" i="46"/>
  <c r="E27" i="46"/>
  <c r="G30" i="24"/>
  <c r="I30" i="24" s="1"/>
  <c r="D31" i="24"/>
  <c r="E31" i="24"/>
  <c r="I22" i="80"/>
  <c r="F24" i="82"/>
  <c r="G24" i="82" s="1"/>
  <c r="B24" i="82"/>
  <c r="H23" i="79"/>
  <c r="I23" i="79" s="1"/>
  <c r="H23" i="90"/>
  <c r="I23" i="90" s="1"/>
  <c r="F23" i="80"/>
  <c r="H23" i="80" s="1"/>
  <c r="B23" i="80"/>
  <c r="G21" i="94"/>
  <c r="I21" i="94" s="1"/>
  <c r="D22" i="94"/>
  <c r="E22" i="94"/>
  <c r="E21" i="93"/>
  <c r="D21" i="93"/>
  <c r="F23" i="86"/>
  <c r="B23" i="86"/>
  <c r="I23" i="82"/>
  <c r="G20" i="26"/>
  <c r="D23" i="91"/>
  <c r="E23" i="91"/>
  <c r="H22" i="84"/>
  <c r="E23" i="84"/>
  <c r="D23" i="84"/>
  <c r="E26" i="66"/>
  <c r="D26" i="66"/>
  <c r="B28" i="58"/>
  <c r="F28" i="58"/>
  <c r="F24" i="75"/>
  <c r="H24" i="75" s="1"/>
  <c r="B24" i="75"/>
  <c r="F25" i="65"/>
  <c r="G25" i="65" s="1"/>
  <c r="B25" i="65"/>
  <c r="D27" i="53"/>
  <c r="E27" i="53"/>
  <c r="H22" i="91"/>
  <c r="I22" i="91" s="1"/>
  <c r="G22" i="84"/>
  <c r="G25" i="66"/>
  <c r="I25" i="66" s="1"/>
  <c r="F28" i="55"/>
  <c r="G28" i="55" s="1"/>
  <c r="B28" i="55"/>
  <c r="H28" i="42"/>
  <c r="I28" i="42" s="1"/>
  <c r="D29" i="42"/>
  <c r="E29" i="42"/>
  <c r="G31" i="23"/>
  <c r="D32" i="23"/>
  <c r="E32" i="23"/>
  <c r="H31" i="23"/>
  <c r="D24" i="90"/>
  <c r="E24" i="90"/>
  <c r="D27" i="72"/>
  <c r="E27" i="72"/>
  <c r="H28" i="39"/>
  <c r="I28" i="39" s="1"/>
  <c r="D30" i="22"/>
  <c r="E30" i="22"/>
  <c r="D24" i="76"/>
  <c r="E24" i="76"/>
  <c r="G26" i="72"/>
  <c r="H28" i="44"/>
  <c r="I28" i="44" s="1"/>
  <c r="G20" i="95"/>
  <c r="I20" i="95" s="1"/>
  <c r="D21" i="95"/>
  <c r="E21" i="95"/>
  <c r="G25" i="61"/>
  <c r="I25" i="61" s="1"/>
  <c r="D26" i="61"/>
  <c r="E26" i="61"/>
  <c r="D23" i="85"/>
  <c r="E23" i="85"/>
  <c r="G23" i="76"/>
  <c r="I20" i="26"/>
  <c r="H26" i="72"/>
  <c r="H31" i="27"/>
  <c r="E32" i="27"/>
  <c r="G31" i="27"/>
  <c r="D32" i="27"/>
  <c r="G22" i="81"/>
  <c r="I22" i="81" s="1"/>
  <c r="E23" i="81"/>
  <c r="D23" i="81"/>
  <c r="H20" i="96"/>
  <c r="I20" i="96" s="1"/>
  <c r="D21" i="96"/>
  <c r="E21" i="96"/>
  <c r="G31" i="29"/>
  <c r="I31" i="29" s="1"/>
  <c r="E29" i="44"/>
  <c r="D29" i="44"/>
  <c r="D29" i="39"/>
  <c r="E29" i="39"/>
  <c r="H22" i="85"/>
  <c r="I22" i="85" s="1"/>
  <c r="H23" i="76"/>
  <c r="G22" i="36"/>
  <c r="I25" i="64"/>
  <c r="I25" i="35"/>
  <c r="B31" i="34"/>
  <c r="F31" i="34"/>
  <c r="H31" i="34" s="1"/>
  <c r="B31" i="30"/>
  <c r="F31" i="30"/>
  <c r="G31" i="30" s="1"/>
  <c r="B22" i="83"/>
  <c r="F22" i="83"/>
  <c r="G22" i="83" s="1"/>
  <c r="I31" i="69"/>
  <c r="E30" i="3"/>
  <c r="D30" i="3"/>
  <c r="G29" i="41"/>
  <c r="I29" i="41" s="1"/>
  <c r="E30" i="41"/>
  <c r="D30" i="41"/>
  <c r="E26" i="63"/>
  <c r="D26" i="63"/>
  <c r="D24" i="77"/>
  <c r="E24" i="77"/>
  <c r="H21" i="89"/>
  <c r="I21" i="89" s="1"/>
  <c r="D22" i="89"/>
  <c r="E22" i="89"/>
  <c r="F32" i="31"/>
  <c r="H32" i="31" s="1"/>
  <c r="B32" i="31"/>
  <c r="E32" i="70"/>
  <c r="D32" i="70"/>
  <c r="B31" i="71"/>
  <c r="F31" i="71"/>
  <c r="G31" i="71" s="1"/>
  <c r="B25" i="60"/>
  <c r="F25" i="60"/>
  <c r="G25" i="60" s="1"/>
  <c r="H28" i="43"/>
  <c r="D29" i="43"/>
  <c r="E29" i="43"/>
  <c r="H25" i="59"/>
  <c r="I25" i="59" s="1"/>
  <c r="D22" i="33"/>
  <c r="G29" i="17"/>
  <c r="I29" i="17" s="1"/>
  <c r="E30" i="17"/>
  <c r="D30" i="17"/>
  <c r="G25" i="63"/>
  <c r="G23" i="78"/>
  <c r="I23" i="78" s="1"/>
  <c r="E24" i="78"/>
  <c r="D24" i="78"/>
  <c r="E27" i="54"/>
  <c r="D27" i="54"/>
  <c r="E31" i="32"/>
  <c r="D31" i="32"/>
  <c r="H29" i="21"/>
  <c r="I29" i="21" s="1"/>
  <c r="D30" i="21"/>
  <c r="E30" i="21"/>
  <c r="B28" i="45"/>
  <c r="F28" i="45"/>
  <c r="G28" i="45" s="1"/>
  <c r="G31" i="70"/>
  <c r="I31" i="70" s="1"/>
  <c r="F23" i="88"/>
  <c r="G23" i="88" s="1"/>
  <c r="B23" i="88"/>
  <c r="F28" i="74"/>
  <c r="G28" i="74" s="1"/>
  <c r="B28" i="74"/>
  <c r="F26" i="56"/>
  <c r="B26" i="56"/>
  <c r="B33" i="28"/>
  <c r="F33" i="28"/>
  <c r="B26" i="64"/>
  <c r="D27" i="57"/>
  <c r="E27" i="57"/>
  <c r="H29" i="3"/>
  <c r="I29" i="3" s="1"/>
  <c r="B21" i="33"/>
  <c r="H21" i="33"/>
  <c r="G21" i="33"/>
  <c r="D32" i="29"/>
  <c r="E32" i="29"/>
  <c r="B32" i="69"/>
  <c r="F32" i="69"/>
  <c r="G32" i="69" s="1"/>
  <c r="E25" i="68"/>
  <c r="D25" i="68"/>
  <c r="H25" i="63"/>
  <c r="G23" i="77"/>
  <c r="I23" i="77" s="1"/>
  <c r="G26" i="54"/>
  <c r="I26" i="54" s="1"/>
  <c r="G30" i="32"/>
  <c r="I30" i="32" s="1"/>
  <c r="G28" i="73"/>
  <c r="E29" i="73"/>
  <c r="H28" i="73"/>
  <c r="D29" i="73"/>
  <c r="D24" i="79"/>
  <c r="E24" i="79"/>
  <c r="H29" i="19"/>
  <c r="I29" i="19" s="1"/>
  <c r="D30" i="19"/>
  <c r="E30" i="19"/>
  <c r="D21" i="26"/>
  <c r="E21" i="26" s="1"/>
  <c r="F21" i="26" s="1"/>
  <c r="G21" i="92"/>
  <c r="I21" i="92" s="1"/>
  <c r="E22" i="92"/>
  <c r="D22" i="92"/>
  <c r="I27" i="45"/>
  <c r="F26" i="64"/>
  <c r="G28" i="43"/>
  <c r="G26" i="57"/>
  <c r="I26" i="57" s="1"/>
  <c r="L100" i="94"/>
  <c r="M100" i="94" s="1"/>
  <c r="N100" i="94"/>
  <c r="O100" i="94" s="1"/>
  <c r="B101" i="94"/>
  <c r="E108" i="45"/>
  <c r="F108" i="45" s="1"/>
  <c r="D109" i="41"/>
  <c r="B109" i="41" s="1"/>
  <c r="E103" i="81"/>
  <c r="E102" i="91"/>
  <c r="F102" i="91" s="1"/>
  <c r="D110" i="22"/>
  <c r="F110" i="22" s="1"/>
  <c r="E105" i="65"/>
  <c r="J105" i="59"/>
  <c r="D102" i="93"/>
  <c r="G101" i="93"/>
  <c r="J107" i="35"/>
  <c r="D109" i="73"/>
  <c r="B109" i="73" s="1"/>
  <c r="G54" i="36"/>
  <c r="E31" i="18"/>
  <c r="D31" i="18"/>
  <c r="B21" i="13"/>
  <c r="F21" i="13"/>
  <c r="H21" i="13" s="1"/>
  <c r="N6" i="13" s="1"/>
  <c r="B25" i="62"/>
  <c r="F25" i="62"/>
  <c r="H25" i="62" s="1"/>
  <c r="B27" i="35"/>
  <c r="H26" i="35"/>
  <c r="E27" i="35"/>
  <c r="F27" i="35" s="1"/>
  <c r="G26" i="35"/>
  <c r="F29" i="20"/>
  <c r="G29" i="20" s="1"/>
  <c r="B29" i="20"/>
  <c r="J110" i="23"/>
  <c r="I20" i="13"/>
  <c r="D26" i="59"/>
  <c r="E26" i="59"/>
  <c r="G30" i="18"/>
  <c r="I30" i="18" s="1"/>
  <c r="F22" i="87"/>
  <c r="B22" i="87"/>
  <c r="J105" i="58"/>
  <c r="J104" i="61"/>
  <c r="E109" i="39"/>
  <c r="D109" i="39"/>
  <c r="J102" i="78"/>
  <c r="J108" i="20"/>
  <c r="D104" i="79"/>
  <c r="E104" i="79"/>
  <c r="E106" i="61"/>
  <c r="D106" i="61"/>
  <c r="E102" i="90"/>
  <c r="D102" i="90"/>
  <c r="J101" i="81"/>
  <c r="D112" i="30"/>
  <c r="E112" i="30"/>
  <c r="J103" i="65"/>
  <c r="J110" i="30"/>
  <c r="D106" i="64"/>
  <c r="E106" i="64"/>
  <c r="J103" i="68"/>
  <c r="J109" i="31"/>
  <c r="J106" i="74"/>
  <c r="J108" i="19"/>
  <c r="J103" i="66"/>
  <c r="B108" i="45"/>
  <c r="D103" i="85"/>
  <c r="E103" i="85"/>
  <c r="E107" i="72"/>
  <c r="D107" i="72"/>
  <c r="J105" i="46"/>
  <c r="J100" i="92"/>
  <c r="J108" i="22"/>
  <c r="B102" i="89"/>
  <c r="F102" i="89"/>
  <c r="J110" i="69"/>
  <c r="J107" i="41"/>
  <c r="J107" i="73"/>
  <c r="J109" i="32"/>
  <c r="D107" i="46"/>
  <c r="E107" i="46"/>
  <c r="J105" i="53"/>
  <c r="J104" i="64"/>
  <c r="E112" i="29"/>
  <c r="D112" i="29"/>
  <c r="J104" i="60"/>
  <c r="J104" i="62"/>
  <c r="J100" i="88"/>
  <c r="E105" i="66"/>
  <c r="D105" i="66"/>
  <c r="D112" i="69"/>
  <c r="E112" i="69"/>
  <c r="I104" i="34"/>
  <c r="H104" i="34"/>
  <c r="L104" i="34" s="1"/>
  <c r="M104" i="34" s="1"/>
  <c r="D102" i="88"/>
  <c r="E102" i="88"/>
  <c r="D112" i="27"/>
  <c r="E112" i="27"/>
  <c r="J110" i="70"/>
  <c r="E109" i="43"/>
  <c r="D109" i="43"/>
  <c r="J104" i="63"/>
  <c r="E106" i="62"/>
  <c r="D106" i="62"/>
  <c r="B106" i="62" s="1"/>
  <c r="E106" i="60"/>
  <c r="D106" i="60"/>
  <c r="J105" i="72"/>
  <c r="J106" i="45"/>
  <c r="J107" i="43"/>
  <c r="B102" i="91"/>
  <c r="J100" i="84"/>
  <c r="E105" i="68"/>
  <c r="D105" i="68"/>
  <c r="D110" i="19"/>
  <c r="E110" i="19"/>
  <c r="J102" i="79"/>
  <c r="D102" i="92"/>
  <c r="E102" i="92"/>
  <c r="J100" i="86"/>
  <c r="D102" i="84"/>
  <c r="E102" i="84"/>
  <c r="J110" i="27"/>
  <c r="E112" i="70"/>
  <c r="D112" i="70"/>
  <c r="D107" i="53"/>
  <c r="E107" i="53"/>
  <c r="E111" i="31"/>
  <c r="D111" i="31"/>
  <c r="J110" i="29"/>
  <c r="J107" i="39"/>
  <c r="D104" i="78"/>
  <c r="E104" i="78"/>
  <c r="J100" i="91"/>
  <c r="J101" i="85"/>
  <c r="E106" i="63"/>
  <c r="D106" i="63"/>
  <c r="D110" i="20"/>
  <c r="E110" i="20"/>
  <c r="D107" i="58"/>
  <c r="E107" i="58"/>
  <c r="J100" i="90"/>
  <c r="E111" i="32"/>
  <c r="D111" i="32"/>
  <c r="J109" i="18"/>
  <c r="G106" i="59"/>
  <c r="D107" i="59"/>
  <c r="E107" i="59"/>
  <c r="F70" i="2"/>
  <c r="F71" i="2" s="1"/>
  <c r="F56" i="2" s="1"/>
  <c r="F57" i="2" s="1"/>
  <c r="G107" i="57"/>
  <c r="D108" i="57"/>
  <c r="E108" i="57"/>
  <c r="D102" i="96"/>
  <c r="E102" i="96" s="1"/>
  <c r="G101" i="96"/>
  <c r="F109" i="42"/>
  <c r="B109" i="42"/>
  <c r="B111" i="24"/>
  <c r="F111" i="24"/>
  <c r="B110" i="21"/>
  <c r="F110" i="21"/>
  <c r="B107" i="54"/>
  <c r="F107" i="54"/>
  <c r="D105" i="67"/>
  <c r="E105" i="67"/>
  <c r="B104" i="75"/>
  <c r="F104" i="75"/>
  <c r="H100" i="33"/>
  <c r="I100" i="33"/>
  <c r="I100" i="13"/>
  <c r="H100" i="13"/>
  <c r="D110" i="3"/>
  <c r="E110" i="3"/>
  <c r="D113" i="28"/>
  <c r="E113" i="28"/>
  <c r="F107" i="55"/>
  <c r="B107" i="55"/>
  <c r="J108" i="3"/>
  <c r="D109" i="44"/>
  <c r="E109" i="44"/>
  <c r="F104" i="77"/>
  <c r="B104" i="77"/>
  <c r="J111" i="28"/>
  <c r="D102" i="87"/>
  <c r="E102" i="87"/>
  <c r="J103" i="67"/>
  <c r="J107" i="44"/>
  <c r="F103" i="80"/>
  <c r="B103" i="80"/>
  <c r="B104" i="76"/>
  <c r="F104" i="76"/>
  <c r="D103" i="82"/>
  <c r="E103" i="82"/>
  <c r="J100" i="87"/>
  <c r="F110" i="17"/>
  <c r="B110" i="17"/>
  <c r="J101" i="82"/>
  <c r="F101" i="13"/>
  <c r="B101" i="13"/>
  <c r="F103" i="83"/>
  <c r="B103" i="83"/>
  <c r="I91" i="36"/>
  <c r="E21" i="25" l="1"/>
  <c r="B21" i="25"/>
  <c r="F21" i="25"/>
  <c r="F22" i="97"/>
  <c r="H22" i="97" s="1"/>
  <c r="E102" i="97"/>
  <c r="B22" i="97"/>
  <c r="G101" i="97"/>
  <c r="I101" i="97" s="1"/>
  <c r="I21" i="99"/>
  <c r="F22" i="99"/>
  <c r="B22" i="99"/>
  <c r="E23" i="97"/>
  <c r="I21" i="97"/>
  <c r="F22" i="98"/>
  <c r="G22" i="98" s="1"/>
  <c r="B22" i="98"/>
  <c r="I21" i="98"/>
  <c r="I23" i="76"/>
  <c r="D102" i="25"/>
  <c r="E102" i="25" s="1"/>
  <c r="E101" i="33"/>
  <c r="F101" i="33" s="1"/>
  <c r="I101" i="25"/>
  <c r="J101" i="25" s="1"/>
  <c r="E110" i="35"/>
  <c r="F110" i="35" s="1"/>
  <c r="G110" i="35" s="1"/>
  <c r="J100" i="96"/>
  <c r="P100" i="94"/>
  <c r="B110" i="35"/>
  <c r="I100" i="25"/>
  <c r="J100" i="25" s="1"/>
  <c r="G111" i="71"/>
  <c r="H111" i="71" s="1"/>
  <c r="M88" i="71" s="1"/>
  <c r="M89" i="71" s="1"/>
  <c r="O88" i="99"/>
  <c r="O89" i="99" s="1"/>
  <c r="F108" i="56"/>
  <c r="D109" i="56" s="1"/>
  <c r="G101" i="99"/>
  <c r="D102" i="99"/>
  <c r="E102" i="99"/>
  <c r="J100" i="99"/>
  <c r="I108" i="35"/>
  <c r="J108" i="35" s="1"/>
  <c r="F102" i="25"/>
  <c r="D103" i="25" s="1"/>
  <c r="E103" i="25" s="1"/>
  <c r="J100" i="93"/>
  <c r="E112" i="71"/>
  <c r="F112" i="71" s="1"/>
  <c r="J106" i="57"/>
  <c r="F105" i="65"/>
  <c r="D106" i="65" s="1"/>
  <c r="B106" i="65" s="1"/>
  <c r="J100" i="95"/>
  <c r="D111" i="18"/>
  <c r="B111" i="18" s="1"/>
  <c r="H28" i="55"/>
  <c r="I28" i="55" s="1"/>
  <c r="F103" i="81"/>
  <c r="G103" i="81" s="1"/>
  <c r="D112" i="23"/>
  <c r="B112" i="23" s="1"/>
  <c r="E111" i="18"/>
  <c r="O88" i="98"/>
  <c r="O89" i="98" s="1"/>
  <c r="N89" i="98"/>
  <c r="O88" i="97"/>
  <c r="O89" i="97" s="1"/>
  <c r="N89" i="97"/>
  <c r="B102" i="97"/>
  <c r="F102" i="97"/>
  <c r="H101" i="98"/>
  <c r="I101" i="98"/>
  <c r="B102" i="98"/>
  <c r="F102" i="98"/>
  <c r="J110" i="71"/>
  <c r="E102" i="26"/>
  <c r="F102" i="26" s="1"/>
  <c r="G102" i="26" s="1"/>
  <c r="B102" i="26"/>
  <c r="E102" i="95"/>
  <c r="F102" i="95" s="1"/>
  <c r="B102" i="95"/>
  <c r="H107" i="56"/>
  <c r="M88" i="56" s="1"/>
  <c r="M89" i="56" s="1"/>
  <c r="H101" i="95"/>
  <c r="M88" i="95" s="1"/>
  <c r="M89" i="95" s="1"/>
  <c r="I101" i="95"/>
  <c r="N88" i="95" s="1"/>
  <c r="G111" i="23"/>
  <c r="I111" i="23" s="1"/>
  <c r="N88" i="23" s="1"/>
  <c r="F109" i="41"/>
  <c r="E110" i="41" s="1"/>
  <c r="B26" i="67"/>
  <c r="F26" i="67"/>
  <c r="G26" i="67" s="1"/>
  <c r="I25" i="67"/>
  <c r="I25" i="63"/>
  <c r="F27" i="46"/>
  <c r="G27" i="46" s="1"/>
  <c r="B27" i="46"/>
  <c r="F31" i="24"/>
  <c r="H31" i="24" s="1"/>
  <c r="B31" i="24"/>
  <c r="I31" i="27"/>
  <c r="D24" i="86"/>
  <c r="E24" i="86"/>
  <c r="B22" i="94"/>
  <c r="F22" i="94"/>
  <c r="G22" i="94" s="1"/>
  <c r="H23" i="86"/>
  <c r="B21" i="93"/>
  <c r="F21" i="93"/>
  <c r="H21" i="93" s="1"/>
  <c r="D24" i="80"/>
  <c r="E24" i="80"/>
  <c r="J100" i="94"/>
  <c r="H22" i="83"/>
  <c r="I22" i="83" s="1"/>
  <c r="G23" i="86"/>
  <c r="G23" i="80"/>
  <c r="I23" i="80" s="1"/>
  <c r="E25" i="82"/>
  <c r="D25" i="82"/>
  <c r="H24" i="82"/>
  <c r="I24" i="82" s="1"/>
  <c r="B32" i="23"/>
  <c r="F32" i="23"/>
  <c r="H32" i="23" s="1"/>
  <c r="D29" i="55"/>
  <c r="E29" i="55"/>
  <c r="E29" i="58"/>
  <c r="H28" i="58"/>
  <c r="D29" i="58"/>
  <c r="D26" i="65"/>
  <c r="E26" i="65"/>
  <c r="F23" i="91"/>
  <c r="H23" i="91" s="1"/>
  <c r="B23" i="91"/>
  <c r="B24" i="90"/>
  <c r="F24" i="90"/>
  <c r="G24" i="90" s="1"/>
  <c r="B27" i="53"/>
  <c r="F27" i="53"/>
  <c r="G27" i="53" s="1"/>
  <c r="H25" i="65"/>
  <c r="I25" i="65" s="1"/>
  <c r="B26" i="66"/>
  <c r="F26" i="66"/>
  <c r="G26" i="66" s="1"/>
  <c r="I22" i="84"/>
  <c r="F29" i="42"/>
  <c r="B29" i="42"/>
  <c r="B23" i="84"/>
  <c r="F23" i="84"/>
  <c r="G23" i="84" s="1"/>
  <c r="I26" i="72"/>
  <c r="I31" i="23"/>
  <c r="G28" i="58"/>
  <c r="G24" i="75"/>
  <c r="I24" i="75" s="1"/>
  <c r="E25" i="75"/>
  <c r="D25" i="75"/>
  <c r="F25" i="68"/>
  <c r="E26" i="68" s="1"/>
  <c r="G31" i="34"/>
  <c r="I31" i="34" s="1"/>
  <c r="B21" i="96"/>
  <c r="F21" i="96"/>
  <c r="G21" i="96" s="1"/>
  <c r="F21" i="95"/>
  <c r="H21" i="95" s="1"/>
  <c r="B21" i="95"/>
  <c r="B23" i="81"/>
  <c r="F23" i="81"/>
  <c r="G23" i="81" s="1"/>
  <c r="F26" i="61"/>
  <c r="H26" i="61" s="1"/>
  <c r="B26" i="61"/>
  <c r="B24" i="76"/>
  <c r="F24" i="76"/>
  <c r="G24" i="76" s="1"/>
  <c r="B27" i="72"/>
  <c r="F27" i="72"/>
  <c r="H27" i="72" s="1"/>
  <c r="F29" i="39"/>
  <c r="G29" i="39" s="1"/>
  <c r="B29" i="39"/>
  <c r="B32" i="27"/>
  <c r="F32" i="27"/>
  <c r="H32" i="27" s="1"/>
  <c r="B29" i="44"/>
  <c r="F29" i="44"/>
  <c r="H29" i="44" s="1"/>
  <c r="B23" i="85"/>
  <c r="F23" i="85"/>
  <c r="G23" i="85" s="1"/>
  <c r="B30" i="22"/>
  <c r="F30" i="22"/>
  <c r="H30" i="22" s="1"/>
  <c r="I21" i="33"/>
  <c r="F24" i="79"/>
  <c r="G24" i="79" s="1"/>
  <c r="B24" i="79"/>
  <c r="E34" i="28"/>
  <c r="D34" i="28"/>
  <c r="B30" i="17"/>
  <c r="F30" i="17"/>
  <c r="G30" i="17" s="1"/>
  <c r="C39" i="17"/>
  <c r="B22" i="33"/>
  <c r="D22" i="26"/>
  <c r="E22" i="26" s="1"/>
  <c r="D33" i="69"/>
  <c r="E33" i="69"/>
  <c r="E29" i="45"/>
  <c r="D29" i="45"/>
  <c r="E32" i="71"/>
  <c r="D32" i="71"/>
  <c r="F24" i="77"/>
  <c r="H24" i="77" s="1"/>
  <c r="B24" i="77"/>
  <c r="E27" i="64"/>
  <c r="D27" i="64"/>
  <c r="H26" i="56"/>
  <c r="D27" i="56"/>
  <c r="E27" i="56"/>
  <c r="G21" i="13"/>
  <c r="F22" i="92"/>
  <c r="G22" i="92" s="1"/>
  <c r="B22" i="92"/>
  <c r="B21" i="26"/>
  <c r="G21" i="26"/>
  <c r="H21" i="26"/>
  <c r="B29" i="73"/>
  <c r="F29" i="73"/>
  <c r="H29" i="73" s="1"/>
  <c r="H32" i="69"/>
  <c r="I32" i="69" s="1"/>
  <c r="B32" i="29"/>
  <c r="F32" i="29"/>
  <c r="H32" i="29" s="1"/>
  <c r="F27" i="57"/>
  <c r="B27" i="57"/>
  <c r="H33" i="28"/>
  <c r="H23" i="88"/>
  <c r="I23" i="88" s="1"/>
  <c r="E24" i="88"/>
  <c r="D24" i="88"/>
  <c r="B30" i="21"/>
  <c r="F30" i="21"/>
  <c r="G30" i="21" s="1"/>
  <c r="B31" i="32"/>
  <c r="F31" i="32"/>
  <c r="B24" i="78"/>
  <c r="F24" i="78"/>
  <c r="H24" i="78" s="1"/>
  <c r="B29" i="43"/>
  <c r="F29" i="43"/>
  <c r="G29" i="43" s="1"/>
  <c r="D33" i="31"/>
  <c r="E33" i="31"/>
  <c r="B26" i="63"/>
  <c r="F26" i="63"/>
  <c r="F30" i="3"/>
  <c r="H30" i="3" s="1"/>
  <c r="B30" i="3"/>
  <c r="D23" i="83"/>
  <c r="E23" i="83"/>
  <c r="E32" i="34"/>
  <c r="D32" i="34"/>
  <c r="B30" i="19"/>
  <c r="F30" i="19"/>
  <c r="G26" i="64"/>
  <c r="F27" i="54"/>
  <c r="G27" i="54" s="1"/>
  <c r="B27" i="54"/>
  <c r="B32" i="70"/>
  <c r="F32" i="70"/>
  <c r="H32" i="70" s="1"/>
  <c r="B22" i="89"/>
  <c r="F22" i="89"/>
  <c r="H22" i="89" s="1"/>
  <c r="D32" i="30"/>
  <c r="E32" i="30"/>
  <c r="I26" i="35"/>
  <c r="I28" i="73"/>
  <c r="B25" i="68"/>
  <c r="H26" i="64"/>
  <c r="G33" i="28"/>
  <c r="G26" i="56"/>
  <c r="H28" i="74"/>
  <c r="I28" i="74" s="1"/>
  <c r="E29" i="74"/>
  <c r="D29" i="74"/>
  <c r="H28" i="45"/>
  <c r="I28" i="45" s="1"/>
  <c r="E22" i="33"/>
  <c r="F22" i="33" s="1"/>
  <c r="I28" i="43"/>
  <c r="H25" i="60"/>
  <c r="I25" i="60" s="1"/>
  <c r="D26" i="60"/>
  <c r="E26" i="60"/>
  <c r="H31" i="71"/>
  <c r="I31" i="71" s="1"/>
  <c r="G32" i="31"/>
  <c r="I32" i="31" s="1"/>
  <c r="F30" i="41"/>
  <c r="G30" i="41" s="1"/>
  <c r="B30" i="41"/>
  <c r="H31" i="30"/>
  <c r="I31" i="30" s="1"/>
  <c r="D102" i="94"/>
  <c r="B102" i="94" s="1"/>
  <c r="E102" i="94"/>
  <c r="F109" i="73"/>
  <c r="G109" i="73" s="1"/>
  <c r="B110" i="22"/>
  <c r="J101" i="89"/>
  <c r="J102" i="81"/>
  <c r="H101" i="93"/>
  <c r="M88" i="93" s="1"/>
  <c r="M89" i="93" s="1"/>
  <c r="I101" i="93"/>
  <c r="N88" i="93" s="1"/>
  <c r="E102" i="93"/>
  <c r="F102" i="93" s="1"/>
  <c r="G102" i="93" s="1"/>
  <c r="B102" i="93"/>
  <c r="F106" i="62"/>
  <c r="D107" i="62" s="1"/>
  <c r="D23" i="87"/>
  <c r="E23" i="87"/>
  <c r="D30" i="20"/>
  <c r="E30" i="20"/>
  <c r="D26" i="62"/>
  <c r="E26" i="62"/>
  <c r="H22" i="87"/>
  <c r="F26" i="59"/>
  <c r="G26" i="59" s="1"/>
  <c r="B26" i="59"/>
  <c r="B31" i="18"/>
  <c r="F31" i="18"/>
  <c r="G31" i="18" s="1"/>
  <c r="E28" i="35"/>
  <c r="F28" i="35" s="1"/>
  <c r="B28" i="35"/>
  <c r="G27" i="35"/>
  <c r="H27" i="35"/>
  <c r="G22" i="87"/>
  <c r="H29" i="20"/>
  <c r="G25" i="62"/>
  <c r="I25" i="62" s="1"/>
  <c r="D22" i="13"/>
  <c r="E22" i="13" s="1"/>
  <c r="B108" i="74"/>
  <c r="B102" i="92"/>
  <c r="F102" i="92"/>
  <c r="F105" i="68"/>
  <c r="B105" i="68"/>
  <c r="G102" i="91"/>
  <c r="D103" i="91"/>
  <c r="E103" i="91"/>
  <c r="B109" i="43"/>
  <c r="F109" i="43"/>
  <c r="J104" i="34"/>
  <c r="N104" i="34"/>
  <c r="O104" i="34" s="1"/>
  <c r="P104" i="34" s="1"/>
  <c r="B105" i="66"/>
  <c r="F105" i="66"/>
  <c r="B106" i="61"/>
  <c r="F106" i="61"/>
  <c r="B111" i="32"/>
  <c r="F111" i="32"/>
  <c r="F112" i="70"/>
  <c r="B112" i="70"/>
  <c r="B110" i="19"/>
  <c r="F110" i="19"/>
  <c r="F102" i="88"/>
  <c r="B102" i="88"/>
  <c r="G102" i="89"/>
  <c r="E103" i="89"/>
  <c r="D103" i="89"/>
  <c r="D109" i="45"/>
  <c r="E109" i="45"/>
  <c r="G108" i="45"/>
  <c r="F106" i="64"/>
  <c r="B106" i="64"/>
  <c r="B112" i="30"/>
  <c r="F112" i="30"/>
  <c r="F102" i="90"/>
  <c r="B102" i="90"/>
  <c r="F104" i="79"/>
  <c r="B104" i="79"/>
  <c r="F109" i="39"/>
  <c r="B109" i="39"/>
  <c r="F110" i="20"/>
  <c r="B110" i="20"/>
  <c r="B104" i="78"/>
  <c r="F104" i="78"/>
  <c r="F111" i="31"/>
  <c r="B111" i="31"/>
  <c r="B102" i="84"/>
  <c r="F102" i="84"/>
  <c r="B106" i="60"/>
  <c r="F106" i="60"/>
  <c r="B112" i="69"/>
  <c r="F112" i="69"/>
  <c r="B112" i="29"/>
  <c r="F112" i="29"/>
  <c r="B107" i="46"/>
  <c r="F107" i="46"/>
  <c r="B102" i="86"/>
  <c r="F107" i="58"/>
  <c r="B107" i="58"/>
  <c r="F106" i="63"/>
  <c r="B106" i="63"/>
  <c r="F107" i="53"/>
  <c r="B107" i="53"/>
  <c r="B110" i="34"/>
  <c r="F112" i="27"/>
  <c r="B112" i="27"/>
  <c r="D111" i="22"/>
  <c r="G110" i="22"/>
  <c r="E111" i="22"/>
  <c r="J104" i="65"/>
  <c r="B107" i="72"/>
  <c r="F107" i="72"/>
  <c r="F103" i="85"/>
  <c r="B103" i="85"/>
  <c r="F59" i="2"/>
  <c r="F79" i="2" s="1"/>
  <c r="F80" i="2" s="1"/>
  <c r="F82" i="2" s="1"/>
  <c r="F76" i="2"/>
  <c r="F77" i="2" s="1"/>
  <c r="B107" i="59"/>
  <c r="F107" i="59"/>
  <c r="I106" i="59"/>
  <c r="N88" i="59" s="1"/>
  <c r="H106" i="59"/>
  <c r="M88" i="59" s="1"/>
  <c r="M89" i="59" s="1"/>
  <c r="H110" i="18"/>
  <c r="M88" i="18" s="1"/>
  <c r="M89" i="18" s="1"/>
  <c r="I110" i="18"/>
  <c r="N88" i="18" s="1"/>
  <c r="I107" i="57"/>
  <c r="N88" i="57" s="1"/>
  <c r="N89" i="57" s="1"/>
  <c r="H107" i="57"/>
  <c r="M88" i="57" s="1"/>
  <c r="M89" i="57" s="1"/>
  <c r="I111" i="71"/>
  <c r="N88" i="71" s="1"/>
  <c r="B112" i="71"/>
  <c r="B108" i="57"/>
  <c r="F108" i="57"/>
  <c r="D102" i="33"/>
  <c r="E102" i="33" s="1"/>
  <c r="G101" i="33"/>
  <c r="E104" i="83"/>
  <c r="D104" i="83"/>
  <c r="G103" i="83"/>
  <c r="B102" i="87"/>
  <c r="F102" i="87"/>
  <c r="D108" i="55"/>
  <c r="E108" i="55"/>
  <c r="G107" i="55"/>
  <c r="B105" i="67"/>
  <c r="F105" i="67"/>
  <c r="I109" i="35"/>
  <c r="H109" i="35"/>
  <c r="F103" i="82"/>
  <c r="B103" i="82"/>
  <c r="E105" i="76"/>
  <c r="D105" i="76"/>
  <c r="G104" i="76"/>
  <c r="J109" i="17"/>
  <c r="G104" i="75"/>
  <c r="D105" i="75"/>
  <c r="E105" i="75"/>
  <c r="J110" i="24"/>
  <c r="E111" i="21"/>
  <c r="D111" i="21"/>
  <c r="G110" i="21"/>
  <c r="J106" i="54"/>
  <c r="J102" i="80"/>
  <c r="I101" i="96"/>
  <c r="N88" i="96" s="1"/>
  <c r="N89" i="96" s="1"/>
  <c r="H101" i="96"/>
  <c r="M88" i="96" s="1"/>
  <c r="M89" i="96" s="1"/>
  <c r="G103" i="80"/>
  <c r="E104" i="80"/>
  <c r="D104" i="80"/>
  <c r="D105" i="77"/>
  <c r="E105" i="77"/>
  <c r="G104" i="77"/>
  <c r="J103" i="75"/>
  <c r="G110" i="17"/>
  <c r="D111" i="17"/>
  <c r="E111" i="17"/>
  <c r="B109" i="44"/>
  <c r="F109" i="44"/>
  <c r="J106" i="55"/>
  <c r="J100" i="33"/>
  <c r="E108" i="54"/>
  <c r="G107" i="54"/>
  <c r="D108" i="54"/>
  <c r="J103" i="77"/>
  <c r="B113" i="28"/>
  <c r="F113" i="28"/>
  <c r="J103" i="76"/>
  <c r="E110" i="42"/>
  <c r="G109" i="42"/>
  <c r="D110" i="42"/>
  <c r="G101" i="13"/>
  <c r="D102" i="13"/>
  <c r="E102" i="13" s="1"/>
  <c r="J109" i="21"/>
  <c r="J108" i="42"/>
  <c r="F110" i="3"/>
  <c r="B110" i="3"/>
  <c r="J100" i="13"/>
  <c r="J102" i="83"/>
  <c r="G111" i="24"/>
  <c r="D112" i="24"/>
  <c r="E112" i="24"/>
  <c r="F102" i="96"/>
  <c r="B102" i="96"/>
  <c r="I85" i="36"/>
  <c r="I51" i="36"/>
  <c r="I48" i="36"/>
  <c r="I87" i="36"/>
  <c r="I88" i="36"/>
  <c r="I20" i="36"/>
  <c r="I49" i="36"/>
  <c r="I63" i="36"/>
  <c r="G102" i="25" l="1"/>
  <c r="H101" i="97"/>
  <c r="D23" i="97"/>
  <c r="F23" i="97" s="1"/>
  <c r="H21" i="25"/>
  <c r="D22" i="25"/>
  <c r="G21" i="25"/>
  <c r="B102" i="25"/>
  <c r="G22" i="97"/>
  <c r="I22" i="97" s="1"/>
  <c r="O88" i="18"/>
  <c r="O89" i="18" s="1"/>
  <c r="B111" i="35"/>
  <c r="H22" i="98"/>
  <c r="I22" i="98" s="1"/>
  <c r="D23" i="99"/>
  <c r="E23" i="99"/>
  <c r="H22" i="99"/>
  <c r="D23" i="98"/>
  <c r="E23" i="98"/>
  <c r="G22" i="99"/>
  <c r="I21" i="13"/>
  <c r="N5" i="13"/>
  <c r="N7" i="13" s="1"/>
  <c r="G108" i="56"/>
  <c r="H108" i="56" s="1"/>
  <c r="E111" i="35"/>
  <c r="F111" i="35" s="1"/>
  <c r="G111" i="35" s="1"/>
  <c r="E109" i="56"/>
  <c r="F109" i="56" s="1"/>
  <c r="O88" i="96"/>
  <c r="O89" i="96" s="1"/>
  <c r="O88" i="93"/>
  <c r="O89" i="93" s="1"/>
  <c r="N89" i="95"/>
  <c r="O88" i="95"/>
  <c r="O89" i="95" s="1"/>
  <c r="O88" i="59"/>
  <c r="O89" i="59" s="1"/>
  <c r="N89" i="59"/>
  <c r="H111" i="23"/>
  <c r="M88" i="23" s="1"/>
  <c r="M89" i="23" s="1"/>
  <c r="N89" i="93"/>
  <c r="O88" i="57"/>
  <c r="O89" i="57" s="1"/>
  <c r="O88" i="56"/>
  <c r="O89" i="56" s="1"/>
  <c r="J107" i="56"/>
  <c r="N89" i="23"/>
  <c r="N89" i="18"/>
  <c r="D26" i="68"/>
  <c r="H25" i="68"/>
  <c r="I25" i="68" s="1"/>
  <c r="G25" i="68"/>
  <c r="F102" i="99"/>
  <c r="B102" i="99"/>
  <c r="H101" i="99"/>
  <c r="I101" i="99"/>
  <c r="F112" i="23"/>
  <c r="D113" i="23" s="1"/>
  <c r="G105" i="65"/>
  <c r="H105" i="65" s="1"/>
  <c r="M88" i="65" s="1"/>
  <c r="M89" i="65" s="1"/>
  <c r="E106" i="65"/>
  <c r="F106" i="65" s="1"/>
  <c r="D107" i="65" s="1"/>
  <c r="J101" i="91"/>
  <c r="D104" i="81"/>
  <c r="E104" i="81"/>
  <c r="J107" i="45"/>
  <c r="F111" i="18"/>
  <c r="D112" i="18" s="1"/>
  <c r="J108" i="41"/>
  <c r="D110" i="73"/>
  <c r="B110" i="73" s="1"/>
  <c r="J108" i="73"/>
  <c r="H27" i="46"/>
  <c r="I27" i="46" s="1"/>
  <c r="H102" i="26"/>
  <c r="I102" i="26"/>
  <c r="E110" i="73"/>
  <c r="J101" i="95"/>
  <c r="J101" i="98"/>
  <c r="J101" i="97"/>
  <c r="D103" i="26"/>
  <c r="D103" i="98"/>
  <c r="G102" i="98"/>
  <c r="E103" i="98"/>
  <c r="D103" i="97"/>
  <c r="E103" i="97" s="1"/>
  <c r="G102" i="97"/>
  <c r="G102" i="95"/>
  <c r="D103" i="95"/>
  <c r="O88" i="71"/>
  <c r="O89" i="71" s="1"/>
  <c r="N89" i="71"/>
  <c r="G109" i="41"/>
  <c r="I109" i="41" s="1"/>
  <c r="N88" i="41" s="1"/>
  <c r="N89" i="41" s="1"/>
  <c r="J109" i="22"/>
  <c r="D110" i="41"/>
  <c r="F110" i="41" s="1"/>
  <c r="F102" i="94"/>
  <c r="G102" i="94" s="1"/>
  <c r="I102" i="94" s="1"/>
  <c r="N88" i="94" s="1"/>
  <c r="H26" i="67"/>
  <c r="I26" i="67" s="1"/>
  <c r="E27" i="67"/>
  <c r="D27" i="67"/>
  <c r="E28" i="46"/>
  <c r="D28" i="46"/>
  <c r="G32" i="29"/>
  <c r="I32" i="29" s="1"/>
  <c r="G31" i="24"/>
  <c r="I31" i="24" s="1"/>
  <c r="E32" i="24"/>
  <c r="D32" i="24"/>
  <c r="B24" i="80"/>
  <c r="F24" i="80"/>
  <c r="I23" i="86"/>
  <c r="B25" i="82"/>
  <c r="F25" i="82"/>
  <c r="G25" i="82" s="1"/>
  <c r="G21" i="93"/>
  <c r="I21" i="93" s="1"/>
  <c r="E22" i="93"/>
  <c r="D22" i="93"/>
  <c r="D23" i="94"/>
  <c r="E23" i="94"/>
  <c r="F24" i="86"/>
  <c r="B24" i="86"/>
  <c r="H22" i="94"/>
  <c r="I22" i="94" s="1"/>
  <c r="D33" i="23"/>
  <c r="E33" i="23"/>
  <c r="F25" i="75"/>
  <c r="H25" i="75" s="1"/>
  <c r="B25" i="75"/>
  <c r="G29" i="42"/>
  <c r="D30" i="42"/>
  <c r="E30" i="42"/>
  <c r="H30" i="17"/>
  <c r="I30" i="17" s="1"/>
  <c r="H24" i="79"/>
  <c r="I24" i="79" s="1"/>
  <c r="H26" i="66"/>
  <c r="I26" i="66" s="1"/>
  <c r="E27" i="66"/>
  <c r="D27" i="66"/>
  <c r="F26" i="65"/>
  <c r="G26" i="65" s="1"/>
  <c r="B26" i="65"/>
  <c r="F29" i="58"/>
  <c r="G29" i="58" s="1"/>
  <c r="B29" i="58"/>
  <c r="D28" i="53"/>
  <c r="E28" i="53"/>
  <c r="G23" i="91"/>
  <c r="I23" i="91" s="1"/>
  <c r="D24" i="91"/>
  <c r="E24" i="91"/>
  <c r="H30" i="41"/>
  <c r="I30" i="41" s="1"/>
  <c r="H23" i="84"/>
  <c r="I23" i="84" s="1"/>
  <c r="D24" i="84"/>
  <c r="E24" i="84"/>
  <c r="H29" i="42"/>
  <c r="H27" i="53"/>
  <c r="I27" i="53" s="1"/>
  <c r="H24" i="90"/>
  <c r="I24" i="90" s="1"/>
  <c r="D25" i="90"/>
  <c r="E25" i="90"/>
  <c r="I28" i="58"/>
  <c r="B29" i="55"/>
  <c r="F29" i="55"/>
  <c r="H29" i="55" s="1"/>
  <c r="G32" i="23"/>
  <c r="I32" i="23" s="1"/>
  <c r="G29" i="73"/>
  <c r="I29" i="73" s="1"/>
  <c r="D28" i="72"/>
  <c r="E28" i="72"/>
  <c r="H23" i="81"/>
  <c r="I23" i="81" s="1"/>
  <c r="E24" i="81"/>
  <c r="D24" i="81"/>
  <c r="G30" i="22"/>
  <c r="I30" i="22" s="1"/>
  <c r="D31" i="22"/>
  <c r="E31" i="22"/>
  <c r="G29" i="44"/>
  <c r="I29" i="44" s="1"/>
  <c r="G32" i="27"/>
  <c r="I32" i="27" s="1"/>
  <c r="D33" i="27"/>
  <c r="E33" i="27"/>
  <c r="H29" i="39"/>
  <c r="I29" i="39" s="1"/>
  <c r="D30" i="39"/>
  <c r="E30" i="39"/>
  <c r="D22" i="96"/>
  <c r="E22" i="96"/>
  <c r="G27" i="72"/>
  <c r="I27" i="72" s="1"/>
  <c r="H24" i="76"/>
  <c r="I24" i="76" s="1"/>
  <c r="D25" i="76"/>
  <c r="E25" i="76"/>
  <c r="H21" i="96"/>
  <c r="I21" i="96" s="1"/>
  <c r="H23" i="85"/>
  <c r="I23" i="85" s="1"/>
  <c r="D24" i="85"/>
  <c r="E24" i="85"/>
  <c r="E30" i="44"/>
  <c r="D30" i="44"/>
  <c r="G26" i="61"/>
  <c r="I26" i="61" s="1"/>
  <c r="D27" i="61"/>
  <c r="E27" i="61"/>
  <c r="G21" i="95"/>
  <c r="I21" i="95" s="1"/>
  <c r="E22" i="95"/>
  <c r="D22" i="95"/>
  <c r="I26" i="64"/>
  <c r="F32" i="30"/>
  <c r="B32" i="30"/>
  <c r="E31" i="19"/>
  <c r="D31" i="19"/>
  <c r="G26" i="63"/>
  <c r="E27" i="63"/>
  <c r="D27" i="63"/>
  <c r="E32" i="32"/>
  <c r="D32" i="32"/>
  <c r="D23" i="33"/>
  <c r="E23" i="89"/>
  <c r="D23" i="89"/>
  <c r="D33" i="70"/>
  <c r="E33" i="70"/>
  <c r="B26" i="68"/>
  <c r="F26" i="68"/>
  <c r="E30" i="43"/>
  <c r="D30" i="43"/>
  <c r="G24" i="78"/>
  <c r="I24" i="78" s="1"/>
  <c r="D25" i="78"/>
  <c r="E25" i="78"/>
  <c r="I33" i="28"/>
  <c r="E28" i="57"/>
  <c r="D28" i="57"/>
  <c r="B22" i="26"/>
  <c r="F22" i="26"/>
  <c r="G22" i="33"/>
  <c r="B34" i="28"/>
  <c r="F34" i="28"/>
  <c r="H34" i="28" s="1"/>
  <c r="F32" i="34"/>
  <c r="B32" i="34"/>
  <c r="E23" i="92"/>
  <c r="D23" i="92"/>
  <c r="I27" i="35"/>
  <c r="B26" i="60"/>
  <c r="F26" i="60"/>
  <c r="H26" i="60" s="1"/>
  <c r="G22" i="89"/>
  <c r="I22" i="89" s="1"/>
  <c r="H30" i="19"/>
  <c r="G30" i="3"/>
  <c r="I30" i="3" s="1"/>
  <c r="D31" i="3"/>
  <c r="E31" i="3"/>
  <c r="H31" i="32"/>
  <c r="F24" i="88"/>
  <c r="H24" i="88" s="1"/>
  <c r="B24" i="88"/>
  <c r="H27" i="57"/>
  <c r="E33" i="29"/>
  <c r="D33" i="29"/>
  <c r="I21" i="26"/>
  <c r="H22" i="92"/>
  <c r="I22" i="92" s="1"/>
  <c r="B27" i="56"/>
  <c r="F27" i="56"/>
  <c r="H22" i="33"/>
  <c r="D31" i="17"/>
  <c r="E31" i="17"/>
  <c r="D25" i="79"/>
  <c r="E25" i="79"/>
  <c r="F27" i="64"/>
  <c r="B27" i="64"/>
  <c r="G24" i="77"/>
  <c r="I24" i="77" s="1"/>
  <c r="D25" i="77"/>
  <c r="E25" i="77"/>
  <c r="F33" i="69"/>
  <c r="G33" i="69" s="1"/>
  <c r="B33" i="69"/>
  <c r="D31" i="41"/>
  <c r="E31" i="41"/>
  <c r="F29" i="74"/>
  <c r="B29" i="74"/>
  <c r="G32" i="70"/>
  <c r="I32" i="70" s="1"/>
  <c r="H27" i="54"/>
  <c r="I27" i="54" s="1"/>
  <c r="E28" i="54"/>
  <c r="D28" i="54"/>
  <c r="G30" i="19"/>
  <c r="F23" i="83"/>
  <c r="G23" i="83" s="1"/>
  <c r="B23" i="83"/>
  <c r="H26" i="63"/>
  <c r="F33" i="31"/>
  <c r="G33" i="31" s="1"/>
  <c r="B33" i="31"/>
  <c r="H29" i="43"/>
  <c r="I29" i="43" s="1"/>
  <c r="G31" i="32"/>
  <c r="H30" i="21"/>
  <c r="I30" i="21" s="1"/>
  <c r="E31" i="21"/>
  <c r="D31" i="21"/>
  <c r="G27" i="57"/>
  <c r="E30" i="73"/>
  <c r="D30" i="73"/>
  <c r="I26" i="56"/>
  <c r="F32" i="71"/>
  <c r="B32" i="71"/>
  <c r="B29" i="45"/>
  <c r="F29" i="45"/>
  <c r="G29" i="45" s="1"/>
  <c r="J101" i="93"/>
  <c r="E107" i="62"/>
  <c r="F107" i="62" s="1"/>
  <c r="D103" i="93"/>
  <c r="E103" i="93" s="1"/>
  <c r="J106" i="53"/>
  <c r="J103" i="78"/>
  <c r="J109" i="20"/>
  <c r="J103" i="79"/>
  <c r="J109" i="19"/>
  <c r="J110" i="31"/>
  <c r="J107" i="57"/>
  <c r="J106" i="72"/>
  <c r="J111" i="29"/>
  <c r="J101" i="84"/>
  <c r="J105" i="61"/>
  <c r="J106" i="46"/>
  <c r="J111" i="27"/>
  <c r="J105" i="62"/>
  <c r="G106" i="62"/>
  <c r="I106" i="62" s="1"/>
  <c r="N88" i="62" s="1"/>
  <c r="N89" i="62" s="1"/>
  <c r="J104" i="66"/>
  <c r="B23" i="87"/>
  <c r="F23" i="87"/>
  <c r="H23" i="87" s="1"/>
  <c r="J105" i="64"/>
  <c r="D27" i="59"/>
  <c r="E27" i="59"/>
  <c r="J111" i="69"/>
  <c r="J105" i="60"/>
  <c r="J101" i="88"/>
  <c r="J110" i="32"/>
  <c r="H28" i="35"/>
  <c r="E29" i="35"/>
  <c r="F29" i="35" s="1"/>
  <c r="G28" i="35"/>
  <c r="B29" i="35"/>
  <c r="E32" i="18"/>
  <c r="D32" i="18"/>
  <c r="J101" i="90"/>
  <c r="J107" i="74"/>
  <c r="B22" i="13"/>
  <c r="F22" i="13"/>
  <c r="H31" i="18"/>
  <c r="I22" i="87"/>
  <c r="F26" i="62"/>
  <c r="B26" i="62"/>
  <c r="J108" i="39"/>
  <c r="J111" i="30"/>
  <c r="I29" i="20"/>
  <c r="H26" i="59"/>
  <c r="F30" i="20"/>
  <c r="B30" i="20"/>
  <c r="D103" i="86"/>
  <c r="E103" i="86"/>
  <c r="E108" i="46"/>
  <c r="D108" i="46"/>
  <c r="G107" i="46"/>
  <c r="D113" i="29"/>
  <c r="E113" i="29"/>
  <c r="G112" i="29"/>
  <c r="D107" i="60"/>
  <c r="E107" i="60"/>
  <c r="G106" i="60"/>
  <c r="H109" i="73"/>
  <c r="M88" i="73" s="1"/>
  <c r="M89" i="73" s="1"/>
  <c r="I109" i="73"/>
  <c r="N88" i="73" s="1"/>
  <c r="N89" i="73" s="1"/>
  <c r="H102" i="89"/>
  <c r="M88" i="89" s="1"/>
  <c r="M89" i="89" s="1"/>
  <c r="I102" i="89"/>
  <c r="N88" i="89" s="1"/>
  <c r="E103" i="88"/>
  <c r="G102" i="88"/>
  <c r="D103" i="88"/>
  <c r="E110" i="43"/>
  <c r="D110" i="43"/>
  <c r="G109" i="43"/>
  <c r="B107" i="62"/>
  <c r="D103" i="92"/>
  <c r="E103" i="92"/>
  <c r="G102" i="92"/>
  <c r="E109" i="74"/>
  <c r="D109" i="74"/>
  <c r="E104" i="85"/>
  <c r="D104" i="85"/>
  <c r="G103" i="85"/>
  <c r="J104" i="68"/>
  <c r="E107" i="63"/>
  <c r="D107" i="63"/>
  <c r="G106" i="63"/>
  <c r="I103" i="81"/>
  <c r="N88" i="81" s="1"/>
  <c r="H103" i="81"/>
  <c r="M88" i="81" s="1"/>
  <c r="M89" i="81" s="1"/>
  <c r="E112" i="31"/>
  <c r="D112" i="31"/>
  <c r="G111" i="31"/>
  <c r="I108" i="45"/>
  <c r="N88" i="45" s="1"/>
  <c r="N89" i="45" s="1"/>
  <c r="H108" i="45"/>
  <c r="M88" i="45" s="1"/>
  <c r="M89" i="45" s="1"/>
  <c r="J102" i="85"/>
  <c r="E106" i="68"/>
  <c r="G105" i="68"/>
  <c r="D106" i="68"/>
  <c r="J111" i="70"/>
  <c r="E108" i="72"/>
  <c r="D108" i="72"/>
  <c r="G107" i="72"/>
  <c r="H110" i="22"/>
  <c r="M88" i="22" s="1"/>
  <c r="M89" i="22" s="1"/>
  <c r="I110" i="22"/>
  <c r="N88" i="22" s="1"/>
  <c r="J101" i="92"/>
  <c r="D108" i="53"/>
  <c r="E108" i="53"/>
  <c r="G107" i="53"/>
  <c r="G112" i="69"/>
  <c r="D113" i="69"/>
  <c r="E113" i="69"/>
  <c r="J109" i="34"/>
  <c r="G102" i="84"/>
  <c r="E103" i="84"/>
  <c r="D103" i="84"/>
  <c r="D111" i="20"/>
  <c r="G110" i="20"/>
  <c r="E111" i="20"/>
  <c r="D110" i="39"/>
  <c r="G109" i="39"/>
  <c r="E110" i="39"/>
  <c r="G104" i="79"/>
  <c r="E105" i="79"/>
  <c r="D105" i="79"/>
  <c r="G102" i="90"/>
  <c r="E103" i="90"/>
  <c r="D103" i="90"/>
  <c r="E107" i="64"/>
  <c r="G106" i="64"/>
  <c r="D107" i="64"/>
  <c r="F103" i="89"/>
  <c r="B103" i="89"/>
  <c r="E111" i="19"/>
  <c r="G110" i="19"/>
  <c r="D111" i="19"/>
  <c r="J105" i="63"/>
  <c r="D112" i="32"/>
  <c r="E112" i="32"/>
  <c r="G111" i="32"/>
  <c r="D107" i="61"/>
  <c r="G106" i="61"/>
  <c r="E107" i="61"/>
  <c r="G105" i="66"/>
  <c r="E106" i="66"/>
  <c r="D106" i="66"/>
  <c r="F103" i="91"/>
  <c r="B103" i="91"/>
  <c r="B111" i="22"/>
  <c r="F111" i="22"/>
  <c r="G112" i="27"/>
  <c r="D113" i="27"/>
  <c r="E113" i="27"/>
  <c r="D111" i="34"/>
  <c r="E111" i="34"/>
  <c r="E108" i="58"/>
  <c r="D108" i="58"/>
  <c r="G107" i="58"/>
  <c r="G104" i="78"/>
  <c r="D105" i="78"/>
  <c r="E105" i="78"/>
  <c r="J106" i="58"/>
  <c r="G112" i="30"/>
  <c r="E113" i="30"/>
  <c r="D113" i="30"/>
  <c r="B109" i="45"/>
  <c r="F109" i="45"/>
  <c r="J108" i="43"/>
  <c r="E113" i="70"/>
  <c r="D113" i="70"/>
  <c r="G112" i="70"/>
  <c r="I102" i="91"/>
  <c r="N88" i="91" s="1"/>
  <c r="H102" i="91"/>
  <c r="M88" i="91" s="1"/>
  <c r="M89" i="91" s="1"/>
  <c r="J101" i="86"/>
  <c r="J111" i="71"/>
  <c r="J110" i="18"/>
  <c r="J106" i="59"/>
  <c r="G107" i="59"/>
  <c r="D108" i="59"/>
  <c r="E108" i="59"/>
  <c r="B109" i="56"/>
  <c r="I108" i="56"/>
  <c r="E109" i="57"/>
  <c r="G108" i="57"/>
  <c r="D109" i="57"/>
  <c r="D113" i="71"/>
  <c r="G112" i="71"/>
  <c r="E113" i="71"/>
  <c r="B110" i="42"/>
  <c r="F110" i="42"/>
  <c r="I102" i="93"/>
  <c r="H102" i="93"/>
  <c r="F105" i="77"/>
  <c r="B105" i="77"/>
  <c r="I104" i="76"/>
  <c r="N88" i="76" s="1"/>
  <c r="H104" i="76"/>
  <c r="M88" i="76" s="1"/>
  <c r="M89" i="76" s="1"/>
  <c r="J109" i="35"/>
  <c r="F104" i="83"/>
  <c r="B104" i="83"/>
  <c r="J101" i="87"/>
  <c r="H109" i="42"/>
  <c r="M88" i="42" s="1"/>
  <c r="M89" i="42" s="1"/>
  <c r="I109" i="42"/>
  <c r="N88" i="42" s="1"/>
  <c r="D114" i="28"/>
  <c r="G113" i="28"/>
  <c r="E114" i="28"/>
  <c r="B108" i="54"/>
  <c r="F108" i="54"/>
  <c r="H103" i="80"/>
  <c r="M88" i="80" s="1"/>
  <c r="M89" i="80" s="1"/>
  <c r="I103" i="80"/>
  <c r="N88" i="80" s="1"/>
  <c r="I110" i="21"/>
  <c r="N88" i="21" s="1"/>
  <c r="H110" i="21"/>
  <c r="M88" i="21" s="1"/>
  <c r="M89" i="21" s="1"/>
  <c r="F105" i="76"/>
  <c r="B105" i="76"/>
  <c r="F103" i="25"/>
  <c r="B103" i="25"/>
  <c r="H111" i="24"/>
  <c r="M88" i="24" s="1"/>
  <c r="M89" i="24" s="1"/>
  <c r="I111" i="24"/>
  <c r="N88" i="24" s="1"/>
  <c r="D111" i="3"/>
  <c r="G110" i="3"/>
  <c r="E111" i="3"/>
  <c r="B102" i="13"/>
  <c r="F102" i="13"/>
  <c r="J104" i="67"/>
  <c r="G103" i="82"/>
  <c r="D104" i="82"/>
  <c r="E104" i="82"/>
  <c r="D106" i="67"/>
  <c r="G105" i="67"/>
  <c r="E106" i="67"/>
  <c r="I107" i="55"/>
  <c r="N88" i="55" s="1"/>
  <c r="H107" i="55"/>
  <c r="M88" i="55" s="1"/>
  <c r="M89" i="55" s="1"/>
  <c r="G102" i="96"/>
  <c r="D103" i="96"/>
  <c r="E103" i="96" s="1"/>
  <c r="J112" i="28"/>
  <c r="H101" i="13"/>
  <c r="I101" i="13"/>
  <c r="I107" i="54"/>
  <c r="N88" i="54" s="1"/>
  <c r="H107" i="54"/>
  <c r="M88" i="54" s="1"/>
  <c r="M89" i="54" s="1"/>
  <c r="J102" i="82"/>
  <c r="J109" i="3"/>
  <c r="I104" i="77"/>
  <c r="N88" i="77" s="1"/>
  <c r="H104" i="77"/>
  <c r="M88" i="77" s="1"/>
  <c r="M89" i="77" s="1"/>
  <c r="J101" i="96"/>
  <c r="F111" i="21"/>
  <c r="B111" i="21"/>
  <c r="B112" i="35"/>
  <c r="F108" i="55"/>
  <c r="B108" i="55"/>
  <c r="D103" i="87"/>
  <c r="G102" i="87"/>
  <c r="E103" i="87"/>
  <c r="B102" i="33"/>
  <c r="F102" i="33"/>
  <c r="D110" i="44"/>
  <c r="G109" i="44"/>
  <c r="E110" i="44"/>
  <c r="I110" i="17"/>
  <c r="N88" i="17" s="1"/>
  <c r="H110" i="17"/>
  <c r="M88" i="17" s="1"/>
  <c r="H104" i="75"/>
  <c r="M88" i="75" s="1"/>
  <c r="M89" i="75" s="1"/>
  <c r="I104" i="75"/>
  <c r="N88" i="75" s="1"/>
  <c r="I101" i="33"/>
  <c r="H101" i="33"/>
  <c r="B112" i="24"/>
  <c r="F112" i="24"/>
  <c r="F111" i="17"/>
  <c r="B111" i="17"/>
  <c r="B104" i="80"/>
  <c r="F104" i="80"/>
  <c r="I110" i="35"/>
  <c r="H110" i="35"/>
  <c r="B105" i="75"/>
  <c r="F105" i="75"/>
  <c r="J108" i="44"/>
  <c r="I102" i="25"/>
  <c r="H102" i="25"/>
  <c r="H103" i="83"/>
  <c r="M88" i="83" s="1"/>
  <c r="M89" i="83" s="1"/>
  <c r="I103" i="83"/>
  <c r="N88" i="83" s="1"/>
  <c r="I72" i="36"/>
  <c r="I43" i="36"/>
  <c r="I40" i="36"/>
  <c r="I47" i="36"/>
  <c r="I73" i="36"/>
  <c r="I57" i="36"/>
  <c r="I75" i="36"/>
  <c r="I67" i="36"/>
  <c r="I25" i="36"/>
  <c r="I26" i="36"/>
  <c r="I68" i="36"/>
  <c r="I83" i="36"/>
  <c r="I24" i="36"/>
  <c r="I69" i="36"/>
  <c r="I46" i="36"/>
  <c r="I81" i="36"/>
  <c r="I23" i="36"/>
  <c r="I65" i="36"/>
  <c r="B23" i="97" l="1"/>
  <c r="I21" i="25"/>
  <c r="E22" i="25"/>
  <c r="F22" i="25" s="1"/>
  <c r="B22" i="25"/>
  <c r="E112" i="35"/>
  <c r="F112" i="35" s="1"/>
  <c r="F23" i="99"/>
  <c r="H23" i="99" s="1"/>
  <c r="B23" i="99"/>
  <c r="D24" i="97"/>
  <c r="E24" i="97"/>
  <c r="I22" i="99"/>
  <c r="H23" i="97"/>
  <c r="G23" i="97"/>
  <c r="F23" i="98"/>
  <c r="B23" i="98"/>
  <c r="I105" i="65"/>
  <c r="J105" i="65" s="1"/>
  <c r="J101" i="99"/>
  <c r="F110" i="73"/>
  <c r="D111" i="73" s="1"/>
  <c r="N89" i="83"/>
  <c r="O88" i="83"/>
  <c r="O89" i="83" s="1"/>
  <c r="N89" i="76"/>
  <c r="O88" i="76"/>
  <c r="O89" i="76" s="1"/>
  <c r="J111" i="23"/>
  <c r="N89" i="81"/>
  <c r="O88" i="81"/>
  <c r="O89" i="81" s="1"/>
  <c r="N89" i="89"/>
  <c r="O88" i="89"/>
  <c r="O89" i="89" s="1"/>
  <c r="O88" i="91"/>
  <c r="O89" i="91" s="1"/>
  <c r="O88" i="77"/>
  <c r="O89" i="77" s="1"/>
  <c r="N89" i="77"/>
  <c r="N89" i="80"/>
  <c r="O88" i="80"/>
  <c r="O89" i="80" s="1"/>
  <c r="E113" i="23"/>
  <c r="F113" i="23" s="1"/>
  <c r="E112" i="18"/>
  <c r="F112" i="18" s="1"/>
  <c r="O88" i="23"/>
  <c r="O89" i="23" s="1"/>
  <c r="N89" i="75"/>
  <c r="O88" i="75"/>
  <c r="O89" i="75" s="1"/>
  <c r="G112" i="23"/>
  <c r="I112" i="23" s="1"/>
  <c r="N89" i="94"/>
  <c r="O88" i="73"/>
  <c r="O89" i="73" s="1"/>
  <c r="N89" i="91"/>
  <c r="N89" i="55"/>
  <c r="O88" i="55"/>
  <c r="O89" i="55" s="1"/>
  <c r="O88" i="54"/>
  <c r="O89" i="54" s="1"/>
  <c r="N89" i="54"/>
  <c r="O88" i="45"/>
  <c r="O89" i="45" s="1"/>
  <c r="O88" i="42"/>
  <c r="O89" i="42" s="1"/>
  <c r="N89" i="42"/>
  <c r="N89" i="24"/>
  <c r="O88" i="24"/>
  <c r="O89" i="24" s="1"/>
  <c r="N89" i="21"/>
  <c r="O88" i="21"/>
  <c r="O89" i="21" s="1"/>
  <c r="O88" i="17"/>
  <c r="G102" i="99"/>
  <c r="E103" i="99"/>
  <c r="D103" i="99"/>
  <c r="G106" i="65"/>
  <c r="H106" i="65" s="1"/>
  <c r="J102" i="26"/>
  <c r="E107" i="65"/>
  <c r="F107" i="65" s="1"/>
  <c r="F104" i="81"/>
  <c r="G104" i="81" s="1"/>
  <c r="G111" i="18"/>
  <c r="I111" i="18" s="1"/>
  <c r="B104" i="81"/>
  <c r="D103" i="94"/>
  <c r="B103" i="94" s="1"/>
  <c r="H102" i="94"/>
  <c r="H109" i="41"/>
  <c r="H102" i="98"/>
  <c r="I102" i="98"/>
  <c r="H102" i="97"/>
  <c r="I102" i="97"/>
  <c r="F103" i="98"/>
  <c r="B103" i="98"/>
  <c r="F103" i="97"/>
  <c r="B103" i="97"/>
  <c r="B103" i="26"/>
  <c r="E103" i="26"/>
  <c r="F103" i="26" s="1"/>
  <c r="E103" i="95"/>
  <c r="F103" i="95" s="1"/>
  <c r="B103" i="95"/>
  <c r="B110" i="41"/>
  <c r="N89" i="22"/>
  <c r="O88" i="22"/>
  <c r="O89" i="22" s="1"/>
  <c r="I102" i="95"/>
  <c r="H102" i="95"/>
  <c r="J101" i="94"/>
  <c r="B27" i="67"/>
  <c r="F27" i="67"/>
  <c r="H27" i="67" s="1"/>
  <c r="F28" i="46"/>
  <c r="H28" i="46" s="1"/>
  <c r="B28" i="46"/>
  <c r="H33" i="31"/>
  <c r="I33" i="31" s="1"/>
  <c r="F32" i="24"/>
  <c r="G32" i="24" s="1"/>
  <c r="B32" i="24"/>
  <c r="H24" i="86"/>
  <c r="E25" i="86"/>
  <c r="G24" i="86"/>
  <c r="D25" i="86"/>
  <c r="D25" i="80"/>
  <c r="E25" i="80"/>
  <c r="H25" i="82"/>
  <c r="I25" i="82" s="1"/>
  <c r="D26" i="82"/>
  <c r="E26" i="82"/>
  <c r="G24" i="80"/>
  <c r="B23" i="94"/>
  <c r="F23" i="94"/>
  <c r="H24" i="80"/>
  <c r="F22" i="93"/>
  <c r="G22" i="93" s="1"/>
  <c r="B22" i="93"/>
  <c r="B25" i="90"/>
  <c r="F25" i="90"/>
  <c r="H25" i="90" s="1"/>
  <c r="F28" i="53"/>
  <c r="G28" i="53" s="1"/>
  <c r="B28" i="53"/>
  <c r="F28" i="72"/>
  <c r="G28" i="72" s="1"/>
  <c r="D30" i="55"/>
  <c r="E30" i="55"/>
  <c r="F24" i="84"/>
  <c r="G24" i="84" s="1"/>
  <c r="B24" i="84"/>
  <c r="F24" i="91"/>
  <c r="H24" i="91" s="1"/>
  <c r="B24" i="91"/>
  <c r="F33" i="23"/>
  <c r="B33" i="23"/>
  <c r="H33" i="69"/>
  <c r="I33" i="69" s="1"/>
  <c r="H26" i="65"/>
  <c r="I26" i="65" s="1"/>
  <c r="E27" i="65"/>
  <c r="D27" i="65"/>
  <c r="F27" i="66"/>
  <c r="B27" i="66"/>
  <c r="I22" i="33"/>
  <c r="F30" i="43"/>
  <c r="D31" i="43" s="1"/>
  <c r="F30" i="39"/>
  <c r="D31" i="39" s="1"/>
  <c r="G29" i="55"/>
  <c r="I29" i="55" s="1"/>
  <c r="I29" i="42"/>
  <c r="E30" i="58"/>
  <c r="H29" i="58"/>
  <c r="I29" i="58" s="1"/>
  <c r="D30" i="58"/>
  <c r="F30" i="42"/>
  <c r="B30" i="42"/>
  <c r="G25" i="75"/>
  <c r="I25" i="75" s="1"/>
  <c r="D26" i="75"/>
  <c r="E26" i="75"/>
  <c r="G23" i="87"/>
  <c r="I23" i="87" s="1"/>
  <c r="B27" i="61"/>
  <c r="F27" i="61"/>
  <c r="H27" i="61" s="1"/>
  <c r="B24" i="85"/>
  <c r="F24" i="85"/>
  <c r="G24" i="85" s="1"/>
  <c r="B30" i="39"/>
  <c r="F33" i="27"/>
  <c r="H33" i="27" s="1"/>
  <c r="B33" i="27"/>
  <c r="B31" i="22"/>
  <c r="F31" i="22"/>
  <c r="H31" i="22" s="1"/>
  <c r="G24" i="88"/>
  <c r="I24" i="88" s="1"/>
  <c r="F30" i="44"/>
  <c r="G30" i="44" s="1"/>
  <c r="B30" i="44"/>
  <c r="B22" i="95"/>
  <c r="F22" i="95"/>
  <c r="H22" i="95" s="1"/>
  <c r="B25" i="76"/>
  <c r="F25" i="76"/>
  <c r="G25" i="76" s="1"/>
  <c r="F22" i="96"/>
  <c r="H22" i="96" s="1"/>
  <c r="B22" i="96"/>
  <c r="B24" i="81"/>
  <c r="F24" i="81"/>
  <c r="H24" i="81" s="1"/>
  <c r="B28" i="72"/>
  <c r="I26" i="63"/>
  <c r="I31" i="32"/>
  <c r="B30" i="73"/>
  <c r="F30" i="73"/>
  <c r="G30" i="73" s="1"/>
  <c r="E28" i="64"/>
  <c r="D28" i="64"/>
  <c r="F23" i="92"/>
  <c r="H23" i="92" s="1"/>
  <c r="B23" i="92"/>
  <c r="B25" i="77"/>
  <c r="F25" i="77"/>
  <c r="H25" i="77" s="1"/>
  <c r="H27" i="64"/>
  <c r="C40" i="17"/>
  <c r="F31" i="17"/>
  <c r="B25" i="78"/>
  <c r="F25" i="78"/>
  <c r="H25" i="78" s="1"/>
  <c r="F31" i="19"/>
  <c r="H31" i="19" s="1"/>
  <c r="B31" i="19"/>
  <c r="G32" i="30"/>
  <c r="D33" i="30"/>
  <c r="E33" i="30"/>
  <c r="H32" i="71"/>
  <c r="D33" i="71"/>
  <c r="E33" i="71"/>
  <c r="D28" i="56"/>
  <c r="E28" i="56"/>
  <c r="H22" i="26"/>
  <c r="D23" i="26"/>
  <c r="D27" i="68"/>
  <c r="E27" i="68"/>
  <c r="F32" i="32"/>
  <c r="B32" i="32"/>
  <c r="G32" i="71"/>
  <c r="B28" i="54"/>
  <c r="F28" i="54"/>
  <c r="H28" i="54" s="1"/>
  <c r="F31" i="41"/>
  <c r="H31" i="41" s="1"/>
  <c r="B31" i="41"/>
  <c r="G27" i="64"/>
  <c r="H27" i="56"/>
  <c r="I27" i="57"/>
  <c r="E25" i="88"/>
  <c r="D25" i="88"/>
  <c r="F31" i="3"/>
  <c r="H31" i="3" s="1"/>
  <c r="B31" i="3"/>
  <c r="G26" i="60"/>
  <c r="I26" i="60" s="1"/>
  <c r="D27" i="60"/>
  <c r="E27" i="60"/>
  <c r="H26" i="68"/>
  <c r="B23" i="33"/>
  <c r="F27" i="63"/>
  <c r="H27" i="63" s="1"/>
  <c r="B27" i="63"/>
  <c r="E30" i="45"/>
  <c r="D30" i="45"/>
  <c r="G29" i="74"/>
  <c r="D30" i="74"/>
  <c r="E30" i="74"/>
  <c r="F33" i="29"/>
  <c r="B33" i="29"/>
  <c r="I30" i="19"/>
  <c r="H32" i="34"/>
  <c r="D33" i="34"/>
  <c r="E33" i="34"/>
  <c r="G32" i="34"/>
  <c r="E35" i="28"/>
  <c r="D35" i="28"/>
  <c r="B23" i="89"/>
  <c r="F23" i="89"/>
  <c r="H23" i="89" s="1"/>
  <c r="H29" i="45"/>
  <c r="I29" i="45" s="1"/>
  <c r="F31" i="21"/>
  <c r="B31" i="21"/>
  <c r="D34" i="31"/>
  <c r="E34" i="31"/>
  <c r="H23" i="83"/>
  <c r="I23" i="83" s="1"/>
  <c r="D24" i="83"/>
  <c r="E24" i="83"/>
  <c r="H29" i="74"/>
  <c r="I29" i="74" s="1"/>
  <c r="E34" i="69"/>
  <c r="D34" i="69"/>
  <c r="B25" i="79"/>
  <c r="F25" i="79"/>
  <c r="G25" i="79" s="1"/>
  <c r="G27" i="56"/>
  <c r="G34" i="28"/>
  <c r="I34" i="28" s="1"/>
  <c r="G22" i="26"/>
  <c r="F28" i="57"/>
  <c r="B28" i="57"/>
  <c r="B30" i="43"/>
  <c r="G26" i="68"/>
  <c r="F33" i="70"/>
  <c r="B33" i="70"/>
  <c r="E23" i="33"/>
  <c r="F23" i="33" s="1"/>
  <c r="H32" i="30"/>
  <c r="B103" i="93"/>
  <c r="E103" i="94"/>
  <c r="F103" i="93"/>
  <c r="D104" i="93" s="1"/>
  <c r="E104" i="93" s="1"/>
  <c r="H106" i="62"/>
  <c r="J110" i="22"/>
  <c r="J109" i="73"/>
  <c r="J103" i="81"/>
  <c r="D31" i="20"/>
  <c r="E31" i="20"/>
  <c r="E27" i="62"/>
  <c r="D27" i="62"/>
  <c r="D23" i="13"/>
  <c r="E23" i="13" s="1"/>
  <c r="H30" i="20"/>
  <c r="B27" i="59"/>
  <c r="F27" i="59"/>
  <c r="H27" i="59" s="1"/>
  <c r="I26" i="59"/>
  <c r="H26" i="62"/>
  <c r="I31" i="18"/>
  <c r="H22" i="13"/>
  <c r="B30" i="35"/>
  <c r="G29" i="35"/>
  <c r="N5" i="35" s="1"/>
  <c r="E30" i="35"/>
  <c r="F30" i="35" s="1"/>
  <c r="H29" i="35"/>
  <c r="N6" i="35" s="1"/>
  <c r="G30" i="20"/>
  <c r="G26" i="62"/>
  <c r="G22" i="13"/>
  <c r="B32" i="18"/>
  <c r="F32" i="18"/>
  <c r="I28" i="35"/>
  <c r="D24" i="87"/>
  <c r="E24" i="87"/>
  <c r="B113" i="30"/>
  <c r="F113" i="30"/>
  <c r="B108" i="58"/>
  <c r="F108" i="58"/>
  <c r="F111" i="34"/>
  <c r="B111" i="34"/>
  <c r="E112" i="22"/>
  <c r="G111" i="22"/>
  <c r="D112" i="22"/>
  <c r="B106" i="66"/>
  <c r="F106" i="66"/>
  <c r="H106" i="61"/>
  <c r="M88" i="61" s="1"/>
  <c r="M89" i="61" s="1"/>
  <c r="I106" i="61"/>
  <c r="N88" i="61" s="1"/>
  <c r="F112" i="32"/>
  <c r="B112" i="32"/>
  <c r="H106" i="64"/>
  <c r="M88" i="64" s="1"/>
  <c r="M89" i="64" s="1"/>
  <c r="I106" i="64"/>
  <c r="N88" i="64" s="1"/>
  <c r="H102" i="90"/>
  <c r="M88" i="90" s="1"/>
  <c r="M89" i="90" s="1"/>
  <c r="I102" i="90"/>
  <c r="N88" i="90" s="1"/>
  <c r="I110" i="20"/>
  <c r="N88" i="20" s="1"/>
  <c r="H110" i="20"/>
  <c r="M88" i="20" s="1"/>
  <c r="M89" i="20" s="1"/>
  <c r="H102" i="84"/>
  <c r="M88" i="84" s="1"/>
  <c r="M89" i="84" s="1"/>
  <c r="I102" i="84"/>
  <c r="N88" i="84" s="1"/>
  <c r="B113" i="69"/>
  <c r="F113" i="69"/>
  <c r="B108" i="53"/>
  <c r="F108" i="53"/>
  <c r="H107" i="72"/>
  <c r="M88" i="72" s="1"/>
  <c r="M89" i="72" s="1"/>
  <c r="I107" i="72"/>
  <c r="N88" i="72" s="1"/>
  <c r="F106" i="68"/>
  <c r="B106" i="68"/>
  <c r="I111" i="31"/>
  <c r="N88" i="31" s="1"/>
  <c r="H111" i="31"/>
  <c r="M88" i="31" s="1"/>
  <c r="M89" i="31" s="1"/>
  <c r="F104" i="85"/>
  <c r="B104" i="85"/>
  <c r="D108" i="62"/>
  <c r="E108" i="62"/>
  <c r="G107" i="62"/>
  <c r="J102" i="89"/>
  <c r="I106" i="60"/>
  <c r="N88" i="60" s="1"/>
  <c r="H106" i="60"/>
  <c r="M88" i="60" s="1"/>
  <c r="M89" i="60" s="1"/>
  <c r="B107" i="65"/>
  <c r="F103" i="86"/>
  <c r="B103" i="86"/>
  <c r="B105" i="78"/>
  <c r="F105" i="78"/>
  <c r="B107" i="61"/>
  <c r="F107" i="61"/>
  <c r="F105" i="79"/>
  <c r="B105" i="79"/>
  <c r="H109" i="39"/>
  <c r="M88" i="39" s="1"/>
  <c r="M89" i="39" s="1"/>
  <c r="I109" i="39"/>
  <c r="N88" i="39" s="1"/>
  <c r="F111" i="20"/>
  <c r="B111" i="20"/>
  <c r="I112" i="69"/>
  <c r="N88" i="69" s="1"/>
  <c r="H112" i="69"/>
  <c r="M88" i="69" s="1"/>
  <c r="M89" i="69" s="1"/>
  <c r="F108" i="72"/>
  <c r="B108" i="72"/>
  <c r="I105" i="68"/>
  <c r="N88" i="68" s="1"/>
  <c r="H105" i="68"/>
  <c r="M88" i="68" s="1"/>
  <c r="M89" i="68" s="1"/>
  <c r="J108" i="45"/>
  <c r="B112" i="31"/>
  <c r="F112" i="31"/>
  <c r="I106" i="63"/>
  <c r="N88" i="63" s="1"/>
  <c r="H106" i="63"/>
  <c r="M88" i="63" s="1"/>
  <c r="M89" i="63" s="1"/>
  <c r="E111" i="41"/>
  <c r="G110" i="41"/>
  <c r="D111" i="41"/>
  <c r="H102" i="92"/>
  <c r="M88" i="92" s="1"/>
  <c r="M89" i="92" s="1"/>
  <c r="I102" i="92"/>
  <c r="N88" i="92" s="1"/>
  <c r="F103" i="88"/>
  <c r="B103" i="88"/>
  <c r="F113" i="29"/>
  <c r="B113" i="29"/>
  <c r="H112" i="70"/>
  <c r="M88" i="70" s="1"/>
  <c r="M89" i="70" s="1"/>
  <c r="I112" i="70"/>
  <c r="N88" i="70" s="1"/>
  <c r="E110" i="45"/>
  <c r="D110" i="45"/>
  <c r="G109" i="45"/>
  <c r="H112" i="30"/>
  <c r="M88" i="30" s="1"/>
  <c r="M89" i="30" s="1"/>
  <c r="I112" i="30"/>
  <c r="N88" i="30" s="1"/>
  <c r="H104" i="78"/>
  <c r="M88" i="78" s="1"/>
  <c r="M89" i="78" s="1"/>
  <c r="I104" i="78"/>
  <c r="N88" i="78" s="1"/>
  <c r="B113" i="27"/>
  <c r="F113" i="27"/>
  <c r="I105" i="66"/>
  <c r="N88" i="66" s="1"/>
  <c r="H105" i="66"/>
  <c r="M88" i="66" s="1"/>
  <c r="M89" i="66" s="1"/>
  <c r="H111" i="32"/>
  <c r="M88" i="32" s="1"/>
  <c r="M89" i="32" s="1"/>
  <c r="I111" i="32"/>
  <c r="N88" i="32" s="1"/>
  <c r="F111" i="19"/>
  <c r="B111" i="19"/>
  <c r="E104" i="89"/>
  <c r="D104" i="89"/>
  <c r="G103" i="89"/>
  <c r="F103" i="90"/>
  <c r="B103" i="90"/>
  <c r="B110" i="39"/>
  <c r="F110" i="39"/>
  <c r="B103" i="84"/>
  <c r="F103" i="84"/>
  <c r="I107" i="53"/>
  <c r="N88" i="53" s="1"/>
  <c r="H107" i="53"/>
  <c r="M88" i="53" s="1"/>
  <c r="M89" i="53" s="1"/>
  <c r="F107" i="63"/>
  <c r="B107" i="63"/>
  <c r="B109" i="74"/>
  <c r="F109" i="74"/>
  <c r="H109" i="43"/>
  <c r="M88" i="43" s="1"/>
  <c r="M89" i="43" s="1"/>
  <c r="I109" i="43"/>
  <c r="N88" i="43" s="1"/>
  <c r="I102" i="88"/>
  <c r="N88" i="88" s="1"/>
  <c r="H102" i="88"/>
  <c r="M88" i="88" s="1"/>
  <c r="M89" i="88" s="1"/>
  <c r="F107" i="60"/>
  <c r="B107" i="60"/>
  <c r="H107" i="46"/>
  <c r="M88" i="46" s="1"/>
  <c r="M89" i="46" s="1"/>
  <c r="I107" i="46"/>
  <c r="N88" i="46" s="1"/>
  <c r="J102" i="91"/>
  <c r="B113" i="70"/>
  <c r="F113" i="70"/>
  <c r="I107" i="58"/>
  <c r="N88" i="58" s="1"/>
  <c r="H107" i="58"/>
  <c r="M88" i="58" s="1"/>
  <c r="M89" i="58" s="1"/>
  <c r="I112" i="27"/>
  <c r="N88" i="27" s="1"/>
  <c r="H112" i="27"/>
  <c r="M88" i="27" s="1"/>
  <c r="M89" i="27" s="1"/>
  <c r="D104" i="91"/>
  <c r="E104" i="91"/>
  <c r="G103" i="91"/>
  <c r="H110" i="19"/>
  <c r="M88" i="19" s="1"/>
  <c r="M89" i="19" s="1"/>
  <c r="I110" i="19"/>
  <c r="N88" i="19" s="1"/>
  <c r="F107" i="64"/>
  <c r="B107" i="64"/>
  <c r="I104" i="79"/>
  <c r="N88" i="79" s="1"/>
  <c r="H104" i="79"/>
  <c r="M88" i="79" s="1"/>
  <c r="M89" i="79" s="1"/>
  <c r="I103" i="85"/>
  <c r="N88" i="85" s="1"/>
  <c r="H103" i="85"/>
  <c r="M88" i="85" s="1"/>
  <c r="M89" i="85" s="1"/>
  <c r="B103" i="92"/>
  <c r="F103" i="92"/>
  <c r="F110" i="43"/>
  <c r="B110" i="43"/>
  <c r="I112" i="29"/>
  <c r="N88" i="29" s="1"/>
  <c r="H112" i="29"/>
  <c r="M88" i="29" s="1"/>
  <c r="M89" i="29" s="1"/>
  <c r="F108" i="46"/>
  <c r="B108" i="46"/>
  <c r="F108" i="59"/>
  <c r="B108" i="59"/>
  <c r="J108" i="56"/>
  <c r="B113" i="23"/>
  <c r="B112" i="18"/>
  <c r="D110" i="56"/>
  <c r="E110" i="56"/>
  <c r="G109" i="56"/>
  <c r="H107" i="59"/>
  <c r="I107" i="59"/>
  <c r="J110" i="35"/>
  <c r="I112" i="71"/>
  <c r="H112" i="71"/>
  <c r="B113" i="71"/>
  <c r="F113" i="71"/>
  <c r="B109" i="57"/>
  <c r="F109" i="57"/>
  <c r="I108" i="57"/>
  <c r="H108" i="57"/>
  <c r="F103" i="87"/>
  <c r="B103" i="87"/>
  <c r="D104" i="25"/>
  <c r="G103" i="25"/>
  <c r="J102" i="25"/>
  <c r="D105" i="80"/>
  <c r="G104" i="80"/>
  <c r="E105" i="80"/>
  <c r="D113" i="24"/>
  <c r="G112" i="24"/>
  <c r="E113" i="24"/>
  <c r="F110" i="44"/>
  <c r="B110" i="44"/>
  <c r="B113" i="35"/>
  <c r="G112" i="35"/>
  <c r="E113" i="35"/>
  <c r="F113" i="35" s="1"/>
  <c r="D112" i="21"/>
  <c r="E112" i="21"/>
  <c r="G111" i="21"/>
  <c r="J104" i="77"/>
  <c r="J107" i="54"/>
  <c r="J107" i="55"/>
  <c r="G102" i="13"/>
  <c r="D103" i="13"/>
  <c r="E103" i="13" s="1"/>
  <c r="F111" i="3"/>
  <c r="B111" i="3"/>
  <c r="D106" i="76"/>
  <c r="E106" i="76"/>
  <c r="G105" i="76"/>
  <c r="D109" i="54"/>
  <c r="G108" i="54"/>
  <c r="E109" i="54"/>
  <c r="H113" i="28"/>
  <c r="M88" i="28" s="1"/>
  <c r="M89" i="28" s="1"/>
  <c r="I113" i="28"/>
  <c r="N88" i="28" s="1"/>
  <c r="E105" i="83"/>
  <c r="G104" i="83"/>
  <c r="D105" i="83"/>
  <c r="G105" i="77"/>
  <c r="D106" i="77"/>
  <c r="E106" i="77"/>
  <c r="I109" i="44"/>
  <c r="N88" i="44" s="1"/>
  <c r="H109" i="44"/>
  <c r="M88" i="44" s="1"/>
  <c r="M89" i="44" s="1"/>
  <c r="D103" i="33"/>
  <c r="G102" i="33"/>
  <c r="H102" i="96"/>
  <c r="I102" i="96"/>
  <c r="B106" i="67"/>
  <c r="F106" i="67"/>
  <c r="I110" i="3"/>
  <c r="N88" i="3" s="1"/>
  <c r="H110" i="3"/>
  <c r="M88" i="3" s="1"/>
  <c r="M89" i="3" s="1"/>
  <c r="J102" i="93"/>
  <c r="G105" i="75"/>
  <c r="D106" i="75"/>
  <c r="E106" i="75"/>
  <c r="G111" i="17"/>
  <c r="D112" i="17"/>
  <c r="E112" i="17"/>
  <c r="J104" i="75"/>
  <c r="E109" i="55"/>
  <c r="D109" i="55"/>
  <c r="G108" i="55"/>
  <c r="H111" i="35"/>
  <c r="M88" i="35" s="1"/>
  <c r="M89" i="35" s="1"/>
  <c r="I111" i="35"/>
  <c r="N88" i="35" s="1"/>
  <c r="F103" i="96"/>
  <c r="B103" i="96"/>
  <c r="B104" i="82"/>
  <c r="F104" i="82"/>
  <c r="J111" i="24"/>
  <c r="B114" i="28"/>
  <c r="F114" i="28"/>
  <c r="J104" i="76"/>
  <c r="E111" i="42"/>
  <c r="G110" i="42"/>
  <c r="D111" i="42"/>
  <c r="J101" i="33"/>
  <c r="J103" i="83"/>
  <c r="J110" i="17"/>
  <c r="H102" i="87"/>
  <c r="M88" i="87" s="1"/>
  <c r="M89" i="87" s="1"/>
  <c r="I102" i="87"/>
  <c r="N88" i="87" s="1"/>
  <c r="J101" i="13"/>
  <c r="I105" i="67"/>
  <c r="N88" i="67" s="1"/>
  <c r="H105" i="67"/>
  <c r="M88" i="67" s="1"/>
  <c r="M89" i="67" s="1"/>
  <c r="H103" i="82"/>
  <c r="M88" i="82" s="1"/>
  <c r="M89" i="82" s="1"/>
  <c r="I103" i="82"/>
  <c r="N88" i="82" s="1"/>
  <c r="J110" i="21"/>
  <c r="J103" i="80"/>
  <c r="J109" i="42"/>
  <c r="I82" i="36"/>
  <c r="I37" i="36"/>
  <c r="I32" i="36"/>
  <c r="I59" i="36"/>
  <c r="I70" i="36"/>
  <c r="I76" i="36"/>
  <c r="I38" i="36"/>
  <c r="I22" i="36"/>
  <c r="I31" i="36"/>
  <c r="I62" i="36"/>
  <c r="I79" i="36"/>
  <c r="I56" i="36"/>
  <c r="I53" i="36"/>
  <c r="I77" i="36"/>
  <c r="I61" i="36"/>
  <c r="I45" i="36"/>
  <c r="I41" i="36"/>
  <c r="I33" i="36"/>
  <c r="I42" i="36"/>
  <c r="I21" i="36"/>
  <c r="I18" i="36"/>
  <c r="I30" i="36"/>
  <c r="I64" i="36"/>
  <c r="I80" i="36"/>
  <c r="I71" i="36"/>
  <c r="I84" i="36"/>
  <c r="I60" i="36"/>
  <c r="I44" i="36"/>
  <c r="I74" i="36"/>
  <c r="I52" i="36"/>
  <c r="I34" i="36"/>
  <c r="I58" i="36"/>
  <c r="I29" i="36"/>
  <c r="I50" i="36"/>
  <c r="I55" i="36"/>
  <c r="H22" i="25" l="1"/>
  <c r="G22" i="25"/>
  <c r="I22" i="25" s="1"/>
  <c r="D23" i="25"/>
  <c r="H112" i="23"/>
  <c r="J112" i="23" s="1"/>
  <c r="G23" i="99"/>
  <c r="I23" i="99" s="1"/>
  <c r="N88" i="65"/>
  <c r="N89" i="65" s="1"/>
  <c r="H28" i="72"/>
  <c r="I28" i="72" s="1"/>
  <c r="E29" i="72"/>
  <c r="D24" i="98"/>
  <c r="E24" i="98"/>
  <c r="H23" i="98"/>
  <c r="G23" i="98"/>
  <c r="I23" i="97"/>
  <c r="F24" i="97"/>
  <c r="D25" i="97" s="1"/>
  <c r="B24" i="97"/>
  <c r="D24" i="99"/>
  <c r="E24" i="99"/>
  <c r="N7" i="35"/>
  <c r="G110" i="73"/>
  <c r="H110" i="73" s="1"/>
  <c r="E111" i="73"/>
  <c r="F111" i="73" s="1"/>
  <c r="J102" i="94"/>
  <c r="M88" i="94"/>
  <c r="O88" i="35"/>
  <c r="O89" i="35" s="1"/>
  <c r="N89" i="35"/>
  <c r="N89" i="82"/>
  <c r="O88" i="82"/>
  <c r="O89" i="82" s="1"/>
  <c r="N89" i="88"/>
  <c r="O88" i="88"/>
  <c r="O89" i="88" s="1"/>
  <c r="N89" i="90"/>
  <c r="O88" i="90"/>
  <c r="O89" i="90" s="1"/>
  <c r="O88" i="78"/>
  <c r="O89" i="78" s="1"/>
  <c r="N89" i="78"/>
  <c r="N89" i="85"/>
  <c r="O88" i="85"/>
  <c r="O89" i="85" s="1"/>
  <c r="N89" i="66"/>
  <c r="O88" i="66"/>
  <c r="O89" i="66" s="1"/>
  <c r="I106" i="65"/>
  <c r="J106" i="65" s="1"/>
  <c r="N89" i="63"/>
  <c r="O88" i="63"/>
  <c r="O89" i="63" s="1"/>
  <c r="N89" i="72"/>
  <c r="O88" i="72"/>
  <c r="O89" i="72" s="1"/>
  <c r="N89" i="64"/>
  <c r="O88" i="64"/>
  <c r="O89" i="64" s="1"/>
  <c r="N89" i="61"/>
  <c r="O88" i="61"/>
  <c r="O89" i="61" s="1"/>
  <c r="O88" i="65"/>
  <c r="O89" i="65" s="1"/>
  <c r="O88" i="79"/>
  <c r="O89" i="79" s="1"/>
  <c r="N89" i="79"/>
  <c r="N89" i="70"/>
  <c r="O88" i="70"/>
  <c r="O89" i="70" s="1"/>
  <c r="N89" i="92"/>
  <c r="O88" i="92"/>
  <c r="O89" i="92" s="1"/>
  <c r="N89" i="84"/>
  <c r="O88" i="84"/>
  <c r="O89" i="84" s="1"/>
  <c r="N89" i="87"/>
  <c r="O88" i="87"/>
  <c r="O89" i="87" s="1"/>
  <c r="N89" i="67"/>
  <c r="O88" i="67"/>
  <c r="O89" i="67" s="1"/>
  <c r="N89" i="68"/>
  <c r="O88" i="68"/>
  <c r="O89" i="68" s="1"/>
  <c r="N89" i="69"/>
  <c r="O88" i="69"/>
  <c r="O89" i="69" s="1"/>
  <c r="N89" i="60"/>
  <c r="O88" i="60"/>
  <c r="O89" i="60" s="1"/>
  <c r="J106" i="62"/>
  <c r="M88" i="62"/>
  <c r="N89" i="58"/>
  <c r="O88" i="58"/>
  <c r="O89" i="58" s="1"/>
  <c r="N89" i="53"/>
  <c r="O88" i="53"/>
  <c r="O89" i="53" s="1"/>
  <c r="O88" i="46"/>
  <c r="O89" i="46" s="1"/>
  <c r="N89" i="46"/>
  <c r="N89" i="44"/>
  <c r="O88" i="44"/>
  <c r="O89" i="44" s="1"/>
  <c r="O88" i="43"/>
  <c r="O89" i="43" s="1"/>
  <c r="N89" i="43"/>
  <c r="J109" i="41"/>
  <c r="M88" i="41"/>
  <c r="N89" i="39"/>
  <c r="O88" i="39"/>
  <c r="O89" i="39" s="1"/>
  <c r="N89" i="32"/>
  <c r="O88" i="32"/>
  <c r="O89" i="32" s="1"/>
  <c r="N89" i="31"/>
  <c r="O88" i="31"/>
  <c r="O89" i="31" s="1"/>
  <c r="N89" i="30"/>
  <c r="O88" i="30"/>
  <c r="O89" i="30" s="1"/>
  <c r="N89" i="29"/>
  <c r="O88" i="29"/>
  <c r="O89" i="29" s="1"/>
  <c r="N89" i="28"/>
  <c r="O88" i="28"/>
  <c r="O89" i="28" s="1"/>
  <c r="N89" i="27"/>
  <c r="O88" i="27"/>
  <c r="O89" i="27" s="1"/>
  <c r="O88" i="20"/>
  <c r="O89" i="20" s="1"/>
  <c r="N89" i="20"/>
  <c r="N89" i="19"/>
  <c r="O88" i="19"/>
  <c r="O89" i="19" s="1"/>
  <c r="N89" i="3"/>
  <c r="O88" i="3"/>
  <c r="O89" i="3" s="1"/>
  <c r="G30" i="43"/>
  <c r="E31" i="43"/>
  <c r="F31" i="43" s="1"/>
  <c r="H30" i="43"/>
  <c r="G30" i="39"/>
  <c r="F103" i="99"/>
  <c r="B103" i="99"/>
  <c r="I102" i="99"/>
  <c r="H102" i="99"/>
  <c r="E105" i="81"/>
  <c r="D105" i="81"/>
  <c r="B105" i="81" s="1"/>
  <c r="H111" i="18"/>
  <c r="J111" i="18" s="1"/>
  <c r="J102" i="97"/>
  <c r="F103" i="94"/>
  <c r="D104" i="94" s="1"/>
  <c r="B104" i="94" s="1"/>
  <c r="D29" i="72"/>
  <c r="F29" i="72" s="1"/>
  <c r="G29" i="72" s="1"/>
  <c r="H30" i="44"/>
  <c r="I30" i="44" s="1"/>
  <c r="I32" i="30"/>
  <c r="J102" i="98"/>
  <c r="D104" i="97"/>
  <c r="G103" i="97"/>
  <c r="E104" i="97"/>
  <c r="D104" i="26"/>
  <c r="G103" i="26"/>
  <c r="D104" i="98"/>
  <c r="G103" i="98"/>
  <c r="E104" i="98"/>
  <c r="J102" i="95"/>
  <c r="D104" i="95"/>
  <c r="B104" i="95" s="1"/>
  <c r="G103" i="95"/>
  <c r="E104" i="95"/>
  <c r="I24" i="80"/>
  <c r="H25" i="76"/>
  <c r="I25" i="76" s="1"/>
  <c r="F30" i="74"/>
  <c r="E31" i="74" s="1"/>
  <c r="G27" i="67"/>
  <c r="I27" i="67" s="1"/>
  <c r="E28" i="67"/>
  <c r="D28" i="67"/>
  <c r="G28" i="46"/>
  <c r="I28" i="46" s="1"/>
  <c r="E29" i="46"/>
  <c r="D29" i="46"/>
  <c r="H30" i="39"/>
  <c r="E31" i="39"/>
  <c r="F31" i="39" s="1"/>
  <c r="G31" i="39" s="1"/>
  <c r="H32" i="24"/>
  <c r="I32" i="24" s="1"/>
  <c r="E33" i="24"/>
  <c r="D33" i="24"/>
  <c r="G27" i="61"/>
  <c r="I27" i="61" s="1"/>
  <c r="E23" i="93"/>
  <c r="D23" i="93"/>
  <c r="D24" i="94"/>
  <c r="E24" i="94"/>
  <c r="B26" i="82"/>
  <c r="B25" i="86"/>
  <c r="F25" i="86"/>
  <c r="G27" i="59"/>
  <c r="H22" i="93"/>
  <c r="I22" i="93" s="1"/>
  <c r="H23" i="94"/>
  <c r="G23" i="94"/>
  <c r="F26" i="82"/>
  <c r="G26" i="82" s="1"/>
  <c r="F25" i="80"/>
  <c r="B25" i="80"/>
  <c r="I24" i="86"/>
  <c r="H30" i="42"/>
  <c r="D31" i="42"/>
  <c r="E31" i="42"/>
  <c r="E28" i="66"/>
  <c r="D28" i="66"/>
  <c r="D34" i="23"/>
  <c r="H33" i="23"/>
  <c r="G33" i="23"/>
  <c r="E34" i="23"/>
  <c r="G27" i="63"/>
  <c r="I27" i="63" s="1"/>
  <c r="F30" i="58"/>
  <c r="B30" i="58"/>
  <c r="B27" i="65"/>
  <c r="F27" i="65"/>
  <c r="G27" i="65" s="1"/>
  <c r="B26" i="75"/>
  <c r="F26" i="75"/>
  <c r="B30" i="55"/>
  <c r="F30" i="55"/>
  <c r="H30" i="55" s="1"/>
  <c r="G28" i="54"/>
  <c r="I28" i="54" s="1"/>
  <c r="H30" i="73"/>
  <c r="I30" i="73" s="1"/>
  <c r="G30" i="42"/>
  <c r="H27" i="66"/>
  <c r="G25" i="90"/>
  <c r="I25" i="90" s="1"/>
  <c r="D26" i="90"/>
  <c r="E26" i="90"/>
  <c r="H28" i="53"/>
  <c r="I28" i="53" s="1"/>
  <c r="D29" i="53"/>
  <c r="E29" i="53"/>
  <c r="G31" i="22"/>
  <c r="I31" i="22" s="1"/>
  <c r="G27" i="66"/>
  <c r="D25" i="91"/>
  <c r="G24" i="91"/>
  <c r="I24" i="91" s="1"/>
  <c r="E25" i="91"/>
  <c r="H24" i="84"/>
  <c r="I24" i="84" s="1"/>
  <c r="E25" i="84"/>
  <c r="D25" i="84"/>
  <c r="G23" i="89"/>
  <c r="I23" i="89" s="1"/>
  <c r="I22" i="26"/>
  <c r="G25" i="78"/>
  <c r="I25" i="78" s="1"/>
  <c r="H24" i="85"/>
  <c r="I24" i="85" s="1"/>
  <c r="D25" i="85"/>
  <c r="E25" i="85"/>
  <c r="E28" i="61"/>
  <c r="D28" i="61"/>
  <c r="G22" i="96"/>
  <c r="I22" i="96" s="1"/>
  <c r="D23" i="96"/>
  <c r="E23" i="96"/>
  <c r="E31" i="44"/>
  <c r="D31" i="44"/>
  <c r="E32" i="22"/>
  <c r="D32" i="22"/>
  <c r="I26" i="68"/>
  <c r="G25" i="77"/>
  <c r="I25" i="77" s="1"/>
  <c r="G24" i="81"/>
  <c r="I24" i="81" s="1"/>
  <c r="E25" i="81"/>
  <c r="D25" i="81"/>
  <c r="E26" i="76"/>
  <c r="D26" i="76"/>
  <c r="G22" i="95"/>
  <c r="I22" i="95" s="1"/>
  <c r="D23" i="95"/>
  <c r="E23" i="95"/>
  <c r="B29" i="72"/>
  <c r="G33" i="27"/>
  <c r="I33" i="27" s="1"/>
  <c r="E34" i="27"/>
  <c r="D34" i="27"/>
  <c r="B31" i="39"/>
  <c r="I29" i="35"/>
  <c r="D24" i="33"/>
  <c r="E24" i="33" s="1"/>
  <c r="G23" i="33"/>
  <c r="H23" i="33"/>
  <c r="B33" i="34"/>
  <c r="F33" i="34"/>
  <c r="D34" i="29"/>
  <c r="E34" i="29"/>
  <c r="E33" i="32"/>
  <c r="D33" i="32"/>
  <c r="D34" i="70"/>
  <c r="E34" i="70"/>
  <c r="E29" i="57"/>
  <c r="D29" i="57"/>
  <c r="F34" i="69"/>
  <c r="H34" i="69" s="1"/>
  <c r="F34" i="31"/>
  <c r="G34" i="31" s="1"/>
  <c r="B34" i="31"/>
  <c r="H33" i="29"/>
  <c r="B27" i="60"/>
  <c r="F27" i="60"/>
  <c r="G27" i="60" s="1"/>
  <c r="G32" i="32"/>
  <c r="G31" i="21"/>
  <c r="D32" i="21"/>
  <c r="E32" i="21"/>
  <c r="B30" i="45"/>
  <c r="F30" i="45"/>
  <c r="G31" i="17"/>
  <c r="E32" i="17"/>
  <c r="D32" i="17"/>
  <c r="F28" i="64"/>
  <c r="G28" i="64" s="1"/>
  <c r="B28" i="64"/>
  <c r="H33" i="70"/>
  <c r="H28" i="57"/>
  <c r="H25" i="79"/>
  <c r="I25" i="79" s="1"/>
  <c r="E26" i="79"/>
  <c r="D26" i="79"/>
  <c r="F24" i="83"/>
  <c r="H24" i="83" s="1"/>
  <c r="B24" i="83"/>
  <c r="H31" i="21"/>
  <c r="I32" i="34"/>
  <c r="G33" i="29"/>
  <c r="B30" i="74"/>
  <c r="G31" i="3"/>
  <c r="I31" i="3" s="1"/>
  <c r="E32" i="3"/>
  <c r="D32" i="3"/>
  <c r="I27" i="56"/>
  <c r="G31" i="41"/>
  <c r="I31" i="41" s="1"/>
  <c r="D32" i="41"/>
  <c r="E32" i="41"/>
  <c r="D29" i="54"/>
  <c r="E29" i="54"/>
  <c r="B27" i="68"/>
  <c r="F27" i="68"/>
  <c r="G27" i="68" s="1"/>
  <c r="B28" i="56"/>
  <c r="F28" i="56"/>
  <c r="H28" i="56" s="1"/>
  <c r="B33" i="71"/>
  <c r="F33" i="71"/>
  <c r="H33" i="71" s="1"/>
  <c r="B33" i="30"/>
  <c r="F33" i="30"/>
  <c r="G33" i="30" s="1"/>
  <c r="G31" i="19"/>
  <c r="I31" i="19" s="1"/>
  <c r="D32" i="19"/>
  <c r="E32" i="19"/>
  <c r="E26" i="78"/>
  <c r="D26" i="78"/>
  <c r="I27" i="64"/>
  <c r="D24" i="92"/>
  <c r="E24" i="92"/>
  <c r="B34" i="69"/>
  <c r="F35" i="28"/>
  <c r="B35" i="28"/>
  <c r="G103" i="93"/>
  <c r="H103" i="93" s="1"/>
  <c r="G33" i="70"/>
  <c r="G28" i="57"/>
  <c r="D24" i="89"/>
  <c r="E24" i="89"/>
  <c r="B31" i="43"/>
  <c r="D28" i="63"/>
  <c r="E28" i="63"/>
  <c r="F25" i="88"/>
  <c r="G25" i="88" s="1"/>
  <c r="B25" i="88"/>
  <c r="H32" i="32"/>
  <c r="E23" i="26"/>
  <c r="F23" i="26" s="1"/>
  <c r="B23" i="26"/>
  <c r="I32" i="71"/>
  <c r="H31" i="17"/>
  <c r="D26" i="77"/>
  <c r="E26" i="77"/>
  <c r="G23" i="92"/>
  <c r="I23" i="92" s="1"/>
  <c r="E31" i="73"/>
  <c r="D31" i="73"/>
  <c r="J110" i="19"/>
  <c r="J109" i="43"/>
  <c r="J107" i="72"/>
  <c r="J106" i="64"/>
  <c r="J106" i="61"/>
  <c r="J102" i="84"/>
  <c r="J102" i="90"/>
  <c r="J105" i="68"/>
  <c r="J112" i="69"/>
  <c r="J112" i="70"/>
  <c r="I27" i="59"/>
  <c r="J106" i="60"/>
  <c r="B23" i="13"/>
  <c r="F23" i="13"/>
  <c r="H23" i="13" s="1"/>
  <c r="B27" i="62"/>
  <c r="F27" i="62"/>
  <c r="D33" i="18"/>
  <c r="E33" i="18"/>
  <c r="I30" i="20"/>
  <c r="J112" i="27"/>
  <c r="J107" i="58"/>
  <c r="J107" i="46"/>
  <c r="J107" i="53"/>
  <c r="G32" i="18"/>
  <c r="G30" i="35"/>
  <c r="B31" i="35"/>
  <c r="H30" i="35"/>
  <c r="E31" i="35"/>
  <c r="F31" i="35" s="1"/>
  <c r="I26" i="62"/>
  <c r="D28" i="59"/>
  <c r="E28" i="59"/>
  <c r="F31" i="20"/>
  <c r="G31" i="20" s="1"/>
  <c r="B31" i="20"/>
  <c r="J102" i="86"/>
  <c r="J112" i="29"/>
  <c r="B24" i="87"/>
  <c r="F24" i="87"/>
  <c r="H32" i="18"/>
  <c r="I22" i="13"/>
  <c r="G108" i="46"/>
  <c r="D109" i="46"/>
  <c r="E109" i="46"/>
  <c r="D111" i="43"/>
  <c r="E111" i="43"/>
  <c r="G110" i="43"/>
  <c r="J108" i="74"/>
  <c r="J104" i="79"/>
  <c r="H104" i="81"/>
  <c r="I104" i="81"/>
  <c r="E108" i="60"/>
  <c r="G107" i="60"/>
  <c r="D108" i="60"/>
  <c r="E108" i="63"/>
  <c r="D108" i="63"/>
  <c r="G107" i="63"/>
  <c r="E104" i="84"/>
  <c r="D104" i="84"/>
  <c r="G103" i="84"/>
  <c r="J102" i="92"/>
  <c r="E106" i="78"/>
  <c r="G105" i="78"/>
  <c r="D106" i="78"/>
  <c r="D104" i="86"/>
  <c r="E104" i="86"/>
  <c r="G103" i="86"/>
  <c r="F108" i="62"/>
  <c r="B108" i="62"/>
  <c r="J111" i="31"/>
  <c r="J110" i="20"/>
  <c r="I111" i="22"/>
  <c r="H111" i="22"/>
  <c r="D109" i="58"/>
  <c r="E109" i="58"/>
  <c r="G108" i="58"/>
  <c r="E104" i="92"/>
  <c r="D104" i="92"/>
  <c r="G103" i="92"/>
  <c r="H103" i="91"/>
  <c r="I103" i="91"/>
  <c r="G109" i="74"/>
  <c r="D110" i="74"/>
  <c r="E110" i="74"/>
  <c r="E104" i="90"/>
  <c r="G103" i="90"/>
  <c r="D104" i="90"/>
  <c r="J104" i="78"/>
  <c r="H109" i="45"/>
  <c r="I109" i="45"/>
  <c r="E114" i="29"/>
  <c r="D114" i="29"/>
  <c r="G113" i="29"/>
  <c r="D109" i="72"/>
  <c r="G108" i="72"/>
  <c r="E109" i="72"/>
  <c r="D112" i="20"/>
  <c r="E112" i="20"/>
  <c r="G111" i="20"/>
  <c r="D106" i="79"/>
  <c r="E106" i="79"/>
  <c r="G105" i="79"/>
  <c r="D108" i="65"/>
  <c r="G107" i="65"/>
  <c r="E108" i="65"/>
  <c r="D109" i="53"/>
  <c r="E109" i="53"/>
  <c r="G108" i="53"/>
  <c r="D107" i="66"/>
  <c r="E107" i="66"/>
  <c r="G106" i="66"/>
  <c r="J103" i="85"/>
  <c r="G107" i="64"/>
  <c r="E108" i="64"/>
  <c r="D108" i="64"/>
  <c r="J110" i="34"/>
  <c r="D114" i="70"/>
  <c r="E114" i="70"/>
  <c r="G113" i="70"/>
  <c r="J102" i="88"/>
  <c r="G110" i="39"/>
  <c r="D111" i="39"/>
  <c r="E111" i="39"/>
  <c r="H103" i="89"/>
  <c r="I103" i="89"/>
  <c r="E112" i="19"/>
  <c r="D112" i="19"/>
  <c r="G111" i="19"/>
  <c r="J105" i="66"/>
  <c r="F110" i="45"/>
  <c r="B110" i="45"/>
  <c r="B111" i="41"/>
  <c r="F111" i="41"/>
  <c r="J106" i="63"/>
  <c r="J109" i="39"/>
  <c r="G107" i="61"/>
  <c r="E108" i="61"/>
  <c r="D108" i="61"/>
  <c r="I107" i="62"/>
  <c r="H107" i="62"/>
  <c r="E105" i="85"/>
  <c r="G104" i="85"/>
  <c r="D105" i="85"/>
  <c r="D107" i="68"/>
  <c r="G106" i="68"/>
  <c r="E107" i="68"/>
  <c r="G112" i="32"/>
  <c r="E113" i="32"/>
  <c r="D113" i="32"/>
  <c r="D114" i="30"/>
  <c r="G113" i="30"/>
  <c r="E114" i="30"/>
  <c r="F104" i="91"/>
  <c r="B104" i="91"/>
  <c r="B111" i="73"/>
  <c r="B104" i="89"/>
  <c r="F104" i="89"/>
  <c r="J111" i="32"/>
  <c r="D114" i="27"/>
  <c r="G113" i="27"/>
  <c r="E114" i="27"/>
  <c r="J112" i="30"/>
  <c r="D104" i="88"/>
  <c r="G103" i="88"/>
  <c r="E104" i="88"/>
  <c r="I110" i="41"/>
  <c r="H110" i="41"/>
  <c r="D113" i="31"/>
  <c r="G112" i="31"/>
  <c r="E113" i="31"/>
  <c r="E114" i="69"/>
  <c r="G113" i="69"/>
  <c r="D114" i="69"/>
  <c r="B112" i="22"/>
  <c r="F112" i="22"/>
  <c r="D112" i="34"/>
  <c r="G111" i="34"/>
  <c r="E112" i="34"/>
  <c r="G112" i="18"/>
  <c r="E113" i="18"/>
  <c r="D113" i="18"/>
  <c r="J108" i="57"/>
  <c r="I109" i="56"/>
  <c r="H109" i="56"/>
  <c r="G108" i="59"/>
  <c r="D109" i="59"/>
  <c r="E109" i="59"/>
  <c r="J107" i="59"/>
  <c r="F110" i="56"/>
  <c r="B110" i="56"/>
  <c r="D114" i="23"/>
  <c r="E114" i="23"/>
  <c r="G113" i="23"/>
  <c r="J111" i="35"/>
  <c r="D114" i="71"/>
  <c r="E114" i="71"/>
  <c r="G113" i="71"/>
  <c r="F112" i="17"/>
  <c r="G112" i="17" s="1"/>
  <c r="E110" i="57"/>
  <c r="G109" i="57"/>
  <c r="D110" i="57"/>
  <c r="J112" i="71"/>
  <c r="B106" i="75"/>
  <c r="F106" i="75"/>
  <c r="B103" i="33"/>
  <c r="J113" i="28"/>
  <c r="J103" i="82"/>
  <c r="F111" i="42"/>
  <c r="B111" i="42"/>
  <c r="G104" i="82"/>
  <c r="D105" i="82"/>
  <c r="E105" i="82"/>
  <c r="B109" i="55"/>
  <c r="F109" i="55"/>
  <c r="I105" i="75"/>
  <c r="H105" i="75"/>
  <c r="J102" i="96"/>
  <c r="B106" i="76"/>
  <c r="F106" i="76"/>
  <c r="G111" i="3"/>
  <c r="D112" i="3"/>
  <c r="E112" i="3"/>
  <c r="B112" i="21"/>
  <c r="F112" i="21"/>
  <c r="I112" i="24"/>
  <c r="H112" i="24"/>
  <c r="H104" i="80"/>
  <c r="I104" i="80"/>
  <c r="J105" i="67"/>
  <c r="I108" i="55"/>
  <c r="H108" i="55"/>
  <c r="H104" i="83"/>
  <c r="I104" i="83"/>
  <c r="I102" i="13"/>
  <c r="H102" i="13"/>
  <c r="B104" i="25"/>
  <c r="I110" i="42"/>
  <c r="H110" i="42"/>
  <c r="D115" i="28"/>
  <c r="G114" i="28"/>
  <c r="E115" i="28"/>
  <c r="G103" i="96"/>
  <c r="D104" i="96"/>
  <c r="B104" i="93"/>
  <c r="F104" i="93"/>
  <c r="I102" i="33"/>
  <c r="H102" i="33"/>
  <c r="J109" i="44"/>
  <c r="E114" i="35"/>
  <c r="F114" i="35" s="1"/>
  <c r="B114" i="35"/>
  <c r="G113" i="35"/>
  <c r="F113" i="24"/>
  <c r="B113" i="24"/>
  <c r="B105" i="80"/>
  <c r="F105" i="80"/>
  <c r="H103" i="25"/>
  <c r="I103" i="25"/>
  <c r="I111" i="17"/>
  <c r="H111" i="17"/>
  <c r="J110" i="3"/>
  <c r="H105" i="77"/>
  <c r="I105" i="77"/>
  <c r="B109" i="54"/>
  <c r="F109" i="54"/>
  <c r="G110" i="44"/>
  <c r="D111" i="44"/>
  <c r="E111" i="44"/>
  <c r="G103" i="87"/>
  <c r="D104" i="87"/>
  <c r="E104" i="87"/>
  <c r="J102" i="87"/>
  <c r="D107" i="67"/>
  <c r="G106" i="67"/>
  <c r="E107" i="67"/>
  <c r="E103" i="33"/>
  <c r="F103" i="33" s="1"/>
  <c r="B106" i="77"/>
  <c r="F106" i="77"/>
  <c r="F105" i="83"/>
  <c r="B105" i="83"/>
  <c r="H108" i="54"/>
  <c r="I108" i="54"/>
  <c r="H105" i="76"/>
  <c r="I105" i="76"/>
  <c r="F103" i="13"/>
  <c r="B103" i="13"/>
  <c r="H111" i="21"/>
  <c r="I111" i="21"/>
  <c r="I112" i="35"/>
  <c r="H112" i="35"/>
  <c r="E104" i="25"/>
  <c r="F104" i="25" s="1"/>
  <c r="F37" i="36"/>
  <c r="E23" i="25" l="1"/>
  <c r="B23" i="25"/>
  <c r="F23" i="25"/>
  <c r="I110" i="73"/>
  <c r="J110" i="73" s="1"/>
  <c r="G34" i="69"/>
  <c r="I31" i="17"/>
  <c r="G24" i="97"/>
  <c r="I30" i="39"/>
  <c r="E32" i="43"/>
  <c r="G31" i="43"/>
  <c r="H31" i="43"/>
  <c r="I30" i="43"/>
  <c r="H24" i="97"/>
  <c r="I23" i="98"/>
  <c r="F24" i="99"/>
  <c r="G24" i="99" s="1"/>
  <c r="B24" i="99"/>
  <c r="E25" i="97"/>
  <c r="F25" i="97" s="1"/>
  <c r="B25" i="97"/>
  <c r="F24" i="98"/>
  <c r="G24" i="98" s="1"/>
  <c r="B24" i="98"/>
  <c r="G37" i="36"/>
  <c r="F105" i="81"/>
  <c r="D106" i="81" s="1"/>
  <c r="M89" i="94"/>
  <c r="O88" i="94"/>
  <c r="O89" i="94" s="1"/>
  <c r="M89" i="62"/>
  <c r="O88" i="62"/>
  <c r="O89" i="62" s="1"/>
  <c r="M89" i="41"/>
  <c r="O88" i="41"/>
  <c r="O89" i="41" s="1"/>
  <c r="J102" i="99"/>
  <c r="E104" i="99"/>
  <c r="D104" i="99"/>
  <c r="G103" i="99"/>
  <c r="G103" i="94"/>
  <c r="H103" i="94" s="1"/>
  <c r="I30" i="42"/>
  <c r="G30" i="74"/>
  <c r="D31" i="74"/>
  <c r="F31" i="74" s="1"/>
  <c r="H31" i="74" s="1"/>
  <c r="H30" i="74"/>
  <c r="I31" i="21"/>
  <c r="F32" i="3"/>
  <c r="D33" i="3" s="1"/>
  <c r="B104" i="26"/>
  <c r="E104" i="26"/>
  <c r="F104" i="26" s="1"/>
  <c r="H103" i="98"/>
  <c r="I103" i="98"/>
  <c r="B104" i="98"/>
  <c r="F104" i="98"/>
  <c r="I103" i="97"/>
  <c r="H103" i="97"/>
  <c r="H103" i="26"/>
  <c r="I103" i="26"/>
  <c r="F104" i="97"/>
  <c r="B104" i="97"/>
  <c r="H103" i="95"/>
  <c r="I103" i="95"/>
  <c r="F104" i="95"/>
  <c r="I103" i="93"/>
  <c r="J103" i="93" s="1"/>
  <c r="B28" i="67"/>
  <c r="F28" i="67"/>
  <c r="G28" i="67" s="1"/>
  <c r="H27" i="65"/>
  <c r="I27" i="65" s="1"/>
  <c r="F29" i="46"/>
  <c r="G29" i="46" s="1"/>
  <c r="B29" i="46"/>
  <c r="D32" i="43"/>
  <c r="B32" i="43" s="1"/>
  <c r="F31" i="42"/>
  <c r="D32" i="42" s="1"/>
  <c r="F33" i="24"/>
  <c r="H33" i="24" s="1"/>
  <c r="B33" i="24"/>
  <c r="G25" i="80"/>
  <c r="D26" i="80"/>
  <c r="E26" i="80"/>
  <c r="B24" i="94"/>
  <c r="F24" i="94"/>
  <c r="H24" i="94" s="1"/>
  <c r="H29" i="72"/>
  <c r="I29" i="72" s="1"/>
  <c r="D27" i="82"/>
  <c r="E27" i="82"/>
  <c r="H26" i="82"/>
  <c r="I26" i="82" s="1"/>
  <c r="B23" i="93"/>
  <c r="F23" i="93"/>
  <c r="G23" i="93" s="1"/>
  <c r="H33" i="30"/>
  <c r="I33" i="30" s="1"/>
  <c r="H25" i="80"/>
  <c r="I25" i="80" s="1"/>
  <c r="G25" i="86"/>
  <c r="D26" i="86"/>
  <c r="H25" i="86"/>
  <c r="E26" i="86"/>
  <c r="I23" i="94"/>
  <c r="B25" i="91"/>
  <c r="F25" i="91"/>
  <c r="H25" i="91" s="1"/>
  <c r="H31" i="20"/>
  <c r="I31" i="20" s="1"/>
  <c r="E104" i="94"/>
  <c r="F104" i="94" s="1"/>
  <c r="H28" i="64"/>
  <c r="I28" i="64" s="1"/>
  <c r="I27" i="66"/>
  <c r="D27" i="75"/>
  <c r="E27" i="75"/>
  <c r="I33" i="23"/>
  <c r="F29" i="53"/>
  <c r="H29" i="53" s="1"/>
  <c r="B29" i="53"/>
  <c r="H25" i="88"/>
  <c r="I25" i="88" s="1"/>
  <c r="H27" i="60"/>
  <c r="I27" i="60" s="1"/>
  <c r="G26" i="75"/>
  <c r="G30" i="58"/>
  <c r="E31" i="58"/>
  <c r="H30" i="58"/>
  <c r="D31" i="58"/>
  <c r="F34" i="23"/>
  <c r="B34" i="23"/>
  <c r="B31" i="42"/>
  <c r="F23" i="95"/>
  <c r="E24" i="95" s="1"/>
  <c r="F25" i="84"/>
  <c r="G25" i="84" s="1"/>
  <c r="B25" i="84"/>
  <c r="B26" i="90"/>
  <c r="F26" i="90"/>
  <c r="G26" i="90" s="1"/>
  <c r="G30" i="55"/>
  <c r="I30" i="55" s="1"/>
  <c r="E31" i="55"/>
  <c r="D31" i="55"/>
  <c r="H26" i="75"/>
  <c r="E28" i="65"/>
  <c r="D28" i="65"/>
  <c r="F28" i="66"/>
  <c r="B28" i="66"/>
  <c r="F34" i="27"/>
  <c r="B34" i="27"/>
  <c r="B32" i="22"/>
  <c r="F32" i="22"/>
  <c r="G32" i="22" s="1"/>
  <c r="B25" i="85"/>
  <c r="F25" i="85"/>
  <c r="H25" i="85" s="1"/>
  <c r="H34" i="31"/>
  <c r="I34" i="31" s="1"/>
  <c r="D32" i="39"/>
  <c r="E32" i="39"/>
  <c r="B23" i="95"/>
  <c r="B23" i="96"/>
  <c r="F23" i="96"/>
  <c r="H23" i="96" s="1"/>
  <c r="B28" i="61"/>
  <c r="F28" i="61"/>
  <c r="G28" i="61" s="1"/>
  <c r="G24" i="83"/>
  <c r="I24" i="83" s="1"/>
  <c r="D30" i="72"/>
  <c r="E30" i="72"/>
  <c r="B25" i="81"/>
  <c r="F25" i="81"/>
  <c r="G25" i="81" s="1"/>
  <c r="F31" i="44"/>
  <c r="G31" i="44" s="1"/>
  <c r="B31" i="44"/>
  <c r="F32" i="19"/>
  <c r="G32" i="19" s="1"/>
  <c r="H31" i="39"/>
  <c r="I31" i="39" s="1"/>
  <c r="B26" i="76"/>
  <c r="F26" i="76"/>
  <c r="I34" i="69"/>
  <c r="I23" i="33"/>
  <c r="B32" i="41"/>
  <c r="F32" i="41"/>
  <c r="G32" i="41" s="1"/>
  <c r="C41" i="17"/>
  <c r="B32" i="17"/>
  <c r="F32" i="17"/>
  <c r="F34" i="29"/>
  <c r="H34" i="29" s="1"/>
  <c r="B34" i="29"/>
  <c r="G23" i="26"/>
  <c r="H23" i="26"/>
  <c r="D24" i="26"/>
  <c r="E24" i="26" s="1"/>
  <c r="D36" i="28"/>
  <c r="E36" i="28"/>
  <c r="B32" i="19"/>
  <c r="D34" i="71"/>
  <c r="E34" i="71"/>
  <c r="D29" i="56"/>
  <c r="E29" i="56"/>
  <c r="D28" i="68"/>
  <c r="E28" i="68"/>
  <c r="B29" i="57"/>
  <c r="F29" i="57"/>
  <c r="H29" i="57" s="1"/>
  <c r="B33" i="32"/>
  <c r="G33" i="34"/>
  <c r="E34" i="34"/>
  <c r="D34" i="34"/>
  <c r="G30" i="45"/>
  <c r="E31" i="45"/>
  <c r="D31" i="45"/>
  <c r="F34" i="70"/>
  <c r="H34" i="70" s="1"/>
  <c r="B34" i="70"/>
  <c r="B26" i="77"/>
  <c r="F26" i="77"/>
  <c r="H26" i="77" s="1"/>
  <c r="H35" i="28"/>
  <c r="F24" i="92"/>
  <c r="B24" i="92"/>
  <c r="F26" i="78"/>
  <c r="G26" i="78" s="1"/>
  <c r="B26" i="78"/>
  <c r="D25" i="83"/>
  <c r="E25" i="83"/>
  <c r="I28" i="57"/>
  <c r="H30" i="45"/>
  <c r="D28" i="60"/>
  <c r="E28" i="60"/>
  <c r="F33" i="32"/>
  <c r="B29" i="54"/>
  <c r="F29" i="54"/>
  <c r="G29" i="54" s="1"/>
  <c r="B32" i="21"/>
  <c r="F32" i="21"/>
  <c r="H32" i="21" s="1"/>
  <c r="D35" i="69"/>
  <c r="E35" i="69"/>
  <c r="B31" i="73"/>
  <c r="F31" i="73"/>
  <c r="I32" i="32"/>
  <c r="E26" i="88"/>
  <c r="D26" i="88"/>
  <c r="F28" i="63"/>
  <c r="H28" i="63" s="1"/>
  <c r="B28" i="63"/>
  <c r="B24" i="89"/>
  <c r="F24" i="89"/>
  <c r="G24" i="89" s="1"/>
  <c r="G35" i="28"/>
  <c r="D34" i="30"/>
  <c r="E34" i="30"/>
  <c r="G33" i="71"/>
  <c r="I33" i="71" s="1"/>
  <c r="G28" i="56"/>
  <c r="I28" i="56" s="1"/>
  <c r="H27" i="68"/>
  <c r="I27" i="68" s="1"/>
  <c r="B32" i="3"/>
  <c r="F26" i="79"/>
  <c r="G26" i="79" s="1"/>
  <c r="B26" i="79"/>
  <c r="I33" i="70"/>
  <c r="E29" i="64"/>
  <c r="D29" i="64"/>
  <c r="I33" i="29"/>
  <c r="E35" i="31"/>
  <c r="D35" i="31"/>
  <c r="H33" i="34"/>
  <c r="B24" i="33"/>
  <c r="F24" i="33"/>
  <c r="I103" i="94"/>
  <c r="D113" i="17"/>
  <c r="B113" i="17" s="1"/>
  <c r="E113" i="17"/>
  <c r="D25" i="87"/>
  <c r="E25" i="87"/>
  <c r="D28" i="62"/>
  <c r="E28" i="62"/>
  <c r="J103" i="89"/>
  <c r="J104" i="81"/>
  <c r="E32" i="35"/>
  <c r="F32" i="35" s="1"/>
  <c r="G31" i="35"/>
  <c r="H31" i="35"/>
  <c r="B32" i="35"/>
  <c r="H27" i="62"/>
  <c r="D24" i="13"/>
  <c r="E24" i="13" s="1"/>
  <c r="G24" i="87"/>
  <c r="D32" i="20"/>
  <c r="E32" i="20"/>
  <c r="B28" i="59"/>
  <c r="F28" i="59"/>
  <c r="G28" i="59" s="1"/>
  <c r="I30" i="35"/>
  <c r="B33" i="18"/>
  <c r="F33" i="18"/>
  <c r="G33" i="18" s="1"/>
  <c r="G23" i="13"/>
  <c r="I23" i="13" s="1"/>
  <c r="I32" i="18"/>
  <c r="J107" i="62"/>
  <c r="J103" i="91"/>
  <c r="H24" i="87"/>
  <c r="G27" i="62"/>
  <c r="B112" i="34"/>
  <c r="F112" i="34"/>
  <c r="I113" i="69"/>
  <c r="H113" i="69"/>
  <c r="F113" i="31"/>
  <c r="B113" i="31"/>
  <c r="I103" i="88"/>
  <c r="H103" i="88"/>
  <c r="I113" i="27"/>
  <c r="H113" i="27"/>
  <c r="I113" i="30"/>
  <c r="H113" i="30"/>
  <c r="H112" i="32"/>
  <c r="I112" i="32"/>
  <c r="F105" i="85"/>
  <c r="B105" i="85"/>
  <c r="F112" i="19"/>
  <c r="B112" i="19"/>
  <c r="H113" i="70"/>
  <c r="I113" i="70"/>
  <c r="F108" i="64"/>
  <c r="B108" i="64"/>
  <c r="H106" i="66"/>
  <c r="I106" i="66"/>
  <c r="F108" i="65"/>
  <c r="B108" i="65"/>
  <c r="H111" i="20"/>
  <c r="I111" i="20"/>
  <c r="H108" i="72"/>
  <c r="I108" i="72"/>
  <c r="B104" i="90"/>
  <c r="F104" i="90"/>
  <c r="B104" i="86"/>
  <c r="F104" i="86"/>
  <c r="I107" i="63"/>
  <c r="H107" i="63"/>
  <c r="I107" i="60"/>
  <c r="H107" i="60"/>
  <c r="B111" i="43"/>
  <c r="F111" i="43"/>
  <c r="D113" i="22"/>
  <c r="G112" i="22"/>
  <c r="E113" i="22"/>
  <c r="B104" i="88"/>
  <c r="F104" i="88"/>
  <c r="F114" i="27"/>
  <c r="B114" i="27"/>
  <c r="F114" i="30"/>
  <c r="B114" i="30"/>
  <c r="H104" i="85"/>
  <c r="I104" i="85"/>
  <c r="F108" i="61"/>
  <c r="B108" i="61"/>
  <c r="D111" i="45"/>
  <c r="E111" i="45"/>
  <c r="G110" i="45"/>
  <c r="F111" i="39"/>
  <c r="B111" i="39"/>
  <c r="B109" i="53"/>
  <c r="F109" i="53"/>
  <c r="I105" i="79"/>
  <c r="H105" i="79"/>
  <c r="B109" i="72"/>
  <c r="F109" i="72"/>
  <c r="J109" i="45"/>
  <c r="H103" i="90"/>
  <c r="I103" i="90"/>
  <c r="H108" i="58"/>
  <c r="I108" i="58"/>
  <c r="J111" i="22"/>
  <c r="D109" i="62"/>
  <c r="G108" i="62"/>
  <c r="E109" i="62"/>
  <c r="B106" i="78"/>
  <c r="F106" i="78"/>
  <c r="H103" i="84"/>
  <c r="I103" i="84"/>
  <c r="B108" i="63"/>
  <c r="F108" i="63"/>
  <c r="J109" i="56"/>
  <c r="J110" i="41"/>
  <c r="D112" i="73"/>
  <c r="G111" i="73"/>
  <c r="E112" i="73"/>
  <c r="G104" i="91"/>
  <c r="D105" i="91"/>
  <c r="E105" i="91"/>
  <c r="F113" i="32"/>
  <c r="B113" i="32"/>
  <c r="H106" i="68"/>
  <c r="I106" i="68"/>
  <c r="E112" i="41"/>
  <c r="G111" i="41"/>
  <c r="D112" i="41"/>
  <c r="I110" i="39"/>
  <c r="H110" i="39"/>
  <c r="F114" i="70"/>
  <c r="B114" i="70"/>
  <c r="I107" i="64"/>
  <c r="H107" i="64"/>
  <c r="B107" i="66"/>
  <c r="F107" i="66"/>
  <c r="B112" i="20"/>
  <c r="F112" i="20"/>
  <c r="H113" i="29"/>
  <c r="I113" i="29"/>
  <c r="F110" i="74"/>
  <c r="B110" i="74"/>
  <c r="H103" i="92"/>
  <c r="I103" i="92"/>
  <c r="I103" i="86"/>
  <c r="N88" i="86" s="1"/>
  <c r="H103" i="86"/>
  <c r="M88" i="86" s="1"/>
  <c r="M89" i="86" s="1"/>
  <c r="I105" i="78"/>
  <c r="H105" i="78"/>
  <c r="B104" i="84"/>
  <c r="F104" i="84"/>
  <c r="I110" i="43"/>
  <c r="H110" i="43"/>
  <c r="F109" i="46"/>
  <c r="B109" i="46"/>
  <c r="I111" i="34"/>
  <c r="N88" i="34" s="1"/>
  <c r="H111" i="34"/>
  <c r="M88" i="34" s="1"/>
  <c r="M89" i="34" s="1"/>
  <c r="F114" i="69"/>
  <c r="B114" i="69"/>
  <c r="H112" i="31"/>
  <c r="I112" i="31"/>
  <c r="G104" i="89"/>
  <c r="E105" i="89"/>
  <c r="D105" i="89"/>
  <c r="G105" i="81"/>
  <c r="B107" i="68"/>
  <c r="F107" i="68"/>
  <c r="H107" i="61"/>
  <c r="I107" i="61"/>
  <c r="H111" i="19"/>
  <c r="I111" i="19"/>
  <c r="I108" i="53"/>
  <c r="H108" i="53"/>
  <c r="H107" i="65"/>
  <c r="I107" i="65"/>
  <c r="B106" i="79"/>
  <c r="F106" i="79"/>
  <c r="B114" i="29"/>
  <c r="F114" i="29"/>
  <c r="I109" i="74"/>
  <c r="N88" i="74" s="1"/>
  <c r="H109" i="74"/>
  <c r="M88" i="74" s="1"/>
  <c r="M89" i="74" s="1"/>
  <c r="F104" i="92"/>
  <c r="B104" i="92"/>
  <c r="B109" i="58"/>
  <c r="F109" i="58"/>
  <c r="F108" i="60"/>
  <c r="B108" i="60"/>
  <c r="I108" i="46"/>
  <c r="H108" i="46"/>
  <c r="B114" i="23"/>
  <c r="F114" i="23"/>
  <c r="I112" i="18"/>
  <c r="H112" i="18"/>
  <c r="F109" i="59"/>
  <c r="B109" i="59"/>
  <c r="H113" i="23"/>
  <c r="I113" i="23"/>
  <c r="E111" i="56"/>
  <c r="G110" i="56"/>
  <c r="D111" i="56"/>
  <c r="H108" i="59"/>
  <c r="I108" i="59"/>
  <c r="F113" i="18"/>
  <c r="B113" i="18"/>
  <c r="I109" i="57"/>
  <c r="H109" i="57"/>
  <c r="F114" i="71"/>
  <c r="B114" i="71"/>
  <c r="F110" i="57"/>
  <c r="B110" i="57"/>
  <c r="H113" i="71"/>
  <c r="I113" i="71"/>
  <c r="J103" i="25"/>
  <c r="G106" i="75"/>
  <c r="D107" i="75"/>
  <c r="E107" i="75"/>
  <c r="J105" i="76"/>
  <c r="I106" i="67"/>
  <c r="H106" i="67"/>
  <c r="B111" i="44"/>
  <c r="F111" i="44"/>
  <c r="G114" i="35"/>
  <c r="B115" i="35"/>
  <c r="E115" i="35"/>
  <c r="F115" i="35" s="1"/>
  <c r="B104" i="96"/>
  <c r="D105" i="25"/>
  <c r="G104" i="25"/>
  <c r="H103" i="87"/>
  <c r="I103" i="87"/>
  <c r="D106" i="80"/>
  <c r="G105" i="80"/>
  <c r="E106" i="80"/>
  <c r="J110" i="42"/>
  <c r="J112" i="24"/>
  <c r="H111" i="3"/>
  <c r="I111" i="3"/>
  <c r="H104" i="82"/>
  <c r="I104" i="82"/>
  <c r="J102" i="33"/>
  <c r="H114" i="28"/>
  <c r="I114" i="28"/>
  <c r="J112" i="35"/>
  <c r="G103" i="13"/>
  <c r="D104" i="13"/>
  <c r="E106" i="83"/>
  <c r="G105" i="83"/>
  <c r="D106" i="83"/>
  <c r="B107" i="67"/>
  <c r="F107" i="67"/>
  <c r="H110" i="44"/>
  <c r="I110" i="44"/>
  <c r="E104" i="96"/>
  <c r="F104" i="96" s="1"/>
  <c r="F115" i="28"/>
  <c r="B115" i="28"/>
  <c r="J102" i="13"/>
  <c r="J104" i="80"/>
  <c r="D110" i="55"/>
  <c r="G109" i="55"/>
  <c r="E110" i="55"/>
  <c r="H112" i="17"/>
  <c r="I112" i="17"/>
  <c r="D114" i="24"/>
  <c r="G113" i="24"/>
  <c r="E114" i="24"/>
  <c r="J111" i="17"/>
  <c r="E107" i="76"/>
  <c r="G106" i="76"/>
  <c r="D107" i="76"/>
  <c r="J105" i="75"/>
  <c r="G103" i="33"/>
  <c r="D104" i="33"/>
  <c r="E104" i="33" s="1"/>
  <c r="J111" i="21"/>
  <c r="J108" i="54"/>
  <c r="G106" i="77"/>
  <c r="D107" i="77"/>
  <c r="E107" i="77"/>
  <c r="B104" i="87"/>
  <c r="F104" i="87"/>
  <c r="G109" i="54"/>
  <c r="D110" i="54"/>
  <c r="E110" i="54"/>
  <c r="J105" i="77"/>
  <c r="I113" i="35"/>
  <c r="H113" i="35"/>
  <c r="G104" i="93"/>
  <c r="D105" i="93"/>
  <c r="E105" i="93" s="1"/>
  <c r="H103" i="96"/>
  <c r="I103" i="96"/>
  <c r="J104" i="83"/>
  <c r="J108" i="55"/>
  <c r="E113" i="21"/>
  <c r="G112" i="21"/>
  <c r="D113" i="21"/>
  <c r="B112" i="3"/>
  <c r="F112" i="3"/>
  <c r="F105" i="82"/>
  <c r="B105" i="82"/>
  <c r="G111" i="42"/>
  <c r="D112" i="42"/>
  <c r="E112" i="42"/>
  <c r="I86" i="36"/>
  <c r="I66" i="36"/>
  <c r="I39" i="36"/>
  <c r="I78" i="36"/>
  <c r="I36" i="36"/>
  <c r="I54" i="36"/>
  <c r="H23" i="25" l="1"/>
  <c r="G23" i="25"/>
  <c r="I23" i="25" s="1"/>
  <c r="D24" i="25"/>
  <c r="E106" i="81"/>
  <c r="F106" i="81" s="1"/>
  <c r="I31" i="43"/>
  <c r="H24" i="99"/>
  <c r="I24" i="99" s="1"/>
  <c r="I24" i="97"/>
  <c r="D26" i="97"/>
  <c r="B26" i="97" s="1"/>
  <c r="G25" i="97"/>
  <c r="H31" i="42"/>
  <c r="H32" i="3"/>
  <c r="I32" i="3" s="1"/>
  <c r="E32" i="42"/>
  <c r="F32" i="42" s="1"/>
  <c r="G32" i="42" s="1"/>
  <c r="G32" i="3"/>
  <c r="E33" i="3"/>
  <c r="F33" i="3" s="1"/>
  <c r="H33" i="3" s="1"/>
  <c r="F32" i="43"/>
  <c r="G32" i="43" s="1"/>
  <c r="D25" i="98"/>
  <c r="E25" i="98"/>
  <c r="E26" i="97"/>
  <c r="H24" i="98"/>
  <c r="H25" i="97"/>
  <c r="D25" i="99"/>
  <c r="E25" i="99"/>
  <c r="G25" i="91"/>
  <c r="I25" i="91" s="1"/>
  <c r="O88" i="86"/>
  <c r="O89" i="86" s="1"/>
  <c r="N89" i="86"/>
  <c r="N89" i="34"/>
  <c r="O88" i="34"/>
  <c r="O89" i="34" s="1"/>
  <c r="O88" i="74"/>
  <c r="O89" i="74" s="1"/>
  <c r="N89" i="74"/>
  <c r="B31" i="74"/>
  <c r="I30" i="74"/>
  <c r="G31" i="42"/>
  <c r="G33" i="24"/>
  <c r="H103" i="99"/>
  <c r="I103" i="99"/>
  <c r="F104" i="99"/>
  <c r="B104" i="99"/>
  <c r="J103" i="95"/>
  <c r="J103" i="98"/>
  <c r="H29" i="46"/>
  <c r="I29" i="46" s="1"/>
  <c r="H31" i="44"/>
  <c r="I31" i="44" s="1"/>
  <c r="E33" i="19"/>
  <c r="D105" i="97"/>
  <c r="G104" i="97"/>
  <c r="E105" i="97"/>
  <c r="J103" i="97"/>
  <c r="J103" i="26"/>
  <c r="D105" i="98"/>
  <c r="G104" i="98"/>
  <c r="E105" i="98"/>
  <c r="D105" i="26"/>
  <c r="G104" i="26"/>
  <c r="G104" i="95"/>
  <c r="D105" i="95"/>
  <c r="B105" i="95" s="1"/>
  <c r="E105" i="95"/>
  <c r="J103" i="94"/>
  <c r="H26" i="90"/>
  <c r="I26" i="90" s="1"/>
  <c r="G24" i="94"/>
  <c r="I24" i="94" s="1"/>
  <c r="H23" i="93"/>
  <c r="I23" i="93" s="1"/>
  <c r="H26" i="79"/>
  <c r="I26" i="79" s="1"/>
  <c r="I26" i="75"/>
  <c r="H28" i="67"/>
  <c r="I28" i="67" s="1"/>
  <c r="D29" i="67"/>
  <c r="E29" i="67"/>
  <c r="I30" i="58"/>
  <c r="D30" i="46"/>
  <c r="E30" i="46"/>
  <c r="G34" i="29"/>
  <c r="I34" i="29" s="1"/>
  <c r="I33" i="24"/>
  <c r="E34" i="24"/>
  <c r="D34" i="24"/>
  <c r="D33" i="19"/>
  <c r="H32" i="19"/>
  <c r="I32" i="19" s="1"/>
  <c r="H33" i="18"/>
  <c r="I33" i="18" s="1"/>
  <c r="H25" i="84"/>
  <c r="I25" i="84" s="1"/>
  <c r="B26" i="86"/>
  <c r="F26" i="86"/>
  <c r="H26" i="86" s="1"/>
  <c r="B26" i="80"/>
  <c r="F26" i="80"/>
  <c r="H26" i="80" s="1"/>
  <c r="D24" i="93"/>
  <c r="E24" i="93"/>
  <c r="F27" i="82"/>
  <c r="G27" i="82" s="1"/>
  <c r="B27" i="82"/>
  <c r="D25" i="94"/>
  <c r="E25" i="94"/>
  <c r="H25" i="81"/>
  <c r="I25" i="81" s="1"/>
  <c r="I25" i="86"/>
  <c r="E35" i="23"/>
  <c r="D35" i="23"/>
  <c r="G104" i="94"/>
  <c r="D105" i="94"/>
  <c r="G23" i="95"/>
  <c r="G28" i="66"/>
  <c r="E29" i="66"/>
  <c r="D29" i="66"/>
  <c r="F31" i="55"/>
  <c r="G31" i="55" s="1"/>
  <c r="B31" i="55"/>
  <c r="G34" i="23"/>
  <c r="B27" i="75"/>
  <c r="F27" i="75"/>
  <c r="H27" i="75" s="1"/>
  <c r="G32" i="21"/>
  <c r="I32" i="21" s="1"/>
  <c r="H23" i="95"/>
  <c r="H32" i="22"/>
  <c r="I32" i="22" s="1"/>
  <c r="D24" i="95"/>
  <c r="B24" i="95" s="1"/>
  <c r="B28" i="65"/>
  <c r="F28" i="65"/>
  <c r="H28" i="65" s="1"/>
  <c r="D27" i="90"/>
  <c r="E27" i="90"/>
  <c r="H34" i="23"/>
  <c r="D26" i="91"/>
  <c r="E26" i="91"/>
  <c r="B32" i="42"/>
  <c r="H28" i="66"/>
  <c r="D26" i="84"/>
  <c r="E26" i="84"/>
  <c r="F31" i="58"/>
  <c r="B31" i="58"/>
  <c r="G29" i="53"/>
  <c r="I29" i="53" s="1"/>
  <c r="D30" i="53"/>
  <c r="E30" i="53"/>
  <c r="H26" i="76"/>
  <c r="E27" i="76"/>
  <c r="D27" i="76"/>
  <c r="G34" i="70"/>
  <c r="I34" i="70" s="1"/>
  <c r="G26" i="76"/>
  <c r="B30" i="72"/>
  <c r="F30" i="72"/>
  <c r="D29" i="61"/>
  <c r="E29" i="61"/>
  <c r="G23" i="96"/>
  <c r="I23" i="96" s="1"/>
  <c r="E24" i="96"/>
  <c r="D24" i="96"/>
  <c r="H34" i="27"/>
  <c r="G34" i="27"/>
  <c r="E35" i="27"/>
  <c r="D35" i="27"/>
  <c r="G29" i="57"/>
  <c r="I29" i="57" s="1"/>
  <c r="D26" i="81"/>
  <c r="E26" i="81"/>
  <c r="E32" i="44"/>
  <c r="D32" i="44"/>
  <c r="H28" i="61"/>
  <c r="I28" i="61" s="1"/>
  <c r="F32" i="39"/>
  <c r="G32" i="39" s="1"/>
  <c r="B32" i="39"/>
  <c r="G25" i="85"/>
  <c r="I25" i="85" s="1"/>
  <c r="D26" i="85"/>
  <c r="E26" i="85"/>
  <c r="D33" i="22"/>
  <c r="E33" i="22"/>
  <c r="I33" i="34"/>
  <c r="I30" i="45"/>
  <c r="D25" i="33"/>
  <c r="E25" i="33" s="1"/>
  <c r="B35" i="69"/>
  <c r="F35" i="69"/>
  <c r="F31" i="45"/>
  <c r="B31" i="45"/>
  <c r="B28" i="68"/>
  <c r="F28" i="68"/>
  <c r="H28" i="68" s="1"/>
  <c r="B36" i="28"/>
  <c r="F36" i="28"/>
  <c r="G36" i="28" s="1"/>
  <c r="D33" i="17"/>
  <c r="E33" i="17"/>
  <c r="F29" i="64"/>
  <c r="H29" i="64" s="1"/>
  <c r="B29" i="64"/>
  <c r="H24" i="89"/>
  <c r="I24" i="89" s="1"/>
  <c r="D25" i="89"/>
  <c r="E25" i="89"/>
  <c r="B26" i="88"/>
  <c r="D33" i="21"/>
  <c r="E33" i="21"/>
  <c r="D34" i="32"/>
  <c r="E34" i="32"/>
  <c r="I35" i="28"/>
  <c r="G26" i="77"/>
  <c r="I26" i="77" s="1"/>
  <c r="D27" i="77"/>
  <c r="E27" i="77"/>
  <c r="D35" i="29"/>
  <c r="E35" i="29"/>
  <c r="D33" i="41"/>
  <c r="E33" i="41"/>
  <c r="B35" i="31"/>
  <c r="F35" i="31"/>
  <c r="E29" i="63"/>
  <c r="D29" i="63"/>
  <c r="H31" i="73"/>
  <c r="E32" i="73"/>
  <c r="D32" i="73"/>
  <c r="G31" i="73"/>
  <c r="D27" i="78"/>
  <c r="E27" i="78"/>
  <c r="H24" i="92"/>
  <c r="E25" i="92"/>
  <c r="D25" i="92"/>
  <c r="D32" i="74"/>
  <c r="E32" i="74"/>
  <c r="B34" i="71"/>
  <c r="F34" i="71"/>
  <c r="G34" i="71" s="1"/>
  <c r="H24" i="33"/>
  <c r="E33" i="43"/>
  <c r="F26" i="88"/>
  <c r="H26" i="88" s="1"/>
  <c r="G24" i="92"/>
  <c r="H33" i="32"/>
  <c r="B29" i="56"/>
  <c r="F29" i="56"/>
  <c r="G29" i="56" s="1"/>
  <c r="B24" i="26"/>
  <c r="F24" i="26"/>
  <c r="G32" i="17"/>
  <c r="B33" i="3"/>
  <c r="I31" i="35"/>
  <c r="G24" i="33"/>
  <c r="D27" i="79"/>
  <c r="E27" i="79"/>
  <c r="F34" i="30"/>
  <c r="B34" i="30"/>
  <c r="G28" i="63"/>
  <c r="I28" i="63" s="1"/>
  <c r="H29" i="54"/>
  <c r="I29" i="54" s="1"/>
  <c r="E30" i="54"/>
  <c r="D30" i="54"/>
  <c r="B28" i="60"/>
  <c r="F28" i="60"/>
  <c r="H28" i="60" s="1"/>
  <c r="B25" i="83"/>
  <c r="F25" i="83"/>
  <c r="H25" i="83" s="1"/>
  <c r="H26" i="78"/>
  <c r="I26" i="78" s="1"/>
  <c r="D35" i="70"/>
  <c r="E35" i="70"/>
  <c r="F34" i="34"/>
  <c r="B34" i="34"/>
  <c r="G33" i="32"/>
  <c r="E30" i="57"/>
  <c r="D30" i="57"/>
  <c r="G31" i="74"/>
  <c r="I31" i="74" s="1"/>
  <c r="I23" i="26"/>
  <c r="H32" i="17"/>
  <c r="H32" i="41"/>
  <c r="I32" i="41" s="1"/>
  <c r="J111" i="20"/>
  <c r="J106" i="66"/>
  <c r="F113" i="17"/>
  <c r="G113" i="17" s="1"/>
  <c r="J113" i="70"/>
  <c r="J113" i="23"/>
  <c r="J103" i="90"/>
  <c r="J104" i="85"/>
  <c r="I27" i="62"/>
  <c r="I24" i="87"/>
  <c r="B32" i="20"/>
  <c r="F32" i="20"/>
  <c r="G32" i="20" s="1"/>
  <c r="F28" i="62"/>
  <c r="G28" i="62" s="1"/>
  <c r="B28" i="62"/>
  <c r="E29" i="59"/>
  <c r="D29" i="59"/>
  <c r="F25" i="87"/>
  <c r="H25" i="87" s="1"/>
  <c r="B25" i="87"/>
  <c r="J108" i="53"/>
  <c r="J103" i="86"/>
  <c r="J107" i="64"/>
  <c r="J110" i="39"/>
  <c r="E33" i="35"/>
  <c r="F33" i="35" s="1"/>
  <c r="B33" i="35"/>
  <c r="H32" i="35"/>
  <c r="G32" i="35"/>
  <c r="J113" i="71"/>
  <c r="J107" i="65"/>
  <c r="J111" i="19"/>
  <c r="J112" i="31"/>
  <c r="J103" i="92"/>
  <c r="J113" i="29"/>
  <c r="J108" i="72"/>
  <c r="J112" i="32"/>
  <c r="D34" i="18"/>
  <c r="E34" i="18"/>
  <c r="H28" i="59"/>
  <c r="I28" i="59" s="1"/>
  <c r="F24" i="13"/>
  <c r="G24" i="13" s="1"/>
  <c r="B24" i="13"/>
  <c r="J108" i="46"/>
  <c r="J109" i="74"/>
  <c r="E107" i="79"/>
  <c r="G106" i="79"/>
  <c r="D107" i="79"/>
  <c r="J107" i="61"/>
  <c r="D105" i="84"/>
  <c r="G104" i="84"/>
  <c r="E105" i="84"/>
  <c r="E113" i="20"/>
  <c r="D113" i="20"/>
  <c r="G112" i="20"/>
  <c r="D114" i="32"/>
  <c r="E114" i="32"/>
  <c r="G113" i="32"/>
  <c r="I108" i="62"/>
  <c r="H108" i="62"/>
  <c r="E110" i="72"/>
  <c r="D110" i="72"/>
  <c r="G109" i="72"/>
  <c r="D110" i="53"/>
  <c r="E110" i="53"/>
  <c r="G109" i="53"/>
  <c r="H110" i="45"/>
  <c r="I110" i="45"/>
  <c r="E109" i="61"/>
  <c r="D109" i="61"/>
  <c r="G108" i="61"/>
  <c r="E115" i="30"/>
  <c r="D115" i="30"/>
  <c r="G114" i="30"/>
  <c r="G111" i="43"/>
  <c r="E112" i="43"/>
  <c r="D112" i="43"/>
  <c r="D105" i="90"/>
  <c r="G104" i="90"/>
  <c r="E105" i="90"/>
  <c r="B106" i="81"/>
  <c r="I104" i="89"/>
  <c r="H104" i="89"/>
  <c r="G114" i="69"/>
  <c r="E115" i="69"/>
  <c r="D115" i="69"/>
  <c r="D110" i="46"/>
  <c r="E110" i="46"/>
  <c r="G109" i="46"/>
  <c r="G110" i="74"/>
  <c r="D111" i="74"/>
  <c r="E111" i="74"/>
  <c r="J106" i="68"/>
  <c r="H111" i="73"/>
  <c r="I111" i="73"/>
  <c r="E109" i="63"/>
  <c r="G108" i="63"/>
  <c r="D109" i="63"/>
  <c r="G106" i="78"/>
  <c r="E107" i="78"/>
  <c r="D107" i="78"/>
  <c r="B109" i="62"/>
  <c r="F109" i="62"/>
  <c r="J107" i="63"/>
  <c r="G105" i="85"/>
  <c r="E106" i="85"/>
  <c r="D106" i="85"/>
  <c r="J113" i="30"/>
  <c r="J103" i="88"/>
  <c r="J113" i="69"/>
  <c r="D109" i="60"/>
  <c r="G108" i="60"/>
  <c r="E109" i="60"/>
  <c r="D105" i="92"/>
  <c r="E105" i="92"/>
  <c r="G104" i="92"/>
  <c r="D115" i="29"/>
  <c r="G114" i="29"/>
  <c r="E115" i="29"/>
  <c r="D108" i="68"/>
  <c r="E108" i="68"/>
  <c r="G107" i="68"/>
  <c r="I105" i="81"/>
  <c r="H105" i="81"/>
  <c r="D108" i="66"/>
  <c r="E108" i="66"/>
  <c r="G107" i="66"/>
  <c r="B112" i="41"/>
  <c r="F112" i="41"/>
  <c r="F105" i="91"/>
  <c r="B105" i="91"/>
  <c r="F112" i="73"/>
  <c r="B112" i="73"/>
  <c r="F111" i="45"/>
  <c r="B111" i="45"/>
  <c r="D115" i="27"/>
  <c r="G114" i="27"/>
  <c r="E115" i="27"/>
  <c r="H112" i="22"/>
  <c r="I112" i="22"/>
  <c r="D105" i="86"/>
  <c r="E105" i="86"/>
  <c r="G104" i="86"/>
  <c r="G112" i="34"/>
  <c r="D113" i="34"/>
  <c r="E113" i="34"/>
  <c r="D110" i="58"/>
  <c r="E110" i="58"/>
  <c r="G109" i="58"/>
  <c r="F105" i="89"/>
  <c r="B105" i="89"/>
  <c r="J111" i="34"/>
  <c r="J110" i="43"/>
  <c r="J105" i="78"/>
  <c r="G114" i="70"/>
  <c r="E115" i="70"/>
  <c r="D115" i="70"/>
  <c r="I111" i="41"/>
  <c r="H111" i="41"/>
  <c r="I104" i="91"/>
  <c r="H104" i="91"/>
  <c r="J103" i="84"/>
  <c r="J108" i="58"/>
  <c r="J105" i="79"/>
  <c r="D112" i="39"/>
  <c r="G111" i="39"/>
  <c r="E112" i="39"/>
  <c r="G104" i="88"/>
  <c r="D105" i="88"/>
  <c r="E105" i="88"/>
  <c r="F113" i="22"/>
  <c r="B113" i="22"/>
  <c r="J107" i="60"/>
  <c r="D109" i="65"/>
  <c r="E109" i="65"/>
  <c r="G108" i="65"/>
  <c r="G108" i="64"/>
  <c r="D109" i="64"/>
  <c r="E109" i="64"/>
  <c r="D113" i="19"/>
  <c r="G112" i="19"/>
  <c r="E113" i="19"/>
  <c r="J113" i="27"/>
  <c r="D114" i="31"/>
  <c r="G113" i="31"/>
  <c r="E114" i="31"/>
  <c r="B111" i="56"/>
  <c r="F111" i="56"/>
  <c r="G109" i="59"/>
  <c r="E110" i="59"/>
  <c r="D110" i="59"/>
  <c r="D114" i="18"/>
  <c r="E114" i="18"/>
  <c r="G113" i="18"/>
  <c r="H110" i="56"/>
  <c r="I110" i="56"/>
  <c r="J112" i="17"/>
  <c r="J108" i="59"/>
  <c r="J112" i="18"/>
  <c r="E115" i="23"/>
  <c r="D115" i="23"/>
  <c r="G114" i="23"/>
  <c r="D111" i="57"/>
  <c r="G110" i="57"/>
  <c r="E111" i="57"/>
  <c r="E115" i="71"/>
  <c r="G114" i="71"/>
  <c r="D115" i="71"/>
  <c r="J109" i="57"/>
  <c r="G104" i="96"/>
  <c r="D105" i="96"/>
  <c r="J103" i="96"/>
  <c r="H109" i="54"/>
  <c r="I109" i="54"/>
  <c r="J104" i="82"/>
  <c r="I105" i="80"/>
  <c r="H105" i="80"/>
  <c r="B105" i="25"/>
  <c r="I106" i="76"/>
  <c r="H106" i="76"/>
  <c r="I113" i="24"/>
  <c r="H113" i="24"/>
  <c r="B104" i="13"/>
  <c r="B106" i="80"/>
  <c r="F106" i="80"/>
  <c r="D112" i="44"/>
  <c r="G111" i="44"/>
  <c r="E112" i="44"/>
  <c r="B107" i="76"/>
  <c r="F107" i="76"/>
  <c r="B116" i="35"/>
  <c r="G115" i="35"/>
  <c r="E116" i="35"/>
  <c r="F116" i="35" s="1"/>
  <c r="J106" i="67"/>
  <c r="D106" i="82"/>
  <c r="G105" i="82"/>
  <c r="E106" i="82"/>
  <c r="B107" i="77"/>
  <c r="F107" i="77"/>
  <c r="H112" i="21"/>
  <c r="I112" i="21"/>
  <c r="F105" i="93"/>
  <c r="B105" i="93"/>
  <c r="J113" i="35"/>
  <c r="H106" i="77"/>
  <c r="I106" i="77"/>
  <c r="B104" i="33"/>
  <c r="F104" i="33"/>
  <c r="F114" i="24"/>
  <c r="B114" i="24"/>
  <c r="H109" i="55"/>
  <c r="I109" i="55"/>
  <c r="D116" i="28"/>
  <c r="G115" i="28"/>
  <c r="E116" i="28"/>
  <c r="J110" i="44"/>
  <c r="F106" i="83"/>
  <c r="B106" i="83"/>
  <c r="H103" i="13"/>
  <c r="M88" i="13" s="1"/>
  <c r="M89" i="13" s="1"/>
  <c r="I103" i="13"/>
  <c r="N88" i="13" s="1"/>
  <c r="J103" i="87"/>
  <c r="E105" i="25"/>
  <c r="F105" i="25" s="1"/>
  <c r="H114" i="35"/>
  <c r="I114" i="35"/>
  <c r="B107" i="75"/>
  <c r="F107" i="75"/>
  <c r="B112" i="42"/>
  <c r="F112" i="42"/>
  <c r="G107" i="67"/>
  <c r="D108" i="67"/>
  <c r="E108" i="67"/>
  <c r="H111" i="42"/>
  <c r="I111" i="42"/>
  <c r="F113" i="21"/>
  <c r="B113" i="21"/>
  <c r="D113" i="3"/>
  <c r="G112" i="3"/>
  <c r="E113" i="3"/>
  <c r="H104" i="93"/>
  <c r="I104" i="93"/>
  <c r="B110" i="54"/>
  <c r="F110" i="54"/>
  <c r="G104" i="87"/>
  <c r="D105" i="87"/>
  <c r="E105" i="87"/>
  <c r="H103" i="33"/>
  <c r="I103" i="33"/>
  <c r="B110" i="55"/>
  <c r="F110" i="55"/>
  <c r="I105" i="83"/>
  <c r="H105" i="83"/>
  <c r="E104" i="13"/>
  <c r="F104" i="13" s="1"/>
  <c r="J114" i="28"/>
  <c r="J111" i="3"/>
  <c r="I104" i="25"/>
  <c r="H104" i="25"/>
  <c r="I106" i="75"/>
  <c r="H106" i="75"/>
  <c r="E24" i="25" l="1"/>
  <c r="F24" i="25" s="1"/>
  <c r="H24" i="25"/>
  <c r="B24" i="25"/>
  <c r="G24" i="25"/>
  <c r="F26" i="97"/>
  <c r="G26" i="97" s="1"/>
  <c r="F33" i="19"/>
  <c r="H33" i="19" s="1"/>
  <c r="I31" i="42"/>
  <c r="H32" i="43"/>
  <c r="I32" i="43" s="1"/>
  <c r="D33" i="43"/>
  <c r="I28" i="66"/>
  <c r="F25" i="99"/>
  <c r="D26" i="99" s="1"/>
  <c r="B25" i="99"/>
  <c r="I25" i="97"/>
  <c r="D27" i="97"/>
  <c r="E27" i="97"/>
  <c r="F25" i="98"/>
  <c r="G25" i="98" s="1"/>
  <c r="B25" i="98"/>
  <c r="I24" i="98"/>
  <c r="H26" i="97"/>
  <c r="I26" i="97" s="1"/>
  <c r="J103" i="99"/>
  <c r="N89" i="13"/>
  <c r="O88" i="13"/>
  <c r="O89" i="13" s="1"/>
  <c r="G26" i="80"/>
  <c r="I26" i="80" s="1"/>
  <c r="I32" i="17"/>
  <c r="D105" i="99"/>
  <c r="G104" i="99"/>
  <c r="E105" i="99"/>
  <c r="B33" i="19"/>
  <c r="H104" i="98"/>
  <c r="I104" i="98"/>
  <c r="I104" i="26"/>
  <c r="H104" i="26"/>
  <c r="F105" i="98"/>
  <c r="B105" i="98"/>
  <c r="I104" i="97"/>
  <c r="H104" i="97"/>
  <c r="F105" i="95"/>
  <c r="E106" i="95" s="1"/>
  <c r="B105" i="26"/>
  <c r="E105" i="26"/>
  <c r="F105" i="26" s="1"/>
  <c r="F105" i="97"/>
  <c r="B105" i="97"/>
  <c r="I104" i="95"/>
  <c r="H104" i="95"/>
  <c r="D114" i="17"/>
  <c r="B114" i="17" s="1"/>
  <c r="E114" i="17"/>
  <c r="I23" i="95"/>
  <c r="G25" i="83"/>
  <c r="I25" i="83" s="1"/>
  <c r="F24" i="95"/>
  <c r="H24" i="95" s="1"/>
  <c r="F29" i="67"/>
  <c r="G29" i="67" s="1"/>
  <c r="B29" i="67"/>
  <c r="G29" i="64"/>
  <c r="I29" i="64" s="1"/>
  <c r="B30" i="46"/>
  <c r="F30" i="46"/>
  <c r="G30" i="46" s="1"/>
  <c r="F34" i="24"/>
  <c r="H34" i="24" s="1"/>
  <c r="B34" i="24"/>
  <c r="I34" i="27"/>
  <c r="F24" i="93"/>
  <c r="H24" i="93" s="1"/>
  <c r="B24" i="93"/>
  <c r="F25" i="94"/>
  <c r="H25" i="94" s="1"/>
  <c r="B25" i="94"/>
  <c r="E28" i="82"/>
  <c r="D28" i="82"/>
  <c r="D27" i="86"/>
  <c r="E27" i="86"/>
  <c r="G26" i="86"/>
  <c r="I26" i="86" s="1"/>
  <c r="H24" i="13"/>
  <c r="H27" i="82"/>
  <c r="I27" i="82" s="1"/>
  <c r="D27" i="80"/>
  <c r="E27" i="80"/>
  <c r="G31" i="58"/>
  <c r="D32" i="58"/>
  <c r="E32" i="58"/>
  <c r="E105" i="94"/>
  <c r="F105" i="94" s="1"/>
  <c r="B105" i="94"/>
  <c r="G33" i="3"/>
  <c r="I33" i="3" s="1"/>
  <c r="H32" i="42"/>
  <c r="I32" i="42" s="1"/>
  <c r="D33" i="42"/>
  <c r="E33" i="42"/>
  <c r="F26" i="91"/>
  <c r="H26" i="91" s="1"/>
  <c r="B26" i="91"/>
  <c r="B27" i="90"/>
  <c r="F27" i="90"/>
  <c r="H104" i="94"/>
  <c r="I104" i="94"/>
  <c r="B30" i="53"/>
  <c r="F30" i="53"/>
  <c r="G30" i="53" s="1"/>
  <c r="B29" i="66"/>
  <c r="F29" i="66"/>
  <c r="H29" i="66" s="1"/>
  <c r="F26" i="84"/>
  <c r="B26" i="84"/>
  <c r="D29" i="65"/>
  <c r="E29" i="65"/>
  <c r="F35" i="23"/>
  <c r="B35" i="23"/>
  <c r="H36" i="28"/>
  <c r="I36" i="28" s="1"/>
  <c r="F26" i="85"/>
  <c r="E27" i="85" s="1"/>
  <c r="H31" i="58"/>
  <c r="I34" i="23"/>
  <c r="G28" i="65"/>
  <c r="I28" i="65" s="1"/>
  <c r="G27" i="75"/>
  <c r="I27" i="75" s="1"/>
  <c r="D28" i="75"/>
  <c r="E28" i="75"/>
  <c r="H31" i="55"/>
  <c r="I31" i="55" s="1"/>
  <c r="E32" i="55"/>
  <c r="D32" i="55"/>
  <c r="I24" i="33"/>
  <c r="H34" i="71"/>
  <c r="I34" i="71" s="1"/>
  <c r="B35" i="27"/>
  <c r="F35" i="27"/>
  <c r="E31" i="72"/>
  <c r="D31" i="72"/>
  <c r="F27" i="76"/>
  <c r="B27" i="76"/>
  <c r="G25" i="87"/>
  <c r="I25" i="87" s="1"/>
  <c r="B33" i="22"/>
  <c r="F33" i="22"/>
  <c r="G33" i="22" s="1"/>
  <c r="E33" i="39"/>
  <c r="D33" i="39"/>
  <c r="B32" i="44"/>
  <c r="F32" i="44"/>
  <c r="H32" i="44" s="1"/>
  <c r="B26" i="81"/>
  <c r="F26" i="81"/>
  <c r="H26" i="81" s="1"/>
  <c r="F24" i="96"/>
  <c r="G24" i="96" s="1"/>
  <c r="B24" i="96"/>
  <c r="B29" i="61"/>
  <c r="F29" i="61"/>
  <c r="G29" i="61" s="1"/>
  <c r="G30" i="72"/>
  <c r="I26" i="76"/>
  <c r="B26" i="85"/>
  <c r="H32" i="39"/>
  <c r="I32" i="39" s="1"/>
  <c r="H30" i="72"/>
  <c r="I33" i="32"/>
  <c r="B25" i="92"/>
  <c r="F25" i="92"/>
  <c r="G25" i="92" s="1"/>
  <c r="G31" i="45"/>
  <c r="D32" i="45"/>
  <c r="E32" i="45"/>
  <c r="F30" i="57"/>
  <c r="G30" i="57" s="1"/>
  <c r="B30" i="57"/>
  <c r="D35" i="34"/>
  <c r="E35" i="34"/>
  <c r="F35" i="70"/>
  <c r="B35" i="70"/>
  <c r="B30" i="54"/>
  <c r="F30" i="54"/>
  <c r="G30" i="54" s="1"/>
  <c r="D30" i="56"/>
  <c r="E30" i="56"/>
  <c r="D27" i="88"/>
  <c r="E27" i="88"/>
  <c r="G33" i="19"/>
  <c r="I33" i="19" s="1"/>
  <c r="I31" i="73"/>
  <c r="F29" i="63"/>
  <c r="G29" i="63" s="1"/>
  <c r="B29" i="63"/>
  <c r="G35" i="31"/>
  <c r="D36" i="31"/>
  <c r="E36" i="31"/>
  <c r="B33" i="41"/>
  <c r="F33" i="41"/>
  <c r="G33" i="41" s="1"/>
  <c r="F33" i="21"/>
  <c r="H33" i="21" s="1"/>
  <c r="B33" i="21"/>
  <c r="D35" i="30"/>
  <c r="E35" i="30"/>
  <c r="G24" i="26"/>
  <c r="H24" i="26"/>
  <c r="D25" i="26"/>
  <c r="F27" i="78"/>
  <c r="B27" i="78"/>
  <c r="E36" i="69"/>
  <c r="D36" i="69"/>
  <c r="H28" i="62"/>
  <c r="I28" i="62" s="1"/>
  <c r="G34" i="34"/>
  <c r="D26" i="83"/>
  <c r="E26" i="83"/>
  <c r="G28" i="60"/>
  <c r="I28" i="60" s="1"/>
  <c r="D29" i="60"/>
  <c r="E29" i="60"/>
  <c r="H34" i="30"/>
  <c r="F33" i="43"/>
  <c r="B33" i="43"/>
  <c r="I24" i="92"/>
  <c r="B32" i="73"/>
  <c r="F32" i="73"/>
  <c r="H32" i="73" s="1"/>
  <c r="F27" i="77"/>
  <c r="H27" i="77" s="1"/>
  <c r="B27" i="77"/>
  <c r="F25" i="89"/>
  <c r="H25" i="89" s="1"/>
  <c r="B25" i="89"/>
  <c r="H31" i="45"/>
  <c r="H35" i="69"/>
  <c r="D34" i="19"/>
  <c r="E34" i="19"/>
  <c r="C42" i="17"/>
  <c r="B33" i="17"/>
  <c r="F33" i="17"/>
  <c r="H33" i="17" s="1"/>
  <c r="H34" i="34"/>
  <c r="G34" i="30"/>
  <c r="F27" i="79"/>
  <c r="H27" i="79" s="1"/>
  <c r="B27" i="79"/>
  <c r="D34" i="3"/>
  <c r="E34" i="3"/>
  <c r="H29" i="56"/>
  <c r="I29" i="56" s="1"/>
  <c r="E35" i="71"/>
  <c r="D35" i="71"/>
  <c r="B32" i="74"/>
  <c r="F32" i="74"/>
  <c r="H32" i="74" s="1"/>
  <c r="H35" i="31"/>
  <c r="F35" i="29"/>
  <c r="G35" i="29" s="1"/>
  <c r="B35" i="29"/>
  <c r="F34" i="32"/>
  <c r="H34" i="32" s="1"/>
  <c r="B34" i="32"/>
  <c r="G26" i="88"/>
  <c r="I26" i="88" s="1"/>
  <c r="D30" i="64"/>
  <c r="E30" i="64"/>
  <c r="D37" i="28"/>
  <c r="E37" i="28"/>
  <c r="G28" i="68"/>
  <c r="I28" i="68" s="1"/>
  <c r="D29" i="68"/>
  <c r="E29" i="68"/>
  <c r="G35" i="69"/>
  <c r="B25" i="33"/>
  <c r="F25" i="33"/>
  <c r="J108" i="62"/>
  <c r="J110" i="56"/>
  <c r="J112" i="22"/>
  <c r="D25" i="13"/>
  <c r="I32" i="35"/>
  <c r="B29" i="59"/>
  <c r="F29" i="59"/>
  <c r="H29" i="59" s="1"/>
  <c r="H32" i="20"/>
  <c r="I32" i="20" s="1"/>
  <c r="I24" i="13"/>
  <c r="B34" i="18"/>
  <c r="F34" i="18"/>
  <c r="G34" i="18" s="1"/>
  <c r="D26" i="87"/>
  <c r="E26" i="87"/>
  <c r="D33" i="20"/>
  <c r="E33" i="20"/>
  <c r="J105" i="81"/>
  <c r="J111" i="73"/>
  <c r="H33" i="35"/>
  <c r="G33" i="35"/>
  <c r="E34" i="35"/>
  <c r="F34" i="35" s="1"/>
  <c r="B34" i="35"/>
  <c r="E29" i="62"/>
  <c r="D29" i="62"/>
  <c r="B109" i="64"/>
  <c r="F109" i="64"/>
  <c r="F109" i="65"/>
  <c r="B109" i="65"/>
  <c r="H111" i="39"/>
  <c r="I111" i="39"/>
  <c r="J111" i="41"/>
  <c r="E106" i="89"/>
  <c r="D106" i="89"/>
  <c r="G105" i="89"/>
  <c r="G111" i="45"/>
  <c r="E112" i="45"/>
  <c r="D112" i="45"/>
  <c r="D106" i="91"/>
  <c r="G105" i="91"/>
  <c r="E106" i="91"/>
  <c r="I107" i="68"/>
  <c r="H107" i="68"/>
  <c r="I114" i="29"/>
  <c r="H114" i="29"/>
  <c r="F105" i="92"/>
  <c r="B105" i="92"/>
  <c r="F109" i="63"/>
  <c r="B109" i="63"/>
  <c r="I110" i="74"/>
  <c r="H110" i="74"/>
  <c r="B115" i="69"/>
  <c r="F115" i="69"/>
  <c r="J104" i="89"/>
  <c r="H104" i="90"/>
  <c r="I104" i="90"/>
  <c r="H111" i="43"/>
  <c r="I111" i="43"/>
  <c r="I108" i="61"/>
  <c r="H108" i="61"/>
  <c r="H109" i="72"/>
  <c r="I109" i="72"/>
  <c r="I112" i="20"/>
  <c r="H112" i="20"/>
  <c r="I104" i="84"/>
  <c r="H104" i="84"/>
  <c r="I106" i="79"/>
  <c r="H106" i="79"/>
  <c r="I113" i="31"/>
  <c r="H113" i="31"/>
  <c r="I112" i="19"/>
  <c r="H112" i="19"/>
  <c r="H108" i="64"/>
  <c r="I108" i="64"/>
  <c r="F105" i="88"/>
  <c r="B105" i="88"/>
  <c r="F112" i="39"/>
  <c r="B112" i="39"/>
  <c r="F115" i="70"/>
  <c r="B115" i="70"/>
  <c r="H109" i="58"/>
  <c r="I109" i="58"/>
  <c r="F113" i="34"/>
  <c r="B113" i="34"/>
  <c r="B105" i="86"/>
  <c r="F105" i="86"/>
  <c r="H114" i="27"/>
  <c r="I114" i="27"/>
  <c r="D113" i="41"/>
  <c r="E113" i="41"/>
  <c r="G112" i="41"/>
  <c r="B108" i="66"/>
  <c r="F108" i="66"/>
  <c r="F115" i="29"/>
  <c r="B115" i="29"/>
  <c r="H105" i="85"/>
  <c r="I105" i="85"/>
  <c r="F107" i="78"/>
  <c r="B107" i="78"/>
  <c r="I108" i="63"/>
  <c r="H108" i="63"/>
  <c r="I109" i="46"/>
  <c r="H109" i="46"/>
  <c r="D107" i="81"/>
  <c r="G106" i="81"/>
  <c r="E107" i="81"/>
  <c r="B105" i="90"/>
  <c r="F105" i="90"/>
  <c r="I114" i="30"/>
  <c r="H114" i="30"/>
  <c r="F109" i="61"/>
  <c r="B109" i="61"/>
  <c r="I109" i="53"/>
  <c r="H109" i="53"/>
  <c r="B110" i="72"/>
  <c r="F110" i="72"/>
  <c r="H113" i="32"/>
  <c r="I113" i="32"/>
  <c r="B113" i="20"/>
  <c r="F113" i="20"/>
  <c r="F105" i="84"/>
  <c r="B105" i="84"/>
  <c r="F114" i="31"/>
  <c r="B114" i="31"/>
  <c r="F113" i="19"/>
  <c r="B113" i="19"/>
  <c r="I108" i="65"/>
  <c r="H108" i="65"/>
  <c r="I104" i="88"/>
  <c r="H104" i="88"/>
  <c r="J104" i="91"/>
  <c r="I112" i="34"/>
  <c r="H112" i="34"/>
  <c r="B115" i="27"/>
  <c r="F115" i="27"/>
  <c r="G112" i="73"/>
  <c r="D113" i="73"/>
  <c r="E113" i="73"/>
  <c r="F108" i="68"/>
  <c r="B108" i="68"/>
  <c r="I104" i="92"/>
  <c r="H104" i="92"/>
  <c r="H108" i="60"/>
  <c r="I108" i="60"/>
  <c r="I114" i="69"/>
  <c r="H114" i="69"/>
  <c r="F112" i="43"/>
  <c r="B112" i="43"/>
  <c r="F115" i="30"/>
  <c r="B115" i="30"/>
  <c r="E114" i="22"/>
  <c r="D114" i="22"/>
  <c r="G113" i="22"/>
  <c r="H114" i="70"/>
  <c r="I114" i="70"/>
  <c r="F110" i="58"/>
  <c r="B110" i="58"/>
  <c r="I104" i="86"/>
  <c r="H104" i="86"/>
  <c r="I107" i="66"/>
  <c r="H107" i="66"/>
  <c r="B109" i="60"/>
  <c r="F109" i="60"/>
  <c r="B106" i="85"/>
  <c r="F106" i="85"/>
  <c r="G109" i="62"/>
  <c r="D110" i="62"/>
  <c r="E110" i="62"/>
  <c r="I106" i="78"/>
  <c r="H106" i="78"/>
  <c r="F111" i="74"/>
  <c r="B111" i="74"/>
  <c r="B110" i="46"/>
  <c r="F110" i="46"/>
  <c r="J110" i="45"/>
  <c r="B110" i="53"/>
  <c r="F110" i="53"/>
  <c r="F114" i="32"/>
  <c r="B114" i="32"/>
  <c r="F107" i="79"/>
  <c r="B107" i="79"/>
  <c r="E112" i="56"/>
  <c r="D112" i="56"/>
  <c r="G111" i="56"/>
  <c r="H114" i="23"/>
  <c r="I114" i="23"/>
  <c r="F114" i="18"/>
  <c r="B114" i="18"/>
  <c r="F115" i="23"/>
  <c r="B115" i="23"/>
  <c r="F110" i="59"/>
  <c r="B110" i="59"/>
  <c r="I109" i="59"/>
  <c r="H109" i="59"/>
  <c r="J114" i="35"/>
  <c r="I113" i="18"/>
  <c r="H113" i="18"/>
  <c r="H114" i="71"/>
  <c r="I114" i="71"/>
  <c r="H110" i="57"/>
  <c r="I110" i="57"/>
  <c r="F111" i="57"/>
  <c r="B111" i="57"/>
  <c r="B115" i="71"/>
  <c r="F115" i="71"/>
  <c r="D106" i="25"/>
  <c r="G105" i="25"/>
  <c r="J105" i="83"/>
  <c r="G110" i="55"/>
  <c r="E111" i="55"/>
  <c r="D111" i="55"/>
  <c r="H107" i="67"/>
  <c r="I107" i="67"/>
  <c r="J103" i="13"/>
  <c r="J106" i="77"/>
  <c r="J112" i="21"/>
  <c r="F106" i="82"/>
  <c r="B106" i="82"/>
  <c r="I115" i="35"/>
  <c r="H115" i="35"/>
  <c r="B105" i="87"/>
  <c r="F105" i="87"/>
  <c r="D105" i="13"/>
  <c r="E105" i="13" s="1"/>
  <c r="G104" i="13"/>
  <c r="B105" i="96"/>
  <c r="H104" i="87"/>
  <c r="I104" i="87"/>
  <c r="I112" i="3"/>
  <c r="H112" i="3"/>
  <c r="E113" i="42"/>
  <c r="G112" i="42"/>
  <c r="D113" i="42"/>
  <c r="J109" i="55"/>
  <c r="D105" i="33"/>
  <c r="E105" i="33" s="1"/>
  <c r="G104" i="33"/>
  <c r="E108" i="76"/>
  <c r="G107" i="76"/>
  <c r="D108" i="76"/>
  <c r="B112" i="44"/>
  <c r="F112" i="44"/>
  <c r="G106" i="80"/>
  <c r="E107" i="80"/>
  <c r="D107" i="80"/>
  <c r="J106" i="76"/>
  <c r="J109" i="54"/>
  <c r="E105" i="96"/>
  <c r="F105" i="96" s="1"/>
  <c r="J111" i="42"/>
  <c r="D108" i="75"/>
  <c r="G107" i="75"/>
  <c r="E108" i="75"/>
  <c r="F116" i="28"/>
  <c r="B116" i="28"/>
  <c r="D108" i="77"/>
  <c r="E108" i="77"/>
  <c r="G107" i="77"/>
  <c r="J113" i="24"/>
  <c r="D115" i="24"/>
  <c r="G114" i="24"/>
  <c r="E115" i="24"/>
  <c r="I111" i="44"/>
  <c r="H111" i="44"/>
  <c r="J105" i="80"/>
  <c r="J106" i="75"/>
  <c r="J104" i="25"/>
  <c r="J103" i="33"/>
  <c r="H113" i="17"/>
  <c r="I113" i="17"/>
  <c r="D111" i="54"/>
  <c r="G110" i="54"/>
  <c r="E111" i="54"/>
  <c r="J104" i="93"/>
  <c r="B113" i="3"/>
  <c r="F113" i="3"/>
  <c r="D114" i="21"/>
  <c r="G113" i="21"/>
  <c r="E114" i="21"/>
  <c r="B108" i="67"/>
  <c r="F108" i="67"/>
  <c r="E107" i="83"/>
  <c r="G106" i="83"/>
  <c r="D107" i="83"/>
  <c r="I115" i="28"/>
  <c r="H115" i="28"/>
  <c r="G105" i="93"/>
  <c r="D106" i="93"/>
  <c r="E106" i="93" s="1"/>
  <c r="I105" i="82"/>
  <c r="H105" i="82"/>
  <c r="E117" i="35"/>
  <c r="F117" i="35" s="1"/>
  <c r="B117" i="35"/>
  <c r="G116" i="35"/>
  <c r="I104" i="96"/>
  <c r="H104" i="96"/>
  <c r="E25" i="95" l="1"/>
  <c r="I24" i="25"/>
  <c r="D25" i="25"/>
  <c r="E25" i="25"/>
  <c r="F25" i="25" s="1"/>
  <c r="D26" i="25" s="1"/>
  <c r="D25" i="95"/>
  <c r="H25" i="99"/>
  <c r="H25" i="98"/>
  <c r="I25" i="98" s="1"/>
  <c r="G25" i="99"/>
  <c r="F27" i="97"/>
  <c r="D28" i="97" s="1"/>
  <c r="B27" i="97"/>
  <c r="G27" i="97"/>
  <c r="D26" i="98"/>
  <c r="E26" i="98"/>
  <c r="E26" i="99"/>
  <c r="F26" i="99" s="1"/>
  <c r="B26" i="99"/>
  <c r="F114" i="17"/>
  <c r="D115" i="17" s="1"/>
  <c r="G24" i="95"/>
  <c r="I24" i="95" s="1"/>
  <c r="H104" i="99"/>
  <c r="I104" i="99"/>
  <c r="J104" i="99" s="1"/>
  <c r="B105" i="99"/>
  <c r="F105" i="99"/>
  <c r="H26" i="85"/>
  <c r="G26" i="85"/>
  <c r="H30" i="46"/>
  <c r="I30" i="46" s="1"/>
  <c r="G34" i="32"/>
  <c r="I34" i="32" s="1"/>
  <c r="J104" i="95"/>
  <c r="J104" i="98"/>
  <c r="D106" i="97"/>
  <c r="E106" i="97" s="1"/>
  <c r="G105" i="97"/>
  <c r="D106" i="26"/>
  <c r="G105" i="26"/>
  <c r="J104" i="97"/>
  <c r="J104" i="26"/>
  <c r="D106" i="95"/>
  <c r="B106" i="95" s="1"/>
  <c r="G105" i="95"/>
  <c r="D106" i="98"/>
  <c r="G105" i="98"/>
  <c r="E106" i="98"/>
  <c r="J104" i="94"/>
  <c r="D27" i="85"/>
  <c r="F27" i="85" s="1"/>
  <c r="F27" i="80"/>
  <c r="H27" i="80" s="1"/>
  <c r="G27" i="77"/>
  <c r="I27" i="77" s="1"/>
  <c r="G32" i="74"/>
  <c r="I32" i="74" s="1"/>
  <c r="I30" i="72"/>
  <c r="H29" i="67"/>
  <c r="I29" i="67" s="1"/>
  <c r="E30" i="67"/>
  <c r="D30" i="67"/>
  <c r="D31" i="46"/>
  <c r="E31" i="46"/>
  <c r="G32" i="44"/>
  <c r="I32" i="44" s="1"/>
  <c r="G34" i="24"/>
  <c r="I34" i="24" s="1"/>
  <c r="E35" i="24"/>
  <c r="D35" i="24"/>
  <c r="H33" i="41"/>
  <c r="I33" i="41" s="1"/>
  <c r="G29" i="66"/>
  <c r="I29" i="66" s="1"/>
  <c r="G33" i="21"/>
  <c r="B27" i="80"/>
  <c r="B27" i="86"/>
  <c r="F27" i="86"/>
  <c r="G24" i="93"/>
  <c r="I24" i="93" s="1"/>
  <c r="D25" i="93"/>
  <c r="E25" i="93"/>
  <c r="B28" i="82"/>
  <c r="F28" i="82"/>
  <c r="G28" i="82" s="1"/>
  <c r="G25" i="94"/>
  <c r="I25" i="94" s="1"/>
  <c r="D26" i="94"/>
  <c r="E26" i="94"/>
  <c r="E27" i="84"/>
  <c r="D27" i="84"/>
  <c r="E28" i="90"/>
  <c r="D28" i="90"/>
  <c r="I33" i="21"/>
  <c r="G26" i="84"/>
  <c r="G105" i="94"/>
  <c r="D106" i="94"/>
  <c r="F32" i="58"/>
  <c r="H32" i="58" s="1"/>
  <c r="B32" i="58"/>
  <c r="B28" i="75"/>
  <c r="F28" i="75"/>
  <c r="G28" i="75" s="1"/>
  <c r="H26" i="84"/>
  <c r="H30" i="53"/>
  <c r="I30" i="53" s="1"/>
  <c r="E31" i="53"/>
  <c r="D31" i="53"/>
  <c r="H27" i="90"/>
  <c r="B33" i="42"/>
  <c r="F33" i="42"/>
  <c r="H33" i="42" s="1"/>
  <c r="I31" i="58"/>
  <c r="B32" i="55"/>
  <c r="F32" i="55"/>
  <c r="G32" i="55" s="1"/>
  <c r="G35" i="23"/>
  <c r="D36" i="23"/>
  <c r="E36" i="23"/>
  <c r="H35" i="23"/>
  <c r="I24" i="26"/>
  <c r="F29" i="65"/>
  <c r="H29" i="65" s="1"/>
  <c r="B29" i="65"/>
  <c r="E30" i="66"/>
  <c r="D30" i="66"/>
  <c r="G27" i="90"/>
  <c r="G26" i="91"/>
  <c r="I26" i="91" s="1"/>
  <c r="D27" i="91"/>
  <c r="E27" i="91"/>
  <c r="H34" i="18"/>
  <c r="I34" i="18" s="1"/>
  <c r="E33" i="44"/>
  <c r="D33" i="44"/>
  <c r="H27" i="76"/>
  <c r="D28" i="76"/>
  <c r="E28" i="76"/>
  <c r="G35" i="27"/>
  <c r="D36" i="27"/>
  <c r="E36" i="27"/>
  <c r="H35" i="27"/>
  <c r="D30" i="61"/>
  <c r="E30" i="61"/>
  <c r="B25" i="95"/>
  <c r="F25" i="95"/>
  <c r="G25" i="95" s="1"/>
  <c r="E34" i="22"/>
  <c r="D34" i="22"/>
  <c r="E25" i="96"/>
  <c r="D25" i="96"/>
  <c r="F33" i="39"/>
  <c r="G33" i="39" s="1"/>
  <c r="B33" i="39"/>
  <c r="G27" i="76"/>
  <c r="F31" i="72"/>
  <c r="B31" i="72"/>
  <c r="G33" i="17"/>
  <c r="I33" i="17" s="1"/>
  <c r="I35" i="69"/>
  <c r="H29" i="61"/>
  <c r="I29" i="61" s="1"/>
  <c r="H24" i="96"/>
  <c r="I24" i="96" s="1"/>
  <c r="G26" i="81"/>
  <c r="I26" i="81" s="1"/>
  <c r="E27" i="81"/>
  <c r="D27" i="81"/>
  <c r="H33" i="22"/>
  <c r="I33" i="22" s="1"/>
  <c r="I31" i="45"/>
  <c r="I34" i="34"/>
  <c r="I35" i="31"/>
  <c r="D26" i="33"/>
  <c r="E26" i="33" s="1"/>
  <c r="F26" i="83"/>
  <c r="H26" i="83" s="1"/>
  <c r="B26" i="83"/>
  <c r="G27" i="78"/>
  <c r="E28" i="78"/>
  <c r="D28" i="78"/>
  <c r="F29" i="68"/>
  <c r="G29" i="68" s="1"/>
  <c r="B29" i="68"/>
  <c r="D34" i="17"/>
  <c r="E34" i="17"/>
  <c r="D34" i="43"/>
  <c r="E34" i="43"/>
  <c r="B29" i="60"/>
  <c r="F29" i="60"/>
  <c r="E25" i="26"/>
  <c r="F25" i="26" s="1"/>
  <c r="B25" i="26"/>
  <c r="B35" i="30"/>
  <c r="F35" i="30"/>
  <c r="H35" i="30" s="1"/>
  <c r="D31" i="54"/>
  <c r="E31" i="54"/>
  <c r="G35" i="70"/>
  <c r="D36" i="70"/>
  <c r="E36" i="70"/>
  <c r="F37" i="28"/>
  <c r="B37" i="28"/>
  <c r="E26" i="89"/>
  <c r="D26" i="89"/>
  <c r="F36" i="31"/>
  <c r="G36" i="31" s="1"/>
  <c r="B36" i="31"/>
  <c r="E26" i="92"/>
  <c r="D26" i="92"/>
  <c r="G29" i="59"/>
  <c r="I29" i="59" s="1"/>
  <c r="H25" i="33"/>
  <c r="B30" i="64"/>
  <c r="F30" i="64"/>
  <c r="H30" i="64" s="1"/>
  <c r="B34" i="3"/>
  <c r="F34" i="3"/>
  <c r="G34" i="3" s="1"/>
  <c r="E28" i="79"/>
  <c r="D28" i="79"/>
  <c r="F34" i="19"/>
  <c r="G34" i="19" s="1"/>
  <c r="B34" i="19"/>
  <c r="G25" i="89"/>
  <c r="I25" i="89" s="1"/>
  <c r="E33" i="73"/>
  <c r="D33" i="73"/>
  <c r="H33" i="43"/>
  <c r="F27" i="88"/>
  <c r="H27" i="88" s="1"/>
  <c r="B27" i="88"/>
  <c r="D31" i="57"/>
  <c r="E31" i="57"/>
  <c r="B26" i="25"/>
  <c r="H35" i="29"/>
  <c r="I35" i="29" s="1"/>
  <c r="D36" i="29"/>
  <c r="E36" i="29"/>
  <c r="F30" i="56"/>
  <c r="H30" i="56" s="1"/>
  <c r="B30" i="56"/>
  <c r="B32" i="45"/>
  <c r="F32" i="45"/>
  <c r="G25" i="33"/>
  <c r="E35" i="32"/>
  <c r="D35" i="32"/>
  <c r="D33" i="74"/>
  <c r="E33" i="74"/>
  <c r="F35" i="71"/>
  <c r="G35" i="71" s="1"/>
  <c r="B35" i="71"/>
  <c r="G27" i="79"/>
  <c r="I27" i="79" s="1"/>
  <c r="D28" i="77"/>
  <c r="E28" i="77"/>
  <c r="G32" i="73"/>
  <c r="I32" i="73" s="1"/>
  <c r="G33" i="43"/>
  <c r="I34" i="30"/>
  <c r="B36" i="69"/>
  <c r="F36" i="69"/>
  <c r="H27" i="78"/>
  <c r="E34" i="21"/>
  <c r="D34" i="21"/>
  <c r="D34" i="41"/>
  <c r="E34" i="41"/>
  <c r="H29" i="63"/>
  <c r="I29" i="63" s="1"/>
  <c r="D30" i="63"/>
  <c r="E30" i="63"/>
  <c r="H30" i="54"/>
  <c r="I30" i="54" s="1"/>
  <c r="H35" i="70"/>
  <c r="B35" i="34"/>
  <c r="F35" i="34"/>
  <c r="G35" i="34" s="1"/>
  <c r="H30" i="57"/>
  <c r="I30" i="57" s="1"/>
  <c r="H25" i="92"/>
  <c r="I25" i="92" s="1"/>
  <c r="J106" i="78"/>
  <c r="J114" i="69"/>
  <c r="J104" i="92"/>
  <c r="J104" i="88"/>
  <c r="J109" i="53"/>
  <c r="J114" i="30"/>
  <c r="J105" i="85"/>
  <c r="J113" i="31"/>
  <c r="J104" i="84"/>
  <c r="J111" i="39"/>
  <c r="J107" i="66"/>
  <c r="J108" i="60"/>
  <c r="J112" i="34"/>
  <c r="J108" i="63"/>
  <c r="J114" i="27"/>
  <c r="J104" i="90"/>
  <c r="E35" i="35"/>
  <c r="F35" i="35" s="1"/>
  <c r="B35" i="35"/>
  <c r="G34" i="35"/>
  <c r="H34" i="35"/>
  <c r="B33" i="20"/>
  <c r="F33" i="20"/>
  <c r="G33" i="20" s="1"/>
  <c r="B29" i="62"/>
  <c r="F29" i="62"/>
  <c r="H29" i="62" s="1"/>
  <c r="B25" i="13"/>
  <c r="J114" i="23"/>
  <c r="J104" i="86"/>
  <c r="J110" i="74"/>
  <c r="J107" i="68"/>
  <c r="I33" i="35"/>
  <c r="B26" i="87"/>
  <c r="F26" i="87"/>
  <c r="G26" i="87" s="1"/>
  <c r="D35" i="18"/>
  <c r="E35" i="18"/>
  <c r="E30" i="59"/>
  <c r="D30" i="59"/>
  <c r="E25" i="13"/>
  <c r="F25" i="13" s="1"/>
  <c r="D111" i="53"/>
  <c r="E111" i="53"/>
  <c r="G110" i="53"/>
  <c r="D107" i="85"/>
  <c r="E107" i="85"/>
  <c r="G106" i="85"/>
  <c r="I113" i="22"/>
  <c r="H113" i="22"/>
  <c r="D116" i="30"/>
  <c r="G115" i="30"/>
  <c r="E116" i="30"/>
  <c r="F113" i="73"/>
  <c r="B113" i="73"/>
  <c r="D114" i="19"/>
  <c r="E114" i="19"/>
  <c r="G113" i="19"/>
  <c r="G105" i="84"/>
  <c r="E106" i="84"/>
  <c r="D106" i="84"/>
  <c r="H106" i="81"/>
  <c r="I106" i="81"/>
  <c r="E109" i="66"/>
  <c r="D109" i="66"/>
  <c r="G108" i="66"/>
  <c r="F113" i="41"/>
  <c r="B113" i="41"/>
  <c r="G112" i="39"/>
  <c r="E113" i="39"/>
  <c r="D113" i="39"/>
  <c r="D116" i="69"/>
  <c r="G115" i="69"/>
  <c r="E116" i="69"/>
  <c r="D108" i="79"/>
  <c r="E108" i="79"/>
  <c r="G107" i="79"/>
  <c r="G110" i="58"/>
  <c r="D111" i="58"/>
  <c r="E111" i="58"/>
  <c r="F114" i="22"/>
  <c r="B114" i="22"/>
  <c r="I112" i="73"/>
  <c r="H112" i="73"/>
  <c r="E114" i="20"/>
  <c r="D114" i="20"/>
  <c r="G113" i="20"/>
  <c r="G110" i="72"/>
  <c r="D111" i="72"/>
  <c r="E111" i="72"/>
  <c r="E106" i="90"/>
  <c r="G105" i="90"/>
  <c r="D106" i="90"/>
  <c r="B107" i="81"/>
  <c r="F107" i="81"/>
  <c r="E110" i="63"/>
  <c r="D110" i="63"/>
  <c r="G109" i="63"/>
  <c r="J114" i="29"/>
  <c r="H105" i="91"/>
  <c r="I105" i="91"/>
  <c r="H111" i="45"/>
  <c r="I111" i="45"/>
  <c r="G109" i="65"/>
  <c r="E110" i="65"/>
  <c r="D110" i="65"/>
  <c r="J113" i="18"/>
  <c r="J109" i="59"/>
  <c r="D112" i="74"/>
  <c r="G111" i="74"/>
  <c r="E112" i="74"/>
  <c r="B110" i="62"/>
  <c r="F110" i="62"/>
  <c r="D110" i="60"/>
  <c r="E110" i="60"/>
  <c r="G109" i="60"/>
  <c r="J114" i="70"/>
  <c r="D113" i="43"/>
  <c r="E113" i="43"/>
  <c r="G112" i="43"/>
  <c r="D109" i="68"/>
  <c r="E109" i="68"/>
  <c r="G108" i="68"/>
  <c r="E116" i="27"/>
  <c r="G115" i="27"/>
  <c r="D116" i="27"/>
  <c r="J108" i="65"/>
  <c r="G114" i="31"/>
  <c r="D115" i="31"/>
  <c r="E115" i="31"/>
  <c r="E110" i="61"/>
  <c r="D110" i="61"/>
  <c r="G109" i="61"/>
  <c r="I112" i="41"/>
  <c r="H112" i="41"/>
  <c r="G113" i="34"/>
  <c r="E114" i="34"/>
  <c r="D114" i="34"/>
  <c r="D116" i="70"/>
  <c r="E116" i="70"/>
  <c r="G115" i="70"/>
  <c r="G105" i="88"/>
  <c r="E106" i="88"/>
  <c r="D106" i="88"/>
  <c r="J112" i="19"/>
  <c r="J106" i="79"/>
  <c r="J112" i="20"/>
  <c r="J108" i="61"/>
  <c r="F106" i="91"/>
  <c r="B106" i="91"/>
  <c r="H105" i="89"/>
  <c r="I105" i="89"/>
  <c r="E110" i="64"/>
  <c r="D110" i="64"/>
  <c r="G109" i="64"/>
  <c r="G114" i="32"/>
  <c r="D115" i="32"/>
  <c r="E115" i="32"/>
  <c r="G110" i="46"/>
  <c r="E111" i="46"/>
  <c r="D111" i="46"/>
  <c r="H109" i="62"/>
  <c r="I109" i="62"/>
  <c r="J113" i="32"/>
  <c r="J109" i="46"/>
  <c r="G107" i="78"/>
  <c r="D108" i="78"/>
  <c r="E108" i="78"/>
  <c r="D116" i="29"/>
  <c r="G115" i="29"/>
  <c r="E116" i="29"/>
  <c r="E106" i="86"/>
  <c r="G105" i="86"/>
  <c r="D106" i="86"/>
  <c r="J109" i="58"/>
  <c r="J108" i="64"/>
  <c r="J109" i="72"/>
  <c r="J111" i="43"/>
  <c r="E106" i="92"/>
  <c r="D106" i="92"/>
  <c r="G105" i="92"/>
  <c r="B112" i="45"/>
  <c r="F112" i="45"/>
  <c r="F106" i="89"/>
  <c r="B106" i="89"/>
  <c r="D111" i="59"/>
  <c r="E111" i="59"/>
  <c r="G110" i="59"/>
  <c r="F112" i="56"/>
  <c r="B112" i="56"/>
  <c r="E116" i="23"/>
  <c r="G115" i="23"/>
  <c r="D116" i="23"/>
  <c r="G114" i="18"/>
  <c r="E115" i="18"/>
  <c r="D115" i="18"/>
  <c r="J114" i="71"/>
  <c r="H111" i="56"/>
  <c r="I111" i="56"/>
  <c r="D112" i="57"/>
  <c r="G111" i="57"/>
  <c r="E112" i="57"/>
  <c r="D116" i="71"/>
  <c r="G115" i="71"/>
  <c r="E116" i="71"/>
  <c r="J110" i="57"/>
  <c r="J111" i="44"/>
  <c r="I114" i="24"/>
  <c r="H114" i="24"/>
  <c r="G112" i="44"/>
  <c r="D113" i="44"/>
  <c r="E113" i="44"/>
  <c r="J104" i="96"/>
  <c r="G117" i="35"/>
  <c r="E118" i="35"/>
  <c r="F118" i="35" s="1"/>
  <c r="B118" i="35"/>
  <c r="D109" i="67"/>
  <c r="G108" i="67"/>
  <c r="E109" i="67"/>
  <c r="I107" i="77"/>
  <c r="H107" i="77"/>
  <c r="H104" i="33"/>
  <c r="I104" i="33"/>
  <c r="D107" i="82"/>
  <c r="G106" i="82"/>
  <c r="E107" i="82"/>
  <c r="I113" i="21"/>
  <c r="H113" i="21"/>
  <c r="B111" i="54"/>
  <c r="F111" i="54"/>
  <c r="D117" i="28"/>
  <c r="G116" i="28"/>
  <c r="E117" i="28"/>
  <c r="B107" i="80"/>
  <c r="F107" i="80"/>
  <c r="F108" i="76"/>
  <c r="B108" i="76"/>
  <c r="B113" i="42"/>
  <c r="F113" i="42"/>
  <c r="H104" i="13"/>
  <c r="I104" i="13"/>
  <c r="D106" i="87"/>
  <c r="G105" i="87"/>
  <c r="E106" i="87"/>
  <c r="B111" i="55"/>
  <c r="F111" i="55"/>
  <c r="I105" i="25"/>
  <c r="H105" i="25"/>
  <c r="I105" i="93"/>
  <c r="H105" i="93"/>
  <c r="G113" i="3"/>
  <c r="D114" i="3"/>
  <c r="E114" i="3"/>
  <c r="F108" i="75"/>
  <c r="B108" i="75"/>
  <c r="I106" i="80"/>
  <c r="H106" i="80"/>
  <c r="J112" i="3"/>
  <c r="J104" i="87"/>
  <c r="G105" i="96"/>
  <c r="D106" i="96"/>
  <c r="H110" i="55"/>
  <c r="I110" i="55"/>
  <c r="B106" i="25"/>
  <c r="B107" i="83"/>
  <c r="F107" i="83"/>
  <c r="H110" i="54"/>
  <c r="I110" i="54"/>
  <c r="F115" i="24"/>
  <c r="B115" i="24"/>
  <c r="H106" i="83"/>
  <c r="I106" i="83"/>
  <c r="H116" i="35"/>
  <c r="I116" i="35"/>
  <c r="J105" i="82"/>
  <c r="F106" i="93"/>
  <c r="B106" i="93"/>
  <c r="J115" i="28"/>
  <c r="F114" i="21"/>
  <c r="B114" i="21"/>
  <c r="J113" i="17"/>
  <c r="F108" i="77"/>
  <c r="B108" i="77"/>
  <c r="H107" i="75"/>
  <c r="I107" i="75"/>
  <c r="H107" i="76"/>
  <c r="I107" i="76"/>
  <c r="F105" i="33"/>
  <c r="B105" i="33"/>
  <c r="H112" i="42"/>
  <c r="I112" i="42"/>
  <c r="F105" i="13"/>
  <c r="B105" i="13"/>
  <c r="J115" i="35"/>
  <c r="J107" i="67"/>
  <c r="E106" i="25"/>
  <c r="F106" i="25" s="1"/>
  <c r="E26" i="25" l="1"/>
  <c r="F26" i="25" s="1"/>
  <c r="B25" i="25"/>
  <c r="G25" i="25"/>
  <c r="H25" i="25"/>
  <c r="I25" i="25" s="1"/>
  <c r="I25" i="99"/>
  <c r="G114" i="17"/>
  <c r="E115" i="17"/>
  <c r="I26" i="85"/>
  <c r="H27" i="97"/>
  <c r="I27" i="97" s="1"/>
  <c r="D27" i="99"/>
  <c r="G26" i="99"/>
  <c r="H26" i="99"/>
  <c r="B26" i="98"/>
  <c r="F26" i="98"/>
  <c r="H26" i="98" s="1"/>
  <c r="E28" i="97"/>
  <c r="F28" i="97" s="1"/>
  <c r="B28" i="97"/>
  <c r="D28" i="80"/>
  <c r="B28" i="80" s="1"/>
  <c r="G105" i="99"/>
  <c r="E106" i="99"/>
  <c r="D106" i="99"/>
  <c r="B27" i="85"/>
  <c r="E28" i="80"/>
  <c r="G27" i="80"/>
  <c r="I27" i="80" s="1"/>
  <c r="F106" i="95"/>
  <c r="D107" i="95" s="1"/>
  <c r="E107" i="95" s="1"/>
  <c r="H105" i="98"/>
  <c r="I105" i="98"/>
  <c r="B106" i="98"/>
  <c r="F106" i="98"/>
  <c r="H105" i="95"/>
  <c r="I105" i="95"/>
  <c r="H105" i="26"/>
  <c r="I105" i="26"/>
  <c r="I105" i="97"/>
  <c r="H105" i="97"/>
  <c r="B106" i="26"/>
  <c r="E106" i="26"/>
  <c r="F106" i="26" s="1"/>
  <c r="F106" i="97"/>
  <c r="B106" i="97"/>
  <c r="G27" i="88"/>
  <c r="I27" i="88" s="1"/>
  <c r="B30" i="67"/>
  <c r="F30" i="67"/>
  <c r="G30" i="67" s="1"/>
  <c r="F31" i="46"/>
  <c r="H31" i="46" s="1"/>
  <c r="B31" i="46"/>
  <c r="F35" i="24"/>
  <c r="H35" i="24" s="1"/>
  <c r="B35" i="24"/>
  <c r="B26" i="94"/>
  <c r="F26" i="94"/>
  <c r="G26" i="94" s="1"/>
  <c r="E28" i="86"/>
  <c r="D28" i="86"/>
  <c r="G27" i="86"/>
  <c r="H27" i="86"/>
  <c r="I35" i="27"/>
  <c r="F25" i="93"/>
  <c r="G25" i="93" s="1"/>
  <c r="B25" i="93"/>
  <c r="I35" i="23"/>
  <c r="H28" i="82"/>
  <c r="I28" i="82" s="1"/>
  <c r="D29" i="82"/>
  <c r="E29" i="82"/>
  <c r="I27" i="78"/>
  <c r="H32" i="55"/>
  <c r="I32" i="55" s="1"/>
  <c r="E33" i="55"/>
  <c r="D33" i="55"/>
  <c r="G33" i="42"/>
  <c r="I33" i="42" s="1"/>
  <c r="E34" i="42"/>
  <c r="D34" i="42"/>
  <c r="B31" i="53"/>
  <c r="F31" i="53"/>
  <c r="H31" i="53" s="1"/>
  <c r="I105" i="94"/>
  <c r="H105" i="94"/>
  <c r="H35" i="34"/>
  <c r="I35" i="34" s="1"/>
  <c r="I25" i="33"/>
  <c r="H29" i="68"/>
  <c r="I29" i="68" s="1"/>
  <c r="F30" i="66"/>
  <c r="G30" i="66" s="1"/>
  <c r="B30" i="66"/>
  <c r="G29" i="65"/>
  <c r="I29" i="65" s="1"/>
  <c r="D30" i="65"/>
  <c r="E30" i="65"/>
  <c r="B36" i="23"/>
  <c r="F36" i="23"/>
  <c r="G36" i="23" s="1"/>
  <c r="H28" i="75"/>
  <c r="I28" i="75" s="1"/>
  <c r="E29" i="75"/>
  <c r="D29" i="75"/>
  <c r="G32" i="58"/>
  <c r="I32" i="58" s="1"/>
  <c r="E33" i="58"/>
  <c r="D33" i="58"/>
  <c r="F27" i="84"/>
  <c r="H27" i="84" s="1"/>
  <c r="B27" i="84"/>
  <c r="B28" i="90"/>
  <c r="F28" i="90"/>
  <c r="H34" i="3"/>
  <c r="I34" i="3" s="1"/>
  <c r="H33" i="39"/>
  <c r="I33" i="39" s="1"/>
  <c r="F27" i="91"/>
  <c r="B27" i="91"/>
  <c r="I27" i="90"/>
  <c r="I26" i="84"/>
  <c r="E106" i="94"/>
  <c r="F106" i="94" s="1"/>
  <c r="B106" i="94"/>
  <c r="D32" i="72"/>
  <c r="E32" i="72"/>
  <c r="F34" i="22"/>
  <c r="H34" i="22" s="1"/>
  <c r="D28" i="85"/>
  <c r="E28" i="85"/>
  <c r="B27" i="81"/>
  <c r="F27" i="81"/>
  <c r="G27" i="81" s="1"/>
  <c r="G31" i="72"/>
  <c r="B36" i="27"/>
  <c r="F36" i="27"/>
  <c r="H36" i="27" s="1"/>
  <c r="G27" i="85"/>
  <c r="F33" i="44"/>
  <c r="H33" i="44" s="1"/>
  <c r="H31" i="72"/>
  <c r="F25" i="96"/>
  <c r="H25" i="96" s="1"/>
  <c r="B25" i="96"/>
  <c r="F30" i="61"/>
  <c r="H30" i="61" s="1"/>
  <c r="B30" i="61"/>
  <c r="B28" i="76"/>
  <c r="F28" i="76"/>
  <c r="G28" i="76" s="1"/>
  <c r="D34" i="39"/>
  <c r="E34" i="39"/>
  <c r="B34" i="22"/>
  <c r="H25" i="95"/>
  <c r="I25" i="95" s="1"/>
  <c r="D26" i="95"/>
  <c r="E26" i="95"/>
  <c r="I27" i="76"/>
  <c r="H27" i="85"/>
  <c r="I35" i="70"/>
  <c r="D27" i="25"/>
  <c r="G26" i="25"/>
  <c r="H26" i="25"/>
  <c r="H25" i="26"/>
  <c r="D26" i="26"/>
  <c r="G25" i="26"/>
  <c r="B34" i="41"/>
  <c r="F34" i="41"/>
  <c r="H29" i="60"/>
  <c r="D30" i="60"/>
  <c r="E30" i="60"/>
  <c r="B30" i="63"/>
  <c r="F30" i="63"/>
  <c r="B34" i="21"/>
  <c r="F34" i="21"/>
  <c r="G34" i="21" s="1"/>
  <c r="G36" i="69"/>
  <c r="D37" i="69"/>
  <c r="E37" i="69"/>
  <c r="B28" i="77"/>
  <c r="F28" i="77"/>
  <c r="H28" i="77" s="1"/>
  <c r="B33" i="74"/>
  <c r="F33" i="74"/>
  <c r="G33" i="74" s="1"/>
  <c r="D33" i="45"/>
  <c r="E33" i="45"/>
  <c r="I33" i="43"/>
  <c r="D35" i="19"/>
  <c r="E35" i="19"/>
  <c r="B26" i="92"/>
  <c r="D37" i="31"/>
  <c r="E37" i="31"/>
  <c r="D38" i="28"/>
  <c r="E38" i="28"/>
  <c r="B31" i="54"/>
  <c r="F31" i="54"/>
  <c r="G31" i="54" s="1"/>
  <c r="B28" i="78"/>
  <c r="F28" i="78"/>
  <c r="G28" i="78" s="1"/>
  <c r="B26" i="33"/>
  <c r="F26" i="33"/>
  <c r="D27" i="33" s="1"/>
  <c r="E31" i="56"/>
  <c r="D31" i="56"/>
  <c r="H26" i="87"/>
  <c r="I26" i="87" s="1"/>
  <c r="H33" i="20"/>
  <c r="I33" i="20" s="1"/>
  <c r="I34" i="35"/>
  <c r="H36" i="69"/>
  <c r="I36" i="69" s="1"/>
  <c r="E36" i="71"/>
  <c r="D36" i="71"/>
  <c r="F35" i="32"/>
  <c r="B35" i="32"/>
  <c r="G32" i="45"/>
  <c r="G30" i="56"/>
  <c r="I30" i="56" s="1"/>
  <c r="B36" i="29"/>
  <c r="F36" i="29"/>
  <c r="G36" i="29" s="1"/>
  <c r="B31" i="57"/>
  <c r="F31" i="57"/>
  <c r="G31" i="57" s="1"/>
  <c r="E28" i="88"/>
  <c r="D28" i="88"/>
  <c r="F33" i="73"/>
  <c r="B33" i="73"/>
  <c r="H34" i="19"/>
  <c r="I34" i="19" s="1"/>
  <c r="G30" i="64"/>
  <c r="I30" i="64" s="1"/>
  <c r="E31" i="64"/>
  <c r="D31" i="64"/>
  <c r="F26" i="92"/>
  <c r="H26" i="92" s="1"/>
  <c r="H36" i="31"/>
  <c r="I36" i="31" s="1"/>
  <c r="H37" i="28"/>
  <c r="F36" i="70"/>
  <c r="H36" i="70" s="1"/>
  <c r="B36" i="70"/>
  <c r="G35" i="30"/>
  <c r="I35" i="30" s="1"/>
  <c r="D36" i="30"/>
  <c r="E36" i="30"/>
  <c r="G26" i="83"/>
  <c r="I26" i="83" s="1"/>
  <c r="D27" i="83"/>
  <c r="E27" i="83"/>
  <c r="D36" i="34"/>
  <c r="E36" i="34"/>
  <c r="H35" i="71"/>
  <c r="I35" i="71" s="1"/>
  <c r="H32" i="45"/>
  <c r="F28" i="79"/>
  <c r="B28" i="79"/>
  <c r="D35" i="3"/>
  <c r="E35" i="3"/>
  <c r="B26" i="89"/>
  <c r="F26" i="89"/>
  <c r="H26" i="89" s="1"/>
  <c r="G37" i="28"/>
  <c r="G29" i="60"/>
  <c r="F34" i="43"/>
  <c r="G34" i="43" s="1"/>
  <c r="B34" i="43"/>
  <c r="F34" i="17"/>
  <c r="G34" i="17" s="1"/>
  <c r="C43" i="17"/>
  <c r="B34" i="17"/>
  <c r="E30" i="68"/>
  <c r="D30" i="68"/>
  <c r="J112" i="41"/>
  <c r="D26" i="13"/>
  <c r="E26" i="13" s="1"/>
  <c r="G25" i="13"/>
  <c r="H25" i="13"/>
  <c r="J104" i="13"/>
  <c r="J105" i="91"/>
  <c r="B30" i="59"/>
  <c r="F30" i="59"/>
  <c r="G30" i="59" s="1"/>
  <c r="E30" i="62"/>
  <c r="D30" i="62"/>
  <c r="G35" i="35"/>
  <c r="E36" i="35"/>
  <c r="F36" i="35" s="1"/>
  <c r="B36" i="35"/>
  <c r="H35" i="35"/>
  <c r="E27" i="87"/>
  <c r="D27" i="87"/>
  <c r="B35" i="18"/>
  <c r="F35" i="18"/>
  <c r="H35" i="18" s="1"/>
  <c r="J112" i="73"/>
  <c r="G29" i="62"/>
  <c r="I29" i="62" s="1"/>
  <c r="E34" i="20"/>
  <c r="D34" i="20"/>
  <c r="F106" i="86"/>
  <c r="B106" i="86"/>
  <c r="I115" i="29"/>
  <c r="H115" i="29"/>
  <c r="H107" i="78"/>
  <c r="I107" i="78"/>
  <c r="F110" i="64"/>
  <c r="B110" i="64"/>
  <c r="H105" i="88"/>
  <c r="I105" i="88"/>
  <c r="B114" i="34"/>
  <c r="F114" i="34"/>
  <c r="B116" i="27"/>
  <c r="F116" i="27"/>
  <c r="B113" i="43"/>
  <c r="F113" i="43"/>
  <c r="B110" i="60"/>
  <c r="F110" i="60"/>
  <c r="H111" i="74"/>
  <c r="I111" i="74"/>
  <c r="F110" i="65"/>
  <c r="B110" i="65"/>
  <c r="H109" i="63"/>
  <c r="I109" i="63"/>
  <c r="B114" i="20"/>
  <c r="F114" i="20"/>
  <c r="H110" i="58"/>
  <c r="I110" i="58"/>
  <c r="I108" i="66"/>
  <c r="H108" i="66"/>
  <c r="I113" i="19"/>
  <c r="H113" i="19"/>
  <c r="E114" i="73"/>
  <c r="D114" i="73"/>
  <c r="G113" i="73"/>
  <c r="B107" i="85"/>
  <c r="F107" i="85"/>
  <c r="H105" i="92"/>
  <c r="I105" i="92"/>
  <c r="I105" i="86"/>
  <c r="H105" i="86"/>
  <c r="F116" i="29"/>
  <c r="B116" i="29"/>
  <c r="F111" i="46"/>
  <c r="B111" i="46"/>
  <c r="B115" i="32"/>
  <c r="F115" i="32"/>
  <c r="D107" i="91"/>
  <c r="G106" i="91"/>
  <c r="E107" i="91"/>
  <c r="I115" i="70"/>
  <c r="H115" i="70"/>
  <c r="H109" i="61"/>
  <c r="I109" i="61"/>
  <c r="F115" i="31"/>
  <c r="B115" i="31"/>
  <c r="H115" i="27"/>
  <c r="I115" i="27"/>
  <c r="F109" i="68"/>
  <c r="B109" i="68"/>
  <c r="G110" i="62"/>
  <c r="E111" i="62"/>
  <c r="D111" i="62"/>
  <c r="B112" i="74"/>
  <c r="F112" i="74"/>
  <c r="B110" i="63"/>
  <c r="F110" i="63"/>
  <c r="B106" i="90"/>
  <c r="F106" i="90"/>
  <c r="F111" i="72"/>
  <c r="B111" i="72"/>
  <c r="G114" i="22"/>
  <c r="D115" i="22"/>
  <c r="E115" i="22"/>
  <c r="I107" i="79"/>
  <c r="H107" i="79"/>
  <c r="H115" i="69"/>
  <c r="I115" i="69"/>
  <c r="I112" i="39"/>
  <c r="H112" i="39"/>
  <c r="B109" i="66"/>
  <c r="F109" i="66"/>
  <c r="B106" i="84"/>
  <c r="F106" i="84"/>
  <c r="J113" i="22"/>
  <c r="I110" i="53"/>
  <c r="H110" i="53"/>
  <c r="J107" i="76"/>
  <c r="E107" i="89"/>
  <c r="G106" i="89"/>
  <c r="D107" i="89"/>
  <c r="F106" i="92"/>
  <c r="B106" i="92"/>
  <c r="I114" i="32"/>
  <c r="H114" i="32"/>
  <c r="J105" i="89"/>
  <c r="F106" i="88"/>
  <c r="B106" i="88"/>
  <c r="H113" i="34"/>
  <c r="I113" i="34"/>
  <c r="B110" i="61"/>
  <c r="F110" i="61"/>
  <c r="I114" i="31"/>
  <c r="H114" i="31"/>
  <c r="H112" i="43"/>
  <c r="I112" i="43"/>
  <c r="I109" i="60"/>
  <c r="H109" i="60"/>
  <c r="I109" i="65"/>
  <c r="H109" i="65"/>
  <c r="I105" i="90"/>
  <c r="H105" i="90"/>
  <c r="H110" i="72"/>
  <c r="I110" i="72"/>
  <c r="F116" i="69"/>
  <c r="B116" i="69"/>
  <c r="B114" i="19"/>
  <c r="F114" i="19"/>
  <c r="I115" i="30"/>
  <c r="H115" i="30"/>
  <c r="H106" i="85"/>
  <c r="I106" i="85"/>
  <c r="J110" i="55"/>
  <c r="D113" i="45"/>
  <c r="E113" i="45"/>
  <c r="G112" i="45"/>
  <c r="F108" i="78"/>
  <c r="B108" i="78"/>
  <c r="J109" i="62"/>
  <c r="I110" i="46"/>
  <c r="H110" i="46"/>
  <c r="H109" i="64"/>
  <c r="I109" i="64"/>
  <c r="F116" i="70"/>
  <c r="B116" i="70"/>
  <c r="H108" i="68"/>
  <c r="I108" i="68"/>
  <c r="J111" i="45"/>
  <c r="G107" i="81"/>
  <c r="E108" i="81"/>
  <c r="D108" i="81"/>
  <c r="I113" i="20"/>
  <c r="H113" i="20"/>
  <c r="F111" i="58"/>
  <c r="B111" i="58"/>
  <c r="B108" i="79"/>
  <c r="F108" i="79"/>
  <c r="F113" i="39"/>
  <c r="B113" i="39"/>
  <c r="D114" i="41"/>
  <c r="G113" i="41"/>
  <c r="E114" i="41"/>
  <c r="J106" i="81"/>
  <c r="I105" i="84"/>
  <c r="H105" i="84"/>
  <c r="F116" i="30"/>
  <c r="B116" i="30"/>
  <c r="B111" i="53"/>
  <c r="F111" i="53"/>
  <c r="G112" i="56"/>
  <c r="E113" i="56"/>
  <c r="D113" i="56"/>
  <c r="H114" i="18"/>
  <c r="I114" i="18"/>
  <c r="I115" i="23"/>
  <c r="H115" i="23"/>
  <c r="H110" i="59"/>
  <c r="I110" i="59"/>
  <c r="B116" i="23"/>
  <c r="F116" i="23"/>
  <c r="J107" i="75"/>
  <c r="J116" i="35"/>
  <c r="J110" i="54"/>
  <c r="J104" i="33"/>
  <c r="J111" i="56"/>
  <c r="B115" i="18"/>
  <c r="F115" i="18"/>
  <c r="F111" i="59"/>
  <c r="B111" i="59"/>
  <c r="F116" i="71"/>
  <c r="B116" i="71"/>
  <c r="H111" i="57"/>
  <c r="I111" i="57"/>
  <c r="J112" i="42"/>
  <c r="B112" i="57"/>
  <c r="F112" i="57"/>
  <c r="I115" i="71"/>
  <c r="H115" i="71"/>
  <c r="J106" i="80"/>
  <c r="J105" i="93"/>
  <c r="J113" i="21"/>
  <c r="E119" i="35"/>
  <c r="F119" i="35" s="1"/>
  <c r="B119" i="35"/>
  <c r="G118" i="35"/>
  <c r="J114" i="24"/>
  <c r="G105" i="13"/>
  <c r="D106" i="13"/>
  <c r="E106" i="13" s="1"/>
  <c r="H114" i="17"/>
  <c r="I114" i="17"/>
  <c r="E108" i="83"/>
  <c r="G107" i="83"/>
  <c r="D108" i="83"/>
  <c r="B114" i="3"/>
  <c r="F114" i="3"/>
  <c r="D109" i="76"/>
  <c r="G108" i="76"/>
  <c r="E109" i="76"/>
  <c r="I108" i="67"/>
  <c r="H108" i="67"/>
  <c r="E109" i="77"/>
  <c r="G108" i="77"/>
  <c r="D109" i="77"/>
  <c r="H113" i="3"/>
  <c r="I113" i="3"/>
  <c r="F109" i="67"/>
  <c r="B109" i="67"/>
  <c r="E115" i="21"/>
  <c r="G114" i="21"/>
  <c r="D115" i="21"/>
  <c r="H105" i="96"/>
  <c r="I105" i="96"/>
  <c r="D109" i="75"/>
  <c r="G108" i="75"/>
  <c r="E109" i="75"/>
  <c r="J105" i="25"/>
  <c r="I105" i="87"/>
  <c r="H105" i="87"/>
  <c r="D112" i="54"/>
  <c r="G111" i="54"/>
  <c r="E112" i="54"/>
  <c r="F107" i="82"/>
  <c r="B107" i="82"/>
  <c r="J107" i="77"/>
  <c r="H117" i="35"/>
  <c r="I117" i="35"/>
  <c r="B113" i="44"/>
  <c r="F113" i="44"/>
  <c r="D107" i="25"/>
  <c r="E107" i="25" s="1"/>
  <c r="G106" i="25"/>
  <c r="B106" i="96"/>
  <c r="F117" i="28"/>
  <c r="B117" i="28"/>
  <c r="D116" i="24"/>
  <c r="E116" i="24"/>
  <c r="G115" i="24"/>
  <c r="E106" i="96"/>
  <c r="F106" i="96" s="1"/>
  <c r="D112" i="55"/>
  <c r="G111" i="55"/>
  <c r="E112" i="55"/>
  <c r="G113" i="42"/>
  <c r="D114" i="42"/>
  <c r="E114" i="42"/>
  <c r="I106" i="82"/>
  <c r="H106" i="82"/>
  <c r="G105" i="33"/>
  <c r="D106" i="33"/>
  <c r="E106" i="33" s="1"/>
  <c r="D107" i="93"/>
  <c r="E107" i="93" s="1"/>
  <c r="G106" i="93"/>
  <c r="J106" i="83"/>
  <c r="F115" i="17"/>
  <c r="B115" i="17"/>
  <c r="F106" i="87"/>
  <c r="B106" i="87"/>
  <c r="E108" i="80"/>
  <c r="G107" i="80"/>
  <c r="D108" i="80"/>
  <c r="H116" i="28"/>
  <c r="I116" i="28"/>
  <c r="I112" i="44"/>
  <c r="H112" i="44"/>
  <c r="G26" i="98" l="1"/>
  <c r="B107" i="95"/>
  <c r="I26" i="98"/>
  <c r="F28" i="80"/>
  <c r="E29" i="80" s="1"/>
  <c r="I26" i="99"/>
  <c r="D29" i="97"/>
  <c r="G28" i="97"/>
  <c r="H28" i="97"/>
  <c r="D27" i="98"/>
  <c r="E27" i="98"/>
  <c r="E27" i="99"/>
  <c r="F27" i="99" s="1"/>
  <c r="D28" i="99" s="1"/>
  <c r="B27" i="99"/>
  <c r="I35" i="35"/>
  <c r="H30" i="67"/>
  <c r="I30" i="67" s="1"/>
  <c r="F106" i="99"/>
  <c r="B106" i="99"/>
  <c r="H105" i="99"/>
  <c r="I105" i="99"/>
  <c r="J105" i="95"/>
  <c r="J105" i="98"/>
  <c r="F107" i="95"/>
  <c r="G107" i="95" s="1"/>
  <c r="G106" i="95"/>
  <c r="H30" i="59"/>
  <c r="I30" i="59" s="1"/>
  <c r="G35" i="18"/>
  <c r="I35" i="18" s="1"/>
  <c r="G106" i="98"/>
  <c r="D107" i="98"/>
  <c r="E107" i="98"/>
  <c r="G106" i="97"/>
  <c r="D107" i="97"/>
  <c r="E107" i="97"/>
  <c r="J105" i="97"/>
  <c r="D107" i="26"/>
  <c r="G106" i="26"/>
  <c r="J105" i="26"/>
  <c r="J105" i="94"/>
  <c r="I27" i="86"/>
  <c r="H27" i="81"/>
  <c r="I27" i="81" s="1"/>
  <c r="I31" i="72"/>
  <c r="E31" i="67"/>
  <c r="D31" i="67"/>
  <c r="G31" i="46"/>
  <c r="I31" i="46" s="1"/>
  <c r="E32" i="46"/>
  <c r="D32" i="46"/>
  <c r="G35" i="24"/>
  <c r="I35" i="24" s="1"/>
  <c r="D36" i="24"/>
  <c r="E36" i="24"/>
  <c r="B29" i="82"/>
  <c r="F29" i="82"/>
  <c r="G27" i="84"/>
  <c r="I27" i="84" s="1"/>
  <c r="H25" i="93"/>
  <c r="I25" i="93" s="1"/>
  <c r="D26" i="93"/>
  <c r="E26" i="93"/>
  <c r="H26" i="94"/>
  <c r="I26" i="94" s="1"/>
  <c r="D27" i="94"/>
  <c r="E27" i="94"/>
  <c r="F28" i="86"/>
  <c r="B28" i="86"/>
  <c r="G106" i="94"/>
  <c r="D107" i="94"/>
  <c r="G30" i="61"/>
  <c r="I30" i="61" s="1"/>
  <c r="G36" i="27"/>
  <c r="I36" i="27" s="1"/>
  <c r="B33" i="55"/>
  <c r="F33" i="55"/>
  <c r="G33" i="55" s="1"/>
  <c r="F33" i="58"/>
  <c r="G33" i="58" s="1"/>
  <c r="B33" i="58"/>
  <c r="H34" i="17"/>
  <c r="I34" i="17" s="1"/>
  <c r="G34" i="22"/>
  <c r="I34" i="22" s="1"/>
  <c r="F30" i="65"/>
  <c r="H30" i="65" s="1"/>
  <c r="B30" i="65"/>
  <c r="H30" i="66"/>
  <c r="I30" i="66" s="1"/>
  <c r="E31" i="66"/>
  <c r="D31" i="66"/>
  <c r="G31" i="53"/>
  <c r="I31" i="53" s="1"/>
  <c r="D32" i="53"/>
  <c r="E32" i="53"/>
  <c r="F34" i="42"/>
  <c r="B34" i="42"/>
  <c r="G28" i="90"/>
  <c r="D29" i="90"/>
  <c r="E29" i="90"/>
  <c r="D28" i="91"/>
  <c r="E28" i="91"/>
  <c r="G27" i="91"/>
  <c r="H27" i="91"/>
  <c r="H28" i="90"/>
  <c r="E28" i="84"/>
  <c r="D28" i="84"/>
  <c r="B29" i="75"/>
  <c r="F29" i="75"/>
  <c r="D37" i="23"/>
  <c r="E37" i="23"/>
  <c r="H36" i="23"/>
  <c r="I36" i="23" s="1"/>
  <c r="B34" i="39"/>
  <c r="F34" i="39"/>
  <c r="H34" i="39" s="1"/>
  <c r="I27" i="85"/>
  <c r="G28" i="77"/>
  <c r="I28" i="77" s="1"/>
  <c r="F30" i="60"/>
  <c r="E31" i="60" s="1"/>
  <c r="H28" i="76"/>
  <c r="I28" i="76" s="1"/>
  <c r="D29" i="76"/>
  <c r="E29" i="76"/>
  <c r="G25" i="96"/>
  <c r="I25" i="96" s="1"/>
  <c r="D26" i="96"/>
  <c r="E26" i="96"/>
  <c r="G33" i="44"/>
  <c r="I33" i="44" s="1"/>
  <c r="D37" i="27"/>
  <c r="E37" i="27"/>
  <c r="H31" i="57"/>
  <c r="I31" i="57" s="1"/>
  <c r="H36" i="29"/>
  <c r="I36" i="29" s="1"/>
  <c r="F26" i="95"/>
  <c r="G26" i="95" s="1"/>
  <c r="B26" i="95"/>
  <c r="D31" i="61"/>
  <c r="E31" i="61"/>
  <c r="B28" i="85"/>
  <c r="F28" i="85"/>
  <c r="G28" i="85" s="1"/>
  <c r="B32" i="72"/>
  <c r="F32" i="72"/>
  <c r="G32" i="72" s="1"/>
  <c r="D34" i="44"/>
  <c r="E34" i="44"/>
  <c r="E28" i="81"/>
  <c r="D28" i="81"/>
  <c r="D35" i="22"/>
  <c r="E35" i="22"/>
  <c r="I32" i="45"/>
  <c r="E27" i="33"/>
  <c r="F27" i="33" s="1"/>
  <c r="B27" i="33"/>
  <c r="E35" i="41"/>
  <c r="D35" i="41"/>
  <c r="B35" i="3"/>
  <c r="F35" i="3"/>
  <c r="H35" i="3" s="1"/>
  <c r="D29" i="79"/>
  <c r="E29" i="79"/>
  <c r="F36" i="30"/>
  <c r="H36" i="30" s="1"/>
  <c r="B36" i="30"/>
  <c r="G36" i="70"/>
  <c r="I36" i="70" s="1"/>
  <c r="D27" i="92"/>
  <c r="E27" i="92"/>
  <c r="D34" i="73"/>
  <c r="E34" i="73"/>
  <c r="E36" i="32"/>
  <c r="D36" i="32"/>
  <c r="H26" i="33"/>
  <c r="D32" i="54"/>
  <c r="E32" i="54"/>
  <c r="B35" i="19"/>
  <c r="F35" i="19"/>
  <c r="G35" i="19" s="1"/>
  <c r="E34" i="74"/>
  <c r="D34" i="74"/>
  <c r="F37" i="69"/>
  <c r="H37" i="69" s="1"/>
  <c r="B37" i="69"/>
  <c r="E35" i="21"/>
  <c r="D35" i="21"/>
  <c r="H34" i="41"/>
  <c r="E26" i="26"/>
  <c r="F26" i="26" s="1"/>
  <c r="B26" i="26"/>
  <c r="B27" i="25"/>
  <c r="B30" i="68"/>
  <c r="F30" i="68"/>
  <c r="G30" i="68" s="1"/>
  <c r="B31" i="56"/>
  <c r="F31" i="56"/>
  <c r="B38" i="28"/>
  <c r="F38" i="28"/>
  <c r="H34" i="43"/>
  <c r="I34" i="43" s="1"/>
  <c r="E35" i="43"/>
  <c r="D35" i="43"/>
  <c r="G28" i="79"/>
  <c r="B36" i="34"/>
  <c r="F36" i="34"/>
  <c r="F31" i="64"/>
  <c r="B31" i="64"/>
  <c r="G33" i="73"/>
  <c r="B28" i="88"/>
  <c r="F28" i="88"/>
  <c r="H28" i="88" s="1"/>
  <c r="E32" i="57"/>
  <c r="D32" i="57"/>
  <c r="E37" i="29"/>
  <c r="D37" i="29"/>
  <c r="G35" i="32"/>
  <c r="F36" i="71"/>
  <c r="B36" i="71"/>
  <c r="F37" i="31"/>
  <c r="G37" i="31" s="1"/>
  <c r="B37" i="31"/>
  <c r="H33" i="74"/>
  <c r="I33" i="74" s="1"/>
  <c r="D29" i="77"/>
  <c r="E29" i="77"/>
  <c r="B30" i="60"/>
  <c r="I25" i="26"/>
  <c r="E27" i="25"/>
  <c r="F27" i="25" s="1"/>
  <c r="B27" i="83"/>
  <c r="F27" i="83"/>
  <c r="E37" i="70"/>
  <c r="D37" i="70"/>
  <c r="D29" i="78"/>
  <c r="E29" i="78"/>
  <c r="H30" i="63"/>
  <c r="E31" i="63"/>
  <c r="D31" i="63"/>
  <c r="E35" i="17"/>
  <c r="D35" i="17"/>
  <c r="G26" i="89"/>
  <c r="I26" i="89" s="1"/>
  <c r="D27" i="89"/>
  <c r="E27" i="89"/>
  <c r="H28" i="79"/>
  <c r="I28" i="79" s="1"/>
  <c r="I37" i="28"/>
  <c r="H33" i="73"/>
  <c r="H35" i="32"/>
  <c r="G26" i="33"/>
  <c r="H28" i="78"/>
  <c r="I28" i="78" s="1"/>
  <c r="H31" i="54"/>
  <c r="I31" i="54" s="1"/>
  <c r="G26" i="92"/>
  <c r="I26" i="92" s="1"/>
  <c r="B33" i="45"/>
  <c r="F33" i="45"/>
  <c r="H34" i="21"/>
  <c r="I34" i="21" s="1"/>
  <c r="G30" i="63"/>
  <c r="I29" i="60"/>
  <c r="G34" i="41"/>
  <c r="I26" i="25"/>
  <c r="J115" i="27"/>
  <c r="J109" i="61"/>
  <c r="J105" i="88"/>
  <c r="J107" i="78"/>
  <c r="J106" i="85"/>
  <c r="J110" i="72"/>
  <c r="J112" i="43"/>
  <c r="J115" i="69"/>
  <c r="J105" i="84"/>
  <c r="J105" i="86"/>
  <c r="J110" i="58"/>
  <c r="J113" i="20"/>
  <c r="J110" i="46"/>
  <c r="J110" i="53"/>
  <c r="J113" i="34"/>
  <c r="J109" i="63"/>
  <c r="J111" i="74"/>
  <c r="J114" i="32"/>
  <c r="H36" i="35"/>
  <c r="E37" i="35"/>
  <c r="F37" i="35" s="1"/>
  <c r="B37" i="35"/>
  <c r="G36" i="35"/>
  <c r="B30" i="62"/>
  <c r="F30" i="62"/>
  <c r="B26" i="13"/>
  <c r="F26" i="13"/>
  <c r="J116" i="28"/>
  <c r="J105" i="92"/>
  <c r="B34" i="20"/>
  <c r="F34" i="20"/>
  <c r="G34" i="20" s="1"/>
  <c r="D36" i="18"/>
  <c r="E36" i="18"/>
  <c r="B27" i="87"/>
  <c r="F27" i="87"/>
  <c r="G27" i="87" s="1"/>
  <c r="E31" i="59"/>
  <c r="D31" i="59"/>
  <c r="I25" i="13"/>
  <c r="E112" i="58"/>
  <c r="D112" i="58"/>
  <c r="G111" i="58"/>
  <c r="E107" i="92"/>
  <c r="D107" i="92"/>
  <c r="G106" i="92"/>
  <c r="E107" i="84"/>
  <c r="D107" i="84"/>
  <c r="G106" i="84"/>
  <c r="D112" i="46"/>
  <c r="G111" i="46"/>
  <c r="E112" i="46"/>
  <c r="E112" i="53"/>
  <c r="G111" i="53"/>
  <c r="D112" i="53"/>
  <c r="I113" i="41"/>
  <c r="H113" i="41"/>
  <c r="E109" i="79"/>
  <c r="G108" i="79"/>
  <c r="D109" i="79"/>
  <c r="I107" i="81"/>
  <c r="H107" i="81"/>
  <c r="D109" i="78"/>
  <c r="E109" i="78"/>
  <c r="G108" i="78"/>
  <c r="J115" i="30"/>
  <c r="D117" i="69"/>
  <c r="G116" i="69"/>
  <c r="E117" i="69"/>
  <c r="J105" i="90"/>
  <c r="J109" i="60"/>
  <c r="J114" i="31"/>
  <c r="B107" i="89"/>
  <c r="F107" i="89"/>
  <c r="J112" i="39"/>
  <c r="J107" i="79"/>
  <c r="D111" i="63"/>
  <c r="G110" i="63"/>
  <c r="E111" i="63"/>
  <c r="B111" i="62"/>
  <c r="F111" i="62"/>
  <c r="G109" i="68"/>
  <c r="D110" i="68"/>
  <c r="E110" i="68"/>
  <c r="E116" i="31"/>
  <c r="G115" i="31"/>
  <c r="D116" i="31"/>
  <c r="J115" i="70"/>
  <c r="D116" i="32"/>
  <c r="G115" i="32"/>
  <c r="E116" i="32"/>
  <c r="H113" i="73"/>
  <c r="I113" i="73"/>
  <c r="J113" i="19"/>
  <c r="G110" i="64"/>
  <c r="D111" i="64"/>
  <c r="E111" i="64"/>
  <c r="J115" i="29"/>
  <c r="G113" i="43"/>
  <c r="D114" i="43"/>
  <c r="E114" i="43"/>
  <c r="B114" i="41"/>
  <c r="F114" i="41"/>
  <c r="D117" i="70"/>
  <c r="E117" i="70"/>
  <c r="G116" i="70"/>
  <c r="I112" i="45"/>
  <c r="H112" i="45"/>
  <c r="D115" i="19"/>
  <c r="E115" i="19"/>
  <c r="G114" i="19"/>
  <c r="D111" i="61"/>
  <c r="G110" i="61"/>
  <c r="E111" i="61"/>
  <c r="H106" i="89"/>
  <c r="I106" i="89"/>
  <c r="D110" i="66"/>
  <c r="G109" i="66"/>
  <c r="E110" i="66"/>
  <c r="D112" i="72"/>
  <c r="E112" i="72"/>
  <c r="G111" i="72"/>
  <c r="G116" i="29"/>
  <c r="E117" i="29"/>
  <c r="D117" i="29"/>
  <c r="F114" i="73"/>
  <c r="B114" i="73"/>
  <c r="E115" i="20"/>
  <c r="G114" i="20"/>
  <c r="D115" i="20"/>
  <c r="E111" i="60"/>
  <c r="D111" i="60"/>
  <c r="G110" i="60"/>
  <c r="G116" i="27"/>
  <c r="E117" i="27"/>
  <c r="D117" i="27"/>
  <c r="E117" i="30"/>
  <c r="D117" i="30"/>
  <c r="G116" i="30"/>
  <c r="D114" i="39"/>
  <c r="E114" i="39"/>
  <c r="G113" i="39"/>
  <c r="F113" i="45"/>
  <c r="B113" i="45"/>
  <c r="I114" i="22"/>
  <c r="H114" i="22"/>
  <c r="B107" i="91"/>
  <c r="F107" i="91"/>
  <c r="D115" i="34"/>
  <c r="E115" i="34"/>
  <c r="G114" i="34"/>
  <c r="J117" i="35"/>
  <c r="J110" i="59"/>
  <c r="J114" i="18"/>
  <c r="F108" i="81"/>
  <c r="B108" i="81"/>
  <c r="J108" i="68"/>
  <c r="J109" i="64"/>
  <c r="J109" i="65"/>
  <c r="D107" i="88"/>
  <c r="G106" i="88"/>
  <c r="E107" i="88"/>
  <c r="B115" i="22"/>
  <c r="F115" i="22"/>
  <c r="E107" i="90"/>
  <c r="G106" i="90"/>
  <c r="D107" i="90"/>
  <c r="E113" i="74"/>
  <c r="G112" i="74"/>
  <c r="D113" i="74"/>
  <c r="H110" i="62"/>
  <c r="I110" i="62"/>
  <c r="H106" i="91"/>
  <c r="I106" i="91"/>
  <c r="E108" i="85"/>
  <c r="D108" i="85"/>
  <c r="G107" i="85"/>
  <c r="J108" i="66"/>
  <c r="G110" i="65"/>
  <c r="E111" i="65"/>
  <c r="D111" i="65"/>
  <c r="E107" i="86"/>
  <c r="D107" i="86"/>
  <c r="G106" i="86"/>
  <c r="D117" i="23"/>
  <c r="E117" i="23"/>
  <c r="G116" i="23"/>
  <c r="J105" i="87"/>
  <c r="J115" i="71"/>
  <c r="G115" i="18"/>
  <c r="D116" i="18"/>
  <c r="E116" i="18"/>
  <c r="J115" i="23"/>
  <c r="B113" i="56"/>
  <c r="F113" i="56"/>
  <c r="J114" i="17"/>
  <c r="E112" i="59"/>
  <c r="G111" i="59"/>
  <c r="D112" i="59"/>
  <c r="H112" i="56"/>
  <c r="I112" i="56"/>
  <c r="J106" i="82"/>
  <c r="D117" i="71"/>
  <c r="G116" i="71"/>
  <c r="E117" i="71"/>
  <c r="D113" i="57"/>
  <c r="E113" i="57"/>
  <c r="G112" i="57"/>
  <c r="J113" i="3"/>
  <c r="J111" i="57"/>
  <c r="D107" i="96"/>
  <c r="G106" i="96"/>
  <c r="B114" i="42"/>
  <c r="F114" i="42"/>
  <c r="B116" i="24"/>
  <c r="F116" i="24"/>
  <c r="I106" i="25"/>
  <c r="H106" i="25"/>
  <c r="H114" i="21"/>
  <c r="I114" i="21"/>
  <c r="B109" i="76"/>
  <c r="F109" i="76"/>
  <c r="I107" i="83"/>
  <c r="H107" i="83"/>
  <c r="I106" i="93"/>
  <c r="H106" i="93"/>
  <c r="H111" i="55"/>
  <c r="I111" i="55"/>
  <c r="D110" i="67"/>
  <c r="G109" i="67"/>
  <c r="E110" i="67"/>
  <c r="B109" i="77"/>
  <c r="F109" i="77"/>
  <c r="F106" i="13"/>
  <c r="B106" i="13"/>
  <c r="B108" i="80"/>
  <c r="F108" i="80"/>
  <c r="B112" i="55"/>
  <c r="F112" i="55"/>
  <c r="I115" i="24"/>
  <c r="H115" i="24"/>
  <c r="G117" i="28"/>
  <c r="D118" i="28"/>
  <c r="E118" i="28"/>
  <c r="B107" i="25"/>
  <c r="F107" i="25"/>
  <c r="D114" i="44"/>
  <c r="G113" i="44"/>
  <c r="E114" i="44"/>
  <c r="F112" i="54"/>
  <c r="B112" i="54"/>
  <c r="B109" i="75"/>
  <c r="F109" i="75"/>
  <c r="I108" i="77"/>
  <c r="H108" i="77"/>
  <c r="H105" i="13"/>
  <c r="I105" i="13"/>
  <c r="H118" i="35"/>
  <c r="I118" i="35"/>
  <c r="E120" i="35"/>
  <c r="F120" i="35" s="1"/>
  <c r="B120" i="35"/>
  <c r="G119" i="35"/>
  <c r="J112" i="44"/>
  <c r="E116" i="17"/>
  <c r="G115" i="17"/>
  <c r="D116" i="17"/>
  <c r="H105" i="33"/>
  <c r="I105" i="33"/>
  <c r="I113" i="42"/>
  <c r="H113" i="42"/>
  <c r="H111" i="54"/>
  <c r="I111" i="54"/>
  <c r="I108" i="75"/>
  <c r="H108" i="75"/>
  <c r="G114" i="3"/>
  <c r="D115" i="3"/>
  <c r="E115" i="3"/>
  <c r="I107" i="80"/>
  <c r="H107" i="80"/>
  <c r="D107" i="87"/>
  <c r="G106" i="87"/>
  <c r="E107" i="87"/>
  <c r="B107" i="93"/>
  <c r="F107" i="93"/>
  <c r="B106" i="33"/>
  <c r="F106" i="33"/>
  <c r="G107" i="82"/>
  <c r="D108" i="82"/>
  <c r="E108" i="82"/>
  <c r="J105" i="96"/>
  <c r="F115" i="21"/>
  <c r="B115" i="21"/>
  <c r="J108" i="67"/>
  <c r="H108" i="76"/>
  <c r="I108" i="76"/>
  <c r="B108" i="83"/>
  <c r="F108" i="83"/>
  <c r="H28" i="80" l="1"/>
  <c r="G28" i="80"/>
  <c r="D29" i="80"/>
  <c r="I28" i="97"/>
  <c r="E28" i="99"/>
  <c r="F28" i="99" s="1"/>
  <c r="G28" i="99" s="1"/>
  <c r="B28" i="99"/>
  <c r="F27" i="98"/>
  <c r="G27" i="98" s="1"/>
  <c r="B27" i="98"/>
  <c r="H27" i="99"/>
  <c r="G27" i="99"/>
  <c r="E29" i="97"/>
  <c r="F29" i="97" s="1"/>
  <c r="B29" i="97"/>
  <c r="J105" i="99"/>
  <c r="G30" i="60"/>
  <c r="D31" i="60"/>
  <c r="F31" i="60" s="1"/>
  <c r="G31" i="60" s="1"/>
  <c r="H30" i="60"/>
  <c r="I35" i="32"/>
  <c r="G106" i="99"/>
  <c r="E107" i="99"/>
  <c r="D107" i="99"/>
  <c r="D108" i="95"/>
  <c r="E108" i="95" s="1"/>
  <c r="H106" i="95"/>
  <c r="I106" i="95"/>
  <c r="I33" i="73"/>
  <c r="B107" i="26"/>
  <c r="E107" i="26"/>
  <c r="F107" i="26" s="1"/>
  <c r="I106" i="97"/>
  <c r="H106" i="97"/>
  <c r="F107" i="98"/>
  <c r="B107" i="98"/>
  <c r="I106" i="26"/>
  <c r="H106" i="26"/>
  <c r="F107" i="97"/>
  <c r="B107" i="97"/>
  <c r="H106" i="98"/>
  <c r="I106" i="98"/>
  <c r="I28" i="90"/>
  <c r="I28" i="80"/>
  <c r="B31" i="67"/>
  <c r="F31" i="67"/>
  <c r="G31" i="67" s="1"/>
  <c r="F32" i="46"/>
  <c r="G32" i="46" s="1"/>
  <c r="B32" i="46"/>
  <c r="B36" i="24"/>
  <c r="F36" i="24"/>
  <c r="H36" i="24" s="1"/>
  <c r="B26" i="93"/>
  <c r="F26" i="93"/>
  <c r="H30" i="68"/>
  <c r="I30" i="68" s="1"/>
  <c r="G37" i="69"/>
  <c r="I37" i="69" s="1"/>
  <c r="I27" i="91"/>
  <c r="G29" i="82"/>
  <c r="E30" i="82"/>
  <c r="D30" i="82"/>
  <c r="B27" i="94"/>
  <c r="F27" i="94"/>
  <c r="H27" i="94" s="1"/>
  <c r="H28" i="86"/>
  <c r="G28" i="86"/>
  <c r="D29" i="86"/>
  <c r="E29" i="86"/>
  <c r="F29" i="80"/>
  <c r="H29" i="80" s="1"/>
  <c r="B29" i="80"/>
  <c r="H29" i="82"/>
  <c r="H26" i="26"/>
  <c r="G26" i="26"/>
  <c r="I26" i="26" s="1"/>
  <c r="B37" i="23"/>
  <c r="F37" i="23"/>
  <c r="H34" i="42"/>
  <c r="E35" i="42"/>
  <c r="D35" i="42"/>
  <c r="H33" i="58"/>
  <c r="I33" i="58" s="1"/>
  <c r="E34" i="58"/>
  <c r="D34" i="58"/>
  <c r="I106" i="94"/>
  <c r="H106" i="94"/>
  <c r="D30" i="75"/>
  <c r="E30" i="75"/>
  <c r="B28" i="91"/>
  <c r="F28" i="91"/>
  <c r="H28" i="91" s="1"/>
  <c r="E31" i="65"/>
  <c r="D31" i="65"/>
  <c r="H34" i="20"/>
  <c r="I34" i="20" s="1"/>
  <c r="H29" i="75"/>
  <c r="B28" i="84"/>
  <c r="F28" i="84"/>
  <c r="G28" i="84" s="1"/>
  <c r="F29" i="90"/>
  <c r="B29" i="90"/>
  <c r="G34" i="42"/>
  <c r="F31" i="66"/>
  <c r="H31" i="66" s="1"/>
  <c r="B31" i="66"/>
  <c r="G30" i="65"/>
  <c r="I30" i="65" s="1"/>
  <c r="H33" i="55"/>
  <c r="I33" i="55" s="1"/>
  <c r="E34" i="55"/>
  <c r="D34" i="55"/>
  <c r="F32" i="53"/>
  <c r="B32" i="53"/>
  <c r="E107" i="94"/>
  <c r="F107" i="94" s="1"/>
  <c r="B107" i="94"/>
  <c r="I34" i="41"/>
  <c r="G29" i="75"/>
  <c r="F37" i="27"/>
  <c r="B37" i="27"/>
  <c r="G35" i="3"/>
  <c r="I35" i="3" s="1"/>
  <c r="B34" i="44"/>
  <c r="F34" i="44"/>
  <c r="H34" i="44" s="1"/>
  <c r="B31" i="61"/>
  <c r="F31" i="61"/>
  <c r="H31" i="61" s="1"/>
  <c r="D27" i="95"/>
  <c r="E27" i="95"/>
  <c r="D35" i="39"/>
  <c r="E35" i="39"/>
  <c r="F35" i="22"/>
  <c r="H35" i="22" s="1"/>
  <c r="B35" i="22"/>
  <c r="H28" i="85"/>
  <c r="I28" i="85" s="1"/>
  <c r="D29" i="85"/>
  <c r="E29" i="85"/>
  <c r="H26" i="95"/>
  <c r="I26" i="95" s="1"/>
  <c r="B29" i="76"/>
  <c r="F29" i="76"/>
  <c r="G34" i="39"/>
  <c r="I34" i="39" s="1"/>
  <c r="F28" i="81"/>
  <c r="H28" i="81" s="1"/>
  <c r="B28" i="81"/>
  <c r="H32" i="72"/>
  <c r="I32" i="72" s="1"/>
  <c r="D33" i="72"/>
  <c r="E33" i="72"/>
  <c r="F26" i="96"/>
  <c r="H26" i="96" s="1"/>
  <c r="B26" i="96"/>
  <c r="G27" i="33"/>
  <c r="D28" i="33"/>
  <c r="H27" i="33"/>
  <c r="E34" i="45"/>
  <c r="D34" i="45"/>
  <c r="F31" i="63"/>
  <c r="G31" i="63" s="1"/>
  <c r="B31" i="63"/>
  <c r="H27" i="83"/>
  <c r="D28" i="83"/>
  <c r="E28" i="83"/>
  <c r="G36" i="34"/>
  <c r="H36" i="34"/>
  <c r="D37" i="34"/>
  <c r="E37" i="34"/>
  <c r="F32" i="57"/>
  <c r="H32" i="57" s="1"/>
  <c r="B32" i="57"/>
  <c r="D32" i="64"/>
  <c r="E32" i="64"/>
  <c r="B35" i="43"/>
  <c r="F35" i="43"/>
  <c r="H35" i="43" s="1"/>
  <c r="H27" i="25"/>
  <c r="D28" i="25"/>
  <c r="E28" i="25" s="1"/>
  <c r="G27" i="25"/>
  <c r="D36" i="19"/>
  <c r="E36" i="19"/>
  <c r="D37" i="30"/>
  <c r="E37" i="30"/>
  <c r="H27" i="87"/>
  <c r="I27" i="87" s="1"/>
  <c r="G33" i="45"/>
  <c r="B27" i="89"/>
  <c r="F27" i="89"/>
  <c r="G27" i="89" s="1"/>
  <c r="F29" i="77"/>
  <c r="G29" i="77" s="1"/>
  <c r="B29" i="77"/>
  <c r="H31" i="64"/>
  <c r="E31" i="68"/>
  <c r="D31" i="68"/>
  <c r="D27" i="26"/>
  <c r="E27" i="26" s="1"/>
  <c r="F35" i="21"/>
  <c r="H35" i="21" s="1"/>
  <c r="B35" i="21"/>
  <c r="F32" i="54"/>
  <c r="G32" i="54" s="1"/>
  <c r="B32" i="54"/>
  <c r="B34" i="73"/>
  <c r="F34" i="73"/>
  <c r="G36" i="30"/>
  <c r="I36" i="30" s="1"/>
  <c r="E36" i="3"/>
  <c r="D36" i="3"/>
  <c r="F35" i="41"/>
  <c r="H35" i="41" s="1"/>
  <c r="B35" i="41"/>
  <c r="C44" i="17"/>
  <c r="F35" i="17"/>
  <c r="H35" i="17" s="1"/>
  <c r="B35" i="17"/>
  <c r="F29" i="78"/>
  <c r="H29" i="78" s="1"/>
  <c r="B29" i="78"/>
  <c r="E29" i="88"/>
  <c r="D29" i="88"/>
  <c r="G38" i="28"/>
  <c r="E39" i="28"/>
  <c r="D39" i="28"/>
  <c r="G31" i="56"/>
  <c r="D32" i="56"/>
  <c r="E32" i="56"/>
  <c r="F27" i="92"/>
  <c r="B27" i="92"/>
  <c r="B37" i="70"/>
  <c r="F37" i="70"/>
  <c r="G37" i="70" s="1"/>
  <c r="E38" i="31"/>
  <c r="D38" i="31"/>
  <c r="G36" i="71"/>
  <c r="D37" i="71"/>
  <c r="E37" i="71"/>
  <c r="H38" i="28"/>
  <c r="I30" i="63"/>
  <c r="H33" i="45"/>
  <c r="G27" i="83"/>
  <c r="H37" i="31"/>
  <c r="I37" i="31" s="1"/>
  <c r="H36" i="71"/>
  <c r="F37" i="29"/>
  <c r="G37" i="29" s="1"/>
  <c r="B37" i="29"/>
  <c r="G28" i="88"/>
  <c r="I28" i="88" s="1"/>
  <c r="G31" i="64"/>
  <c r="H31" i="56"/>
  <c r="E38" i="69"/>
  <c r="D38" i="69"/>
  <c r="F34" i="74"/>
  <c r="G34" i="74" s="1"/>
  <c r="B34" i="74"/>
  <c r="H35" i="19"/>
  <c r="I35" i="19" s="1"/>
  <c r="I26" i="33"/>
  <c r="F36" i="32"/>
  <c r="G36" i="32" s="1"/>
  <c r="B36" i="32"/>
  <c r="B29" i="79"/>
  <c r="F29" i="79"/>
  <c r="G29" i="79" s="1"/>
  <c r="J118" i="35"/>
  <c r="J114" i="22"/>
  <c r="J107" i="81"/>
  <c r="J113" i="73"/>
  <c r="J112" i="45"/>
  <c r="B31" i="59"/>
  <c r="F31" i="59"/>
  <c r="H31" i="59" s="1"/>
  <c r="D27" i="13"/>
  <c r="E31" i="62"/>
  <c r="D31" i="62"/>
  <c r="E38" i="35"/>
  <c r="F38" i="35" s="1"/>
  <c r="H37" i="35"/>
  <c r="G37" i="35"/>
  <c r="B38" i="35"/>
  <c r="D28" i="87"/>
  <c r="E28" i="87"/>
  <c r="G26" i="13"/>
  <c r="I36" i="35"/>
  <c r="E35" i="20"/>
  <c r="D35" i="20"/>
  <c r="G30" i="62"/>
  <c r="F36" i="18"/>
  <c r="G36" i="18" s="1"/>
  <c r="B36" i="18"/>
  <c r="H26" i="13"/>
  <c r="H30" i="62"/>
  <c r="F107" i="86"/>
  <c r="B107" i="86"/>
  <c r="H110" i="65"/>
  <c r="I110" i="65"/>
  <c r="F107" i="90"/>
  <c r="B107" i="90"/>
  <c r="D109" i="81"/>
  <c r="G108" i="81"/>
  <c r="E109" i="81"/>
  <c r="H114" i="34"/>
  <c r="I114" i="34"/>
  <c r="D114" i="45"/>
  <c r="E114" i="45"/>
  <c r="G113" i="45"/>
  <c r="H116" i="30"/>
  <c r="I116" i="30"/>
  <c r="H116" i="29"/>
  <c r="I116" i="29"/>
  <c r="H114" i="19"/>
  <c r="I114" i="19"/>
  <c r="G114" i="41"/>
  <c r="D115" i="41"/>
  <c r="E115" i="41"/>
  <c r="H113" i="43"/>
  <c r="I113" i="43"/>
  <c r="H110" i="64"/>
  <c r="I110" i="64"/>
  <c r="B116" i="31"/>
  <c r="F116" i="31"/>
  <c r="B110" i="68"/>
  <c r="F110" i="68"/>
  <c r="B117" i="69"/>
  <c r="F117" i="69"/>
  <c r="B109" i="78"/>
  <c r="F109" i="78"/>
  <c r="I108" i="79"/>
  <c r="H108" i="79"/>
  <c r="B112" i="53"/>
  <c r="F112" i="53"/>
  <c r="F107" i="84"/>
  <c r="B107" i="84"/>
  <c r="J112" i="56"/>
  <c r="J106" i="91"/>
  <c r="B113" i="74"/>
  <c r="F113" i="74"/>
  <c r="H106" i="90"/>
  <c r="I106" i="90"/>
  <c r="I113" i="39"/>
  <c r="H113" i="39"/>
  <c r="B117" i="30"/>
  <c r="F117" i="30"/>
  <c r="I116" i="27"/>
  <c r="H116" i="27"/>
  <c r="F115" i="20"/>
  <c r="B115" i="20"/>
  <c r="E115" i="73"/>
  <c r="G114" i="73"/>
  <c r="D115" i="73"/>
  <c r="H111" i="72"/>
  <c r="I111" i="72"/>
  <c r="I109" i="66"/>
  <c r="H109" i="66"/>
  <c r="H116" i="70"/>
  <c r="I116" i="70"/>
  <c r="I115" i="32"/>
  <c r="H115" i="32"/>
  <c r="H115" i="31"/>
  <c r="I115" i="31"/>
  <c r="H109" i="68"/>
  <c r="I109" i="68"/>
  <c r="H110" i="63"/>
  <c r="I110" i="63"/>
  <c r="E108" i="89"/>
  <c r="D108" i="89"/>
  <c r="G107" i="89"/>
  <c r="I111" i="53"/>
  <c r="H111" i="53"/>
  <c r="I111" i="46"/>
  <c r="H111" i="46"/>
  <c r="H111" i="58"/>
  <c r="I111" i="58"/>
  <c r="J114" i="21"/>
  <c r="F111" i="65"/>
  <c r="B111" i="65"/>
  <c r="I107" i="85"/>
  <c r="H107" i="85"/>
  <c r="I112" i="74"/>
  <c r="H112" i="74"/>
  <c r="H106" i="88"/>
  <c r="I106" i="88"/>
  <c r="F115" i="34"/>
  <c r="B115" i="34"/>
  <c r="I110" i="60"/>
  <c r="H110" i="60"/>
  <c r="I114" i="20"/>
  <c r="H114" i="20"/>
  <c r="B117" i="29"/>
  <c r="F117" i="29"/>
  <c r="F110" i="66"/>
  <c r="B110" i="66"/>
  <c r="I110" i="61"/>
  <c r="H110" i="61"/>
  <c r="B115" i="19"/>
  <c r="F115" i="19"/>
  <c r="B116" i="32"/>
  <c r="F116" i="32"/>
  <c r="D112" i="62"/>
  <c r="G111" i="62"/>
  <c r="E112" i="62"/>
  <c r="B111" i="63"/>
  <c r="F111" i="63"/>
  <c r="I108" i="78"/>
  <c r="H108" i="78"/>
  <c r="F112" i="46"/>
  <c r="B112" i="46"/>
  <c r="I106" i="92"/>
  <c r="H106" i="92"/>
  <c r="F112" i="58"/>
  <c r="B112" i="58"/>
  <c r="H106" i="86"/>
  <c r="I106" i="86"/>
  <c r="F108" i="85"/>
  <c r="B108" i="85"/>
  <c r="J110" i="62"/>
  <c r="D116" i="22"/>
  <c r="G115" i="22"/>
  <c r="E116" i="22"/>
  <c r="F107" i="88"/>
  <c r="B107" i="88"/>
  <c r="D108" i="91"/>
  <c r="G107" i="91"/>
  <c r="E108" i="91"/>
  <c r="B114" i="39"/>
  <c r="F114" i="39"/>
  <c r="F117" i="27"/>
  <c r="B117" i="27"/>
  <c r="B111" i="60"/>
  <c r="F111" i="60"/>
  <c r="F112" i="72"/>
  <c r="B112" i="72"/>
  <c r="J106" i="89"/>
  <c r="B111" i="61"/>
  <c r="F111" i="61"/>
  <c r="F117" i="70"/>
  <c r="B117" i="70"/>
  <c r="F114" i="43"/>
  <c r="B114" i="43"/>
  <c r="F111" i="64"/>
  <c r="B111" i="64"/>
  <c r="I116" i="69"/>
  <c r="H116" i="69"/>
  <c r="B109" i="79"/>
  <c r="F109" i="79"/>
  <c r="J113" i="41"/>
  <c r="I106" i="84"/>
  <c r="H106" i="84"/>
  <c r="F107" i="92"/>
  <c r="B107" i="92"/>
  <c r="B117" i="23"/>
  <c r="F117" i="23"/>
  <c r="F112" i="59"/>
  <c r="B112" i="59"/>
  <c r="B116" i="18"/>
  <c r="F116" i="18"/>
  <c r="H111" i="59"/>
  <c r="I111" i="59"/>
  <c r="I115" i="18"/>
  <c r="H115" i="18"/>
  <c r="H116" i="23"/>
  <c r="I116" i="23"/>
  <c r="J106" i="93"/>
  <c r="E114" i="56"/>
  <c r="G113" i="56"/>
  <c r="D114" i="56"/>
  <c r="F113" i="57"/>
  <c r="B113" i="57"/>
  <c r="J113" i="42"/>
  <c r="J105" i="33"/>
  <c r="I116" i="71"/>
  <c r="H116" i="71"/>
  <c r="J105" i="13"/>
  <c r="I112" i="57"/>
  <c r="H112" i="57"/>
  <c r="F117" i="71"/>
  <c r="B117" i="71"/>
  <c r="E113" i="54"/>
  <c r="G112" i="54"/>
  <c r="D113" i="54"/>
  <c r="I117" i="28"/>
  <c r="H117" i="28"/>
  <c r="E109" i="83"/>
  <c r="G108" i="83"/>
  <c r="D109" i="83"/>
  <c r="G115" i="21"/>
  <c r="E116" i="21"/>
  <c r="D116" i="21"/>
  <c r="F108" i="82"/>
  <c r="B108" i="82"/>
  <c r="G106" i="33"/>
  <c r="D107" i="33"/>
  <c r="E107" i="33" s="1"/>
  <c r="G107" i="93"/>
  <c r="D108" i="93"/>
  <c r="E108" i="93" s="1"/>
  <c r="J107" i="80"/>
  <c r="F116" i="17"/>
  <c r="B116" i="17"/>
  <c r="E121" i="35"/>
  <c r="F121" i="35" s="1"/>
  <c r="B121" i="35"/>
  <c r="G120" i="35"/>
  <c r="J108" i="77"/>
  <c r="F110" i="67"/>
  <c r="B110" i="67"/>
  <c r="I106" i="96"/>
  <c r="H106" i="96"/>
  <c r="I114" i="3"/>
  <c r="H114" i="3"/>
  <c r="H109" i="67"/>
  <c r="I109" i="67"/>
  <c r="E115" i="42"/>
  <c r="G114" i="42"/>
  <c r="D115" i="42"/>
  <c r="I107" i="82"/>
  <c r="H107" i="82"/>
  <c r="I106" i="87"/>
  <c r="H106" i="87"/>
  <c r="J108" i="75"/>
  <c r="I115" i="17"/>
  <c r="H115" i="17"/>
  <c r="I107" i="95"/>
  <c r="H107" i="95"/>
  <c r="H113" i="44"/>
  <c r="I113" i="44"/>
  <c r="J115" i="24"/>
  <c r="E113" i="55"/>
  <c r="G112" i="55"/>
  <c r="D113" i="55"/>
  <c r="E109" i="80"/>
  <c r="G108" i="80"/>
  <c r="D109" i="80"/>
  <c r="G109" i="77"/>
  <c r="E110" i="77"/>
  <c r="D110" i="77"/>
  <c r="J107" i="83"/>
  <c r="J106" i="25"/>
  <c r="D117" i="24"/>
  <c r="E117" i="24"/>
  <c r="G116" i="24"/>
  <c r="B107" i="96"/>
  <c r="D108" i="25"/>
  <c r="G107" i="25"/>
  <c r="J108" i="76"/>
  <c r="F107" i="87"/>
  <c r="B107" i="87"/>
  <c r="F115" i="3"/>
  <c r="B115" i="3"/>
  <c r="J111" i="54"/>
  <c r="I119" i="35"/>
  <c r="H119" i="35"/>
  <c r="D110" i="75"/>
  <c r="G109" i="75"/>
  <c r="E110" i="75"/>
  <c r="B114" i="44"/>
  <c r="F114" i="44"/>
  <c r="B118" i="28"/>
  <c r="F118" i="28"/>
  <c r="G106" i="13"/>
  <c r="D107" i="13"/>
  <c r="J111" i="55"/>
  <c r="D110" i="76"/>
  <c r="E110" i="76"/>
  <c r="G109" i="76"/>
  <c r="E107" i="96"/>
  <c r="F107" i="96" s="1"/>
  <c r="B31" i="60" l="1"/>
  <c r="I30" i="60"/>
  <c r="B108" i="95"/>
  <c r="D30" i="97"/>
  <c r="E30" i="97"/>
  <c r="G29" i="97"/>
  <c r="H29" i="97"/>
  <c r="G32" i="57"/>
  <c r="I32" i="57" s="1"/>
  <c r="I27" i="99"/>
  <c r="D28" i="98"/>
  <c r="E28" i="98"/>
  <c r="D29" i="99"/>
  <c r="E29" i="99"/>
  <c r="H27" i="98"/>
  <c r="I27" i="98" s="1"/>
  <c r="H28" i="99"/>
  <c r="I28" i="99" s="1"/>
  <c r="I26" i="13"/>
  <c r="I29" i="82"/>
  <c r="F108" i="95"/>
  <c r="G108" i="95" s="1"/>
  <c r="F107" i="99"/>
  <c r="B107" i="99"/>
  <c r="H106" i="99"/>
  <c r="I106" i="99"/>
  <c r="J106" i="95"/>
  <c r="H31" i="67"/>
  <c r="I31" i="67" s="1"/>
  <c r="H32" i="46"/>
  <c r="I32" i="46" s="1"/>
  <c r="J106" i="98"/>
  <c r="J106" i="26"/>
  <c r="J106" i="97"/>
  <c r="D108" i="26"/>
  <c r="B108" i="26" s="1"/>
  <c r="G107" i="26"/>
  <c r="G107" i="97"/>
  <c r="D108" i="97"/>
  <c r="E108" i="97"/>
  <c r="D108" i="98"/>
  <c r="G107" i="98"/>
  <c r="E108" i="98"/>
  <c r="G29" i="80"/>
  <c r="H29" i="79"/>
  <c r="I29" i="79" s="1"/>
  <c r="D32" i="67"/>
  <c r="E32" i="67"/>
  <c r="H32" i="54"/>
  <c r="D33" i="46"/>
  <c r="E33" i="46"/>
  <c r="G36" i="24"/>
  <c r="I36" i="24" s="1"/>
  <c r="E37" i="24"/>
  <c r="D37" i="24"/>
  <c r="G35" i="22"/>
  <c r="I35" i="22" s="1"/>
  <c r="G35" i="21"/>
  <c r="I35" i="21" s="1"/>
  <c r="I28" i="86"/>
  <c r="D30" i="80"/>
  <c r="E30" i="80"/>
  <c r="E27" i="93"/>
  <c r="D27" i="93"/>
  <c r="F30" i="82"/>
  <c r="H30" i="82" s="1"/>
  <c r="B30" i="82"/>
  <c r="I36" i="34"/>
  <c r="I29" i="80"/>
  <c r="B29" i="86"/>
  <c r="F29" i="86"/>
  <c r="H29" i="86" s="1"/>
  <c r="G27" i="94"/>
  <c r="I27" i="94" s="1"/>
  <c r="D28" i="94"/>
  <c r="E28" i="94"/>
  <c r="H26" i="93"/>
  <c r="I29" i="75"/>
  <c r="G26" i="93"/>
  <c r="B34" i="58"/>
  <c r="F34" i="58"/>
  <c r="G107" i="94"/>
  <c r="D108" i="94"/>
  <c r="G32" i="53"/>
  <c r="D33" i="53"/>
  <c r="E33" i="53"/>
  <c r="I34" i="42"/>
  <c r="H29" i="90"/>
  <c r="D30" i="90"/>
  <c r="E30" i="90"/>
  <c r="F30" i="75"/>
  <c r="G30" i="75" s="1"/>
  <c r="B30" i="75"/>
  <c r="I31" i="56"/>
  <c r="I36" i="71"/>
  <c r="G35" i="17"/>
  <c r="I35" i="17" s="1"/>
  <c r="F34" i="55"/>
  <c r="H34" i="55" s="1"/>
  <c r="B34" i="55"/>
  <c r="G29" i="90"/>
  <c r="H28" i="84"/>
  <c r="I28" i="84" s="1"/>
  <c r="E29" i="84"/>
  <c r="D29" i="84"/>
  <c r="B31" i="65"/>
  <c r="F31" i="65"/>
  <c r="H31" i="65" s="1"/>
  <c r="J106" i="94"/>
  <c r="E38" i="23"/>
  <c r="D38" i="23"/>
  <c r="H37" i="23"/>
  <c r="G37" i="23"/>
  <c r="G31" i="66"/>
  <c r="I31" i="66" s="1"/>
  <c r="E32" i="66"/>
  <c r="D32" i="66"/>
  <c r="G28" i="91"/>
  <c r="I28" i="91" s="1"/>
  <c r="E29" i="91"/>
  <c r="D29" i="91"/>
  <c r="G31" i="59"/>
  <c r="I31" i="59" s="1"/>
  <c r="H34" i="74"/>
  <c r="I34" i="74" s="1"/>
  <c r="H32" i="53"/>
  <c r="F35" i="42"/>
  <c r="B35" i="42"/>
  <c r="H36" i="32"/>
  <c r="I36" i="32" s="1"/>
  <c r="H29" i="77"/>
  <c r="I29" i="77" s="1"/>
  <c r="H27" i="89"/>
  <c r="I27" i="89" s="1"/>
  <c r="H31" i="60"/>
  <c r="I31" i="60" s="1"/>
  <c r="B33" i="72"/>
  <c r="F33" i="72"/>
  <c r="H33" i="72" s="1"/>
  <c r="G28" i="81"/>
  <c r="I28" i="81" s="1"/>
  <c r="D29" i="81"/>
  <c r="E29" i="81"/>
  <c r="F29" i="85"/>
  <c r="B29" i="85"/>
  <c r="G29" i="76"/>
  <c r="D30" i="76"/>
  <c r="E30" i="76"/>
  <c r="I30" i="62"/>
  <c r="F35" i="39"/>
  <c r="H35" i="39" s="1"/>
  <c r="B35" i="39"/>
  <c r="F27" i="95"/>
  <c r="H27" i="95" s="1"/>
  <c r="B27" i="95"/>
  <c r="G37" i="27"/>
  <c r="D38" i="27"/>
  <c r="E38" i="27"/>
  <c r="H37" i="27"/>
  <c r="G26" i="96"/>
  <c r="I26" i="96" s="1"/>
  <c r="D27" i="96"/>
  <c r="E27" i="96"/>
  <c r="H29" i="76"/>
  <c r="E36" i="22"/>
  <c r="D36" i="22"/>
  <c r="G31" i="61"/>
  <c r="I31" i="61" s="1"/>
  <c r="D32" i="61"/>
  <c r="E32" i="61"/>
  <c r="G34" i="44"/>
  <c r="I34" i="44" s="1"/>
  <c r="D35" i="44"/>
  <c r="E35" i="44"/>
  <c r="I32" i="54"/>
  <c r="I27" i="33"/>
  <c r="F37" i="71"/>
  <c r="B37" i="71"/>
  <c r="F36" i="19"/>
  <c r="G36" i="19" s="1"/>
  <c r="B36" i="19"/>
  <c r="B38" i="69"/>
  <c r="F38" i="69"/>
  <c r="H38" i="69" s="1"/>
  <c r="D28" i="92"/>
  <c r="E28" i="92"/>
  <c r="G27" i="92"/>
  <c r="D32" i="63"/>
  <c r="E32" i="63"/>
  <c r="I38" i="28"/>
  <c r="B38" i="31"/>
  <c r="F38" i="31"/>
  <c r="H38" i="31" s="1"/>
  <c r="H27" i="92"/>
  <c r="B29" i="88"/>
  <c r="F29" i="88"/>
  <c r="H29" i="88" s="1"/>
  <c r="G29" i="78"/>
  <c r="I29" i="78" s="1"/>
  <c r="E30" i="78"/>
  <c r="D30" i="78"/>
  <c r="D36" i="17"/>
  <c r="E36" i="17"/>
  <c r="G35" i="41"/>
  <c r="I35" i="41" s="1"/>
  <c r="D36" i="41"/>
  <c r="E36" i="41"/>
  <c r="H34" i="73"/>
  <c r="E35" i="73"/>
  <c r="D35" i="73"/>
  <c r="G34" i="73"/>
  <c r="F31" i="68"/>
  <c r="G31" i="68" s="1"/>
  <c r="B31" i="68"/>
  <c r="E28" i="89"/>
  <c r="D28" i="89"/>
  <c r="B37" i="30"/>
  <c r="F37" i="30"/>
  <c r="H37" i="30" s="1"/>
  <c r="I27" i="25"/>
  <c r="D33" i="57"/>
  <c r="E33" i="57"/>
  <c r="B34" i="45"/>
  <c r="F34" i="45"/>
  <c r="H34" i="45" s="1"/>
  <c r="E28" i="33"/>
  <c r="F28" i="33" s="1"/>
  <c r="B28" i="33"/>
  <c r="H37" i="29"/>
  <c r="I37" i="29" s="1"/>
  <c r="D38" i="29"/>
  <c r="E38" i="29"/>
  <c r="B28" i="83"/>
  <c r="F28" i="83"/>
  <c r="H28" i="83" s="1"/>
  <c r="D38" i="70"/>
  <c r="E38" i="70"/>
  <c r="B32" i="56"/>
  <c r="F32" i="56"/>
  <c r="G32" i="56" s="1"/>
  <c r="B27" i="26"/>
  <c r="F27" i="26"/>
  <c r="H27" i="26" s="1"/>
  <c r="D36" i="43"/>
  <c r="E36" i="43"/>
  <c r="E30" i="79"/>
  <c r="D30" i="79"/>
  <c r="D37" i="32"/>
  <c r="E37" i="32"/>
  <c r="E35" i="74"/>
  <c r="D35" i="74"/>
  <c r="I27" i="83"/>
  <c r="I33" i="45"/>
  <c r="H37" i="70"/>
  <c r="I37" i="70" s="1"/>
  <c r="B39" i="28"/>
  <c r="F39" i="28"/>
  <c r="G39" i="28" s="1"/>
  <c r="N6" i="17"/>
  <c r="N5" i="17"/>
  <c r="M87" i="17"/>
  <c r="N87" i="17"/>
  <c r="B36" i="3"/>
  <c r="F36" i="3"/>
  <c r="G36" i="3" s="1"/>
  <c r="E33" i="54"/>
  <c r="D33" i="54"/>
  <c r="E36" i="21"/>
  <c r="D36" i="21"/>
  <c r="I31" i="64"/>
  <c r="E30" i="77"/>
  <c r="D30" i="77"/>
  <c r="D32" i="60"/>
  <c r="E32" i="60"/>
  <c r="B28" i="25"/>
  <c r="F28" i="25"/>
  <c r="G28" i="25" s="1"/>
  <c r="G35" i="43"/>
  <c r="I35" i="43" s="1"/>
  <c r="B32" i="64"/>
  <c r="F32" i="64"/>
  <c r="G32" i="64" s="1"/>
  <c r="F37" i="34"/>
  <c r="B37" i="34"/>
  <c r="H31" i="63"/>
  <c r="I31" i="63" s="1"/>
  <c r="J116" i="29"/>
  <c r="J111" i="58"/>
  <c r="J110" i="61"/>
  <c r="J106" i="90"/>
  <c r="B35" i="20"/>
  <c r="F35" i="20"/>
  <c r="I37" i="35"/>
  <c r="B27" i="13"/>
  <c r="E37" i="18"/>
  <c r="D37" i="18"/>
  <c r="J108" i="79"/>
  <c r="H36" i="18"/>
  <c r="I36" i="18" s="1"/>
  <c r="B39" i="35"/>
  <c r="H38" i="35"/>
  <c r="E39" i="35"/>
  <c r="F39" i="35" s="1"/>
  <c r="G38" i="35"/>
  <c r="E27" i="13"/>
  <c r="F27" i="13" s="1"/>
  <c r="F28" i="87"/>
  <c r="B28" i="87"/>
  <c r="J111" i="59"/>
  <c r="J106" i="88"/>
  <c r="J109" i="68"/>
  <c r="J110" i="64"/>
  <c r="J114" i="34"/>
  <c r="B31" i="62"/>
  <c r="F31" i="62"/>
  <c r="G31" i="62" s="1"/>
  <c r="D32" i="59"/>
  <c r="E32" i="59"/>
  <c r="E108" i="92"/>
  <c r="G107" i="92"/>
  <c r="D108" i="92"/>
  <c r="G109" i="79"/>
  <c r="D110" i="79"/>
  <c r="E110" i="79"/>
  <c r="B116" i="22"/>
  <c r="F116" i="22"/>
  <c r="J106" i="86"/>
  <c r="G112" i="58"/>
  <c r="D113" i="58"/>
  <c r="E113" i="58"/>
  <c r="D113" i="46"/>
  <c r="G112" i="46"/>
  <c r="E113" i="46"/>
  <c r="D117" i="32"/>
  <c r="G116" i="32"/>
  <c r="E117" i="32"/>
  <c r="E118" i="29"/>
  <c r="G117" i="29"/>
  <c r="D118" i="29"/>
  <c r="I107" i="89"/>
  <c r="H107" i="89"/>
  <c r="G117" i="30"/>
  <c r="E118" i="30"/>
  <c r="D118" i="30"/>
  <c r="G107" i="84"/>
  <c r="E108" i="84"/>
  <c r="D108" i="84"/>
  <c r="J114" i="19"/>
  <c r="J116" i="30"/>
  <c r="B114" i="45"/>
  <c r="F114" i="45"/>
  <c r="H108" i="81"/>
  <c r="I108" i="81"/>
  <c r="J110" i="65"/>
  <c r="G111" i="64"/>
  <c r="D112" i="64"/>
  <c r="E112" i="64"/>
  <c r="D118" i="70"/>
  <c r="G117" i="70"/>
  <c r="E118" i="70"/>
  <c r="D108" i="88"/>
  <c r="E108" i="88"/>
  <c r="G107" i="88"/>
  <c r="J110" i="60"/>
  <c r="J107" i="85"/>
  <c r="J111" i="46"/>
  <c r="F108" i="89"/>
  <c r="B108" i="89"/>
  <c r="B115" i="73"/>
  <c r="F115" i="73"/>
  <c r="G115" i="20"/>
  <c r="D116" i="20"/>
  <c r="E116" i="20"/>
  <c r="E113" i="53"/>
  <c r="D113" i="53"/>
  <c r="G112" i="53"/>
  <c r="D110" i="78"/>
  <c r="G109" i="78"/>
  <c r="E110" i="78"/>
  <c r="G110" i="68"/>
  <c r="D111" i="68"/>
  <c r="E111" i="68"/>
  <c r="B109" i="81"/>
  <c r="F109" i="81"/>
  <c r="J106" i="84"/>
  <c r="D112" i="61"/>
  <c r="G111" i="61"/>
  <c r="E112" i="61"/>
  <c r="D113" i="72"/>
  <c r="E113" i="72"/>
  <c r="G112" i="72"/>
  <c r="G117" i="27"/>
  <c r="D118" i="27"/>
  <c r="E118" i="27"/>
  <c r="H107" i="91"/>
  <c r="I107" i="91"/>
  <c r="J106" i="92"/>
  <c r="J108" i="78"/>
  <c r="H111" i="62"/>
  <c r="I111" i="62"/>
  <c r="D116" i="19"/>
  <c r="E116" i="19"/>
  <c r="G115" i="19"/>
  <c r="J115" i="32"/>
  <c r="J109" i="66"/>
  <c r="H114" i="73"/>
  <c r="I114" i="73"/>
  <c r="E114" i="74"/>
  <c r="D114" i="74"/>
  <c r="G113" i="74"/>
  <c r="F115" i="41"/>
  <c r="B115" i="41"/>
  <c r="I113" i="45"/>
  <c r="H113" i="45"/>
  <c r="J116" i="69"/>
  <c r="E115" i="43"/>
  <c r="D115" i="43"/>
  <c r="G114" i="43"/>
  <c r="E112" i="60"/>
  <c r="D112" i="60"/>
  <c r="G111" i="60"/>
  <c r="E115" i="39"/>
  <c r="G114" i="39"/>
  <c r="D115" i="39"/>
  <c r="B108" i="91"/>
  <c r="F108" i="91"/>
  <c r="H115" i="22"/>
  <c r="I115" i="22"/>
  <c r="E109" i="85"/>
  <c r="D109" i="85"/>
  <c r="G108" i="85"/>
  <c r="D112" i="63"/>
  <c r="E112" i="63"/>
  <c r="G111" i="63"/>
  <c r="F112" i="62"/>
  <c r="B112" i="62"/>
  <c r="E111" i="66"/>
  <c r="D111" i="66"/>
  <c r="G110" i="66"/>
  <c r="J114" i="20"/>
  <c r="D116" i="34"/>
  <c r="E116" i="34"/>
  <c r="G115" i="34"/>
  <c r="J112" i="74"/>
  <c r="E112" i="65"/>
  <c r="D112" i="65"/>
  <c r="G111" i="65"/>
  <c r="J111" i="53"/>
  <c r="J110" i="63"/>
  <c r="J115" i="31"/>
  <c r="J116" i="70"/>
  <c r="J111" i="72"/>
  <c r="J116" i="27"/>
  <c r="J113" i="39"/>
  <c r="E118" i="69"/>
  <c r="D118" i="69"/>
  <c r="G117" i="69"/>
  <c r="E117" i="31"/>
  <c r="G116" i="31"/>
  <c r="D117" i="31"/>
  <c r="J113" i="43"/>
  <c r="I114" i="41"/>
  <c r="H114" i="41"/>
  <c r="D108" i="90"/>
  <c r="E108" i="90"/>
  <c r="G107" i="90"/>
  <c r="D108" i="86"/>
  <c r="G107" i="86"/>
  <c r="E108" i="86"/>
  <c r="E118" i="23"/>
  <c r="G117" i="23"/>
  <c r="D118" i="23"/>
  <c r="J106" i="87"/>
  <c r="J107" i="82"/>
  <c r="F114" i="56"/>
  <c r="B114" i="56"/>
  <c r="J115" i="18"/>
  <c r="D113" i="59"/>
  <c r="G112" i="59"/>
  <c r="E113" i="59"/>
  <c r="I113" i="56"/>
  <c r="H113" i="56"/>
  <c r="J116" i="23"/>
  <c r="E117" i="18"/>
  <c r="G116" i="18"/>
  <c r="D117" i="18"/>
  <c r="J107" i="95"/>
  <c r="J117" i="28"/>
  <c r="J112" i="57"/>
  <c r="J116" i="71"/>
  <c r="G113" i="57"/>
  <c r="E114" i="57"/>
  <c r="D114" i="57"/>
  <c r="J115" i="17"/>
  <c r="E118" i="71"/>
  <c r="D118" i="71"/>
  <c r="G117" i="71"/>
  <c r="G107" i="96"/>
  <c r="D108" i="96"/>
  <c r="I112" i="55"/>
  <c r="H112" i="55"/>
  <c r="B110" i="75"/>
  <c r="F110" i="75"/>
  <c r="H116" i="24"/>
  <c r="I116" i="24"/>
  <c r="B115" i="42"/>
  <c r="F115" i="42"/>
  <c r="D117" i="17"/>
  <c r="G116" i="17"/>
  <c r="E117" i="17"/>
  <c r="F116" i="21"/>
  <c r="B116" i="21"/>
  <c r="H108" i="83"/>
  <c r="I108" i="83"/>
  <c r="B113" i="54"/>
  <c r="F113" i="54"/>
  <c r="I109" i="76"/>
  <c r="H109" i="76"/>
  <c r="I106" i="13"/>
  <c r="H106" i="13"/>
  <c r="J119" i="35"/>
  <c r="F110" i="77"/>
  <c r="B110" i="77"/>
  <c r="H108" i="80"/>
  <c r="I108" i="80"/>
  <c r="I114" i="42"/>
  <c r="H114" i="42"/>
  <c r="J114" i="3"/>
  <c r="J106" i="96"/>
  <c r="I120" i="35"/>
  <c r="H120" i="35"/>
  <c r="F108" i="93"/>
  <c r="B108" i="93"/>
  <c r="H106" i="33"/>
  <c r="I106" i="33"/>
  <c r="H112" i="54"/>
  <c r="I112" i="54"/>
  <c r="B107" i="13"/>
  <c r="G114" i="44"/>
  <c r="D115" i="44"/>
  <c r="E115" i="44"/>
  <c r="B109" i="80"/>
  <c r="F109" i="80"/>
  <c r="D119" i="28"/>
  <c r="G118" i="28"/>
  <c r="E119" i="28"/>
  <c r="H107" i="93"/>
  <c r="I107" i="93"/>
  <c r="H115" i="21"/>
  <c r="I115" i="21"/>
  <c r="B108" i="25"/>
  <c r="H107" i="25"/>
  <c r="I107" i="25"/>
  <c r="F117" i="24"/>
  <c r="B117" i="24"/>
  <c r="B110" i="76"/>
  <c r="F110" i="76"/>
  <c r="E107" i="13"/>
  <c r="F107" i="13" s="1"/>
  <c r="I109" i="75"/>
  <c r="H109" i="75"/>
  <c r="D116" i="3"/>
  <c r="G115" i="3"/>
  <c r="E116" i="3"/>
  <c r="G107" i="87"/>
  <c r="D108" i="87"/>
  <c r="E108" i="87"/>
  <c r="E108" i="25"/>
  <c r="F108" i="25" s="1"/>
  <c r="H109" i="77"/>
  <c r="I109" i="77"/>
  <c r="F113" i="55"/>
  <c r="B113" i="55"/>
  <c r="J113" i="44"/>
  <c r="J109" i="67"/>
  <c r="G110" i="67"/>
  <c r="D111" i="67"/>
  <c r="E111" i="67"/>
  <c r="E122" i="35"/>
  <c r="F122" i="35" s="1"/>
  <c r="B122" i="35"/>
  <c r="G121" i="35"/>
  <c r="F107" i="33"/>
  <c r="B107" i="33"/>
  <c r="G108" i="82"/>
  <c r="D109" i="82"/>
  <c r="E109" i="82"/>
  <c r="F109" i="83"/>
  <c r="B109" i="83"/>
  <c r="I29" i="97" l="1"/>
  <c r="D109" i="95"/>
  <c r="E109" i="95" s="1"/>
  <c r="B28" i="98"/>
  <c r="F28" i="98"/>
  <c r="G28" i="98" s="1"/>
  <c r="I29" i="90"/>
  <c r="F29" i="99"/>
  <c r="G29" i="99" s="1"/>
  <c r="B29" i="99"/>
  <c r="F30" i="97"/>
  <c r="G30" i="97" s="1"/>
  <c r="B30" i="97"/>
  <c r="G30" i="82"/>
  <c r="I30" i="82" s="1"/>
  <c r="I32" i="53"/>
  <c r="J106" i="99"/>
  <c r="D108" i="99"/>
  <c r="G107" i="99"/>
  <c r="E108" i="99"/>
  <c r="I26" i="93"/>
  <c r="G31" i="65"/>
  <c r="I31" i="65"/>
  <c r="I107" i="26"/>
  <c r="H107" i="26"/>
  <c r="B108" i="97"/>
  <c r="F108" i="97"/>
  <c r="H107" i="98"/>
  <c r="I107" i="98"/>
  <c r="I107" i="97"/>
  <c r="H107" i="97"/>
  <c r="B108" i="98"/>
  <c r="F108" i="98"/>
  <c r="E108" i="26"/>
  <c r="F108" i="26" s="1"/>
  <c r="F32" i="67"/>
  <c r="G32" i="67" s="1"/>
  <c r="B32" i="67"/>
  <c r="F33" i="46"/>
  <c r="H33" i="46" s="1"/>
  <c r="B33" i="46"/>
  <c r="F37" i="24"/>
  <c r="G37" i="24" s="1"/>
  <c r="B37" i="24"/>
  <c r="B28" i="94"/>
  <c r="F28" i="94"/>
  <c r="H28" i="94" s="1"/>
  <c r="G28" i="94"/>
  <c r="F27" i="93"/>
  <c r="H27" i="93" s="1"/>
  <c r="B27" i="93"/>
  <c r="H28" i="25"/>
  <c r="G29" i="86"/>
  <c r="I29" i="86" s="1"/>
  <c r="D30" i="86"/>
  <c r="E30" i="86"/>
  <c r="E31" i="82"/>
  <c r="D31" i="82"/>
  <c r="F30" i="80"/>
  <c r="G30" i="80" s="1"/>
  <c r="B30" i="80"/>
  <c r="F30" i="90"/>
  <c r="B30" i="90"/>
  <c r="I107" i="94"/>
  <c r="H107" i="94"/>
  <c r="D35" i="58"/>
  <c r="E35" i="58"/>
  <c r="H36" i="3"/>
  <c r="I36" i="3" s="1"/>
  <c r="G28" i="83"/>
  <c r="I28" i="83" s="1"/>
  <c r="G35" i="42"/>
  <c r="E36" i="42"/>
  <c r="D36" i="42"/>
  <c r="B32" i="66"/>
  <c r="F32" i="66"/>
  <c r="H32" i="66" s="1"/>
  <c r="I37" i="23"/>
  <c r="F29" i="84"/>
  <c r="G29" i="84" s="1"/>
  <c r="B29" i="84"/>
  <c r="B33" i="53"/>
  <c r="F33" i="53"/>
  <c r="G33" i="53" s="1"/>
  <c r="F29" i="91"/>
  <c r="G29" i="91" s="1"/>
  <c r="B29" i="91"/>
  <c r="F38" i="23"/>
  <c r="B38" i="23"/>
  <c r="D31" i="75"/>
  <c r="E31" i="75"/>
  <c r="H34" i="58"/>
  <c r="G38" i="31"/>
  <c r="I38" i="31" s="1"/>
  <c r="I29" i="76"/>
  <c r="H35" i="42"/>
  <c r="D32" i="65"/>
  <c r="E32" i="65"/>
  <c r="G34" i="55"/>
  <c r="I34" i="55" s="1"/>
  <c r="E35" i="55"/>
  <c r="D35" i="55"/>
  <c r="H30" i="75"/>
  <c r="I30" i="75" s="1"/>
  <c r="B108" i="94"/>
  <c r="E108" i="94"/>
  <c r="F108" i="94" s="1"/>
  <c r="G34" i="58"/>
  <c r="H32" i="56"/>
  <c r="I32" i="56" s="1"/>
  <c r="G29" i="85"/>
  <c r="D30" i="85"/>
  <c r="E30" i="85"/>
  <c r="I34" i="73"/>
  <c r="B36" i="22"/>
  <c r="F36" i="22"/>
  <c r="G36" i="22" s="1"/>
  <c r="F27" i="96"/>
  <c r="H27" i="96" s="1"/>
  <c r="B27" i="96"/>
  <c r="B38" i="27"/>
  <c r="F38" i="27"/>
  <c r="B29" i="81"/>
  <c r="F29" i="81"/>
  <c r="G29" i="81" s="1"/>
  <c r="D34" i="72"/>
  <c r="E34" i="72"/>
  <c r="D28" i="95"/>
  <c r="E28" i="95"/>
  <c r="E36" i="39"/>
  <c r="D36" i="39"/>
  <c r="F30" i="76"/>
  <c r="G30" i="76" s="1"/>
  <c r="B30" i="76"/>
  <c r="H29" i="85"/>
  <c r="I29" i="85" s="1"/>
  <c r="G37" i="30"/>
  <c r="I37" i="30" s="1"/>
  <c r="F35" i="44"/>
  <c r="G35" i="44" s="1"/>
  <c r="B35" i="44"/>
  <c r="F32" i="61"/>
  <c r="H32" i="61" s="1"/>
  <c r="B32" i="61"/>
  <c r="I37" i="27"/>
  <c r="G27" i="95"/>
  <c r="I27" i="95" s="1"/>
  <c r="G35" i="39"/>
  <c r="I35" i="39" s="1"/>
  <c r="G33" i="72"/>
  <c r="I33" i="72" s="1"/>
  <c r="N7" i="17"/>
  <c r="H28" i="33"/>
  <c r="N6" i="33" s="1"/>
  <c r="D29" i="33"/>
  <c r="G28" i="33"/>
  <c r="N5" i="33" s="1"/>
  <c r="F30" i="78"/>
  <c r="H30" i="78" s="1"/>
  <c r="B30" i="78"/>
  <c r="B32" i="63"/>
  <c r="F32" i="63"/>
  <c r="G32" i="63" s="1"/>
  <c r="H32" i="64"/>
  <c r="I32" i="64" s="1"/>
  <c r="D29" i="25"/>
  <c r="F35" i="74"/>
  <c r="B35" i="74"/>
  <c r="B38" i="70"/>
  <c r="F38" i="70"/>
  <c r="F38" i="29"/>
  <c r="H38" i="29" s="1"/>
  <c r="B38" i="29"/>
  <c r="E35" i="45"/>
  <c r="D35" i="45"/>
  <c r="B33" i="57"/>
  <c r="F33" i="57"/>
  <c r="G33" i="57" s="1"/>
  <c r="F28" i="89"/>
  <c r="B28" i="89"/>
  <c r="D39" i="31"/>
  <c r="E39" i="31"/>
  <c r="E38" i="71"/>
  <c r="D38" i="71"/>
  <c r="G27" i="26"/>
  <c r="I27" i="26" s="1"/>
  <c r="D28" i="26"/>
  <c r="B35" i="73"/>
  <c r="F35" i="73"/>
  <c r="G35" i="73" s="1"/>
  <c r="E38" i="34"/>
  <c r="G37" i="34"/>
  <c r="H37" i="34"/>
  <c r="D38" i="34"/>
  <c r="B32" i="60"/>
  <c r="F32" i="60"/>
  <c r="H32" i="60" s="1"/>
  <c r="F36" i="21"/>
  <c r="H36" i="21" s="1"/>
  <c r="B36" i="21"/>
  <c r="O17" i="2"/>
  <c r="N89" i="17"/>
  <c r="O87" i="17"/>
  <c r="O89" i="17" s="1"/>
  <c r="E40" i="28"/>
  <c r="D40" i="28"/>
  <c r="D33" i="56"/>
  <c r="E33" i="56"/>
  <c r="E29" i="83"/>
  <c r="D29" i="83"/>
  <c r="H31" i="68"/>
  <c r="I31" i="68" s="1"/>
  <c r="D32" i="68"/>
  <c r="E32" i="68"/>
  <c r="G38" i="69"/>
  <c r="I38" i="69" s="1"/>
  <c r="E39" i="69"/>
  <c r="D39" i="69"/>
  <c r="D37" i="19"/>
  <c r="E37" i="19"/>
  <c r="G37" i="71"/>
  <c r="D33" i="64"/>
  <c r="E33" i="64"/>
  <c r="B33" i="54"/>
  <c r="F33" i="54"/>
  <c r="G33" i="54" s="1"/>
  <c r="B37" i="32"/>
  <c r="F37" i="32"/>
  <c r="G37" i="32" s="1"/>
  <c r="F36" i="41"/>
  <c r="H36" i="41" s="1"/>
  <c r="B36" i="41"/>
  <c r="E30" i="88"/>
  <c r="D30" i="88"/>
  <c r="B28" i="92"/>
  <c r="F28" i="92"/>
  <c r="G28" i="92" s="1"/>
  <c r="H31" i="62"/>
  <c r="I31" i="62" s="1"/>
  <c r="B30" i="77"/>
  <c r="F30" i="77"/>
  <c r="G30" i="77" s="1"/>
  <c r="E37" i="3"/>
  <c r="D37" i="3"/>
  <c r="M89" i="17"/>
  <c r="N17" i="2"/>
  <c r="R132" i="2" s="1"/>
  <c r="H39" i="28"/>
  <c r="I39" i="28" s="1"/>
  <c r="B30" i="79"/>
  <c r="F30" i="79"/>
  <c r="H30" i="79" s="1"/>
  <c r="F36" i="43"/>
  <c r="G36" i="43" s="1"/>
  <c r="B36" i="43"/>
  <c r="G34" i="45"/>
  <c r="I34" i="45" s="1"/>
  <c r="D38" i="30"/>
  <c r="E38" i="30"/>
  <c r="F36" i="17"/>
  <c r="G36" i="17" s="1"/>
  <c r="B36" i="17"/>
  <c r="C45" i="17"/>
  <c r="G29" i="88"/>
  <c r="I29" i="88" s="1"/>
  <c r="I27" i="92"/>
  <c r="H36" i="19"/>
  <c r="I36" i="19" s="1"/>
  <c r="H37" i="71"/>
  <c r="J108" i="81"/>
  <c r="J114" i="73"/>
  <c r="D28" i="13"/>
  <c r="E28" i="13" s="1"/>
  <c r="H27" i="13"/>
  <c r="G27" i="13"/>
  <c r="E29" i="87"/>
  <c r="D29" i="87"/>
  <c r="H39" i="35"/>
  <c r="E40" i="35"/>
  <c r="F40" i="35" s="1"/>
  <c r="G39" i="35"/>
  <c r="B40" i="35"/>
  <c r="E36" i="20"/>
  <c r="D36" i="20"/>
  <c r="I38" i="35"/>
  <c r="B37" i="18"/>
  <c r="F37" i="18"/>
  <c r="G37" i="18" s="1"/>
  <c r="H28" i="87"/>
  <c r="G35" i="20"/>
  <c r="J107" i="91"/>
  <c r="B32" i="59"/>
  <c r="F32" i="59"/>
  <c r="H32" i="59" s="1"/>
  <c r="E32" i="62"/>
  <c r="D32" i="62"/>
  <c r="G28" i="87"/>
  <c r="H35" i="20"/>
  <c r="I107" i="86"/>
  <c r="H107" i="86"/>
  <c r="B108" i="90"/>
  <c r="F108" i="90"/>
  <c r="B117" i="31"/>
  <c r="F117" i="31"/>
  <c r="B118" i="69"/>
  <c r="F118" i="69"/>
  <c r="F112" i="63"/>
  <c r="B112" i="63"/>
  <c r="J115" i="22"/>
  <c r="F115" i="39"/>
  <c r="B115" i="39"/>
  <c r="F112" i="60"/>
  <c r="B112" i="60"/>
  <c r="J111" i="62"/>
  <c r="F112" i="61"/>
  <c r="B112" i="61"/>
  <c r="I109" i="78"/>
  <c r="H109" i="78"/>
  <c r="E116" i="73"/>
  <c r="D116" i="73"/>
  <c r="G115" i="73"/>
  <c r="B118" i="70"/>
  <c r="F118" i="70"/>
  <c r="I117" i="30"/>
  <c r="H117" i="30"/>
  <c r="I117" i="29"/>
  <c r="H117" i="29"/>
  <c r="B117" i="32"/>
  <c r="F117" i="32"/>
  <c r="E117" i="22"/>
  <c r="G116" i="22"/>
  <c r="D117" i="22"/>
  <c r="H109" i="79"/>
  <c r="I109" i="79"/>
  <c r="B108" i="86"/>
  <c r="F108" i="86"/>
  <c r="H116" i="31"/>
  <c r="I116" i="31"/>
  <c r="H111" i="65"/>
  <c r="I111" i="65"/>
  <c r="H115" i="34"/>
  <c r="I115" i="34"/>
  <c r="H110" i="66"/>
  <c r="I110" i="66"/>
  <c r="D113" i="62"/>
  <c r="G112" i="62"/>
  <c r="E113" i="62"/>
  <c r="I108" i="85"/>
  <c r="H108" i="85"/>
  <c r="H114" i="39"/>
  <c r="I114" i="39"/>
  <c r="G115" i="41"/>
  <c r="E116" i="41"/>
  <c r="D116" i="41"/>
  <c r="H115" i="19"/>
  <c r="I115" i="19"/>
  <c r="B118" i="27"/>
  <c r="F118" i="27"/>
  <c r="B113" i="72"/>
  <c r="F113" i="72"/>
  <c r="B111" i="68"/>
  <c r="F111" i="68"/>
  <c r="F110" i="78"/>
  <c r="B110" i="78"/>
  <c r="F108" i="88"/>
  <c r="B108" i="88"/>
  <c r="I107" i="84"/>
  <c r="H107" i="84"/>
  <c r="F113" i="58"/>
  <c r="B113" i="58"/>
  <c r="F108" i="92"/>
  <c r="B108" i="92"/>
  <c r="I107" i="90"/>
  <c r="H107" i="90"/>
  <c r="J114" i="41"/>
  <c r="F112" i="65"/>
  <c r="B112" i="65"/>
  <c r="B111" i="66"/>
  <c r="F111" i="66"/>
  <c r="I111" i="63"/>
  <c r="H111" i="63"/>
  <c r="B109" i="85"/>
  <c r="F109" i="85"/>
  <c r="E109" i="91"/>
  <c r="G108" i="91"/>
  <c r="D109" i="91"/>
  <c r="I114" i="43"/>
  <c r="H114" i="43"/>
  <c r="H113" i="74"/>
  <c r="I113" i="74"/>
  <c r="H117" i="27"/>
  <c r="I117" i="27"/>
  <c r="E110" i="81"/>
  <c r="G109" i="81"/>
  <c r="D110" i="81"/>
  <c r="I110" i="68"/>
  <c r="H110" i="68"/>
  <c r="H112" i="53"/>
  <c r="I112" i="53"/>
  <c r="B116" i="20"/>
  <c r="F116" i="20"/>
  <c r="B112" i="64"/>
  <c r="F112" i="64"/>
  <c r="F118" i="30"/>
  <c r="B118" i="30"/>
  <c r="J107" i="89"/>
  <c r="H112" i="46"/>
  <c r="I112" i="46"/>
  <c r="I112" i="58"/>
  <c r="H112" i="58"/>
  <c r="I107" i="92"/>
  <c r="H107" i="92"/>
  <c r="J120" i="35"/>
  <c r="H117" i="69"/>
  <c r="I117" i="69"/>
  <c r="F116" i="34"/>
  <c r="B116" i="34"/>
  <c r="I111" i="60"/>
  <c r="H111" i="60"/>
  <c r="F115" i="43"/>
  <c r="B115" i="43"/>
  <c r="J113" i="45"/>
  <c r="B114" i="74"/>
  <c r="F114" i="74"/>
  <c r="B116" i="19"/>
  <c r="F116" i="19"/>
  <c r="I112" i="72"/>
  <c r="H112" i="72"/>
  <c r="H111" i="61"/>
  <c r="I111" i="61"/>
  <c r="B113" i="53"/>
  <c r="F113" i="53"/>
  <c r="I115" i="20"/>
  <c r="H115" i="20"/>
  <c r="D109" i="89"/>
  <c r="G108" i="89"/>
  <c r="E109" i="89"/>
  <c r="H107" i="88"/>
  <c r="I107" i="88"/>
  <c r="I117" i="70"/>
  <c r="H117" i="70"/>
  <c r="I111" i="64"/>
  <c r="H111" i="64"/>
  <c r="G114" i="45"/>
  <c r="D115" i="45"/>
  <c r="E115" i="45"/>
  <c r="F108" i="84"/>
  <c r="B108" i="84"/>
  <c r="B118" i="29"/>
  <c r="F118" i="29"/>
  <c r="H116" i="32"/>
  <c r="I116" i="32"/>
  <c r="B113" i="46"/>
  <c r="F113" i="46"/>
  <c r="B110" i="79"/>
  <c r="F110" i="79"/>
  <c r="F113" i="59"/>
  <c r="B113" i="59"/>
  <c r="H117" i="23"/>
  <c r="I117" i="23"/>
  <c r="H116" i="18"/>
  <c r="I116" i="18"/>
  <c r="J109" i="75"/>
  <c r="J113" i="56"/>
  <c r="J107" i="93"/>
  <c r="F117" i="18"/>
  <c r="B117" i="18"/>
  <c r="I112" i="59"/>
  <c r="H112" i="59"/>
  <c r="D115" i="56"/>
  <c r="E115" i="56"/>
  <c r="G114" i="56"/>
  <c r="F118" i="23"/>
  <c r="B118" i="23"/>
  <c r="B118" i="71"/>
  <c r="F118" i="71"/>
  <c r="F114" i="57"/>
  <c r="B114" i="57"/>
  <c r="J112" i="55"/>
  <c r="J109" i="77"/>
  <c r="I113" i="57"/>
  <c r="H113" i="57"/>
  <c r="J114" i="42"/>
  <c r="J108" i="80"/>
  <c r="J108" i="83"/>
  <c r="H117" i="71"/>
  <c r="I117" i="71"/>
  <c r="G107" i="13"/>
  <c r="D108" i="13"/>
  <c r="E108" i="13" s="1"/>
  <c r="G108" i="25"/>
  <c r="D109" i="25"/>
  <c r="E109" i="25" s="1"/>
  <c r="H108" i="82"/>
  <c r="I108" i="82"/>
  <c r="G109" i="83"/>
  <c r="E110" i="83"/>
  <c r="D110" i="83"/>
  <c r="G122" i="35"/>
  <c r="E123" i="35"/>
  <c r="F123" i="35" s="1"/>
  <c r="B123" i="35"/>
  <c r="I110" i="67"/>
  <c r="H110" i="67"/>
  <c r="I107" i="87"/>
  <c r="H107" i="87"/>
  <c r="J107" i="25"/>
  <c r="J115" i="21"/>
  <c r="H118" i="28"/>
  <c r="I118" i="28"/>
  <c r="J106" i="13"/>
  <c r="I116" i="17"/>
  <c r="H116" i="17"/>
  <c r="E116" i="42"/>
  <c r="G115" i="42"/>
  <c r="D116" i="42"/>
  <c r="D111" i="75"/>
  <c r="G110" i="75"/>
  <c r="E111" i="75"/>
  <c r="G107" i="33"/>
  <c r="D108" i="33"/>
  <c r="D111" i="76"/>
  <c r="E111" i="76"/>
  <c r="G110" i="76"/>
  <c r="E118" i="24"/>
  <c r="G117" i="24"/>
  <c r="D118" i="24"/>
  <c r="F119" i="28"/>
  <c r="B119" i="28"/>
  <c r="G109" i="80"/>
  <c r="D110" i="80"/>
  <c r="E110" i="80"/>
  <c r="D109" i="93"/>
  <c r="E109" i="93" s="1"/>
  <c r="G108" i="93"/>
  <c r="F117" i="17"/>
  <c r="B117" i="17"/>
  <c r="B108" i="96"/>
  <c r="B109" i="82"/>
  <c r="F109" i="82"/>
  <c r="H121" i="35"/>
  <c r="I121" i="35"/>
  <c r="D114" i="55"/>
  <c r="G113" i="55"/>
  <c r="E114" i="55"/>
  <c r="H115" i="3"/>
  <c r="I115" i="3"/>
  <c r="F115" i="44"/>
  <c r="J112" i="54"/>
  <c r="J106" i="33"/>
  <c r="B109" i="95"/>
  <c r="F109" i="95"/>
  <c r="G110" i="77"/>
  <c r="E111" i="77"/>
  <c r="D111" i="77"/>
  <c r="J109" i="76"/>
  <c r="E117" i="21"/>
  <c r="G116" i="21"/>
  <c r="D117" i="21"/>
  <c r="J116" i="24"/>
  <c r="E108" i="96"/>
  <c r="F108" i="96" s="1"/>
  <c r="F111" i="67"/>
  <c r="B111" i="67"/>
  <c r="F108" i="87"/>
  <c r="B108" i="87"/>
  <c r="B116" i="3"/>
  <c r="F116" i="3"/>
  <c r="H114" i="44"/>
  <c r="I114" i="44"/>
  <c r="I108" i="95"/>
  <c r="H108" i="95"/>
  <c r="E114" i="54"/>
  <c r="G113" i="54"/>
  <c r="D114" i="54"/>
  <c r="I107" i="96"/>
  <c r="H107" i="96"/>
  <c r="I19" i="36"/>
  <c r="F19" i="36"/>
  <c r="H28" i="98" l="1"/>
  <c r="I28" i="98" s="1"/>
  <c r="H37" i="32"/>
  <c r="D31" i="97"/>
  <c r="E31" i="97"/>
  <c r="D30" i="99"/>
  <c r="E30" i="99"/>
  <c r="D29" i="98"/>
  <c r="E29" i="98"/>
  <c r="H30" i="97"/>
  <c r="I30" i="97" s="1"/>
  <c r="H29" i="99"/>
  <c r="I29" i="99" s="1"/>
  <c r="I28" i="25"/>
  <c r="N7" i="33"/>
  <c r="I37" i="34"/>
  <c r="H107" i="99"/>
  <c r="I107" i="99"/>
  <c r="B108" i="99"/>
  <c r="F108" i="99"/>
  <c r="J107" i="26"/>
  <c r="J107" i="98"/>
  <c r="G33" i="46"/>
  <c r="I33" i="46" s="1"/>
  <c r="H37" i="24"/>
  <c r="I37" i="24" s="1"/>
  <c r="H36" i="22"/>
  <c r="I36" i="22" s="1"/>
  <c r="J107" i="97"/>
  <c r="D109" i="98"/>
  <c r="G108" i="98"/>
  <c r="E109" i="98"/>
  <c r="G108" i="97"/>
  <c r="D109" i="97"/>
  <c r="E109" i="97"/>
  <c r="D109" i="26"/>
  <c r="B109" i="26" s="1"/>
  <c r="G108" i="26"/>
  <c r="I28" i="94"/>
  <c r="H30" i="77"/>
  <c r="I30" i="77" s="1"/>
  <c r="H32" i="67"/>
  <c r="I32" i="67" s="1"/>
  <c r="D33" i="67"/>
  <c r="E33" i="67"/>
  <c r="G32" i="61"/>
  <c r="I32" i="61" s="1"/>
  <c r="E34" i="46"/>
  <c r="D34" i="46"/>
  <c r="G36" i="41"/>
  <c r="I36" i="41" s="1"/>
  <c r="E38" i="24"/>
  <c r="D38" i="24"/>
  <c r="G30" i="79"/>
  <c r="I30" i="79" s="1"/>
  <c r="G36" i="21"/>
  <c r="I34" i="58"/>
  <c r="D31" i="80"/>
  <c r="E31" i="80"/>
  <c r="F30" i="86"/>
  <c r="H30" i="86" s="1"/>
  <c r="B30" i="86"/>
  <c r="E29" i="94"/>
  <c r="D29" i="94"/>
  <c r="I35" i="20"/>
  <c r="H30" i="80"/>
  <c r="I30" i="80" s="1"/>
  <c r="F31" i="82"/>
  <c r="B31" i="82"/>
  <c r="G27" i="93"/>
  <c r="I27" i="93" s="1"/>
  <c r="E28" i="93"/>
  <c r="D28" i="93"/>
  <c r="D109" i="94"/>
  <c r="G108" i="94"/>
  <c r="G38" i="23"/>
  <c r="H38" i="23"/>
  <c r="E39" i="23"/>
  <c r="D39" i="23"/>
  <c r="I35" i="42"/>
  <c r="H30" i="90"/>
  <c r="D31" i="90"/>
  <c r="E31" i="90"/>
  <c r="F35" i="58"/>
  <c r="G35" i="58" s="1"/>
  <c r="B35" i="58"/>
  <c r="H29" i="81"/>
  <c r="I29" i="81" s="1"/>
  <c r="B31" i="75"/>
  <c r="F31" i="75"/>
  <c r="B36" i="42"/>
  <c r="F36" i="42"/>
  <c r="H36" i="42" s="1"/>
  <c r="J107" i="94"/>
  <c r="E33" i="66"/>
  <c r="D33" i="66"/>
  <c r="I27" i="13"/>
  <c r="G30" i="78"/>
  <c r="I30" i="78" s="1"/>
  <c r="H35" i="44"/>
  <c r="I35" i="44" s="1"/>
  <c r="F35" i="55"/>
  <c r="H35" i="55" s="1"/>
  <c r="B35" i="55"/>
  <c r="B32" i="65"/>
  <c r="F32" i="65"/>
  <c r="E30" i="91"/>
  <c r="D30" i="91"/>
  <c r="H33" i="53"/>
  <c r="I33" i="53" s="1"/>
  <c r="E34" i="53"/>
  <c r="D34" i="53"/>
  <c r="H29" i="84"/>
  <c r="I29" i="84" s="1"/>
  <c r="D30" i="84"/>
  <c r="E30" i="84"/>
  <c r="G32" i="66"/>
  <c r="I32" i="66" s="1"/>
  <c r="G30" i="90"/>
  <c r="H29" i="91"/>
  <c r="I29" i="91" s="1"/>
  <c r="H30" i="76"/>
  <c r="I30" i="76" s="1"/>
  <c r="G38" i="27"/>
  <c r="E39" i="27"/>
  <c r="D39" i="27"/>
  <c r="H38" i="27"/>
  <c r="G27" i="96"/>
  <c r="I27" i="96" s="1"/>
  <c r="E28" i="96"/>
  <c r="D28" i="96"/>
  <c r="E33" i="61"/>
  <c r="D33" i="61"/>
  <c r="E36" i="44"/>
  <c r="D36" i="44"/>
  <c r="B34" i="72"/>
  <c r="F34" i="72"/>
  <c r="G34" i="72" s="1"/>
  <c r="D37" i="22"/>
  <c r="E37" i="22"/>
  <c r="E31" i="76"/>
  <c r="D31" i="76"/>
  <c r="B28" i="95"/>
  <c r="F28" i="95"/>
  <c r="H28" i="95" s="1"/>
  <c r="F30" i="85"/>
  <c r="G30" i="85" s="1"/>
  <c r="B30" i="85"/>
  <c r="H35" i="73"/>
  <c r="I35" i="73" s="1"/>
  <c r="F36" i="39"/>
  <c r="G36" i="39" s="1"/>
  <c r="B36" i="39"/>
  <c r="E30" i="81"/>
  <c r="D30" i="81"/>
  <c r="G19" i="36"/>
  <c r="I37" i="71"/>
  <c r="I37" i="32"/>
  <c r="I28" i="33"/>
  <c r="E37" i="17"/>
  <c r="D37" i="17"/>
  <c r="F32" i="68"/>
  <c r="G32" i="68" s="1"/>
  <c r="B32" i="68"/>
  <c r="D39" i="70"/>
  <c r="E39" i="70"/>
  <c r="E34" i="54"/>
  <c r="D34" i="54"/>
  <c r="F37" i="19"/>
  <c r="G37" i="19" s="1"/>
  <c r="B37" i="19"/>
  <c r="F40" i="28"/>
  <c r="H40" i="28" s="1"/>
  <c r="B40" i="28"/>
  <c r="P17" i="2"/>
  <c r="R133" i="2"/>
  <c r="D37" i="21"/>
  <c r="E37" i="21"/>
  <c r="F38" i="34"/>
  <c r="B38" i="34"/>
  <c r="G28" i="89"/>
  <c r="E29" i="89"/>
  <c r="D29" i="89"/>
  <c r="F35" i="45"/>
  <c r="G35" i="45" s="1"/>
  <c r="B35" i="45"/>
  <c r="G35" i="74"/>
  <c r="D36" i="74"/>
  <c r="E36" i="74"/>
  <c r="D33" i="63"/>
  <c r="E33" i="63"/>
  <c r="F29" i="83"/>
  <c r="G29" i="83" s="1"/>
  <c r="B29" i="83"/>
  <c r="G32" i="59"/>
  <c r="I32" i="59" s="1"/>
  <c r="I39" i="35"/>
  <c r="H36" i="17"/>
  <c r="I36" i="17" s="1"/>
  <c r="D31" i="79"/>
  <c r="E31" i="79"/>
  <c r="H33" i="54"/>
  <c r="I33" i="54" s="1"/>
  <c r="F33" i="64"/>
  <c r="B33" i="64"/>
  <c r="F39" i="69"/>
  <c r="H39" i="69" s="1"/>
  <c r="B39" i="69"/>
  <c r="I36" i="21"/>
  <c r="D36" i="73"/>
  <c r="E36" i="73"/>
  <c r="B28" i="26"/>
  <c r="E28" i="26"/>
  <c r="F28" i="26" s="1"/>
  <c r="B38" i="71"/>
  <c r="F38" i="71"/>
  <c r="H38" i="71" s="1"/>
  <c r="F39" i="31"/>
  <c r="H39" i="31" s="1"/>
  <c r="B39" i="31"/>
  <c r="D39" i="29"/>
  <c r="E39" i="29"/>
  <c r="G38" i="70"/>
  <c r="B29" i="25"/>
  <c r="B29" i="33"/>
  <c r="D37" i="43"/>
  <c r="E37" i="43"/>
  <c r="D29" i="92"/>
  <c r="E29" i="92"/>
  <c r="B33" i="56"/>
  <c r="F33" i="56"/>
  <c r="H33" i="56" s="1"/>
  <c r="D33" i="60"/>
  <c r="E33" i="60"/>
  <c r="F38" i="30"/>
  <c r="H38" i="30" s="1"/>
  <c r="B38" i="30"/>
  <c r="H36" i="43"/>
  <c r="I36" i="43" s="1"/>
  <c r="F37" i="3"/>
  <c r="H37" i="3" s="1"/>
  <c r="B37" i="3"/>
  <c r="D31" i="77"/>
  <c r="E31" i="77"/>
  <c r="H28" i="92"/>
  <c r="I28" i="92" s="1"/>
  <c r="F30" i="88"/>
  <c r="H30" i="88" s="1"/>
  <c r="B30" i="88"/>
  <c r="D37" i="41"/>
  <c r="E37" i="41"/>
  <c r="D38" i="32"/>
  <c r="E38" i="32"/>
  <c r="G32" i="60"/>
  <c r="I32" i="60" s="1"/>
  <c r="H28" i="89"/>
  <c r="H33" i="57"/>
  <c r="I33" i="57" s="1"/>
  <c r="E34" i="57"/>
  <c r="D34" i="57"/>
  <c r="G38" i="29"/>
  <c r="I38" i="29" s="1"/>
  <c r="H38" i="70"/>
  <c r="H35" i="74"/>
  <c r="E29" i="25"/>
  <c r="F29" i="25" s="1"/>
  <c r="H32" i="63"/>
  <c r="I32" i="63" s="1"/>
  <c r="D31" i="78"/>
  <c r="E31" i="78"/>
  <c r="E29" i="33"/>
  <c r="F29" i="33" s="1"/>
  <c r="J112" i="46"/>
  <c r="J117" i="27"/>
  <c r="J115" i="19"/>
  <c r="J110" i="66"/>
  <c r="J113" i="74"/>
  <c r="J115" i="34"/>
  <c r="J111" i="65"/>
  <c r="J110" i="68"/>
  <c r="J111" i="63"/>
  <c r="J121" i="35"/>
  <c r="J111" i="61"/>
  <c r="J107" i="88"/>
  <c r="J116" i="31"/>
  <c r="J109" i="79"/>
  <c r="J112" i="59"/>
  <c r="J117" i="70"/>
  <c r="J117" i="69"/>
  <c r="J112" i="53"/>
  <c r="J112" i="72"/>
  <c r="J107" i="92"/>
  <c r="J107" i="84"/>
  <c r="E38" i="18"/>
  <c r="D38" i="18"/>
  <c r="F28" i="13"/>
  <c r="B28" i="13"/>
  <c r="F32" i="62"/>
  <c r="G32" i="62" s="1"/>
  <c r="B32" i="62"/>
  <c r="J107" i="96"/>
  <c r="J117" i="29"/>
  <c r="D33" i="59"/>
  <c r="E33" i="59"/>
  <c r="I28" i="87"/>
  <c r="F36" i="20"/>
  <c r="G36" i="20" s="1"/>
  <c r="B36" i="20"/>
  <c r="F29" i="87"/>
  <c r="G29" i="87" s="1"/>
  <c r="B29" i="87"/>
  <c r="H37" i="18"/>
  <c r="I37" i="18" s="1"/>
  <c r="E41" i="35"/>
  <c r="F41" i="35" s="1"/>
  <c r="H40" i="35"/>
  <c r="B41" i="35"/>
  <c r="G40" i="35"/>
  <c r="J116" i="18"/>
  <c r="B115" i="45"/>
  <c r="F115" i="45"/>
  <c r="J115" i="20"/>
  <c r="J112" i="58"/>
  <c r="E117" i="20"/>
  <c r="G116" i="20"/>
  <c r="D117" i="20"/>
  <c r="I108" i="91"/>
  <c r="H108" i="91"/>
  <c r="J107" i="90"/>
  <c r="E114" i="58"/>
  <c r="G113" i="58"/>
  <c r="D114" i="58"/>
  <c r="D109" i="88"/>
  <c r="G108" i="88"/>
  <c r="E109" i="88"/>
  <c r="J114" i="39"/>
  <c r="I116" i="22"/>
  <c r="H116" i="22"/>
  <c r="E119" i="70"/>
  <c r="G118" i="70"/>
  <c r="D119" i="70"/>
  <c r="E113" i="61"/>
  <c r="D113" i="61"/>
  <c r="G112" i="61"/>
  <c r="E116" i="39"/>
  <c r="D116" i="39"/>
  <c r="G115" i="39"/>
  <c r="E119" i="69"/>
  <c r="G118" i="69"/>
  <c r="D119" i="69"/>
  <c r="E109" i="90"/>
  <c r="D109" i="90"/>
  <c r="G108" i="90"/>
  <c r="D111" i="79"/>
  <c r="E111" i="79"/>
  <c r="G110" i="79"/>
  <c r="J116" i="32"/>
  <c r="H114" i="45"/>
  <c r="I114" i="45"/>
  <c r="H108" i="89"/>
  <c r="I108" i="89"/>
  <c r="D114" i="53"/>
  <c r="E114" i="53"/>
  <c r="G113" i="53"/>
  <c r="E115" i="74"/>
  <c r="D115" i="74"/>
  <c r="G114" i="74"/>
  <c r="E116" i="43"/>
  <c r="G115" i="43"/>
  <c r="D116" i="43"/>
  <c r="E117" i="34"/>
  <c r="G116" i="34"/>
  <c r="D117" i="34"/>
  <c r="G118" i="30"/>
  <c r="E119" i="30"/>
  <c r="D119" i="30"/>
  <c r="E113" i="65"/>
  <c r="D113" i="65"/>
  <c r="G112" i="65"/>
  <c r="E114" i="72"/>
  <c r="D114" i="72"/>
  <c r="G113" i="72"/>
  <c r="B116" i="41"/>
  <c r="F116" i="41"/>
  <c r="H112" i="62"/>
  <c r="I112" i="62"/>
  <c r="D109" i="84"/>
  <c r="G108" i="84"/>
  <c r="E109" i="84"/>
  <c r="F109" i="89"/>
  <c r="B109" i="89"/>
  <c r="G112" i="64"/>
  <c r="D113" i="64"/>
  <c r="E113" i="64"/>
  <c r="F110" i="81"/>
  <c r="B110" i="81"/>
  <c r="J114" i="43"/>
  <c r="D110" i="85"/>
  <c r="G109" i="85"/>
  <c r="E110" i="85"/>
  <c r="D112" i="66"/>
  <c r="G111" i="66"/>
  <c r="E112" i="66"/>
  <c r="G108" i="92"/>
  <c r="D109" i="92"/>
  <c r="E109" i="92"/>
  <c r="E111" i="78"/>
  <c r="D111" i="78"/>
  <c r="G110" i="78"/>
  <c r="B113" i="62"/>
  <c r="F113" i="62"/>
  <c r="G117" i="32"/>
  <c r="E118" i="32"/>
  <c r="D118" i="32"/>
  <c r="H115" i="73"/>
  <c r="I115" i="73"/>
  <c r="J109" i="78"/>
  <c r="D113" i="60"/>
  <c r="G112" i="60"/>
  <c r="E113" i="60"/>
  <c r="D118" i="31"/>
  <c r="E118" i="31"/>
  <c r="G117" i="31"/>
  <c r="E114" i="46"/>
  <c r="G113" i="46"/>
  <c r="D114" i="46"/>
  <c r="G118" i="29"/>
  <c r="E119" i="29"/>
  <c r="D119" i="29"/>
  <c r="J111" i="64"/>
  <c r="D117" i="19"/>
  <c r="E117" i="19"/>
  <c r="G116" i="19"/>
  <c r="J111" i="60"/>
  <c r="I109" i="81"/>
  <c r="H109" i="81"/>
  <c r="F109" i="91"/>
  <c r="B109" i="91"/>
  <c r="D112" i="68"/>
  <c r="E112" i="68"/>
  <c r="G111" i="68"/>
  <c r="D119" i="27"/>
  <c r="E119" i="27"/>
  <c r="G118" i="27"/>
  <c r="I115" i="41"/>
  <c r="H115" i="41"/>
  <c r="J108" i="85"/>
  <c r="D109" i="86"/>
  <c r="E109" i="86"/>
  <c r="G108" i="86"/>
  <c r="B117" i="22"/>
  <c r="F117" i="22"/>
  <c r="J117" i="30"/>
  <c r="F116" i="73"/>
  <c r="B116" i="73"/>
  <c r="E113" i="63"/>
  <c r="G112" i="63"/>
  <c r="D113" i="63"/>
  <c r="J107" i="86"/>
  <c r="J114" i="44"/>
  <c r="J117" i="71"/>
  <c r="E118" i="18"/>
  <c r="D118" i="18"/>
  <c r="G117" i="18"/>
  <c r="J117" i="23"/>
  <c r="J116" i="17"/>
  <c r="J113" i="57"/>
  <c r="E119" i="23"/>
  <c r="G118" i="23"/>
  <c r="D119" i="23"/>
  <c r="F115" i="56"/>
  <c r="B115" i="56"/>
  <c r="J108" i="95"/>
  <c r="H114" i="56"/>
  <c r="I114" i="56"/>
  <c r="E114" i="59"/>
  <c r="D114" i="59"/>
  <c r="G113" i="59"/>
  <c r="D115" i="57"/>
  <c r="E115" i="57"/>
  <c r="G114" i="57"/>
  <c r="J118" i="28"/>
  <c r="J107" i="87"/>
  <c r="E119" i="71"/>
  <c r="G118" i="71"/>
  <c r="D119" i="71"/>
  <c r="J110" i="67"/>
  <c r="J108" i="82"/>
  <c r="G108" i="96"/>
  <c r="D109" i="96"/>
  <c r="D117" i="3"/>
  <c r="G116" i="3"/>
  <c r="E117" i="3"/>
  <c r="I113" i="54"/>
  <c r="H113" i="54"/>
  <c r="G111" i="67"/>
  <c r="D112" i="67"/>
  <c r="E112" i="67"/>
  <c r="H116" i="21"/>
  <c r="I116" i="21"/>
  <c r="J115" i="3"/>
  <c r="F114" i="55"/>
  <c r="B114" i="55"/>
  <c r="D110" i="82"/>
  <c r="G109" i="82"/>
  <c r="E110" i="82"/>
  <c r="H108" i="93"/>
  <c r="I108" i="93"/>
  <c r="B110" i="80"/>
  <c r="F110" i="80"/>
  <c r="F118" i="24"/>
  <c r="B118" i="24"/>
  <c r="I107" i="33"/>
  <c r="H107" i="33"/>
  <c r="B111" i="75"/>
  <c r="F111" i="75"/>
  <c r="F110" i="83"/>
  <c r="B110" i="83"/>
  <c r="I108" i="25"/>
  <c r="H108" i="25"/>
  <c r="D109" i="87"/>
  <c r="G108" i="87"/>
  <c r="E109" i="87"/>
  <c r="I110" i="77"/>
  <c r="H110" i="77"/>
  <c r="I109" i="80"/>
  <c r="H109" i="80"/>
  <c r="H117" i="24"/>
  <c r="I117" i="24"/>
  <c r="B111" i="76"/>
  <c r="F111" i="76"/>
  <c r="B116" i="42"/>
  <c r="F116" i="42"/>
  <c r="H115" i="42"/>
  <c r="I115" i="42"/>
  <c r="B124" i="35"/>
  <c r="E124" i="35"/>
  <c r="F124" i="35" s="1"/>
  <c r="G123" i="35"/>
  <c r="H109" i="83"/>
  <c r="I109" i="83"/>
  <c r="F108" i="13"/>
  <c r="B108" i="13"/>
  <c r="G115" i="44"/>
  <c r="D116" i="44"/>
  <c r="E116" i="44"/>
  <c r="B109" i="93"/>
  <c r="F109" i="93"/>
  <c r="B108" i="33"/>
  <c r="F114" i="54"/>
  <c r="B114" i="54"/>
  <c r="B117" i="21"/>
  <c r="F117" i="21"/>
  <c r="F111" i="77"/>
  <c r="B111" i="77"/>
  <c r="G109" i="95"/>
  <c r="D110" i="95"/>
  <c r="E110" i="95" s="1"/>
  <c r="H113" i="55"/>
  <c r="I113" i="55"/>
  <c r="G117" i="17"/>
  <c r="D118" i="17"/>
  <c r="E118" i="17"/>
  <c r="G119" i="28"/>
  <c r="D120" i="28"/>
  <c r="E120" i="28"/>
  <c r="H110" i="76"/>
  <c r="I110" i="76"/>
  <c r="E108" i="33"/>
  <c r="F108" i="33" s="1"/>
  <c r="H110" i="75"/>
  <c r="I110" i="75"/>
  <c r="H122" i="35"/>
  <c r="I122" i="35"/>
  <c r="B109" i="25"/>
  <c r="F109" i="25"/>
  <c r="I107" i="13"/>
  <c r="H107" i="13"/>
  <c r="F35" i="36"/>
  <c r="F30" i="99" l="1"/>
  <c r="B30" i="99"/>
  <c r="G30" i="99"/>
  <c r="H30" i="99"/>
  <c r="I30" i="99" s="1"/>
  <c r="F29" i="98"/>
  <c r="B29" i="98"/>
  <c r="G29" i="98"/>
  <c r="H29" i="98"/>
  <c r="I29" i="98" s="1"/>
  <c r="F31" i="97"/>
  <c r="D32" i="97" s="1"/>
  <c r="B31" i="97"/>
  <c r="G31" i="97"/>
  <c r="H31" i="97"/>
  <c r="I31" i="97" s="1"/>
  <c r="G35" i="36"/>
  <c r="J107" i="99"/>
  <c r="G108" i="99"/>
  <c r="E109" i="99"/>
  <c r="D109" i="99"/>
  <c r="I30" i="90"/>
  <c r="I28" i="89"/>
  <c r="I38" i="27"/>
  <c r="E109" i="26"/>
  <c r="F109" i="26" s="1"/>
  <c r="G109" i="26" s="1"/>
  <c r="H108" i="98"/>
  <c r="I108" i="98"/>
  <c r="F109" i="97"/>
  <c r="B109" i="97"/>
  <c r="F109" i="98"/>
  <c r="B109" i="98"/>
  <c r="H108" i="26"/>
  <c r="I108" i="26"/>
  <c r="I108" i="97"/>
  <c r="H108" i="97"/>
  <c r="G30" i="88"/>
  <c r="I30" i="88" s="1"/>
  <c r="B33" i="67"/>
  <c r="F33" i="67"/>
  <c r="G33" i="67" s="1"/>
  <c r="F34" i="46"/>
  <c r="G34" i="46" s="1"/>
  <c r="B34" i="46"/>
  <c r="B38" i="24"/>
  <c r="F38" i="24"/>
  <c r="G38" i="24" s="1"/>
  <c r="H31" i="82"/>
  <c r="D32" i="82"/>
  <c r="E32" i="82"/>
  <c r="B31" i="80"/>
  <c r="F31" i="80"/>
  <c r="G31" i="80" s="1"/>
  <c r="G36" i="42"/>
  <c r="I36" i="42" s="1"/>
  <c r="G31" i="82"/>
  <c r="I38" i="23"/>
  <c r="F28" i="93"/>
  <c r="B28" i="93"/>
  <c r="F29" i="94"/>
  <c r="B29" i="94"/>
  <c r="D31" i="86"/>
  <c r="E31" i="86"/>
  <c r="G30" i="86"/>
  <c r="I30" i="86" s="1"/>
  <c r="F31" i="90"/>
  <c r="G31" i="90" s="1"/>
  <c r="B31" i="90"/>
  <c r="F30" i="84"/>
  <c r="G30" i="84" s="1"/>
  <c r="B30" i="84"/>
  <c r="E109" i="94"/>
  <c r="F109" i="94" s="1"/>
  <c r="B109" i="94"/>
  <c r="E33" i="65"/>
  <c r="D33" i="65"/>
  <c r="E32" i="75"/>
  <c r="D32" i="75"/>
  <c r="B39" i="23"/>
  <c r="F39" i="23"/>
  <c r="G39" i="23" s="1"/>
  <c r="G38" i="71"/>
  <c r="I38" i="71" s="1"/>
  <c r="B30" i="91"/>
  <c r="F30" i="91"/>
  <c r="H30" i="91" s="1"/>
  <c r="H32" i="65"/>
  <c r="G35" i="55"/>
  <c r="I35" i="55" s="1"/>
  <c r="E36" i="55"/>
  <c r="D36" i="55"/>
  <c r="F33" i="66"/>
  <c r="H33" i="66" s="1"/>
  <c r="B33" i="66"/>
  <c r="H31" i="75"/>
  <c r="H35" i="58"/>
  <c r="I35" i="58" s="1"/>
  <c r="E36" i="58"/>
  <c r="D36" i="58"/>
  <c r="H108" i="94"/>
  <c r="I108" i="94"/>
  <c r="I38" i="70"/>
  <c r="B34" i="53"/>
  <c r="F34" i="53"/>
  <c r="H34" i="53" s="1"/>
  <c r="G32" i="65"/>
  <c r="E37" i="42"/>
  <c r="D37" i="42"/>
  <c r="G31" i="75"/>
  <c r="F30" i="81"/>
  <c r="H30" i="81" s="1"/>
  <c r="B30" i="81"/>
  <c r="D37" i="39"/>
  <c r="E37" i="39"/>
  <c r="E35" i="72"/>
  <c r="D35" i="72"/>
  <c r="G38" i="30"/>
  <c r="I38" i="30" s="1"/>
  <c r="G40" i="28"/>
  <c r="I40" i="28" s="1"/>
  <c r="H30" i="85"/>
  <c r="I30" i="85" s="1"/>
  <c r="B37" i="22"/>
  <c r="F37" i="22"/>
  <c r="H37" i="22" s="1"/>
  <c r="B33" i="61"/>
  <c r="F33" i="61"/>
  <c r="H33" i="61" s="1"/>
  <c r="H29" i="87"/>
  <c r="I29" i="87" s="1"/>
  <c r="H36" i="39"/>
  <c r="I36" i="39" s="1"/>
  <c r="G28" i="95"/>
  <c r="I28" i="95" s="1"/>
  <c r="E29" i="95"/>
  <c r="D29" i="95"/>
  <c r="B31" i="76"/>
  <c r="F31" i="76"/>
  <c r="G31" i="76" s="1"/>
  <c r="H34" i="72"/>
  <c r="I34" i="72" s="1"/>
  <c r="D31" i="85"/>
  <c r="E31" i="85"/>
  <c r="B36" i="44"/>
  <c r="F36" i="44"/>
  <c r="H36" i="44" s="1"/>
  <c r="B28" i="96"/>
  <c r="F28" i="96"/>
  <c r="G28" i="96" s="1"/>
  <c r="F39" i="27"/>
  <c r="B39" i="27"/>
  <c r="D30" i="33"/>
  <c r="E30" i="33" s="1"/>
  <c r="G29" i="33"/>
  <c r="H29" i="33"/>
  <c r="G29" i="25"/>
  <c r="N5" i="25" s="1"/>
  <c r="D30" i="25"/>
  <c r="B30" i="25" s="1"/>
  <c r="H29" i="25"/>
  <c r="N6" i="25" s="1"/>
  <c r="F29" i="92"/>
  <c r="H29" i="92" s="1"/>
  <c r="B29" i="92"/>
  <c r="B39" i="70"/>
  <c r="F39" i="70"/>
  <c r="G39" i="70" s="1"/>
  <c r="H36" i="20"/>
  <c r="I36" i="20" s="1"/>
  <c r="H32" i="62"/>
  <c r="I32" i="62" s="1"/>
  <c r="I35" i="74"/>
  <c r="E34" i="56"/>
  <c r="D34" i="56"/>
  <c r="G28" i="26"/>
  <c r="H28" i="26"/>
  <c r="D29" i="26"/>
  <c r="E29" i="26" s="1"/>
  <c r="E34" i="64"/>
  <c r="D34" i="64"/>
  <c r="F31" i="79"/>
  <c r="H31" i="79" s="1"/>
  <c r="B31" i="79"/>
  <c r="F33" i="63"/>
  <c r="B33" i="63"/>
  <c r="B37" i="21"/>
  <c r="F37" i="21"/>
  <c r="F39" i="29"/>
  <c r="G39" i="29" s="1"/>
  <c r="B39" i="29"/>
  <c r="E40" i="31"/>
  <c r="D40" i="31"/>
  <c r="B31" i="78"/>
  <c r="F31" i="78"/>
  <c r="B31" i="77"/>
  <c r="F31" i="77"/>
  <c r="E38" i="3"/>
  <c r="D38" i="3"/>
  <c r="G33" i="56"/>
  <c r="I33" i="56" s="1"/>
  <c r="F37" i="43"/>
  <c r="H37" i="43" s="1"/>
  <c r="B37" i="43"/>
  <c r="G39" i="31"/>
  <c r="I39" i="31" s="1"/>
  <c r="D40" i="69"/>
  <c r="E40" i="69"/>
  <c r="G33" i="64"/>
  <c r="D36" i="45"/>
  <c r="E36" i="45"/>
  <c r="E38" i="19"/>
  <c r="D38" i="19"/>
  <c r="H32" i="68"/>
  <c r="I32" i="68" s="1"/>
  <c r="E33" i="68"/>
  <c r="D33" i="68"/>
  <c r="B34" i="57"/>
  <c r="F34" i="57"/>
  <c r="G34" i="57" s="1"/>
  <c r="B36" i="73"/>
  <c r="F36" i="73"/>
  <c r="B37" i="17"/>
  <c r="C46" i="17"/>
  <c r="F37" i="17"/>
  <c r="G37" i="17" s="1"/>
  <c r="B38" i="32"/>
  <c r="F38" i="32"/>
  <c r="G38" i="32" s="1"/>
  <c r="F37" i="41"/>
  <c r="H37" i="41" s="1"/>
  <c r="B37" i="41"/>
  <c r="D31" i="88"/>
  <c r="E31" i="88"/>
  <c r="G37" i="3"/>
  <c r="I37" i="3" s="1"/>
  <c r="D39" i="30"/>
  <c r="E39" i="30"/>
  <c r="B33" i="60"/>
  <c r="F33" i="60"/>
  <c r="G33" i="60" s="1"/>
  <c r="E39" i="71"/>
  <c r="D39" i="71"/>
  <c r="G39" i="69"/>
  <c r="I39" i="69" s="1"/>
  <c r="H33" i="64"/>
  <c r="H29" i="83"/>
  <c r="I29" i="83" s="1"/>
  <c r="D30" i="83"/>
  <c r="E30" i="83"/>
  <c r="B36" i="74"/>
  <c r="F36" i="74"/>
  <c r="H35" i="45"/>
  <c r="I35" i="45" s="1"/>
  <c r="B29" i="89"/>
  <c r="F29" i="89"/>
  <c r="H29" i="89" s="1"/>
  <c r="D39" i="34"/>
  <c r="H38" i="34"/>
  <c r="E39" i="34"/>
  <c r="G38" i="34"/>
  <c r="E41" i="28"/>
  <c r="D41" i="28"/>
  <c r="H37" i="19"/>
  <c r="I37" i="19" s="1"/>
  <c r="F34" i="54"/>
  <c r="H34" i="54" s="1"/>
  <c r="B34" i="54"/>
  <c r="J112" i="62"/>
  <c r="J115" i="73"/>
  <c r="F33" i="59"/>
  <c r="G33" i="59" s="1"/>
  <c r="B33" i="59"/>
  <c r="D29" i="13"/>
  <c r="F38" i="18"/>
  <c r="B38" i="18"/>
  <c r="J108" i="93"/>
  <c r="D30" i="87"/>
  <c r="E30" i="87"/>
  <c r="E37" i="20"/>
  <c r="D37" i="20"/>
  <c r="D33" i="62"/>
  <c r="E33" i="62"/>
  <c r="H28" i="13"/>
  <c r="J114" i="56"/>
  <c r="I40" i="35"/>
  <c r="G28" i="13"/>
  <c r="E42" i="35"/>
  <c r="F42" i="35" s="1"/>
  <c r="H41" i="35"/>
  <c r="B42" i="35"/>
  <c r="G41" i="35"/>
  <c r="D118" i="22"/>
  <c r="G117" i="22"/>
  <c r="E118" i="22"/>
  <c r="F109" i="86"/>
  <c r="B109" i="86"/>
  <c r="I118" i="27"/>
  <c r="H118" i="27"/>
  <c r="B118" i="32"/>
  <c r="F118" i="32"/>
  <c r="I111" i="66"/>
  <c r="H111" i="66"/>
  <c r="B110" i="85"/>
  <c r="F110" i="85"/>
  <c r="D110" i="89"/>
  <c r="G109" i="89"/>
  <c r="E110" i="89"/>
  <c r="I113" i="72"/>
  <c r="H113" i="72"/>
  <c r="B113" i="65"/>
  <c r="F113" i="65"/>
  <c r="H118" i="30"/>
  <c r="I118" i="30"/>
  <c r="F116" i="43"/>
  <c r="B116" i="43"/>
  <c r="B115" i="74"/>
  <c r="F115" i="74"/>
  <c r="F114" i="53"/>
  <c r="B114" i="53"/>
  <c r="F111" i="79"/>
  <c r="B111" i="79"/>
  <c r="B119" i="69"/>
  <c r="F119" i="69"/>
  <c r="B116" i="39"/>
  <c r="F116" i="39"/>
  <c r="H108" i="88"/>
  <c r="I108" i="88"/>
  <c r="F117" i="20"/>
  <c r="B117" i="20"/>
  <c r="F112" i="68"/>
  <c r="B112" i="68"/>
  <c r="J109" i="81"/>
  <c r="B117" i="19"/>
  <c r="F117" i="19"/>
  <c r="H118" i="29"/>
  <c r="I118" i="29"/>
  <c r="H117" i="31"/>
  <c r="I117" i="31"/>
  <c r="I112" i="60"/>
  <c r="H112" i="60"/>
  <c r="H110" i="78"/>
  <c r="I110" i="78"/>
  <c r="B109" i="92"/>
  <c r="F109" i="92"/>
  <c r="B112" i="66"/>
  <c r="F112" i="66"/>
  <c r="B113" i="64"/>
  <c r="F113" i="64"/>
  <c r="B114" i="72"/>
  <c r="F114" i="72"/>
  <c r="B117" i="34"/>
  <c r="F117" i="34"/>
  <c r="I115" i="43"/>
  <c r="H115" i="43"/>
  <c r="J108" i="89"/>
  <c r="H108" i="90"/>
  <c r="I108" i="90"/>
  <c r="H118" i="69"/>
  <c r="I118" i="69"/>
  <c r="F119" i="70"/>
  <c r="B119" i="70"/>
  <c r="J116" i="22"/>
  <c r="F109" i="88"/>
  <c r="B109" i="88"/>
  <c r="H116" i="20"/>
  <c r="I116" i="20"/>
  <c r="E116" i="45"/>
  <c r="G115" i="45"/>
  <c r="D116" i="45"/>
  <c r="F113" i="63"/>
  <c r="B113" i="63"/>
  <c r="G116" i="73"/>
  <c r="E117" i="73"/>
  <c r="D117" i="73"/>
  <c r="I108" i="86"/>
  <c r="H108" i="86"/>
  <c r="F119" i="27"/>
  <c r="B119" i="27"/>
  <c r="F114" i="46"/>
  <c r="B114" i="46"/>
  <c r="F113" i="60"/>
  <c r="B113" i="60"/>
  <c r="I117" i="32"/>
  <c r="H117" i="32"/>
  <c r="B111" i="78"/>
  <c r="F111" i="78"/>
  <c r="H108" i="92"/>
  <c r="I108" i="92"/>
  <c r="I112" i="64"/>
  <c r="H112" i="64"/>
  <c r="H108" i="84"/>
  <c r="I108" i="84"/>
  <c r="G116" i="41"/>
  <c r="E117" i="41"/>
  <c r="D117" i="41"/>
  <c r="F119" i="30"/>
  <c r="B119" i="30"/>
  <c r="H116" i="34"/>
  <c r="I116" i="34"/>
  <c r="I113" i="53"/>
  <c r="H113" i="53"/>
  <c r="H110" i="79"/>
  <c r="I110" i="79"/>
  <c r="F109" i="90"/>
  <c r="B109" i="90"/>
  <c r="H112" i="61"/>
  <c r="I112" i="61"/>
  <c r="I118" i="70"/>
  <c r="H118" i="70"/>
  <c r="F114" i="58"/>
  <c r="B114" i="58"/>
  <c r="J109" i="80"/>
  <c r="I112" i="63"/>
  <c r="H112" i="63"/>
  <c r="J115" i="41"/>
  <c r="I111" i="68"/>
  <c r="H111" i="68"/>
  <c r="E110" i="91"/>
  <c r="G109" i="91"/>
  <c r="D110" i="91"/>
  <c r="H116" i="19"/>
  <c r="I116" i="19"/>
  <c r="B119" i="29"/>
  <c r="F119" i="29"/>
  <c r="H113" i="46"/>
  <c r="I113" i="46"/>
  <c r="F118" i="31"/>
  <c r="B118" i="31"/>
  <c r="D114" i="62"/>
  <c r="E114" i="62"/>
  <c r="G113" i="62"/>
  <c r="I109" i="85"/>
  <c r="H109" i="85"/>
  <c r="G110" i="81"/>
  <c r="E111" i="81"/>
  <c r="D111" i="81"/>
  <c r="F109" i="84"/>
  <c r="B109" i="84"/>
  <c r="H112" i="65"/>
  <c r="I112" i="65"/>
  <c r="I114" i="74"/>
  <c r="H114" i="74"/>
  <c r="J114" i="45"/>
  <c r="I115" i="39"/>
  <c r="H115" i="39"/>
  <c r="B113" i="61"/>
  <c r="F113" i="61"/>
  <c r="I113" i="58"/>
  <c r="H113" i="58"/>
  <c r="J108" i="91"/>
  <c r="J117" i="24"/>
  <c r="H113" i="59"/>
  <c r="I113" i="59"/>
  <c r="F119" i="23"/>
  <c r="B119" i="23"/>
  <c r="B114" i="59"/>
  <c r="F114" i="59"/>
  <c r="G115" i="56"/>
  <c r="E116" i="56"/>
  <c r="D116" i="56"/>
  <c r="H118" i="23"/>
  <c r="I118" i="23"/>
  <c r="I117" i="18"/>
  <c r="H117" i="18"/>
  <c r="F118" i="18"/>
  <c r="B118" i="18"/>
  <c r="J107" i="13"/>
  <c r="J122" i="35"/>
  <c r="J113" i="55"/>
  <c r="J110" i="77"/>
  <c r="B119" i="71"/>
  <c r="F119" i="71"/>
  <c r="H114" i="57"/>
  <c r="I114" i="57"/>
  <c r="J116" i="21"/>
  <c r="J113" i="54"/>
  <c r="H118" i="71"/>
  <c r="I118" i="71"/>
  <c r="B115" i="57"/>
  <c r="F115" i="57"/>
  <c r="G108" i="33"/>
  <c r="D109" i="33"/>
  <c r="E109" i="33" s="1"/>
  <c r="G108" i="13"/>
  <c r="D109" i="13"/>
  <c r="F109" i="87"/>
  <c r="B109" i="87"/>
  <c r="G118" i="24"/>
  <c r="E119" i="24"/>
  <c r="D119" i="24"/>
  <c r="F110" i="82"/>
  <c r="B110" i="82"/>
  <c r="G114" i="54"/>
  <c r="D115" i="54"/>
  <c r="E115" i="54"/>
  <c r="H115" i="44"/>
  <c r="I115" i="44"/>
  <c r="D110" i="25"/>
  <c r="E110" i="25" s="1"/>
  <c r="G109" i="25"/>
  <c r="F120" i="28"/>
  <c r="B120" i="28"/>
  <c r="B118" i="17"/>
  <c r="F118" i="17"/>
  <c r="B110" i="95"/>
  <c r="F110" i="95"/>
  <c r="D112" i="77"/>
  <c r="E112" i="77"/>
  <c r="G111" i="77"/>
  <c r="D118" i="21"/>
  <c r="E118" i="21"/>
  <c r="G117" i="21"/>
  <c r="H123" i="35"/>
  <c r="I123" i="35"/>
  <c r="J108" i="25"/>
  <c r="B112" i="67"/>
  <c r="F112" i="67"/>
  <c r="H116" i="3"/>
  <c r="I116" i="3"/>
  <c r="B109" i="96"/>
  <c r="I119" i="28"/>
  <c r="H119" i="28"/>
  <c r="H117" i="17"/>
  <c r="I117" i="17"/>
  <c r="I109" i="95"/>
  <c r="H109" i="95"/>
  <c r="G109" i="93"/>
  <c r="D110" i="93"/>
  <c r="E125" i="35"/>
  <c r="F125" i="35" s="1"/>
  <c r="B125" i="35"/>
  <c r="G124" i="35"/>
  <c r="J115" i="42"/>
  <c r="J107" i="33"/>
  <c r="E115" i="55"/>
  <c r="D115" i="55"/>
  <c r="G114" i="55"/>
  <c r="H111" i="67"/>
  <c r="I111" i="67"/>
  <c r="B117" i="3"/>
  <c r="F117" i="3"/>
  <c r="I108" i="96"/>
  <c r="H108" i="96"/>
  <c r="J110" i="75"/>
  <c r="J110" i="76"/>
  <c r="B116" i="44"/>
  <c r="F116" i="44"/>
  <c r="J109" i="83"/>
  <c r="E117" i="42"/>
  <c r="D117" i="42"/>
  <c r="G116" i="42"/>
  <c r="G111" i="76"/>
  <c r="D112" i="76"/>
  <c r="E112" i="76"/>
  <c r="I108" i="87"/>
  <c r="H108" i="87"/>
  <c r="E111" i="83"/>
  <c r="D111" i="83"/>
  <c r="G110" i="83"/>
  <c r="G111" i="75"/>
  <c r="D112" i="75"/>
  <c r="E112" i="75"/>
  <c r="D111" i="80"/>
  <c r="G110" i="80"/>
  <c r="E111" i="80"/>
  <c r="H109" i="82"/>
  <c r="I109" i="82"/>
  <c r="E109" i="96"/>
  <c r="F109" i="96" s="1"/>
  <c r="N7" i="25" l="1"/>
  <c r="E32" i="97"/>
  <c r="F32" i="97"/>
  <c r="D33" i="97" s="1"/>
  <c r="B32" i="97"/>
  <c r="D30" i="98"/>
  <c r="E30" i="98"/>
  <c r="D31" i="99"/>
  <c r="E31" i="99"/>
  <c r="B109" i="99"/>
  <c r="F109" i="99"/>
  <c r="H108" i="99"/>
  <c r="I108" i="99"/>
  <c r="J108" i="99" s="1"/>
  <c r="D110" i="26"/>
  <c r="E110" i="26" s="1"/>
  <c r="F110" i="26" s="1"/>
  <c r="J108" i="26"/>
  <c r="J108" i="98"/>
  <c r="I31" i="82"/>
  <c r="I33" i="64"/>
  <c r="I109" i="26"/>
  <c r="H109" i="26"/>
  <c r="J108" i="97"/>
  <c r="D110" i="98"/>
  <c r="G109" i="98"/>
  <c r="E110" i="98"/>
  <c r="D110" i="97"/>
  <c r="G109" i="97"/>
  <c r="E110" i="97"/>
  <c r="G30" i="91"/>
  <c r="I30" i="91" s="1"/>
  <c r="H33" i="67"/>
  <c r="I33" i="67" s="1"/>
  <c r="D34" i="67"/>
  <c r="E34" i="67"/>
  <c r="H34" i="46"/>
  <c r="I34" i="46" s="1"/>
  <c r="D35" i="46"/>
  <c r="E35" i="46"/>
  <c r="H38" i="24"/>
  <c r="I38" i="24" s="1"/>
  <c r="E39" i="24"/>
  <c r="D39" i="24"/>
  <c r="E29" i="93"/>
  <c r="D29" i="93"/>
  <c r="G33" i="66"/>
  <c r="H39" i="23"/>
  <c r="I39" i="23" s="1"/>
  <c r="H29" i="94"/>
  <c r="E30" i="94"/>
  <c r="D30" i="94"/>
  <c r="H28" i="93"/>
  <c r="G29" i="89"/>
  <c r="I29" i="89" s="1"/>
  <c r="F31" i="86"/>
  <c r="B31" i="86"/>
  <c r="G28" i="93"/>
  <c r="H31" i="80"/>
  <c r="I31" i="80" s="1"/>
  <c r="D32" i="80"/>
  <c r="E32" i="80"/>
  <c r="F32" i="82"/>
  <c r="B32" i="82"/>
  <c r="I31" i="75"/>
  <c r="J108" i="94"/>
  <c r="G29" i="94"/>
  <c r="D110" i="94"/>
  <c r="G109" i="94"/>
  <c r="I33" i="66"/>
  <c r="I32" i="65"/>
  <c r="B32" i="75"/>
  <c r="F32" i="75"/>
  <c r="H32" i="75" s="1"/>
  <c r="D31" i="84"/>
  <c r="E31" i="84"/>
  <c r="B37" i="42"/>
  <c r="F37" i="42"/>
  <c r="G34" i="53"/>
  <c r="I34" i="53" s="1"/>
  <c r="E35" i="53"/>
  <c r="D35" i="53"/>
  <c r="B36" i="55"/>
  <c r="F36" i="55"/>
  <c r="H30" i="84"/>
  <c r="I30" i="84" s="1"/>
  <c r="B36" i="58"/>
  <c r="F36" i="58"/>
  <c r="I29" i="33"/>
  <c r="D34" i="66"/>
  <c r="E34" i="66"/>
  <c r="E31" i="91"/>
  <c r="D31" i="91"/>
  <c r="E40" i="23"/>
  <c r="D40" i="23"/>
  <c r="F33" i="65"/>
  <c r="G33" i="65" s="1"/>
  <c r="B33" i="65"/>
  <c r="H31" i="90"/>
  <c r="I31" i="90" s="1"/>
  <c r="D32" i="90"/>
  <c r="E32" i="90"/>
  <c r="H31" i="76"/>
  <c r="I31" i="76" s="1"/>
  <c r="D32" i="76"/>
  <c r="E32" i="76"/>
  <c r="G33" i="61"/>
  <c r="I33" i="61" s="1"/>
  <c r="G37" i="22"/>
  <c r="I37" i="22" s="1"/>
  <c r="H28" i="96"/>
  <c r="I28" i="96" s="1"/>
  <c r="E29" i="96"/>
  <c r="D29" i="96"/>
  <c r="G36" i="44"/>
  <c r="I36" i="44" s="1"/>
  <c r="F31" i="85"/>
  <c r="B31" i="85"/>
  <c r="G30" i="81"/>
  <c r="I30" i="81" s="1"/>
  <c r="E31" i="81"/>
  <c r="D31" i="81"/>
  <c r="F29" i="95"/>
  <c r="H29" i="95" s="1"/>
  <c r="B29" i="95"/>
  <c r="E38" i="22"/>
  <c r="D38" i="22"/>
  <c r="B37" i="39"/>
  <c r="F37" i="39"/>
  <c r="H37" i="39" s="1"/>
  <c r="H33" i="59"/>
  <c r="I33" i="59" s="1"/>
  <c r="D40" i="27"/>
  <c r="G39" i="27"/>
  <c r="E40" i="27"/>
  <c r="H39" i="27"/>
  <c r="E37" i="44"/>
  <c r="D37" i="44"/>
  <c r="E34" i="61"/>
  <c r="D34" i="61"/>
  <c r="F35" i="72"/>
  <c r="H35" i="72" s="1"/>
  <c r="B35" i="72"/>
  <c r="I29" i="25"/>
  <c r="D37" i="74"/>
  <c r="E37" i="74"/>
  <c r="D37" i="73"/>
  <c r="G36" i="73"/>
  <c r="E37" i="73"/>
  <c r="F36" i="45"/>
  <c r="G36" i="45" s="1"/>
  <c r="B36" i="45"/>
  <c r="E32" i="78"/>
  <c r="D32" i="78"/>
  <c r="E38" i="21"/>
  <c r="D38" i="21"/>
  <c r="B39" i="71"/>
  <c r="F39" i="71"/>
  <c r="H39" i="71" s="1"/>
  <c r="D34" i="60"/>
  <c r="E34" i="60"/>
  <c r="H34" i="57"/>
  <c r="I34" i="57" s="1"/>
  <c r="D35" i="57"/>
  <c r="E35" i="57"/>
  <c r="D38" i="43"/>
  <c r="E38" i="43"/>
  <c r="B40" i="31"/>
  <c r="F40" i="31"/>
  <c r="G40" i="31" s="1"/>
  <c r="G33" i="63"/>
  <c r="D34" i="63"/>
  <c r="E34" i="63"/>
  <c r="D32" i="79"/>
  <c r="E32" i="79"/>
  <c r="B41" i="28"/>
  <c r="F41" i="28"/>
  <c r="I38" i="34"/>
  <c r="D30" i="89"/>
  <c r="E30" i="89"/>
  <c r="H36" i="74"/>
  <c r="H33" i="60"/>
  <c r="I33" i="60" s="1"/>
  <c r="F31" i="88"/>
  <c r="B31" i="88"/>
  <c r="D38" i="41"/>
  <c r="E38" i="41"/>
  <c r="G37" i="43"/>
  <c r="I37" i="43" s="1"/>
  <c r="G31" i="78"/>
  <c r="H37" i="21"/>
  <c r="B34" i="64"/>
  <c r="F34" i="64"/>
  <c r="G34" i="64" s="1"/>
  <c r="B29" i="26"/>
  <c r="F29" i="26"/>
  <c r="B34" i="56"/>
  <c r="F34" i="56"/>
  <c r="G34" i="56" s="1"/>
  <c r="D38" i="17"/>
  <c r="E38" i="17"/>
  <c r="F33" i="68"/>
  <c r="H33" i="68" s="1"/>
  <c r="B33" i="68"/>
  <c r="F40" i="69"/>
  <c r="H40" i="69" s="1"/>
  <c r="B40" i="69"/>
  <c r="H31" i="77"/>
  <c r="D32" i="77"/>
  <c r="E32" i="77"/>
  <c r="F38" i="3"/>
  <c r="G38" i="3" s="1"/>
  <c r="B38" i="3"/>
  <c r="D40" i="29"/>
  <c r="E40" i="29"/>
  <c r="H39" i="70"/>
  <c r="I39" i="70" s="1"/>
  <c r="D40" i="70"/>
  <c r="E40" i="70"/>
  <c r="G34" i="54"/>
  <c r="I34" i="54" s="1"/>
  <c r="D35" i="54"/>
  <c r="E35" i="54"/>
  <c r="F39" i="34"/>
  <c r="H39" i="34" s="1"/>
  <c r="B39" i="34"/>
  <c r="G36" i="74"/>
  <c r="F30" i="83"/>
  <c r="G30" i="83" s="1"/>
  <c r="B30" i="83"/>
  <c r="B39" i="30"/>
  <c r="F39" i="30"/>
  <c r="H39" i="30" s="1"/>
  <c r="G37" i="41"/>
  <c r="I37" i="41" s="1"/>
  <c r="H38" i="32"/>
  <c r="I38" i="32" s="1"/>
  <c r="E39" i="32"/>
  <c r="D39" i="32"/>
  <c r="H37" i="17"/>
  <c r="I37" i="17" s="1"/>
  <c r="H36" i="73"/>
  <c r="B38" i="19"/>
  <c r="F38" i="19"/>
  <c r="H38" i="19" s="1"/>
  <c r="G31" i="77"/>
  <c r="H31" i="78"/>
  <c r="H39" i="29"/>
  <c r="I39" i="29" s="1"/>
  <c r="G37" i="21"/>
  <c r="H33" i="63"/>
  <c r="G31" i="79"/>
  <c r="I31" i="79" s="1"/>
  <c r="I28" i="26"/>
  <c r="G29" i="92"/>
  <c r="I29" i="92" s="1"/>
  <c r="E30" i="92"/>
  <c r="D30" i="92"/>
  <c r="E30" i="25"/>
  <c r="F30" i="25" s="1"/>
  <c r="F30" i="33"/>
  <c r="B30" i="33"/>
  <c r="J112" i="61"/>
  <c r="J110" i="79"/>
  <c r="J116" i="34"/>
  <c r="J118" i="69"/>
  <c r="J117" i="32"/>
  <c r="J108" i="86"/>
  <c r="J108" i="90"/>
  <c r="J112" i="60"/>
  <c r="J108" i="87"/>
  <c r="J112" i="63"/>
  <c r="J118" i="27"/>
  <c r="J118" i="30"/>
  <c r="I41" i="35"/>
  <c r="D39" i="18"/>
  <c r="E39" i="18"/>
  <c r="B29" i="13"/>
  <c r="J113" i="58"/>
  <c r="J115" i="39"/>
  <c r="J112" i="65"/>
  <c r="J109" i="85"/>
  <c r="B43" i="35"/>
  <c r="E43" i="35"/>
  <c r="F43" i="35" s="1"/>
  <c r="G42" i="35"/>
  <c r="H42" i="35"/>
  <c r="B33" i="62"/>
  <c r="F33" i="62"/>
  <c r="G33" i="62" s="1"/>
  <c r="B30" i="87"/>
  <c r="F30" i="87"/>
  <c r="G30" i="87" s="1"/>
  <c r="G38" i="18"/>
  <c r="B37" i="20"/>
  <c r="F37" i="20"/>
  <c r="G37" i="20" s="1"/>
  <c r="H38" i="18"/>
  <c r="J113" i="59"/>
  <c r="J113" i="46"/>
  <c r="J116" i="19"/>
  <c r="J110" i="78"/>
  <c r="J117" i="31"/>
  <c r="I28" i="13"/>
  <c r="E29" i="13"/>
  <c r="F29" i="13" s="1"/>
  <c r="D34" i="59"/>
  <c r="E34" i="59"/>
  <c r="H110" i="81"/>
  <c r="I110" i="81"/>
  <c r="I116" i="41"/>
  <c r="H116" i="41"/>
  <c r="J112" i="64"/>
  <c r="D114" i="60"/>
  <c r="G113" i="60"/>
  <c r="E114" i="60"/>
  <c r="D120" i="27"/>
  <c r="E120" i="27"/>
  <c r="G119" i="27"/>
  <c r="B116" i="45"/>
  <c r="F116" i="45"/>
  <c r="J115" i="43"/>
  <c r="G116" i="39"/>
  <c r="D117" i="39"/>
  <c r="E117" i="39"/>
  <c r="D116" i="74"/>
  <c r="G115" i="74"/>
  <c r="E116" i="74"/>
  <c r="B110" i="89"/>
  <c r="F110" i="89"/>
  <c r="J111" i="66"/>
  <c r="D110" i="86"/>
  <c r="G109" i="86"/>
  <c r="E110" i="86"/>
  <c r="J114" i="74"/>
  <c r="E110" i="84"/>
  <c r="D110" i="84"/>
  <c r="G109" i="84"/>
  <c r="B114" i="62"/>
  <c r="F114" i="62"/>
  <c r="E120" i="29"/>
  <c r="D120" i="29"/>
  <c r="G119" i="29"/>
  <c r="B110" i="91"/>
  <c r="F110" i="91"/>
  <c r="J111" i="68"/>
  <c r="J118" i="70"/>
  <c r="E110" i="90"/>
  <c r="D110" i="90"/>
  <c r="G109" i="90"/>
  <c r="J113" i="53"/>
  <c r="E120" i="30"/>
  <c r="G119" i="30"/>
  <c r="D120" i="30"/>
  <c r="J108" i="84"/>
  <c r="J108" i="92"/>
  <c r="I116" i="73"/>
  <c r="H116" i="73"/>
  <c r="H115" i="45"/>
  <c r="I115" i="45"/>
  <c r="E120" i="70"/>
  <c r="D120" i="70"/>
  <c r="G119" i="70"/>
  <c r="D118" i="34"/>
  <c r="G117" i="34"/>
  <c r="E118" i="34"/>
  <c r="G113" i="64"/>
  <c r="E114" i="64"/>
  <c r="D114" i="64"/>
  <c r="E110" i="92"/>
  <c r="G109" i="92"/>
  <c r="D110" i="92"/>
  <c r="J118" i="29"/>
  <c r="G117" i="20"/>
  <c r="E118" i="20"/>
  <c r="D118" i="20"/>
  <c r="D112" i="79"/>
  <c r="E112" i="79"/>
  <c r="G111" i="79"/>
  <c r="J113" i="72"/>
  <c r="G110" i="85"/>
  <c r="E111" i="85"/>
  <c r="D111" i="85"/>
  <c r="D119" i="32"/>
  <c r="G118" i="32"/>
  <c r="E119" i="32"/>
  <c r="F111" i="81"/>
  <c r="B111" i="81"/>
  <c r="D119" i="31"/>
  <c r="E119" i="31"/>
  <c r="G118" i="31"/>
  <c r="H109" i="91"/>
  <c r="I109" i="91"/>
  <c r="F117" i="41"/>
  <c r="B117" i="41"/>
  <c r="E115" i="46"/>
  <c r="D115" i="46"/>
  <c r="G114" i="46"/>
  <c r="G109" i="88"/>
  <c r="E110" i="88"/>
  <c r="D110" i="88"/>
  <c r="J108" i="88"/>
  <c r="D120" i="69"/>
  <c r="E120" i="69"/>
  <c r="G119" i="69"/>
  <c r="G113" i="65"/>
  <c r="E114" i="65"/>
  <c r="D114" i="65"/>
  <c r="I117" i="22"/>
  <c r="H117" i="22"/>
  <c r="E114" i="61"/>
  <c r="G113" i="61"/>
  <c r="D114" i="61"/>
  <c r="H113" i="62"/>
  <c r="I113" i="62"/>
  <c r="E115" i="58"/>
  <c r="G114" i="58"/>
  <c r="D115" i="58"/>
  <c r="D112" i="78"/>
  <c r="G111" i="78"/>
  <c r="E112" i="78"/>
  <c r="B117" i="73"/>
  <c r="F117" i="73"/>
  <c r="G113" i="63"/>
  <c r="E114" i="63"/>
  <c r="D114" i="63"/>
  <c r="J116" i="20"/>
  <c r="E115" i="72"/>
  <c r="G114" i="72"/>
  <c r="D115" i="72"/>
  <c r="D113" i="66"/>
  <c r="G112" i="66"/>
  <c r="E113" i="66"/>
  <c r="D118" i="19"/>
  <c r="E118" i="19"/>
  <c r="G117" i="19"/>
  <c r="G112" i="68"/>
  <c r="D113" i="68"/>
  <c r="E113" i="68"/>
  <c r="G114" i="53"/>
  <c r="E115" i="53"/>
  <c r="D115" i="53"/>
  <c r="D117" i="43"/>
  <c r="G116" i="43"/>
  <c r="E117" i="43"/>
  <c r="I109" i="89"/>
  <c r="H109" i="89"/>
  <c r="B118" i="22"/>
  <c r="F118" i="22"/>
  <c r="J118" i="71"/>
  <c r="D115" i="59"/>
  <c r="E115" i="59"/>
  <c r="G114" i="59"/>
  <c r="G118" i="18"/>
  <c r="D119" i="18"/>
  <c r="E119" i="18"/>
  <c r="F116" i="56"/>
  <c r="B116" i="56"/>
  <c r="G119" i="23"/>
  <c r="E120" i="23"/>
  <c r="D120" i="23"/>
  <c r="J117" i="18"/>
  <c r="J109" i="95"/>
  <c r="J118" i="23"/>
  <c r="I115" i="56"/>
  <c r="H115" i="56"/>
  <c r="J115" i="44"/>
  <c r="D116" i="57"/>
  <c r="E116" i="57"/>
  <c r="G115" i="57"/>
  <c r="J108" i="96"/>
  <c r="J114" i="57"/>
  <c r="G119" i="71"/>
  <c r="D120" i="71"/>
  <c r="E120" i="71"/>
  <c r="G109" i="96"/>
  <c r="D110" i="96"/>
  <c r="E110" i="96" s="1"/>
  <c r="F112" i="76"/>
  <c r="B112" i="76"/>
  <c r="D117" i="44"/>
  <c r="G116" i="44"/>
  <c r="E117" i="44"/>
  <c r="B115" i="55"/>
  <c r="F115" i="55"/>
  <c r="B110" i="93"/>
  <c r="B112" i="77"/>
  <c r="F112" i="77"/>
  <c r="H114" i="54"/>
  <c r="I114" i="54"/>
  <c r="B119" i="24"/>
  <c r="F119" i="24"/>
  <c r="B109" i="13"/>
  <c r="B112" i="75"/>
  <c r="F112" i="75"/>
  <c r="I110" i="80"/>
  <c r="H110" i="80"/>
  <c r="H111" i="75"/>
  <c r="I111" i="75"/>
  <c r="H111" i="76"/>
  <c r="I111" i="76"/>
  <c r="D118" i="3"/>
  <c r="G117" i="3"/>
  <c r="E118" i="3"/>
  <c r="I124" i="35"/>
  <c r="H124" i="35"/>
  <c r="I109" i="93"/>
  <c r="H109" i="93"/>
  <c r="J119" i="28"/>
  <c r="B118" i="21"/>
  <c r="F118" i="21"/>
  <c r="G110" i="95"/>
  <c r="D111" i="95"/>
  <c r="E111" i="95" s="1"/>
  <c r="D121" i="28"/>
  <c r="G120" i="28"/>
  <c r="E121" i="28"/>
  <c r="H109" i="25"/>
  <c r="I109" i="25"/>
  <c r="H108" i="13"/>
  <c r="I108" i="13"/>
  <c r="B109" i="33"/>
  <c r="F109" i="33"/>
  <c r="J109" i="82"/>
  <c r="B111" i="80"/>
  <c r="F111" i="80"/>
  <c r="H110" i="83"/>
  <c r="I110" i="83"/>
  <c r="I116" i="42"/>
  <c r="H116" i="42"/>
  <c r="J117" i="17"/>
  <c r="J116" i="3"/>
  <c r="D113" i="67"/>
  <c r="G112" i="67"/>
  <c r="E113" i="67"/>
  <c r="J123" i="35"/>
  <c r="I111" i="77"/>
  <c r="H111" i="77"/>
  <c r="E119" i="17"/>
  <c r="D119" i="17"/>
  <c r="G118" i="17"/>
  <c r="F110" i="25"/>
  <c r="B110" i="25"/>
  <c r="I118" i="24"/>
  <c r="H118" i="24"/>
  <c r="G109" i="87"/>
  <c r="D110" i="87"/>
  <c r="E110" i="87"/>
  <c r="H108" i="33"/>
  <c r="I108" i="33"/>
  <c r="F111" i="83"/>
  <c r="B111" i="83"/>
  <c r="B117" i="42"/>
  <c r="F117" i="42"/>
  <c r="J111" i="67"/>
  <c r="I114" i="55"/>
  <c r="H114" i="55"/>
  <c r="B126" i="35"/>
  <c r="E126" i="35"/>
  <c r="F126" i="35" s="1"/>
  <c r="G125" i="35"/>
  <c r="E110" i="93"/>
  <c r="F110" i="93" s="1"/>
  <c r="H117" i="21"/>
  <c r="I117" i="21"/>
  <c r="B115" i="54"/>
  <c r="F115" i="54"/>
  <c r="D111" i="82"/>
  <c r="G110" i="82"/>
  <c r="E111" i="82"/>
  <c r="E109" i="13"/>
  <c r="F109" i="13" s="1"/>
  <c r="F27" i="36"/>
  <c r="G27" i="36" l="1"/>
  <c r="G40" i="69"/>
  <c r="G32" i="97"/>
  <c r="F31" i="99"/>
  <c r="D32" i="99" s="1"/>
  <c r="B31" i="99"/>
  <c r="F30" i="98"/>
  <c r="G30" i="98" s="1"/>
  <c r="B30" i="98"/>
  <c r="E33" i="97"/>
  <c r="F33" i="97" s="1"/>
  <c r="B33" i="97"/>
  <c r="H32" i="97"/>
  <c r="I28" i="93"/>
  <c r="B110" i="26"/>
  <c r="D110" i="99"/>
  <c r="G109" i="99"/>
  <c r="E110" i="99"/>
  <c r="I29" i="94"/>
  <c r="G39" i="30"/>
  <c r="J109" i="26"/>
  <c r="H109" i="98"/>
  <c r="I109" i="98"/>
  <c r="I109" i="97"/>
  <c r="H109" i="97"/>
  <c r="F110" i="98"/>
  <c r="B110" i="98"/>
  <c r="F110" i="97"/>
  <c r="B110" i="97"/>
  <c r="G110" i="26"/>
  <c r="D111" i="26"/>
  <c r="H30" i="83"/>
  <c r="I30" i="83" s="1"/>
  <c r="G39" i="71"/>
  <c r="I39" i="71" s="1"/>
  <c r="B34" i="67"/>
  <c r="F34" i="67"/>
  <c r="H34" i="67" s="1"/>
  <c r="B35" i="46"/>
  <c r="F35" i="46"/>
  <c r="G35" i="46" s="1"/>
  <c r="F39" i="24"/>
  <c r="G39" i="24" s="1"/>
  <c r="B39" i="24"/>
  <c r="H32" i="82"/>
  <c r="D33" i="82"/>
  <c r="E33" i="82"/>
  <c r="B30" i="94"/>
  <c r="F30" i="94"/>
  <c r="H30" i="94" s="1"/>
  <c r="H34" i="64"/>
  <c r="I34" i="64" s="1"/>
  <c r="G32" i="82"/>
  <c r="F32" i="80"/>
  <c r="G32" i="80" s="1"/>
  <c r="B32" i="80"/>
  <c r="G31" i="86"/>
  <c r="E32" i="86"/>
  <c r="D32" i="86"/>
  <c r="H31" i="86"/>
  <c r="F29" i="93"/>
  <c r="H29" i="93" s="1"/>
  <c r="B29" i="93"/>
  <c r="G37" i="39"/>
  <c r="I37" i="39" s="1"/>
  <c r="H36" i="55"/>
  <c r="E37" i="55"/>
  <c r="D37" i="55"/>
  <c r="H33" i="65"/>
  <c r="I33" i="65" s="1"/>
  <c r="F40" i="23"/>
  <c r="B40" i="23"/>
  <c r="G37" i="42"/>
  <c r="D38" i="42"/>
  <c r="E38" i="42"/>
  <c r="B31" i="84"/>
  <c r="F31" i="84"/>
  <c r="G31" i="84" s="1"/>
  <c r="G32" i="75"/>
  <c r="I32" i="75" s="1"/>
  <c r="H36" i="58"/>
  <c r="G36" i="58"/>
  <c r="E37" i="58"/>
  <c r="D37" i="58"/>
  <c r="I33" i="63"/>
  <c r="F34" i="66"/>
  <c r="G34" i="66" s="1"/>
  <c r="B34" i="66"/>
  <c r="B35" i="53"/>
  <c r="F35" i="53"/>
  <c r="H37" i="42"/>
  <c r="I109" i="94"/>
  <c r="H109" i="94"/>
  <c r="D34" i="65"/>
  <c r="E34" i="65"/>
  <c r="G38" i="19"/>
  <c r="I38" i="19" s="1"/>
  <c r="B32" i="90"/>
  <c r="F32" i="90"/>
  <c r="G32" i="90" s="1"/>
  <c r="F31" i="91"/>
  <c r="B31" i="91"/>
  <c r="G36" i="55"/>
  <c r="E33" i="75"/>
  <c r="D33" i="75"/>
  <c r="E110" i="94"/>
  <c r="F110" i="94" s="1"/>
  <c r="B110" i="94"/>
  <c r="B40" i="27"/>
  <c r="F40" i="27"/>
  <c r="G40" i="27" s="1"/>
  <c r="B38" i="22"/>
  <c r="F38" i="22"/>
  <c r="G38" i="22" s="1"/>
  <c r="H31" i="85"/>
  <c r="E32" i="85"/>
  <c r="D32" i="85"/>
  <c r="B32" i="76"/>
  <c r="F32" i="76"/>
  <c r="D36" i="72"/>
  <c r="E36" i="72"/>
  <c r="F34" i="61"/>
  <c r="H34" i="61" s="1"/>
  <c r="B34" i="61"/>
  <c r="I39" i="27"/>
  <c r="D30" i="95"/>
  <c r="E30" i="95"/>
  <c r="H34" i="56"/>
  <c r="I34" i="56" s="1"/>
  <c r="G35" i="72"/>
  <c r="I35" i="72" s="1"/>
  <c r="D38" i="39"/>
  <c r="E38" i="39"/>
  <c r="G29" i="95"/>
  <c r="I29" i="95" s="1"/>
  <c r="B31" i="81"/>
  <c r="F31" i="81"/>
  <c r="H31" i="81" s="1"/>
  <c r="G31" i="85"/>
  <c r="B29" i="96"/>
  <c r="F29" i="96"/>
  <c r="G29" i="96" s="1"/>
  <c r="F37" i="44"/>
  <c r="G37" i="44" s="1"/>
  <c r="B37" i="44"/>
  <c r="I40" i="69"/>
  <c r="I36" i="73"/>
  <c r="H30" i="25"/>
  <c r="D31" i="25"/>
  <c r="E31" i="25" s="1"/>
  <c r="H41" i="28"/>
  <c r="E42" i="28"/>
  <c r="D42" i="28"/>
  <c r="B30" i="92"/>
  <c r="F30" i="92"/>
  <c r="H30" i="92" s="1"/>
  <c r="H38" i="3"/>
  <c r="I38" i="3" s="1"/>
  <c r="G31" i="88"/>
  <c r="E32" i="88"/>
  <c r="D32" i="88"/>
  <c r="H40" i="31"/>
  <c r="I40" i="31" s="1"/>
  <c r="D41" i="31"/>
  <c r="E41" i="31"/>
  <c r="F32" i="78"/>
  <c r="G32" i="78" s="1"/>
  <c r="B32" i="78"/>
  <c r="I38" i="18"/>
  <c r="H30" i="87"/>
  <c r="I30" i="87" s="1"/>
  <c r="H33" i="62"/>
  <c r="I33" i="62" s="1"/>
  <c r="E40" i="30"/>
  <c r="D40" i="30"/>
  <c r="B40" i="29"/>
  <c r="F40" i="29"/>
  <c r="H40" i="29" s="1"/>
  <c r="F38" i="17"/>
  <c r="H38" i="17" s="1"/>
  <c r="B38" i="17"/>
  <c r="C47" i="17"/>
  <c r="F38" i="41"/>
  <c r="H38" i="41" s="1"/>
  <c r="B38" i="41"/>
  <c r="B34" i="63"/>
  <c r="F34" i="63"/>
  <c r="G34" i="63" s="1"/>
  <c r="F35" i="57"/>
  <c r="B35" i="57"/>
  <c r="E40" i="71"/>
  <c r="D40" i="71"/>
  <c r="B37" i="73"/>
  <c r="F37" i="73"/>
  <c r="B37" i="74"/>
  <c r="F37" i="74"/>
  <c r="H37" i="74" s="1"/>
  <c r="F39" i="32"/>
  <c r="G39" i="32" s="1"/>
  <c r="B39" i="32"/>
  <c r="D39" i="3"/>
  <c r="E39" i="3"/>
  <c r="I31" i="77"/>
  <c r="G33" i="68"/>
  <c r="I33" i="68" s="1"/>
  <c r="E34" i="68"/>
  <c r="D34" i="68"/>
  <c r="F32" i="79"/>
  <c r="G32" i="79" s="1"/>
  <c r="B32" i="79"/>
  <c r="F38" i="43"/>
  <c r="B38" i="43"/>
  <c r="H36" i="45"/>
  <c r="I36" i="45" s="1"/>
  <c r="E37" i="45"/>
  <c r="D37" i="45"/>
  <c r="I39" i="30"/>
  <c r="B35" i="54"/>
  <c r="F35" i="54"/>
  <c r="F30" i="89"/>
  <c r="B30" i="89"/>
  <c r="F34" i="60"/>
  <c r="G34" i="60" s="1"/>
  <c r="B34" i="60"/>
  <c r="I42" i="35"/>
  <c r="D31" i="33"/>
  <c r="E31" i="33" s="1"/>
  <c r="H30" i="33"/>
  <c r="G30" i="33"/>
  <c r="I31" i="78"/>
  <c r="D39" i="19"/>
  <c r="E39" i="19"/>
  <c r="E31" i="83"/>
  <c r="D31" i="83"/>
  <c r="E40" i="34"/>
  <c r="D40" i="34"/>
  <c r="G39" i="34"/>
  <c r="I39" i="34" s="1"/>
  <c r="G30" i="25"/>
  <c r="F40" i="70"/>
  <c r="H40" i="70" s="1"/>
  <c r="B40" i="70"/>
  <c r="B32" i="77"/>
  <c r="F32" i="77"/>
  <c r="G32" i="77" s="1"/>
  <c r="D41" i="69"/>
  <c r="E41" i="69"/>
  <c r="D35" i="56"/>
  <c r="E35" i="56"/>
  <c r="G29" i="26"/>
  <c r="H29" i="26"/>
  <c r="D30" i="26"/>
  <c r="D35" i="64"/>
  <c r="E35" i="64"/>
  <c r="I37" i="21"/>
  <c r="H31" i="88"/>
  <c r="I36" i="74"/>
  <c r="G41" i="28"/>
  <c r="B38" i="21"/>
  <c r="F38" i="21"/>
  <c r="J117" i="22"/>
  <c r="J109" i="91"/>
  <c r="J116" i="73"/>
  <c r="D30" i="13"/>
  <c r="E30" i="13" s="1"/>
  <c r="H29" i="13"/>
  <c r="G29" i="13"/>
  <c r="D31" i="87"/>
  <c r="E31" i="87"/>
  <c r="E34" i="62"/>
  <c r="D34" i="62"/>
  <c r="J111" i="75"/>
  <c r="J113" i="62"/>
  <c r="H37" i="20"/>
  <c r="I37" i="20" s="1"/>
  <c r="F39" i="18"/>
  <c r="B39" i="18"/>
  <c r="J110" i="81"/>
  <c r="B34" i="59"/>
  <c r="F34" i="59"/>
  <c r="G34" i="59" s="1"/>
  <c r="D38" i="20"/>
  <c r="E38" i="20"/>
  <c r="G43" i="35"/>
  <c r="E44" i="35"/>
  <c r="F44" i="35" s="1"/>
  <c r="H43" i="35"/>
  <c r="B44" i="35"/>
  <c r="G118" i="22"/>
  <c r="D119" i="22"/>
  <c r="E119" i="22"/>
  <c r="I112" i="68"/>
  <c r="H112" i="68"/>
  <c r="I114" i="72"/>
  <c r="H114" i="72"/>
  <c r="H114" i="58"/>
  <c r="I114" i="58"/>
  <c r="F120" i="69"/>
  <c r="B120" i="69"/>
  <c r="I109" i="88"/>
  <c r="H109" i="88"/>
  <c r="H118" i="31"/>
  <c r="I118" i="31"/>
  <c r="D112" i="81"/>
  <c r="G111" i="81"/>
  <c r="E112" i="81"/>
  <c r="F111" i="85"/>
  <c r="B111" i="85"/>
  <c r="H111" i="79"/>
  <c r="I111" i="79"/>
  <c r="I109" i="92"/>
  <c r="H109" i="92"/>
  <c r="H113" i="64"/>
  <c r="I113" i="64"/>
  <c r="H119" i="70"/>
  <c r="I119" i="70"/>
  <c r="H119" i="29"/>
  <c r="I119" i="29"/>
  <c r="B117" i="39"/>
  <c r="F117" i="39"/>
  <c r="J114" i="54"/>
  <c r="I116" i="43"/>
  <c r="H116" i="43"/>
  <c r="I114" i="53"/>
  <c r="H114" i="53"/>
  <c r="H117" i="19"/>
  <c r="I117" i="19"/>
  <c r="I112" i="66"/>
  <c r="H112" i="66"/>
  <c r="I113" i="63"/>
  <c r="H113" i="63"/>
  <c r="H111" i="78"/>
  <c r="I111" i="78"/>
  <c r="I113" i="65"/>
  <c r="H113" i="65"/>
  <c r="H114" i="46"/>
  <c r="I114" i="46"/>
  <c r="G117" i="41"/>
  <c r="E118" i="41"/>
  <c r="D118" i="41"/>
  <c r="H117" i="20"/>
  <c r="I117" i="20"/>
  <c r="F120" i="70"/>
  <c r="B120" i="70"/>
  <c r="B120" i="30"/>
  <c r="F120" i="30"/>
  <c r="H109" i="90"/>
  <c r="I109" i="90"/>
  <c r="B120" i="29"/>
  <c r="F120" i="29"/>
  <c r="I109" i="84"/>
  <c r="H109" i="84"/>
  <c r="I115" i="74"/>
  <c r="H115" i="74"/>
  <c r="I116" i="39"/>
  <c r="H116" i="39"/>
  <c r="H119" i="27"/>
  <c r="I119" i="27"/>
  <c r="I113" i="60"/>
  <c r="H113" i="60"/>
  <c r="J116" i="41"/>
  <c r="B117" i="43"/>
  <c r="F117" i="43"/>
  <c r="F113" i="66"/>
  <c r="B113" i="66"/>
  <c r="E118" i="73"/>
  <c r="D118" i="73"/>
  <c r="G117" i="73"/>
  <c r="F112" i="78"/>
  <c r="B112" i="78"/>
  <c r="B114" i="61"/>
  <c r="F114" i="61"/>
  <c r="I119" i="69"/>
  <c r="H119" i="69"/>
  <c r="B110" i="88"/>
  <c r="F110" i="88"/>
  <c r="B115" i="46"/>
  <c r="F115" i="46"/>
  <c r="F119" i="31"/>
  <c r="B119" i="31"/>
  <c r="H118" i="32"/>
  <c r="I118" i="32"/>
  <c r="I110" i="85"/>
  <c r="H110" i="85"/>
  <c r="B112" i="79"/>
  <c r="F112" i="79"/>
  <c r="B114" i="64"/>
  <c r="F114" i="64"/>
  <c r="I117" i="34"/>
  <c r="H117" i="34"/>
  <c r="I119" i="30"/>
  <c r="H119" i="30"/>
  <c r="F110" i="90"/>
  <c r="B110" i="90"/>
  <c r="G110" i="91"/>
  <c r="E111" i="91"/>
  <c r="D111" i="91"/>
  <c r="B110" i="84"/>
  <c r="F110" i="84"/>
  <c r="I109" i="86"/>
  <c r="H109" i="86"/>
  <c r="D111" i="89"/>
  <c r="G110" i="89"/>
  <c r="E111" i="89"/>
  <c r="F116" i="74"/>
  <c r="B116" i="74"/>
  <c r="F114" i="60"/>
  <c r="B114" i="60"/>
  <c r="J109" i="89"/>
  <c r="B115" i="53"/>
  <c r="F115" i="53"/>
  <c r="F113" i="68"/>
  <c r="B113" i="68"/>
  <c r="F118" i="19"/>
  <c r="B118" i="19"/>
  <c r="F115" i="72"/>
  <c r="B115" i="72"/>
  <c r="F114" i="63"/>
  <c r="B114" i="63"/>
  <c r="F115" i="58"/>
  <c r="B115" i="58"/>
  <c r="H113" i="61"/>
  <c r="I113" i="61"/>
  <c r="B114" i="65"/>
  <c r="F114" i="65"/>
  <c r="B119" i="32"/>
  <c r="F119" i="32"/>
  <c r="B118" i="20"/>
  <c r="F118" i="20"/>
  <c r="B110" i="92"/>
  <c r="F110" i="92"/>
  <c r="B118" i="34"/>
  <c r="F118" i="34"/>
  <c r="J115" i="45"/>
  <c r="D115" i="62"/>
  <c r="G114" i="62"/>
  <c r="E115" i="62"/>
  <c r="B110" i="86"/>
  <c r="F110" i="86"/>
  <c r="E117" i="45"/>
  <c r="G116" i="45"/>
  <c r="D117" i="45"/>
  <c r="B120" i="27"/>
  <c r="F120" i="27"/>
  <c r="J110" i="83"/>
  <c r="J115" i="56"/>
  <c r="H119" i="23"/>
  <c r="I119" i="23"/>
  <c r="F119" i="18"/>
  <c r="B119" i="18"/>
  <c r="H114" i="59"/>
  <c r="I114" i="59"/>
  <c r="I118" i="18"/>
  <c r="H118" i="18"/>
  <c r="J117" i="21"/>
  <c r="B120" i="23"/>
  <c r="F120" i="23"/>
  <c r="D117" i="56"/>
  <c r="E117" i="56"/>
  <c r="G116" i="56"/>
  <c r="F115" i="59"/>
  <c r="B115" i="59"/>
  <c r="B120" i="71"/>
  <c r="F120" i="71"/>
  <c r="I115" i="57"/>
  <c r="H115" i="57"/>
  <c r="J111" i="76"/>
  <c r="I119" i="71"/>
  <c r="H119" i="71"/>
  <c r="B116" i="57"/>
  <c r="F116" i="57"/>
  <c r="J111" i="77"/>
  <c r="J116" i="42"/>
  <c r="G109" i="13"/>
  <c r="D110" i="13"/>
  <c r="G110" i="93"/>
  <c r="D111" i="93"/>
  <c r="E111" i="93" s="1"/>
  <c r="I110" i="82"/>
  <c r="H110" i="82"/>
  <c r="E116" i="54"/>
  <c r="G115" i="54"/>
  <c r="D116" i="54"/>
  <c r="B127" i="35"/>
  <c r="G126" i="35"/>
  <c r="E127" i="35"/>
  <c r="F127" i="35" s="1"/>
  <c r="F110" i="87"/>
  <c r="B110" i="87"/>
  <c r="F113" i="67"/>
  <c r="B113" i="67"/>
  <c r="I110" i="95"/>
  <c r="H110" i="95"/>
  <c r="J109" i="93"/>
  <c r="J124" i="35"/>
  <c r="H117" i="3"/>
  <c r="I117" i="3"/>
  <c r="E113" i="77"/>
  <c r="D113" i="77"/>
  <c r="G112" i="77"/>
  <c r="D113" i="76"/>
  <c r="G112" i="76"/>
  <c r="E113" i="76"/>
  <c r="J114" i="55"/>
  <c r="J108" i="33"/>
  <c r="I109" i="87"/>
  <c r="H109" i="87"/>
  <c r="D110" i="33"/>
  <c r="E110" i="33" s="1"/>
  <c r="G109" i="33"/>
  <c r="I120" i="28"/>
  <c r="H120" i="28"/>
  <c r="B118" i="3"/>
  <c r="F118" i="3"/>
  <c r="J110" i="80"/>
  <c r="E113" i="75"/>
  <c r="D113" i="75"/>
  <c r="G112" i="75"/>
  <c r="H116" i="44"/>
  <c r="I116" i="44"/>
  <c r="E112" i="83"/>
  <c r="D112" i="83"/>
  <c r="G111" i="83"/>
  <c r="G110" i="25"/>
  <c r="D111" i="25"/>
  <c r="E111" i="25" s="1"/>
  <c r="I118" i="17"/>
  <c r="H118" i="17"/>
  <c r="G111" i="80"/>
  <c r="E112" i="80"/>
  <c r="D112" i="80"/>
  <c r="F121" i="28"/>
  <c r="B121" i="28"/>
  <c r="E119" i="21"/>
  <c r="G118" i="21"/>
  <c r="D119" i="21"/>
  <c r="G119" i="24"/>
  <c r="E120" i="24"/>
  <c r="D120" i="24"/>
  <c r="B117" i="44"/>
  <c r="F117" i="44"/>
  <c r="F110" i="96"/>
  <c r="B110" i="96"/>
  <c r="B111" i="82"/>
  <c r="F111" i="82"/>
  <c r="I125" i="35"/>
  <c r="H125" i="35"/>
  <c r="E118" i="42"/>
  <c r="G117" i="42"/>
  <c r="D118" i="42"/>
  <c r="J118" i="24"/>
  <c r="F119" i="17"/>
  <c r="B119" i="17"/>
  <c r="H112" i="67"/>
  <c r="I112" i="67"/>
  <c r="J108" i="13"/>
  <c r="J109" i="25"/>
  <c r="B111" i="95"/>
  <c r="F111" i="95"/>
  <c r="D116" i="55"/>
  <c r="G115" i="55"/>
  <c r="E116" i="55"/>
  <c r="I109" i="96"/>
  <c r="H109" i="96"/>
  <c r="I31" i="88" l="1"/>
  <c r="I32" i="97"/>
  <c r="D34" i="97"/>
  <c r="B34" i="97" s="1"/>
  <c r="G33" i="97"/>
  <c r="H30" i="98"/>
  <c r="I30" i="98" s="1"/>
  <c r="H31" i="99"/>
  <c r="G31" i="99"/>
  <c r="E34" i="97"/>
  <c r="H33" i="97"/>
  <c r="D31" i="98"/>
  <c r="E31" i="98"/>
  <c r="E32" i="99"/>
  <c r="F32" i="99" s="1"/>
  <c r="G32" i="99" s="1"/>
  <c r="B32" i="99"/>
  <c r="H109" i="99"/>
  <c r="I109" i="99"/>
  <c r="J109" i="99" s="1"/>
  <c r="F110" i="99"/>
  <c r="B110" i="99"/>
  <c r="G29" i="93"/>
  <c r="I29" i="93" s="1"/>
  <c r="G34" i="61"/>
  <c r="I34" i="61" s="1"/>
  <c r="I36" i="58"/>
  <c r="D111" i="97"/>
  <c r="G110" i="97"/>
  <c r="E111" i="97"/>
  <c r="J109" i="97"/>
  <c r="E111" i="26"/>
  <c r="F111" i="26" s="1"/>
  <c r="B111" i="26"/>
  <c r="J109" i="98"/>
  <c r="H110" i="26"/>
  <c r="I110" i="26"/>
  <c r="D111" i="98"/>
  <c r="G110" i="98"/>
  <c r="E111" i="98"/>
  <c r="I32" i="82"/>
  <c r="I31" i="86"/>
  <c r="G34" i="67"/>
  <c r="I34" i="67" s="1"/>
  <c r="D35" i="67"/>
  <c r="E35" i="67"/>
  <c r="I36" i="55"/>
  <c r="H35" i="46"/>
  <c r="I35" i="46" s="1"/>
  <c r="D36" i="46"/>
  <c r="E36" i="46"/>
  <c r="I37" i="42"/>
  <c r="H39" i="24"/>
  <c r="I39" i="24" s="1"/>
  <c r="D40" i="24"/>
  <c r="E40" i="24"/>
  <c r="I31" i="85"/>
  <c r="B32" i="86"/>
  <c r="F32" i="86"/>
  <c r="H32" i="80"/>
  <c r="I32" i="80" s="1"/>
  <c r="E33" i="80"/>
  <c r="D33" i="80"/>
  <c r="F33" i="82"/>
  <c r="H33" i="82" s="1"/>
  <c r="B33" i="82"/>
  <c r="E30" i="93"/>
  <c r="D30" i="93"/>
  <c r="G30" i="94"/>
  <c r="I30" i="94" s="1"/>
  <c r="D31" i="94"/>
  <c r="E31" i="94"/>
  <c r="D111" i="94"/>
  <c r="G110" i="94"/>
  <c r="F37" i="58"/>
  <c r="B37" i="58"/>
  <c r="G40" i="23"/>
  <c r="D41" i="23"/>
  <c r="E41" i="23"/>
  <c r="H32" i="90"/>
  <c r="I32" i="90" s="1"/>
  <c r="E33" i="90"/>
  <c r="D33" i="90"/>
  <c r="F34" i="65"/>
  <c r="G34" i="65" s="1"/>
  <c r="B34" i="65"/>
  <c r="B38" i="42"/>
  <c r="F38" i="42"/>
  <c r="H38" i="42" s="1"/>
  <c r="H40" i="23"/>
  <c r="E36" i="53"/>
  <c r="D36" i="53"/>
  <c r="H32" i="78"/>
  <c r="I32" i="78" s="1"/>
  <c r="F33" i="75"/>
  <c r="B33" i="75"/>
  <c r="H35" i="53"/>
  <c r="H31" i="84"/>
  <c r="I31" i="84" s="1"/>
  <c r="D32" i="84"/>
  <c r="E32" i="84"/>
  <c r="D32" i="91"/>
  <c r="H31" i="91"/>
  <c r="G31" i="91"/>
  <c r="E32" i="91"/>
  <c r="J109" i="94"/>
  <c r="G35" i="53"/>
  <c r="H34" i="66"/>
  <c r="I34" i="66" s="1"/>
  <c r="E35" i="66"/>
  <c r="D35" i="66"/>
  <c r="B37" i="55"/>
  <c r="F37" i="55"/>
  <c r="G37" i="55" s="1"/>
  <c r="B36" i="72"/>
  <c r="F36" i="72"/>
  <c r="G32" i="76"/>
  <c r="E33" i="76"/>
  <c r="D33" i="76"/>
  <c r="G38" i="41"/>
  <c r="I38" i="41" s="1"/>
  <c r="E38" i="44"/>
  <c r="D38" i="44"/>
  <c r="F30" i="95"/>
  <c r="B30" i="95"/>
  <c r="D35" i="61"/>
  <c r="E35" i="61"/>
  <c r="H37" i="44"/>
  <c r="I37" i="44" s="1"/>
  <c r="B32" i="85"/>
  <c r="F32" i="85"/>
  <c r="H32" i="85" s="1"/>
  <c r="H38" i="22"/>
  <c r="I38" i="22" s="1"/>
  <c r="D39" i="22"/>
  <c r="E39" i="22"/>
  <c r="H29" i="96"/>
  <c r="I29" i="96" s="1"/>
  <c r="D30" i="96"/>
  <c r="E30" i="96"/>
  <c r="G31" i="81"/>
  <c r="I31" i="81" s="1"/>
  <c r="E32" i="81"/>
  <c r="D32" i="81"/>
  <c r="F38" i="39"/>
  <c r="G38" i="39" s="1"/>
  <c r="B38" i="39"/>
  <c r="H32" i="76"/>
  <c r="I32" i="76" s="1"/>
  <c r="D41" i="27"/>
  <c r="H40" i="27"/>
  <c r="I40" i="27" s="1"/>
  <c r="E41" i="27"/>
  <c r="B30" i="26"/>
  <c r="E30" i="26"/>
  <c r="F30" i="26" s="1"/>
  <c r="E33" i="77"/>
  <c r="D33" i="77"/>
  <c r="I30" i="33"/>
  <c r="E35" i="60"/>
  <c r="D35" i="60"/>
  <c r="E31" i="89"/>
  <c r="D31" i="89"/>
  <c r="E33" i="79"/>
  <c r="D33" i="79"/>
  <c r="B40" i="71"/>
  <c r="F40" i="71"/>
  <c r="H40" i="71" s="1"/>
  <c r="E39" i="17"/>
  <c r="D39" i="17"/>
  <c r="F41" i="31"/>
  <c r="G41" i="31" s="1"/>
  <c r="B41" i="31"/>
  <c r="E31" i="92"/>
  <c r="D31" i="92"/>
  <c r="F31" i="25"/>
  <c r="B31" i="25"/>
  <c r="D39" i="21"/>
  <c r="E39" i="21"/>
  <c r="D41" i="70"/>
  <c r="E41" i="70"/>
  <c r="D36" i="54"/>
  <c r="E36" i="54"/>
  <c r="B42" i="28"/>
  <c r="F42" i="28"/>
  <c r="G42" i="28" s="1"/>
  <c r="F40" i="34"/>
  <c r="B40" i="34"/>
  <c r="D39" i="43"/>
  <c r="E39" i="43"/>
  <c r="E36" i="57"/>
  <c r="D36" i="57"/>
  <c r="G40" i="29"/>
  <c r="I40" i="29" s="1"/>
  <c r="D41" i="29"/>
  <c r="E41" i="29"/>
  <c r="H34" i="59"/>
  <c r="I34" i="59" s="1"/>
  <c r="G38" i="21"/>
  <c r="I29" i="26"/>
  <c r="H32" i="77"/>
  <c r="I32" i="77" s="1"/>
  <c r="B39" i="19"/>
  <c r="F39" i="19"/>
  <c r="H34" i="60"/>
  <c r="I34" i="60" s="1"/>
  <c r="H30" i="89"/>
  <c r="G35" i="54"/>
  <c r="H38" i="43"/>
  <c r="H32" i="79"/>
  <c r="I32" i="79" s="1"/>
  <c r="F34" i="68"/>
  <c r="B34" i="68"/>
  <c r="E40" i="32"/>
  <c r="D40" i="32"/>
  <c r="G35" i="57"/>
  <c r="H34" i="63"/>
  <c r="I34" i="63" s="1"/>
  <c r="E35" i="63"/>
  <c r="D35" i="63"/>
  <c r="G38" i="17"/>
  <c r="I38" i="17" s="1"/>
  <c r="B40" i="30"/>
  <c r="F40" i="30"/>
  <c r="I41" i="28"/>
  <c r="I30" i="25"/>
  <c r="F35" i="64"/>
  <c r="B35" i="64"/>
  <c r="E38" i="74"/>
  <c r="D38" i="74"/>
  <c r="H37" i="73"/>
  <c r="E38" i="73"/>
  <c r="G37" i="73"/>
  <c r="D38" i="73"/>
  <c r="B35" i="56"/>
  <c r="F35" i="56"/>
  <c r="H35" i="56" s="1"/>
  <c r="H38" i="21"/>
  <c r="B41" i="69"/>
  <c r="F41" i="69"/>
  <c r="G40" i="70"/>
  <c r="I40" i="70" s="1"/>
  <c r="F31" i="83"/>
  <c r="B31" i="83"/>
  <c r="F31" i="33"/>
  <c r="D32" i="33" s="1"/>
  <c r="E32" i="33" s="1"/>
  <c r="B31" i="33"/>
  <c r="G30" i="89"/>
  <c r="H35" i="54"/>
  <c r="F37" i="45"/>
  <c r="H37" i="45" s="1"/>
  <c r="B37" i="45"/>
  <c r="G38" i="43"/>
  <c r="F39" i="3"/>
  <c r="H39" i="3" s="1"/>
  <c r="B39" i="3"/>
  <c r="H39" i="32"/>
  <c r="I39" i="32" s="1"/>
  <c r="G37" i="74"/>
  <c r="I37" i="74" s="1"/>
  <c r="H35" i="57"/>
  <c r="I35" i="57" s="1"/>
  <c r="E39" i="41"/>
  <c r="D39" i="41"/>
  <c r="D33" i="78"/>
  <c r="E33" i="78"/>
  <c r="F32" i="88"/>
  <c r="B32" i="88"/>
  <c r="G30" i="92"/>
  <c r="I30" i="92" s="1"/>
  <c r="J114" i="72"/>
  <c r="J117" i="3"/>
  <c r="J119" i="71"/>
  <c r="E40" i="18"/>
  <c r="D40" i="18"/>
  <c r="J116" i="44"/>
  <c r="J115" i="57"/>
  <c r="J114" i="59"/>
  <c r="J119" i="23"/>
  <c r="J109" i="90"/>
  <c r="J112" i="66"/>
  <c r="J114" i="53"/>
  <c r="J119" i="70"/>
  <c r="J109" i="88"/>
  <c r="J112" i="68"/>
  <c r="I43" i="35"/>
  <c r="J113" i="61"/>
  <c r="J117" i="19"/>
  <c r="J118" i="31"/>
  <c r="G44" i="35"/>
  <c r="B45" i="35"/>
  <c r="H44" i="35"/>
  <c r="E45" i="35"/>
  <c r="F45" i="35" s="1"/>
  <c r="E35" i="59"/>
  <c r="D35" i="59"/>
  <c r="G39" i="18"/>
  <c r="F31" i="87"/>
  <c r="H31" i="87" s="1"/>
  <c r="B31" i="87"/>
  <c r="I29" i="13"/>
  <c r="J118" i="32"/>
  <c r="J119" i="27"/>
  <c r="J117" i="20"/>
  <c r="J119" i="29"/>
  <c r="J113" i="64"/>
  <c r="J111" i="79"/>
  <c r="F38" i="20"/>
  <c r="H38" i="20" s="1"/>
  <c r="B38" i="20"/>
  <c r="H39" i="18"/>
  <c r="F34" i="62"/>
  <c r="H34" i="62" s="1"/>
  <c r="B34" i="62"/>
  <c r="B30" i="13"/>
  <c r="F30" i="13"/>
  <c r="G120" i="27"/>
  <c r="D121" i="27"/>
  <c r="E121" i="27"/>
  <c r="H114" i="62"/>
  <c r="I114" i="62"/>
  <c r="E115" i="63"/>
  <c r="G114" i="63"/>
  <c r="D115" i="63"/>
  <c r="E119" i="19"/>
  <c r="G118" i="19"/>
  <c r="D119" i="19"/>
  <c r="B111" i="89"/>
  <c r="F111" i="89"/>
  <c r="E113" i="79"/>
  <c r="G112" i="79"/>
  <c r="D113" i="79"/>
  <c r="D116" i="46"/>
  <c r="G115" i="46"/>
  <c r="E116" i="46"/>
  <c r="I117" i="73"/>
  <c r="H117" i="73"/>
  <c r="E114" i="66"/>
  <c r="D114" i="66"/>
  <c r="G113" i="66"/>
  <c r="F118" i="41"/>
  <c r="B118" i="41"/>
  <c r="E118" i="39"/>
  <c r="G117" i="39"/>
  <c r="D118" i="39"/>
  <c r="B112" i="81"/>
  <c r="F112" i="81"/>
  <c r="J109" i="87"/>
  <c r="D111" i="86"/>
  <c r="E111" i="86"/>
  <c r="G110" i="86"/>
  <c r="B115" i="62"/>
  <c r="F115" i="62"/>
  <c r="D111" i="92"/>
  <c r="E111" i="92"/>
  <c r="G110" i="92"/>
  <c r="G119" i="32"/>
  <c r="D120" i="32"/>
  <c r="E120" i="32"/>
  <c r="E117" i="74"/>
  <c r="G116" i="74"/>
  <c r="D117" i="74"/>
  <c r="B111" i="91"/>
  <c r="F111" i="91"/>
  <c r="D111" i="90"/>
  <c r="E111" i="90"/>
  <c r="G110" i="90"/>
  <c r="J117" i="34"/>
  <c r="J119" i="69"/>
  <c r="F118" i="73"/>
  <c r="B118" i="73"/>
  <c r="E118" i="43"/>
  <c r="D118" i="43"/>
  <c r="G117" i="43"/>
  <c r="J113" i="60"/>
  <c r="J116" i="39"/>
  <c r="J109" i="84"/>
  <c r="G120" i="70"/>
  <c r="E121" i="70"/>
  <c r="D121" i="70"/>
  <c r="J109" i="92"/>
  <c r="D112" i="85"/>
  <c r="G111" i="85"/>
  <c r="E112" i="85"/>
  <c r="F117" i="45"/>
  <c r="B117" i="45"/>
  <c r="E116" i="58"/>
  <c r="G115" i="58"/>
  <c r="D116" i="58"/>
  <c r="G115" i="72"/>
  <c r="E116" i="72"/>
  <c r="D116" i="72"/>
  <c r="E114" i="68"/>
  <c r="D114" i="68"/>
  <c r="G113" i="68"/>
  <c r="J109" i="86"/>
  <c r="D115" i="64"/>
  <c r="E115" i="64"/>
  <c r="G114" i="64"/>
  <c r="G110" i="88"/>
  <c r="D111" i="88"/>
  <c r="E111" i="88"/>
  <c r="G114" i="61"/>
  <c r="D115" i="61"/>
  <c r="E115" i="61"/>
  <c r="G120" i="29"/>
  <c r="E121" i="29"/>
  <c r="D121" i="29"/>
  <c r="D121" i="30"/>
  <c r="E121" i="30"/>
  <c r="G120" i="30"/>
  <c r="I117" i="41"/>
  <c r="H117" i="41"/>
  <c r="J113" i="65"/>
  <c r="J113" i="63"/>
  <c r="J116" i="43"/>
  <c r="D121" i="69"/>
  <c r="G120" i="69"/>
  <c r="E121" i="69"/>
  <c r="F119" i="22"/>
  <c r="B119" i="22"/>
  <c r="J110" i="95"/>
  <c r="H116" i="45"/>
  <c r="I116" i="45"/>
  <c r="G118" i="34"/>
  <c r="E119" i="34"/>
  <c r="D119" i="34"/>
  <c r="D119" i="20"/>
  <c r="E119" i="20"/>
  <c r="G118" i="20"/>
  <c r="G114" i="65"/>
  <c r="E115" i="65"/>
  <c r="D115" i="65"/>
  <c r="D116" i="53"/>
  <c r="E116" i="53"/>
  <c r="G115" i="53"/>
  <c r="D115" i="60"/>
  <c r="E115" i="60"/>
  <c r="G114" i="60"/>
  <c r="H110" i="89"/>
  <c r="I110" i="89"/>
  <c r="G110" i="84"/>
  <c r="D111" i="84"/>
  <c r="E111" i="84"/>
  <c r="I110" i="91"/>
  <c r="H110" i="91"/>
  <c r="J119" i="30"/>
  <c r="J110" i="85"/>
  <c r="G119" i="31"/>
  <c r="E120" i="31"/>
  <c r="D120" i="31"/>
  <c r="D113" i="78"/>
  <c r="G112" i="78"/>
  <c r="E113" i="78"/>
  <c r="J115" i="74"/>
  <c r="J114" i="46"/>
  <c r="J111" i="78"/>
  <c r="H111" i="81"/>
  <c r="I111" i="81"/>
  <c r="J114" i="58"/>
  <c r="I118" i="22"/>
  <c r="H118" i="22"/>
  <c r="G119" i="18"/>
  <c r="D120" i="18"/>
  <c r="E120" i="18"/>
  <c r="F117" i="56"/>
  <c r="B117" i="56"/>
  <c r="G115" i="59"/>
  <c r="E116" i="59"/>
  <c r="D116" i="59"/>
  <c r="D121" i="23"/>
  <c r="G120" i="23"/>
  <c r="E121" i="23"/>
  <c r="J118" i="18"/>
  <c r="I116" i="56"/>
  <c r="H116" i="56"/>
  <c r="J110" i="82"/>
  <c r="G120" i="71"/>
  <c r="D121" i="71"/>
  <c r="E121" i="71"/>
  <c r="J109" i="96"/>
  <c r="G116" i="57"/>
  <c r="D117" i="57"/>
  <c r="E117" i="57"/>
  <c r="I110" i="25"/>
  <c r="H110" i="25"/>
  <c r="F112" i="83"/>
  <c r="B112" i="83"/>
  <c r="H112" i="75"/>
  <c r="I112" i="75"/>
  <c r="F113" i="77"/>
  <c r="B113" i="77"/>
  <c r="D111" i="87"/>
  <c r="G110" i="87"/>
  <c r="E111" i="87"/>
  <c r="B128" i="35"/>
  <c r="E128" i="35"/>
  <c r="F128" i="35" s="1"/>
  <c r="G127" i="35"/>
  <c r="B116" i="54"/>
  <c r="F116" i="54"/>
  <c r="B110" i="13"/>
  <c r="F116" i="55"/>
  <c r="B116" i="55"/>
  <c r="G111" i="95"/>
  <c r="D112" i="95"/>
  <c r="E112" i="95" s="1"/>
  <c r="B118" i="42"/>
  <c r="F118" i="42"/>
  <c r="D120" i="17"/>
  <c r="E120" i="17"/>
  <c r="G119" i="17"/>
  <c r="H117" i="42"/>
  <c r="I117" i="42"/>
  <c r="J125" i="35"/>
  <c r="D111" i="96"/>
  <c r="E111" i="96" s="1"/>
  <c r="G110" i="96"/>
  <c r="F112" i="80"/>
  <c r="B112" i="80"/>
  <c r="J118" i="17"/>
  <c r="B113" i="75"/>
  <c r="F113" i="75"/>
  <c r="D119" i="3"/>
  <c r="G118" i="3"/>
  <c r="E119" i="3"/>
  <c r="B110" i="33"/>
  <c r="F110" i="33"/>
  <c r="I112" i="76"/>
  <c r="H112" i="76"/>
  <c r="G113" i="67"/>
  <c r="D114" i="67"/>
  <c r="E114" i="67"/>
  <c r="H126" i="35"/>
  <c r="I126" i="35"/>
  <c r="H115" i="54"/>
  <c r="I115" i="54"/>
  <c r="I109" i="13"/>
  <c r="H109" i="13"/>
  <c r="H119" i="24"/>
  <c r="I119" i="24"/>
  <c r="J112" i="67"/>
  <c r="D118" i="44"/>
  <c r="G117" i="44"/>
  <c r="E118" i="44"/>
  <c r="B120" i="24"/>
  <c r="F120" i="24"/>
  <c r="B119" i="21"/>
  <c r="F119" i="21"/>
  <c r="G121" i="28"/>
  <c r="D122" i="28"/>
  <c r="E122" i="28"/>
  <c r="J120" i="28"/>
  <c r="B113" i="76"/>
  <c r="F113" i="76"/>
  <c r="B111" i="93"/>
  <c r="F111" i="93"/>
  <c r="E110" i="13"/>
  <c r="F110" i="13" s="1"/>
  <c r="I115" i="55"/>
  <c r="H115" i="55"/>
  <c r="D112" i="82"/>
  <c r="G111" i="82"/>
  <c r="E112" i="82"/>
  <c r="H118" i="21"/>
  <c r="I118" i="21"/>
  <c r="I111" i="80"/>
  <c r="H111" i="80"/>
  <c r="F111" i="25"/>
  <c r="B111" i="25"/>
  <c r="H111" i="83"/>
  <c r="I111" i="83"/>
  <c r="I109" i="33"/>
  <c r="H109" i="33"/>
  <c r="I112" i="77"/>
  <c r="H112" i="77"/>
  <c r="I110" i="93"/>
  <c r="H110" i="93"/>
  <c r="F32" i="33" l="1"/>
  <c r="F34" i="97"/>
  <c r="D35" i="97" s="1"/>
  <c r="B35" i="97" s="1"/>
  <c r="I33" i="97"/>
  <c r="B32" i="33"/>
  <c r="I31" i="99"/>
  <c r="G34" i="97"/>
  <c r="F31" i="98"/>
  <c r="H31" i="98" s="1"/>
  <c r="B31" i="98"/>
  <c r="I40" i="23"/>
  <c r="D33" i="99"/>
  <c r="E33" i="99"/>
  <c r="E35" i="97"/>
  <c r="F35" i="97" s="1"/>
  <c r="H32" i="99"/>
  <c r="I32" i="99" s="1"/>
  <c r="H34" i="97"/>
  <c r="H34" i="65"/>
  <c r="I34" i="65" s="1"/>
  <c r="G110" i="99"/>
  <c r="E111" i="99"/>
  <c r="D111" i="99"/>
  <c r="I31" i="91"/>
  <c r="H110" i="98"/>
  <c r="I110" i="98"/>
  <c r="F111" i="98"/>
  <c r="B111" i="98"/>
  <c r="H110" i="97"/>
  <c r="I110" i="97"/>
  <c r="J110" i="26"/>
  <c r="G111" i="26"/>
  <c r="D112" i="26"/>
  <c r="F111" i="97"/>
  <c r="B111" i="97"/>
  <c r="B35" i="67"/>
  <c r="F35" i="67"/>
  <c r="H35" i="67" s="1"/>
  <c r="B36" i="46"/>
  <c r="F36" i="46"/>
  <c r="G36" i="46" s="1"/>
  <c r="F40" i="24"/>
  <c r="H40" i="24" s="1"/>
  <c r="B40" i="24"/>
  <c r="G39" i="3"/>
  <c r="I39" i="3" s="1"/>
  <c r="G33" i="82"/>
  <c r="I33" i="82" s="1"/>
  <c r="E34" i="82"/>
  <c r="D34" i="82"/>
  <c r="B31" i="94"/>
  <c r="F31" i="94"/>
  <c r="H31" i="94" s="1"/>
  <c r="E33" i="86"/>
  <c r="G32" i="86"/>
  <c r="H32" i="86"/>
  <c r="D33" i="86"/>
  <c r="B33" i="80"/>
  <c r="F33" i="80"/>
  <c r="G33" i="80" s="1"/>
  <c r="B30" i="93"/>
  <c r="F30" i="93"/>
  <c r="H30" i="93" s="1"/>
  <c r="D34" i="75"/>
  <c r="E34" i="75"/>
  <c r="H38" i="39"/>
  <c r="I38" i="39" s="1"/>
  <c r="F35" i="66"/>
  <c r="H35" i="66" s="1"/>
  <c r="B35" i="66"/>
  <c r="B32" i="91"/>
  <c r="F32" i="91"/>
  <c r="I35" i="53"/>
  <c r="H33" i="75"/>
  <c r="G38" i="42"/>
  <c r="I38" i="42" s="1"/>
  <c r="E39" i="42"/>
  <c r="D39" i="42"/>
  <c r="F41" i="23"/>
  <c r="B41" i="23"/>
  <c r="D38" i="58"/>
  <c r="E38" i="58"/>
  <c r="H37" i="55"/>
  <c r="I37" i="55" s="1"/>
  <c r="E38" i="55"/>
  <c r="D38" i="55"/>
  <c r="I110" i="94"/>
  <c r="H110" i="94"/>
  <c r="F33" i="90"/>
  <c r="H33" i="90" s="1"/>
  <c r="B33" i="90"/>
  <c r="I39" i="18"/>
  <c r="B32" i="84"/>
  <c r="F32" i="84"/>
  <c r="H32" i="84" s="1"/>
  <c r="G33" i="75"/>
  <c r="B36" i="53"/>
  <c r="F36" i="53"/>
  <c r="H36" i="53" s="1"/>
  <c r="E35" i="65"/>
  <c r="D35" i="65"/>
  <c r="G37" i="58"/>
  <c r="H37" i="58"/>
  <c r="E111" i="94"/>
  <c r="F111" i="94" s="1"/>
  <c r="B111" i="94"/>
  <c r="F39" i="22"/>
  <c r="H39" i="22" s="1"/>
  <c r="B39" i="22"/>
  <c r="H30" i="95"/>
  <c r="D31" i="95"/>
  <c r="E31" i="95"/>
  <c r="D37" i="72"/>
  <c r="E37" i="72"/>
  <c r="F35" i="61"/>
  <c r="G35" i="61" s="1"/>
  <c r="B35" i="61"/>
  <c r="G31" i="33"/>
  <c r="H41" i="31"/>
  <c r="I41" i="31" s="1"/>
  <c r="E39" i="39"/>
  <c r="D39" i="39"/>
  <c r="G30" i="95"/>
  <c r="H36" i="72"/>
  <c r="H31" i="33"/>
  <c r="F41" i="27"/>
  <c r="G41" i="27" s="1"/>
  <c r="B41" i="27"/>
  <c r="B32" i="81"/>
  <c r="F32" i="81"/>
  <c r="F30" i="96"/>
  <c r="H30" i="96" s="1"/>
  <c r="B30" i="96"/>
  <c r="G32" i="85"/>
  <c r="I32" i="85" s="1"/>
  <c r="E33" i="85"/>
  <c r="D33" i="85"/>
  <c r="F38" i="44"/>
  <c r="G38" i="44" s="1"/>
  <c r="B38" i="44"/>
  <c r="F33" i="76"/>
  <c r="H33" i="76" s="1"/>
  <c r="B33" i="76"/>
  <c r="G36" i="72"/>
  <c r="I44" i="35"/>
  <c r="H32" i="88"/>
  <c r="D33" i="88"/>
  <c r="E33" i="88"/>
  <c r="H40" i="30"/>
  <c r="E41" i="30"/>
  <c r="D41" i="30"/>
  <c r="B39" i="43"/>
  <c r="F39" i="43"/>
  <c r="C48" i="17"/>
  <c r="B39" i="17"/>
  <c r="F39" i="17"/>
  <c r="H39" i="17" s="1"/>
  <c r="G32" i="88"/>
  <c r="B38" i="73"/>
  <c r="F38" i="73"/>
  <c r="H38" i="73" s="1"/>
  <c r="F38" i="74"/>
  <c r="H38" i="74" s="1"/>
  <c r="B38" i="74"/>
  <c r="D36" i="64"/>
  <c r="E36" i="64"/>
  <c r="E35" i="68"/>
  <c r="D35" i="68"/>
  <c r="I30" i="89"/>
  <c r="I38" i="21"/>
  <c r="B36" i="57"/>
  <c r="F36" i="57"/>
  <c r="H36" i="57" s="1"/>
  <c r="G31" i="25"/>
  <c r="H31" i="25"/>
  <c r="D32" i="25"/>
  <c r="D31" i="26"/>
  <c r="G30" i="26"/>
  <c r="N5" i="26" s="1"/>
  <c r="M19" i="1" s="1"/>
  <c r="B39" i="41"/>
  <c r="F39" i="41"/>
  <c r="H39" i="41" s="1"/>
  <c r="E38" i="45"/>
  <c r="D38" i="45"/>
  <c r="D32" i="83"/>
  <c r="E32" i="83"/>
  <c r="D42" i="69"/>
  <c r="E42" i="69"/>
  <c r="B35" i="63"/>
  <c r="F35" i="63"/>
  <c r="H35" i="63" s="1"/>
  <c r="B33" i="79"/>
  <c r="F33" i="79"/>
  <c r="G33" i="79" s="1"/>
  <c r="G38" i="20"/>
  <c r="I38" i="20" s="1"/>
  <c r="G37" i="45"/>
  <c r="I37" i="45" s="1"/>
  <c r="H31" i="83"/>
  <c r="H41" i="69"/>
  <c r="I37" i="73"/>
  <c r="G35" i="64"/>
  <c r="H34" i="68"/>
  <c r="H30" i="26"/>
  <c r="F41" i="29"/>
  <c r="H41" i="29" s="1"/>
  <c r="B41" i="29"/>
  <c r="G40" i="34"/>
  <c r="E41" i="34"/>
  <c r="D41" i="34"/>
  <c r="E43" i="28"/>
  <c r="D43" i="28"/>
  <c r="F36" i="54"/>
  <c r="H36" i="54" s="1"/>
  <c r="B36" i="54"/>
  <c r="F39" i="21"/>
  <c r="H39" i="21" s="1"/>
  <c r="B39" i="21"/>
  <c r="F31" i="92"/>
  <c r="H31" i="92" s="1"/>
  <c r="B31" i="92"/>
  <c r="G40" i="71"/>
  <c r="I40" i="71" s="1"/>
  <c r="E41" i="71"/>
  <c r="D41" i="71"/>
  <c r="B35" i="60"/>
  <c r="F35" i="60"/>
  <c r="G35" i="60" s="1"/>
  <c r="B40" i="32"/>
  <c r="F40" i="32"/>
  <c r="G40" i="32" s="1"/>
  <c r="G39" i="19"/>
  <c r="D40" i="19"/>
  <c r="E40" i="19"/>
  <c r="B41" i="70"/>
  <c r="F41" i="70"/>
  <c r="H41" i="70" s="1"/>
  <c r="F31" i="89"/>
  <c r="G31" i="89" s="1"/>
  <c r="B31" i="89"/>
  <c r="G34" i="62"/>
  <c r="I34" i="62" s="1"/>
  <c r="F33" i="78"/>
  <c r="B33" i="78"/>
  <c r="E40" i="3"/>
  <c r="D40" i="3"/>
  <c r="I35" i="54"/>
  <c r="G31" i="83"/>
  <c r="G41" i="69"/>
  <c r="G35" i="56"/>
  <c r="I35" i="56" s="1"/>
  <c r="D36" i="56"/>
  <c r="E36" i="56"/>
  <c r="H35" i="64"/>
  <c r="G40" i="30"/>
  <c r="G34" i="68"/>
  <c r="I38" i="43"/>
  <c r="H39" i="19"/>
  <c r="H40" i="34"/>
  <c r="H42" i="28"/>
  <c r="I42" i="28" s="1"/>
  <c r="D42" i="31"/>
  <c r="E42" i="31"/>
  <c r="B33" i="77"/>
  <c r="F33" i="77"/>
  <c r="G33" i="77" s="1"/>
  <c r="D31" i="13"/>
  <c r="E31" i="13" s="1"/>
  <c r="D33" i="33"/>
  <c r="F40" i="18"/>
  <c r="B40" i="18"/>
  <c r="D39" i="20"/>
  <c r="E39" i="20"/>
  <c r="H32" i="33"/>
  <c r="H30" i="13"/>
  <c r="D32" i="87"/>
  <c r="E32" i="87"/>
  <c r="G32" i="33"/>
  <c r="B35" i="59"/>
  <c r="F35" i="59"/>
  <c r="H35" i="59" s="1"/>
  <c r="J118" i="22"/>
  <c r="J110" i="91"/>
  <c r="J110" i="89"/>
  <c r="G30" i="13"/>
  <c r="E35" i="62"/>
  <c r="D35" i="62"/>
  <c r="G31" i="87"/>
  <c r="I31" i="87" s="1"/>
  <c r="B46" i="35"/>
  <c r="G45" i="35"/>
  <c r="H45" i="35"/>
  <c r="E46" i="35"/>
  <c r="F46" i="35" s="1"/>
  <c r="I110" i="84"/>
  <c r="H110" i="84"/>
  <c r="F116" i="53"/>
  <c r="B116" i="53"/>
  <c r="I118" i="20"/>
  <c r="H118" i="20"/>
  <c r="H120" i="69"/>
  <c r="I120" i="69"/>
  <c r="H120" i="29"/>
  <c r="I120" i="29"/>
  <c r="F114" i="68"/>
  <c r="B114" i="68"/>
  <c r="I115" i="72"/>
  <c r="H115" i="72"/>
  <c r="B112" i="85"/>
  <c r="F112" i="85"/>
  <c r="H120" i="70"/>
  <c r="I120" i="70"/>
  <c r="I117" i="43"/>
  <c r="H117" i="43"/>
  <c r="G118" i="73"/>
  <c r="E119" i="73"/>
  <c r="D119" i="73"/>
  <c r="B117" i="74"/>
  <c r="F117" i="74"/>
  <c r="F120" i="32"/>
  <c r="B120" i="32"/>
  <c r="B111" i="92"/>
  <c r="F111" i="92"/>
  <c r="B113" i="79"/>
  <c r="F113" i="79"/>
  <c r="F115" i="63"/>
  <c r="B115" i="63"/>
  <c r="I112" i="78"/>
  <c r="H112" i="78"/>
  <c r="H119" i="31"/>
  <c r="I119" i="31"/>
  <c r="F115" i="60"/>
  <c r="B115" i="60"/>
  <c r="F115" i="65"/>
  <c r="B115" i="65"/>
  <c r="I118" i="34"/>
  <c r="H118" i="34"/>
  <c r="B121" i="69"/>
  <c r="F121" i="69"/>
  <c r="F121" i="30"/>
  <c r="B121" i="30"/>
  <c r="F111" i="88"/>
  <c r="B111" i="88"/>
  <c r="F115" i="64"/>
  <c r="B115" i="64"/>
  <c r="F116" i="58"/>
  <c r="B116" i="58"/>
  <c r="D118" i="45"/>
  <c r="G117" i="45"/>
  <c r="E118" i="45"/>
  <c r="F118" i="43"/>
  <c r="B118" i="43"/>
  <c r="F111" i="90"/>
  <c r="B111" i="90"/>
  <c r="I116" i="74"/>
  <c r="H116" i="74"/>
  <c r="H119" i="32"/>
  <c r="I119" i="32"/>
  <c r="D116" i="62"/>
  <c r="E116" i="62"/>
  <c r="G115" i="62"/>
  <c r="F111" i="86"/>
  <c r="B111" i="86"/>
  <c r="F118" i="39"/>
  <c r="B118" i="39"/>
  <c r="E119" i="41"/>
  <c r="G118" i="41"/>
  <c r="D119" i="41"/>
  <c r="H112" i="79"/>
  <c r="I112" i="79"/>
  <c r="B119" i="19"/>
  <c r="F119" i="19"/>
  <c r="H114" i="63"/>
  <c r="I114" i="63"/>
  <c r="B113" i="78"/>
  <c r="F113" i="78"/>
  <c r="H115" i="53"/>
  <c r="I115" i="53"/>
  <c r="F119" i="20"/>
  <c r="B119" i="20"/>
  <c r="J116" i="45"/>
  <c r="E120" i="22"/>
  <c r="G119" i="22"/>
  <c r="D120" i="22"/>
  <c r="J117" i="41"/>
  <c r="F121" i="29"/>
  <c r="B121" i="29"/>
  <c r="B115" i="61"/>
  <c r="F115" i="61"/>
  <c r="I110" i="88"/>
  <c r="H110" i="88"/>
  <c r="F116" i="72"/>
  <c r="B116" i="72"/>
  <c r="I115" i="58"/>
  <c r="H115" i="58"/>
  <c r="F121" i="70"/>
  <c r="B121" i="70"/>
  <c r="D112" i="91"/>
  <c r="G111" i="91"/>
  <c r="E112" i="91"/>
  <c r="I110" i="92"/>
  <c r="H110" i="92"/>
  <c r="I117" i="39"/>
  <c r="H117" i="39"/>
  <c r="I113" i="66"/>
  <c r="H113" i="66"/>
  <c r="J117" i="73"/>
  <c r="I115" i="46"/>
  <c r="H115" i="46"/>
  <c r="I118" i="19"/>
  <c r="H118" i="19"/>
  <c r="B121" i="27"/>
  <c r="F121" i="27"/>
  <c r="J115" i="54"/>
  <c r="J126" i="35"/>
  <c r="J111" i="81"/>
  <c r="B120" i="31"/>
  <c r="F120" i="31"/>
  <c r="B111" i="84"/>
  <c r="F111" i="84"/>
  <c r="H114" i="60"/>
  <c r="I114" i="60"/>
  <c r="H114" i="65"/>
  <c r="I114" i="65"/>
  <c r="B119" i="34"/>
  <c r="F119" i="34"/>
  <c r="I120" i="30"/>
  <c r="H120" i="30"/>
  <c r="I114" i="61"/>
  <c r="H114" i="61"/>
  <c r="H114" i="64"/>
  <c r="I114" i="64"/>
  <c r="I113" i="68"/>
  <c r="H113" i="68"/>
  <c r="H111" i="85"/>
  <c r="I111" i="85"/>
  <c r="I110" i="90"/>
  <c r="H110" i="90"/>
  <c r="I110" i="86"/>
  <c r="H110" i="86"/>
  <c r="D113" i="81"/>
  <c r="E113" i="81"/>
  <c r="G112" i="81"/>
  <c r="F114" i="66"/>
  <c r="B114" i="66"/>
  <c r="B116" i="46"/>
  <c r="F116" i="46"/>
  <c r="D112" i="89"/>
  <c r="G111" i="89"/>
  <c r="E112" i="89"/>
  <c r="J114" i="62"/>
  <c r="I120" i="27"/>
  <c r="H120" i="27"/>
  <c r="B121" i="23"/>
  <c r="F121" i="23"/>
  <c r="B116" i="59"/>
  <c r="F116" i="59"/>
  <c r="J116" i="56"/>
  <c r="B120" i="18"/>
  <c r="F120" i="18"/>
  <c r="I120" i="23"/>
  <c r="H120" i="23"/>
  <c r="I115" i="59"/>
  <c r="H115" i="59"/>
  <c r="D118" i="56"/>
  <c r="E118" i="56"/>
  <c r="G117" i="56"/>
  <c r="H119" i="18"/>
  <c r="I119" i="18"/>
  <c r="J111" i="83"/>
  <c r="J117" i="42"/>
  <c r="B117" i="57"/>
  <c r="F117" i="57"/>
  <c r="H116" i="57"/>
  <c r="I116" i="57"/>
  <c r="B121" i="71"/>
  <c r="F121" i="71"/>
  <c r="J109" i="33"/>
  <c r="J111" i="80"/>
  <c r="J119" i="24"/>
  <c r="H120" i="71"/>
  <c r="I120" i="71"/>
  <c r="G110" i="13"/>
  <c r="D111" i="13"/>
  <c r="E111" i="13" s="1"/>
  <c r="F112" i="82"/>
  <c r="B112" i="82"/>
  <c r="J110" i="93"/>
  <c r="J112" i="77"/>
  <c r="J118" i="21"/>
  <c r="J115" i="55"/>
  <c r="I121" i="28"/>
  <c r="H121" i="28"/>
  <c r="I117" i="44"/>
  <c r="H117" i="44"/>
  <c r="I118" i="3"/>
  <c r="H118" i="3"/>
  <c r="D113" i="80"/>
  <c r="G112" i="80"/>
  <c r="E113" i="80"/>
  <c r="D119" i="42"/>
  <c r="G118" i="42"/>
  <c r="E119" i="42"/>
  <c r="H111" i="95"/>
  <c r="I111" i="95"/>
  <c r="G111" i="25"/>
  <c r="D112" i="25"/>
  <c r="E112" i="25" s="1"/>
  <c r="H111" i="82"/>
  <c r="I111" i="82"/>
  <c r="E114" i="76"/>
  <c r="D114" i="76"/>
  <c r="G113" i="76"/>
  <c r="D120" i="21"/>
  <c r="E120" i="21"/>
  <c r="G119" i="21"/>
  <c r="F118" i="44"/>
  <c r="B118" i="44"/>
  <c r="B114" i="67"/>
  <c r="F114" i="67"/>
  <c r="B119" i="3"/>
  <c r="F119" i="3"/>
  <c r="F111" i="96"/>
  <c r="B111" i="96"/>
  <c r="I119" i="17"/>
  <c r="H119" i="17"/>
  <c r="G116" i="54"/>
  <c r="E117" i="54"/>
  <c r="D117" i="54"/>
  <c r="I127" i="35"/>
  <c r="H127" i="35"/>
  <c r="H110" i="87"/>
  <c r="I110" i="87"/>
  <c r="G113" i="77"/>
  <c r="D114" i="77"/>
  <c r="E114" i="77"/>
  <c r="J112" i="75"/>
  <c r="G112" i="83"/>
  <c r="D113" i="83"/>
  <c r="E113" i="83"/>
  <c r="D112" i="93"/>
  <c r="E112" i="93" s="1"/>
  <c r="G111" i="93"/>
  <c r="E121" i="24"/>
  <c r="D121" i="24"/>
  <c r="G120" i="24"/>
  <c r="J109" i="13"/>
  <c r="H113" i="67"/>
  <c r="I113" i="67"/>
  <c r="G113" i="75"/>
  <c r="D114" i="75"/>
  <c r="E114" i="75"/>
  <c r="G116" i="55"/>
  <c r="E117" i="55"/>
  <c r="D117" i="55"/>
  <c r="G128" i="35"/>
  <c r="B129" i="35"/>
  <c r="E129" i="35"/>
  <c r="F129" i="35" s="1"/>
  <c r="F111" i="87"/>
  <c r="B111" i="87"/>
  <c r="B122" i="28"/>
  <c r="F122" i="28"/>
  <c r="J112" i="76"/>
  <c r="G110" i="33"/>
  <c r="D111" i="33"/>
  <c r="E111" i="33" s="1"/>
  <c r="I110" i="96"/>
  <c r="H110" i="96"/>
  <c r="F120" i="17"/>
  <c r="B120" i="17"/>
  <c r="F112" i="95"/>
  <c r="B112" i="95"/>
  <c r="J110" i="25"/>
  <c r="J110" i="97" l="1"/>
  <c r="J110" i="98"/>
  <c r="I34" i="97"/>
  <c r="G31" i="98"/>
  <c r="I31" i="98" s="1"/>
  <c r="D36" i="97"/>
  <c r="G35" i="97"/>
  <c r="H35" i="97"/>
  <c r="F33" i="99"/>
  <c r="D34" i="99" s="1"/>
  <c r="B33" i="99"/>
  <c r="G31" i="94"/>
  <c r="I31" i="94" s="1"/>
  <c r="D32" i="98"/>
  <c r="E32" i="98"/>
  <c r="I30" i="26"/>
  <c r="N6" i="26"/>
  <c r="R132" i="1"/>
  <c r="M20" i="1"/>
  <c r="F111" i="99"/>
  <c r="B111" i="99"/>
  <c r="H110" i="99"/>
  <c r="I110" i="99"/>
  <c r="I30" i="95"/>
  <c r="G30" i="96"/>
  <c r="I30" i="96" s="1"/>
  <c r="G36" i="54"/>
  <c r="I36" i="54" s="1"/>
  <c r="G39" i="41"/>
  <c r="I39" i="41" s="1"/>
  <c r="E112" i="26"/>
  <c r="F112" i="26" s="1"/>
  <c r="B112" i="26"/>
  <c r="D112" i="98"/>
  <c r="G111" i="98"/>
  <c r="E112" i="98"/>
  <c r="D112" i="97"/>
  <c r="G111" i="97"/>
  <c r="E112" i="97"/>
  <c r="H111" i="26"/>
  <c r="I111" i="26"/>
  <c r="G30" i="93"/>
  <c r="I30" i="93" s="1"/>
  <c r="G33" i="90"/>
  <c r="I33" i="90" s="1"/>
  <c r="G35" i="67"/>
  <c r="I35" i="67" s="1"/>
  <c r="D36" i="67"/>
  <c r="E36" i="67"/>
  <c r="G35" i="66"/>
  <c r="I35" i="66" s="1"/>
  <c r="H36" i="46"/>
  <c r="I36" i="46" s="1"/>
  <c r="E37" i="46"/>
  <c r="D37" i="46"/>
  <c r="G40" i="24"/>
  <c r="I40" i="24" s="1"/>
  <c r="E41" i="24"/>
  <c r="D41" i="24"/>
  <c r="B33" i="86"/>
  <c r="F33" i="86"/>
  <c r="F34" i="82"/>
  <c r="B34" i="82"/>
  <c r="H33" i="77"/>
  <c r="I33" i="77" s="1"/>
  <c r="I31" i="33"/>
  <c r="H35" i="61"/>
  <c r="I35" i="61" s="1"/>
  <c r="H33" i="80"/>
  <c r="I33" i="80" s="1"/>
  <c r="D34" i="80"/>
  <c r="E34" i="80"/>
  <c r="I32" i="86"/>
  <c r="H38" i="44"/>
  <c r="I38" i="44" s="1"/>
  <c r="E31" i="93"/>
  <c r="D31" i="93"/>
  <c r="E32" i="94"/>
  <c r="D32" i="94"/>
  <c r="D112" i="94"/>
  <c r="G111" i="94"/>
  <c r="B35" i="65"/>
  <c r="F35" i="65"/>
  <c r="D42" i="23"/>
  <c r="E42" i="23"/>
  <c r="H41" i="23"/>
  <c r="G32" i="91"/>
  <c r="D33" i="91"/>
  <c r="E33" i="91"/>
  <c r="G32" i="84"/>
  <c r="I32" i="84" s="1"/>
  <c r="E33" i="84"/>
  <c r="D33" i="84"/>
  <c r="J110" i="94"/>
  <c r="G41" i="23"/>
  <c r="B38" i="55"/>
  <c r="F38" i="55"/>
  <c r="G38" i="55" s="1"/>
  <c r="B38" i="58"/>
  <c r="F38" i="58"/>
  <c r="I33" i="75"/>
  <c r="H32" i="91"/>
  <c r="D36" i="66"/>
  <c r="E36" i="66"/>
  <c r="H35" i="60"/>
  <c r="I35" i="60" s="1"/>
  <c r="I39" i="19"/>
  <c r="I37" i="58"/>
  <c r="G36" i="53"/>
  <c r="I36" i="53" s="1"/>
  <c r="D37" i="53"/>
  <c r="E37" i="53"/>
  <c r="E34" i="90"/>
  <c r="D34" i="90"/>
  <c r="F39" i="42"/>
  <c r="G39" i="42" s="1"/>
  <c r="B39" i="42"/>
  <c r="F34" i="75"/>
  <c r="G34" i="75" s="1"/>
  <c r="B34" i="75"/>
  <c r="B33" i="85"/>
  <c r="F33" i="85"/>
  <c r="G33" i="85" s="1"/>
  <c r="H32" i="81"/>
  <c r="D33" i="81"/>
  <c r="E33" i="81"/>
  <c r="F37" i="72"/>
  <c r="G37" i="72" s="1"/>
  <c r="B37" i="72"/>
  <c r="H40" i="32"/>
  <c r="I40" i="32" s="1"/>
  <c r="D31" i="96"/>
  <c r="E31" i="96"/>
  <c r="H41" i="27"/>
  <c r="I41" i="27" s="1"/>
  <c r="D42" i="27"/>
  <c r="E42" i="27"/>
  <c r="D36" i="61"/>
  <c r="E36" i="61"/>
  <c r="F31" i="95"/>
  <c r="H31" i="95" s="1"/>
  <c r="B31" i="95"/>
  <c r="G39" i="22"/>
  <c r="I39" i="22" s="1"/>
  <c r="E40" i="22"/>
  <c r="D40" i="22"/>
  <c r="G33" i="76"/>
  <c r="I33" i="76" s="1"/>
  <c r="E34" i="76"/>
  <c r="D34" i="76"/>
  <c r="D39" i="44"/>
  <c r="E39" i="44"/>
  <c r="G32" i="81"/>
  <c r="I36" i="72"/>
  <c r="F39" i="39"/>
  <c r="H39" i="39" s="1"/>
  <c r="B39" i="39"/>
  <c r="I45" i="35"/>
  <c r="I40" i="34"/>
  <c r="B42" i="69"/>
  <c r="F42" i="69"/>
  <c r="G42" i="69" s="1"/>
  <c r="B32" i="25"/>
  <c r="D40" i="43"/>
  <c r="E40" i="43"/>
  <c r="I40" i="30"/>
  <c r="D36" i="60"/>
  <c r="E36" i="60"/>
  <c r="G39" i="21"/>
  <c r="I39" i="21" s="1"/>
  <c r="E40" i="21"/>
  <c r="D40" i="21"/>
  <c r="D37" i="54"/>
  <c r="E37" i="54"/>
  <c r="G41" i="29"/>
  <c r="I41" i="29" s="1"/>
  <c r="D42" i="29"/>
  <c r="E42" i="29"/>
  <c r="I41" i="69"/>
  <c r="H33" i="79"/>
  <c r="I33" i="79" s="1"/>
  <c r="E34" i="79"/>
  <c r="D34" i="79"/>
  <c r="E36" i="63"/>
  <c r="D36" i="63"/>
  <c r="I31" i="25"/>
  <c r="F36" i="64"/>
  <c r="H36" i="64" s="1"/>
  <c r="B36" i="64"/>
  <c r="D39" i="74"/>
  <c r="E39" i="74"/>
  <c r="E40" i="17"/>
  <c r="D40" i="17"/>
  <c r="D34" i="78"/>
  <c r="E34" i="78"/>
  <c r="E31" i="26"/>
  <c r="F31" i="26" s="1"/>
  <c r="D32" i="26" s="1"/>
  <c r="B32" i="26" s="1"/>
  <c r="B31" i="26"/>
  <c r="F42" i="31"/>
  <c r="H42" i="31" s="1"/>
  <c r="B42" i="31"/>
  <c r="I35" i="64"/>
  <c r="B36" i="56"/>
  <c r="F36" i="56"/>
  <c r="G36" i="56" s="1"/>
  <c r="H33" i="78"/>
  <c r="H31" i="89"/>
  <c r="I31" i="89" s="1"/>
  <c r="E32" i="89"/>
  <c r="D32" i="89"/>
  <c r="F40" i="19"/>
  <c r="G40" i="19" s="1"/>
  <c r="B40" i="19"/>
  <c r="D41" i="32"/>
  <c r="E41" i="32"/>
  <c r="D32" i="92"/>
  <c r="E32" i="92"/>
  <c r="B43" i="28"/>
  <c r="F43" i="28"/>
  <c r="G43" i="28" s="1"/>
  <c r="I31" i="83"/>
  <c r="B32" i="83"/>
  <c r="F32" i="83"/>
  <c r="H32" i="83" s="1"/>
  <c r="B35" i="68"/>
  <c r="F35" i="68"/>
  <c r="H35" i="68" s="1"/>
  <c r="D39" i="73"/>
  <c r="G38" i="73"/>
  <c r="I38" i="73" s="1"/>
  <c r="E39" i="73"/>
  <c r="G39" i="43"/>
  <c r="F41" i="30"/>
  <c r="B41" i="30"/>
  <c r="B33" i="88"/>
  <c r="F33" i="88"/>
  <c r="H33" i="88" s="1"/>
  <c r="F40" i="3"/>
  <c r="B40" i="3"/>
  <c r="E42" i="70"/>
  <c r="D42" i="70"/>
  <c r="B41" i="34"/>
  <c r="F41" i="34"/>
  <c r="G41" i="34" s="1"/>
  <c r="D37" i="57"/>
  <c r="E37" i="57"/>
  <c r="E34" i="77"/>
  <c r="D34" i="77"/>
  <c r="G33" i="78"/>
  <c r="G41" i="70"/>
  <c r="I41" i="70" s="1"/>
  <c r="F41" i="71"/>
  <c r="B41" i="71"/>
  <c r="G31" i="92"/>
  <c r="I31" i="92" s="1"/>
  <c r="I34" i="68"/>
  <c r="G35" i="63"/>
  <c r="I35" i="63" s="1"/>
  <c r="B38" i="45"/>
  <c r="F38" i="45"/>
  <c r="H38" i="45" s="1"/>
  <c r="E40" i="41"/>
  <c r="D40" i="41"/>
  <c r="E32" i="25"/>
  <c r="F32" i="25" s="1"/>
  <c r="G36" i="57"/>
  <c r="I36" i="57" s="1"/>
  <c r="G38" i="74"/>
  <c r="I38" i="74" s="1"/>
  <c r="G39" i="17"/>
  <c r="I39" i="17" s="1"/>
  <c r="H39" i="43"/>
  <c r="I32" i="88"/>
  <c r="J114" i="60"/>
  <c r="J115" i="46"/>
  <c r="J119" i="31"/>
  <c r="J118" i="34"/>
  <c r="J115" i="53"/>
  <c r="J114" i="63"/>
  <c r="J112" i="78"/>
  <c r="J110" i="96"/>
  <c r="J111" i="85"/>
  <c r="J114" i="64"/>
  <c r="J114" i="65"/>
  <c r="J120" i="70"/>
  <c r="J120" i="29"/>
  <c r="F32" i="87"/>
  <c r="B32" i="87"/>
  <c r="I30" i="13"/>
  <c r="E41" i="18"/>
  <c r="D41" i="18"/>
  <c r="B33" i="33"/>
  <c r="E47" i="35"/>
  <c r="F47" i="35" s="1"/>
  <c r="G46" i="35"/>
  <c r="B47" i="35"/>
  <c r="H46" i="35"/>
  <c r="F39" i="20"/>
  <c r="B39" i="20"/>
  <c r="G40" i="18"/>
  <c r="J112" i="79"/>
  <c r="J119" i="32"/>
  <c r="J120" i="69"/>
  <c r="D36" i="59"/>
  <c r="E36" i="59"/>
  <c r="B31" i="13"/>
  <c r="F31" i="13"/>
  <c r="H31" i="13" s="1"/>
  <c r="J111" i="95"/>
  <c r="J119" i="18"/>
  <c r="B35" i="62"/>
  <c r="F35" i="62"/>
  <c r="G35" i="62" s="1"/>
  <c r="G35" i="59"/>
  <c r="I35" i="59" s="1"/>
  <c r="I32" i="33"/>
  <c r="H40" i="18"/>
  <c r="E33" i="33"/>
  <c r="F33" i="33" s="1"/>
  <c r="H111" i="89"/>
  <c r="I111" i="89"/>
  <c r="E115" i="66"/>
  <c r="G114" i="66"/>
  <c r="D115" i="66"/>
  <c r="G111" i="84"/>
  <c r="D112" i="84"/>
  <c r="E112" i="84"/>
  <c r="G121" i="70"/>
  <c r="D122" i="70"/>
  <c r="E122" i="70"/>
  <c r="D117" i="72"/>
  <c r="E117" i="72"/>
  <c r="G116" i="72"/>
  <c r="F120" i="22"/>
  <c r="B120" i="22"/>
  <c r="G113" i="78"/>
  <c r="E114" i="78"/>
  <c r="D114" i="78"/>
  <c r="D120" i="19"/>
  <c r="G119" i="19"/>
  <c r="E120" i="19"/>
  <c r="B119" i="41"/>
  <c r="F119" i="41"/>
  <c r="G118" i="39"/>
  <c r="E119" i="39"/>
  <c r="D119" i="39"/>
  <c r="B118" i="45"/>
  <c r="F118" i="45"/>
  <c r="E116" i="64"/>
  <c r="D116" i="64"/>
  <c r="G115" i="64"/>
  <c r="G121" i="30"/>
  <c r="E122" i="30"/>
  <c r="D122" i="30"/>
  <c r="D116" i="60"/>
  <c r="E116" i="60"/>
  <c r="G115" i="60"/>
  <c r="G112" i="85"/>
  <c r="D113" i="85"/>
  <c r="E113" i="85"/>
  <c r="J115" i="59"/>
  <c r="J120" i="27"/>
  <c r="B112" i="89"/>
  <c r="F112" i="89"/>
  <c r="H112" i="81"/>
  <c r="I112" i="81"/>
  <c r="J110" i="86"/>
  <c r="J120" i="30"/>
  <c r="J117" i="39"/>
  <c r="H111" i="91"/>
  <c r="I111" i="91"/>
  <c r="I119" i="22"/>
  <c r="H119" i="22"/>
  <c r="D120" i="20"/>
  <c r="G119" i="20"/>
  <c r="E120" i="20"/>
  <c r="I118" i="41"/>
  <c r="H118" i="41"/>
  <c r="B116" i="62"/>
  <c r="F116" i="62"/>
  <c r="J116" i="74"/>
  <c r="E119" i="43"/>
  <c r="G118" i="43"/>
  <c r="D119" i="43"/>
  <c r="G121" i="69"/>
  <c r="E122" i="69"/>
  <c r="D122" i="69"/>
  <c r="B119" i="73"/>
  <c r="F119" i="73"/>
  <c r="J117" i="43"/>
  <c r="D115" i="68"/>
  <c r="G114" i="68"/>
  <c r="E115" i="68"/>
  <c r="E117" i="53"/>
  <c r="D117" i="53"/>
  <c r="G116" i="53"/>
  <c r="J118" i="3"/>
  <c r="G116" i="46"/>
  <c r="D117" i="46"/>
  <c r="E117" i="46"/>
  <c r="G119" i="34"/>
  <c r="E120" i="34"/>
  <c r="D120" i="34"/>
  <c r="D121" i="31"/>
  <c r="E121" i="31"/>
  <c r="G120" i="31"/>
  <c r="J118" i="19"/>
  <c r="B112" i="91"/>
  <c r="F112" i="91"/>
  <c r="J115" i="58"/>
  <c r="J110" i="88"/>
  <c r="E122" i="29"/>
  <c r="G121" i="29"/>
  <c r="D122" i="29"/>
  <c r="D112" i="86"/>
  <c r="G111" i="86"/>
  <c r="E112" i="86"/>
  <c r="G116" i="58"/>
  <c r="D117" i="58"/>
  <c r="E117" i="58"/>
  <c r="E112" i="88"/>
  <c r="G111" i="88"/>
  <c r="D112" i="88"/>
  <c r="E116" i="65"/>
  <c r="D116" i="65"/>
  <c r="G115" i="65"/>
  <c r="E116" i="63"/>
  <c r="G115" i="63"/>
  <c r="D116" i="63"/>
  <c r="G120" i="32"/>
  <c r="E121" i="32"/>
  <c r="D121" i="32"/>
  <c r="J120" i="23"/>
  <c r="B113" i="81"/>
  <c r="F113" i="81"/>
  <c r="J110" i="90"/>
  <c r="J113" i="68"/>
  <c r="J114" i="61"/>
  <c r="D122" i="27"/>
  <c r="G121" i="27"/>
  <c r="E122" i="27"/>
  <c r="J113" i="66"/>
  <c r="J110" i="92"/>
  <c r="D116" i="61"/>
  <c r="E116" i="61"/>
  <c r="G115" i="61"/>
  <c r="I115" i="62"/>
  <c r="H115" i="62"/>
  <c r="D112" i="90"/>
  <c r="G111" i="90"/>
  <c r="E112" i="90"/>
  <c r="H117" i="45"/>
  <c r="I117" i="45"/>
  <c r="E114" i="79"/>
  <c r="D114" i="79"/>
  <c r="G113" i="79"/>
  <c r="E112" i="92"/>
  <c r="D112" i="92"/>
  <c r="G111" i="92"/>
  <c r="E118" i="74"/>
  <c r="D118" i="74"/>
  <c r="G117" i="74"/>
  <c r="I118" i="73"/>
  <c r="H118" i="73"/>
  <c r="J115" i="72"/>
  <c r="J118" i="20"/>
  <c r="J110" i="84"/>
  <c r="J117" i="44"/>
  <c r="F118" i="56"/>
  <c r="B118" i="56"/>
  <c r="G120" i="18"/>
  <c r="D121" i="18"/>
  <c r="E121" i="18"/>
  <c r="E117" i="59"/>
  <c r="G116" i="59"/>
  <c r="D117" i="59"/>
  <c r="I117" i="56"/>
  <c r="H117" i="56"/>
  <c r="G121" i="23"/>
  <c r="D122" i="23"/>
  <c r="E122" i="23"/>
  <c r="J121" i="28"/>
  <c r="E122" i="71"/>
  <c r="G121" i="71"/>
  <c r="D122" i="71"/>
  <c r="J116" i="57"/>
  <c r="J120" i="71"/>
  <c r="G117" i="57"/>
  <c r="E118" i="57"/>
  <c r="D118" i="57"/>
  <c r="D113" i="95"/>
  <c r="G112" i="95"/>
  <c r="D112" i="87"/>
  <c r="G111" i="87"/>
  <c r="E112" i="87"/>
  <c r="F117" i="55"/>
  <c r="B117" i="55"/>
  <c r="H113" i="75"/>
  <c r="I113" i="75"/>
  <c r="F113" i="83"/>
  <c r="B113" i="83"/>
  <c r="J127" i="35"/>
  <c r="D120" i="3"/>
  <c r="G119" i="3"/>
  <c r="E120" i="3"/>
  <c r="D119" i="44"/>
  <c r="G118" i="44"/>
  <c r="E119" i="44"/>
  <c r="B120" i="21"/>
  <c r="F120" i="21"/>
  <c r="I112" i="80"/>
  <c r="H112" i="80"/>
  <c r="F111" i="33"/>
  <c r="B111" i="33"/>
  <c r="B130" i="35"/>
  <c r="E130" i="35"/>
  <c r="F130" i="35" s="1"/>
  <c r="G129" i="35"/>
  <c r="J113" i="67"/>
  <c r="I111" i="93"/>
  <c r="H111" i="93"/>
  <c r="I112" i="83"/>
  <c r="H112" i="83"/>
  <c r="B114" i="77"/>
  <c r="F114" i="77"/>
  <c r="J110" i="87"/>
  <c r="F117" i="54"/>
  <c r="B117" i="54"/>
  <c r="G111" i="96"/>
  <c r="D112" i="96"/>
  <c r="E112" i="96" s="1"/>
  <c r="G114" i="67"/>
  <c r="D115" i="67"/>
  <c r="E115" i="67"/>
  <c r="H118" i="42"/>
  <c r="I118" i="42"/>
  <c r="B113" i="80"/>
  <c r="F113" i="80"/>
  <c r="E121" i="17"/>
  <c r="D121" i="17"/>
  <c r="G120" i="17"/>
  <c r="H110" i="33"/>
  <c r="M88" i="33" s="1"/>
  <c r="M89" i="33" s="1"/>
  <c r="I110" i="33"/>
  <c r="N88" i="33" s="1"/>
  <c r="D123" i="28"/>
  <c r="G122" i="28"/>
  <c r="E123" i="28"/>
  <c r="I116" i="55"/>
  <c r="H116" i="55"/>
  <c r="I120" i="24"/>
  <c r="H120" i="24"/>
  <c r="H113" i="77"/>
  <c r="I113" i="77"/>
  <c r="H119" i="21"/>
  <c r="I119" i="21"/>
  <c r="H113" i="76"/>
  <c r="I113" i="76"/>
  <c r="B112" i="25"/>
  <c r="F112" i="25"/>
  <c r="F119" i="42"/>
  <c r="B119" i="42"/>
  <c r="F111" i="13"/>
  <c r="B111" i="13"/>
  <c r="I128" i="35"/>
  <c r="H128" i="35"/>
  <c r="F114" i="75"/>
  <c r="B114" i="75"/>
  <c r="B121" i="24"/>
  <c r="F121" i="24"/>
  <c r="F112" i="93"/>
  <c r="B112" i="93"/>
  <c r="I116" i="54"/>
  <c r="H116" i="54"/>
  <c r="J119" i="17"/>
  <c r="F114" i="76"/>
  <c r="B114" i="76"/>
  <c r="J111" i="82"/>
  <c r="I111" i="25"/>
  <c r="N88" i="25" s="1"/>
  <c r="H111" i="25"/>
  <c r="M88" i="25" s="1"/>
  <c r="M89" i="25" s="1"/>
  <c r="D113" i="82"/>
  <c r="G112" i="82"/>
  <c r="E113" i="82"/>
  <c r="I110" i="13"/>
  <c r="H110" i="13"/>
  <c r="I27" i="36"/>
  <c r="I35" i="36"/>
  <c r="J110" i="99" l="1"/>
  <c r="I35" i="97"/>
  <c r="E34" i="99"/>
  <c r="F34" i="99"/>
  <c r="D35" i="99" s="1"/>
  <c r="B34" i="99"/>
  <c r="H33" i="99"/>
  <c r="G33" i="99"/>
  <c r="B32" i="98"/>
  <c r="F32" i="98"/>
  <c r="G32" i="98" s="1"/>
  <c r="E36" i="97"/>
  <c r="F36" i="97" s="1"/>
  <c r="B36" i="97"/>
  <c r="N19" i="1"/>
  <c r="N7" i="26"/>
  <c r="O88" i="33"/>
  <c r="O89" i="33" s="1"/>
  <c r="N89" i="33"/>
  <c r="N89" i="25"/>
  <c r="O88" i="25"/>
  <c r="O89" i="25" s="1"/>
  <c r="H36" i="56"/>
  <c r="I36" i="56" s="1"/>
  <c r="G111" i="99"/>
  <c r="E112" i="99"/>
  <c r="D112" i="99"/>
  <c r="I39" i="43"/>
  <c r="H111" i="98"/>
  <c r="I111" i="98"/>
  <c r="H111" i="97"/>
  <c r="I111" i="97"/>
  <c r="F112" i="98"/>
  <c r="B112" i="98"/>
  <c r="J111" i="26"/>
  <c r="B112" i="97"/>
  <c r="F112" i="97"/>
  <c r="D113" i="26"/>
  <c r="G112" i="26"/>
  <c r="H34" i="75"/>
  <c r="I34" i="75" s="1"/>
  <c r="B36" i="67"/>
  <c r="F36" i="67"/>
  <c r="G36" i="67" s="1"/>
  <c r="H35" i="62"/>
  <c r="I35" i="62" s="1"/>
  <c r="F37" i="46"/>
  <c r="G37" i="46" s="1"/>
  <c r="B37" i="46"/>
  <c r="B41" i="24"/>
  <c r="F41" i="24"/>
  <c r="G41" i="24" s="1"/>
  <c r="G34" i="82"/>
  <c r="D35" i="82"/>
  <c r="E35" i="82"/>
  <c r="F32" i="94"/>
  <c r="G32" i="94" s="1"/>
  <c r="B32" i="94"/>
  <c r="B34" i="80"/>
  <c r="F34" i="80"/>
  <c r="H34" i="80" s="1"/>
  <c r="G33" i="86"/>
  <c r="H33" i="86"/>
  <c r="D34" i="86"/>
  <c r="E34" i="86"/>
  <c r="H34" i="82"/>
  <c r="B31" i="93"/>
  <c r="F31" i="93"/>
  <c r="F36" i="66"/>
  <c r="H36" i="66" s="1"/>
  <c r="B36" i="66"/>
  <c r="F33" i="84"/>
  <c r="G33" i="84" s="1"/>
  <c r="B33" i="84"/>
  <c r="E36" i="65"/>
  <c r="D36" i="65"/>
  <c r="H39" i="42"/>
  <c r="I39" i="42" s="1"/>
  <c r="D40" i="42"/>
  <c r="E40" i="42"/>
  <c r="F37" i="53"/>
  <c r="G37" i="53" s="1"/>
  <c r="B37" i="53"/>
  <c r="I32" i="91"/>
  <c r="B42" i="23"/>
  <c r="F42" i="23"/>
  <c r="H42" i="23" s="1"/>
  <c r="E35" i="75"/>
  <c r="D35" i="75"/>
  <c r="F34" i="90"/>
  <c r="G34" i="90" s="1"/>
  <c r="B34" i="90"/>
  <c r="H38" i="55"/>
  <c r="I38" i="55" s="1"/>
  <c r="D39" i="55"/>
  <c r="E39" i="55"/>
  <c r="I41" i="23"/>
  <c r="G35" i="65"/>
  <c r="I111" i="94"/>
  <c r="H111" i="94"/>
  <c r="B33" i="91"/>
  <c r="F33" i="91"/>
  <c r="H38" i="58"/>
  <c r="E39" i="58"/>
  <c r="G38" i="58"/>
  <c r="D39" i="58"/>
  <c r="H35" i="65"/>
  <c r="E112" i="94"/>
  <c r="F112" i="94" s="1"/>
  <c r="B112" i="94"/>
  <c r="D33" i="25"/>
  <c r="B33" i="25" s="1"/>
  <c r="H32" i="25"/>
  <c r="B34" i="76"/>
  <c r="F34" i="76"/>
  <c r="H34" i="76" s="1"/>
  <c r="F40" i="22"/>
  <c r="G40" i="22" s="1"/>
  <c r="B40" i="22"/>
  <c r="B33" i="81"/>
  <c r="F33" i="81"/>
  <c r="G33" i="81" s="1"/>
  <c r="I40" i="18"/>
  <c r="G31" i="95"/>
  <c r="I31" i="95" s="1"/>
  <c r="D32" i="95"/>
  <c r="E32" i="95"/>
  <c r="B31" i="96"/>
  <c r="F31" i="96"/>
  <c r="H31" i="96" s="1"/>
  <c r="D38" i="72"/>
  <c r="E38" i="72"/>
  <c r="I32" i="81"/>
  <c r="G39" i="39"/>
  <c r="I39" i="39" s="1"/>
  <c r="E40" i="39"/>
  <c r="D40" i="39"/>
  <c r="B42" i="27"/>
  <c r="F42" i="27"/>
  <c r="B39" i="44"/>
  <c r="F39" i="44"/>
  <c r="G39" i="44" s="1"/>
  <c r="F36" i="61"/>
  <c r="G36" i="61" s="1"/>
  <c r="B36" i="61"/>
  <c r="H37" i="72"/>
  <c r="I37" i="72" s="1"/>
  <c r="H33" i="85"/>
  <c r="I33" i="85" s="1"/>
  <c r="E34" i="85"/>
  <c r="D34" i="85"/>
  <c r="B37" i="57"/>
  <c r="F37" i="57"/>
  <c r="H37" i="57" s="1"/>
  <c r="H40" i="3"/>
  <c r="E41" i="3"/>
  <c r="D41" i="3"/>
  <c r="B34" i="79"/>
  <c r="F34" i="79"/>
  <c r="G34" i="79" s="1"/>
  <c r="E42" i="71"/>
  <c r="D42" i="71"/>
  <c r="D42" i="30"/>
  <c r="E42" i="30"/>
  <c r="G35" i="68"/>
  <c r="I35" i="68" s="1"/>
  <c r="D36" i="68"/>
  <c r="E36" i="68"/>
  <c r="G32" i="83"/>
  <c r="I32" i="83" s="1"/>
  <c r="E33" i="83"/>
  <c r="D33" i="83"/>
  <c r="E44" i="28"/>
  <c r="D44" i="28"/>
  <c r="B32" i="92"/>
  <c r="F32" i="92"/>
  <c r="G32" i="92" s="1"/>
  <c r="G42" i="31"/>
  <c r="I42" i="31" s="1"/>
  <c r="F34" i="78"/>
  <c r="G34" i="78" s="1"/>
  <c r="B34" i="78"/>
  <c r="F39" i="74"/>
  <c r="G39" i="74" s="1"/>
  <c r="B39" i="74"/>
  <c r="F42" i="29"/>
  <c r="G42" i="29" s="1"/>
  <c r="B42" i="29"/>
  <c r="B40" i="21"/>
  <c r="F40" i="21"/>
  <c r="F36" i="60"/>
  <c r="H36" i="60" s="1"/>
  <c r="B36" i="60"/>
  <c r="F40" i="43"/>
  <c r="G40" i="43" s="1"/>
  <c r="B40" i="43"/>
  <c r="B37" i="54"/>
  <c r="F37" i="54"/>
  <c r="H37" i="54" s="1"/>
  <c r="E32" i="26"/>
  <c r="F32" i="26" s="1"/>
  <c r="G32" i="26" s="1"/>
  <c r="H41" i="71"/>
  <c r="E42" i="34"/>
  <c r="D42" i="34"/>
  <c r="G40" i="3"/>
  <c r="E34" i="88"/>
  <c r="D34" i="88"/>
  <c r="G41" i="30"/>
  <c r="B39" i="73"/>
  <c r="F39" i="73"/>
  <c r="H40" i="19"/>
  <c r="I40" i="19" s="1"/>
  <c r="E41" i="19"/>
  <c r="D41" i="19"/>
  <c r="C49" i="17"/>
  <c r="B40" i="17"/>
  <c r="F40" i="17"/>
  <c r="F36" i="63"/>
  <c r="G36" i="63" s="1"/>
  <c r="B36" i="63"/>
  <c r="G32" i="25"/>
  <c r="G31" i="26"/>
  <c r="B40" i="41"/>
  <c r="F40" i="41"/>
  <c r="G40" i="41" s="1"/>
  <c r="F34" i="77"/>
  <c r="B34" i="77"/>
  <c r="B42" i="70"/>
  <c r="F42" i="70"/>
  <c r="G42" i="70" s="1"/>
  <c r="E43" i="31"/>
  <c r="D43" i="31"/>
  <c r="G36" i="64"/>
  <c r="I36" i="64" s="1"/>
  <c r="E37" i="64"/>
  <c r="D37" i="64"/>
  <c r="G31" i="13"/>
  <c r="I31" i="13" s="1"/>
  <c r="I46" i="35"/>
  <c r="G38" i="45"/>
  <c r="I38" i="45" s="1"/>
  <c r="E39" i="45"/>
  <c r="D39" i="45"/>
  <c r="G41" i="71"/>
  <c r="H41" i="34"/>
  <c r="I41" i="34" s="1"/>
  <c r="G33" i="88"/>
  <c r="I33" i="88" s="1"/>
  <c r="H41" i="30"/>
  <c r="H43" i="28"/>
  <c r="I43" i="28" s="1"/>
  <c r="F41" i="32"/>
  <c r="G41" i="32" s="1"/>
  <c r="B41" i="32"/>
  <c r="B32" i="89"/>
  <c r="F32" i="89"/>
  <c r="H32" i="89" s="1"/>
  <c r="I33" i="78"/>
  <c r="D37" i="56"/>
  <c r="E37" i="56"/>
  <c r="H31" i="26"/>
  <c r="H42" i="69"/>
  <c r="I42" i="69" s="1"/>
  <c r="D43" i="69"/>
  <c r="E43" i="69"/>
  <c r="J111" i="89"/>
  <c r="J117" i="56"/>
  <c r="J117" i="45"/>
  <c r="D34" i="33"/>
  <c r="H33" i="33"/>
  <c r="G33" i="33"/>
  <c r="E40" i="20"/>
  <c r="D40" i="20"/>
  <c r="H47" i="35"/>
  <c r="G47" i="35"/>
  <c r="E48" i="35"/>
  <c r="F48" i="35" s="1"/>
  <c r="B48" i="35"/>
  <c r="D33" i="87"/>
  <c r="E33" i="87"/>
  <c r="J116" i="54"/>
  <c r="J110" i="33"/>
  <c r="J112" i="81"/>
  <c r="E36" i="62"/>
  <c r="D36" i="62"/>
  <c r="D32" i="13"/>
  <c r="G39" i="20"/>
  <c r="F41" i="18"/>
  <c r="H41" i="18" s="1"/>
  <c r="B41" i="18"/>
  <c r="H32" i="87"/>
  <c r="B36" i="59"/>
  <c r="F36" i="59"/>
  <c r="H39" i="20"/>
  <c r="G32" i="87"/>
  <c r="H113" i="79"/>
  <c r="I113" i="79"/>
  <c r="F116" i="61"/>
  <c r="B116" i="61"/>
  <c r="H121" i="27"/>
  <c r="I121" i="27"/>
  <c r="B121" i="32"/>
  <c r="F121" i="32"/>
  <c r="F116" i="63"/>
  <c r="B116" i="63"/>
  <c r="B116" i="65"/>
  <c r="F116" i="65"/>
  <c r="H121" i="29"/>
  <c r="I121" i="29"/>
  <c r="E113" i="91"/>
  <c r="D113" i="91"/>
  <c r="G112" i="91"/>
  <c r="I119" i="34"/>
  <c r="H119" i="34"/>
  <c r="G119" i="73"/>
  <c r="D120" i="73"/>
  <c r="E120" i="73"/>
  <c r="I121" i="69"/>
  <c r="H121" i="69"/>
  <c r="J118" i="41"/>
  <c r="I115" i="60"/>
  <c r="H115" i="60"/>
  <c r="I116" i="72"/>
  <c r="H116" i="72"/>
  <c r="B122" i="70"/>
  <c r="F122" i="70"/>
  <c r="H111" i="84"/>
  <c r="I111" i="84"/>
  <c r="J118" i="73"/>
  <c r="I111" i="92"/>
  <c r="H111" i="92"/>
  <c r="F114" i="79"/>
  <c r="B114" i="79"/>
  <c r="J115" i="62"/>
  <c r="B122" i="27"/>
  <c r="F122" i="27"/>
  <c r="D114" i="81"/>
  <c r="E114" i="81"/>
  <c r="G113" i="81"/>
  <c r="H115" i="63"/>
  <c r="I115" i="63"/>
  <c r="I111" i="86"/>
  <c r="H111" i="86"/>
  <c r="F121" i="31"/>
  <c r="B121" i="31"/>
  <c r="H116" i="53"/>
  <c r="I116" i="53"/>
  <c r="I114" i="68"/>
  <c r="H114" i="68"/>
  <c r="B119" i="43"/>
  <c r="F119" i="43"/>
  <c r="G116" i="62"/>
  <c r="D117" i="62"/>
  <c r="E117" i="62"/>
  <c r="J119" i="22"/>
  <c r="E113" i="89"/>
  <c r="D113" i="89"/>
  <c r="G112" i="89"/>
  <c r="H121" i="30"/>
  <c r="I121" i="30"/>
  <c r="G118" i="45"/>
  <c r="D119" i="45"/>
  <c r="E119" i="45"/>
  <c r="H118" i="39"/>
  <c r="I118" i="39"/>
  <c r="H119" i="19"/>
  <c r="I119" i="19"/>
  <c r="I113" i="78"/>
  <c r="H113" i="78"/>
  <c r="H121" i="70"/>
  <c r="I121" i="70"/>
  <c r="B115" i="66"/>
  <c r="F115" i="66"/>
  <c r="I117" i="74"/>
  <c r="H117" i="74"/>
  <c r="F112" i="92"/>
  <c r="B112" i="92"/>
  <c r="I111" i="90"/>
  <c r="H111" i="90"/>
  <c r="I115" i="61"/>
  <c r="H115" i="61"/>
  <c r="I120" i="32"/>
  <c r="H120" i="32"/>
  <c r="B112" i="88"/>
  <c r="F112" i="88"/>
  <c r="B117" i="58"/>
  <c r="F117" i="58"/>
  <c r="B112" i="86"/>
  <c r="F112" i="86"/>
  <c r="B120" i="34"/>
  <c r="F120" i="34"/>
  <c r="F117" i="46"/>
  <c r="B117" i="46"/>
  <c r="B117" i="53"/>
  <c r="F117" i="53"/>
  <c r="F115" i="68"/>
  <c r="B115" i="68"/>
  <c r="F122" i="69"/>
  <c r="B122" i="69"/>
  <c r="H118" i="43"/>
  <c r="I118" i="43"/>
  <c r="I119" i="20"/>
  <c r="H119" i="20"/>
  <c r="J111" i="91"/>
  <c r="B113" i="85"/>
  <c r="F113" i="85"/>
  <c r="B116" i="60"/>
  <c r="F116" i="60"/>
  <c r="H115" i="64"/>
  <c r="I115" i="64"/>
  <c r="G119" i="41"/>
  <c r="D120" i="41"/>
  <c r="E120" i="41"/>
  <c r="B120" i="19"/>
  <c r="F120" i="19"/>
  <c r="B117" i="72"/>
  <c r="F117" i="72"/>
  <c r="H114" i="66"/>
  <c r="I114" i="66"/>
  <c r="J112" i="80"/>
  <c r="F118" i="74"/>
  <c r="B118" i="74"/>
  <c r="F112" i="90"/>
  <c r="B112" i="90"/>
  <c r="I115" i="65"/>
  <c r="H115" i="65"/>
  <c r="I111" i="88"/>
  <c r="H111" i="88"/>
  <c r="I116" i="58"/>
  <c r="H116" i="58"/>
  <c r="B122" i="29"/>
  <c r="F122" i="29"/>
  <c r="H120" i="31"/>
  <c r="I120" i="31"/>
  <c r="H116" i="46"/>
  <c r="I116" i="46"/>
  <c r="F120" i="20"/>
  <c r="B120" i="20"/>
  <c r="H112" i="85"/>
  <c r="I112" i="85"/>
  <c r="F122" i="30"/>
  <c r="B122" i="30"/>
  <c r="B116" i="64"/>
  <c r="F116" i="64"/>
  <c r="F119" i="39"/>
  <c r="B119" i="39"/>
  <c r="F114" i="78"/>
  <c r="B114" i="78"/>
  <c r="D121" i="22"/>
  <c r="E121" i="22"/>
  <c r="G120" i="22"/>
  <c r="F112" i="84"/>
  <c r="B112" i="84"/>
  <c r="J111" i="93"/>
  <c r="F117" i="59"/>
  <c r="B117" i="59"/>
  <c r="B121" i="18"/>
  <c r="F121" i="18"/>
  <c r="G118" i="56"/>
  <c r="D119" i="56"/>
  <c r="E119" i="56"/>
  <c r="H116" i="59"/>
  <c r="I116" i="59"/>
  <c r="H120" i="18"/>
  <c r="I120" i="18"/>
  <c r="J113" i="77"/>
  <c r="J118" i="42"/>
  <c r="F122" i="23"/>
  <c r="B122" i="23"/>
  <c r="H121" i="23"/>
  <c r="I121" i="23"/>
  <c r="I117" i="57"/>
  <c r="H117" i="57"/>
  <c r="B122" i="71"/>
  <c r="F122" i="71"/>
  <c r="H121" i="71"/>
  <c r="I121" i="71"/>
  <c r="J120" i="24"/>
  <c r="F118" i="57"/>
  <c r="B118" i="57"/>
  <c r="D115" i="76"/>
  <c r="G114" i="76"/>
  <c r="E115" i="76"/>
  <c r="D113" i="25"/>
  <c r="E113" i="25" s="1"/>
  <c r="G112" i="25"/>
  <c r="F123" i="28"/>
  <c r="B123" i="28"/>
  <c r="B121" i="17"/>
  <c r="F121" i="17"/>
  <c r="I111" i="96"/>
  <c r="H111" i="96"/>
  <c r="E115" i="77"/>
  <c r="G114" i="77"/>
  <c r="D115" i="77"/>
  <c r="E121" i="21"/>
  <c r="G120" i="21"/>
  <c r="D121" i="21"/>
  <c r="F119" i="44"/>
  <c r="B119" i="44"/>
  <c r="D118" i="55"/>
  <c r="E118" i="55"/>
  <c r="G117" i="55"/>
  <c r="B113" i="95"/>
  <c r="J110" i="13"/>
  <c r="I112" i="82"/>
  <c r="H112" i="82"/>
  <c r="J111" i="25"/>
  <c r="J128" i="35"/>
  <c r="E114" i="80"/>
  <c r="G113" i="80"/>
  <c r="D114" i="80"/>
  <c r="B115" i="67"/>
  <c r="F115" i="67"/>
  <c r="J112" i="83"/>
  <c r="E113" i="95"/>
  <c r="F113" i="95" s="1"/>
  <c r="F113" i="82"/>
  <c r="B113" i="82"/>
  <c r="D113" i="93"/>
  <c r="E113" i="93" s="1"/>
  <c r="G112" i="93"/>
  <c r="D122" i="24"/>
  <c r="G121" i="24"/>
  <c r="E122" i="24"/>
  <c r="J113" i="76"/>
  <c r="J119" i="21"/>
  <c r="J116" i="55"/>
  <c r="H114" i="67"/>
  <c r="I114" i="67"/>
  <c r="D118" i="54"/>
  <c r="G117" i="54"/>
  <c r="E118" i="54"/>
  <c r="I129" i="35"/>
  <c r="H129" i="35"/>
  <c r="H119" i="3"/>
  <c r="I119" i="3"/>
  <c r="D114" i="83"/>
  <c r="G113" i="83"/>
  <c r="E114" i="83"/>
  <c r="J113" i="75"/>
  <c r="H111" i="87"/>
  <c r="I111" i="87"/>
  <c r="G114" i="75"/>
  <c r="D115" i="75"/>
  <c r="E115" i="75"/>
  <c r="G111" i="13"/>
  <c r="D112" i="13"/>
  <c r="D120" i="42"/>
  <c r="G119" i="42"/>
  <c r="E120" i="42"/>
  <c r="I122" i="28"/>
  <c r="H122" i="28"/>
  <c r="I120" i="17"/>
  <c r="H120" i="17"/>
  <c r="F112" i="96"/>
  <c r="B112" i="96"/>
  <c r="G130" i="35"/>
  <c r="E131" i="35"/>
  <c r="F131" i="35" s="1"/>
  <c r="B131" i="35"/>
  <c r="D112" i="33"/>
  <c r="E112" i="33" s="1"/>
  <c r="G111" i="33"/>
  <c r="H118" i="44"/>
  <c r="I118" i="44"/>
  <c r="F120" i="3"/>
  <c r="B120" i="3"/>
  <c r="B112" i="87"/>
  <c r="F112" i="87"/>
  <c r="H112" i="95"/>
  <c r="I112" i="95"/>
  <c r="F28" i="36"/>
  <c r="H32" i="26" l="1"/>
  <c r="G34" i="99"/>
  <c r="I32" i="25"/>
  <c r="H32" i="98"/>
  <c r="I32" i="98" s="1"/>
  <c r="D37" i="97"/>
  <c r="G36" i="97"/>
  <c r="H36" i="97"/>
  <c r="I33" i="99"/>
  <c r="E35" i="99"/>
  <c r="F35" i="99" s="1"/>
  <c r="B35" i="99"/>
  <c r="D33" i="98"/>
  <c r="E33" i="98"/>
  <c r="H34" i="99"/>
  <c r="G28" i="36"/>
  <c r="G93" i="36" s="1"/>
  <c r="F93" i="36"/>
  <c r="I31" i="26"/>
  <c r="I40" i="3"/>
  <c r="R133" i="1"/>
  <c r="O19" i="1"/>
  <c r="N20" i="1"/>
  <c r="H34" i="90"/>
  <c r="I34" i="90" s="1"/>
  <c r="G36" i="66"/>
  <c r="I36" i="66" s="1"/>
  <c r="I35" i="65"/>
  <c r="B112" i="99"/>
  <c r="F112" i="99"/>
  <c r="H111" i="99"/>
  <c r="I111" i="99"/>
  <c r="J111" i="97"/>
  <c r="G34" i="80"/>
  <c r="I34" i="80" s="1"/>
  <c r="J111" i="98"/>
  <c r="I112" i="26"/>
  <c r="N88" i="26" s="1"/>
  <c r="H112" i="26"/>
  <c r="M88" i="26" s="1"/>
  <c r="D113" i="97"/>
  <c r="E113" i="97" s="1"/>
  <c r="G112" i="97"/>
  <c r="N89" i="26"/>
  <c r="O18" i="2"/>
  <c r="E113" i="26"/>
  <c r="F113" i="26" s="1"/>
  <c r="B113" i="26"/>
  <c r="G112" i="98"/>
  <c r="D113" i="98"/>
  <c r="E113" i="98"/>
  <c r="I34" i="82"/>
  <c r="H34" i="78"/>
  <c r="I34" i="78" s="1"/>
  <c r="H36" i="67"/>
  <c r="I36" i="67" s="1"/>
  <c r="E37" i="67"/>
  <c r="D37" i="67"/>
  <c r="H37" i="46"/>
  <c r="I37" i="46" s="1"/>
  <c r="D38" i="46"/>
  <c r="E38" i="46"/>
  <c r="H41" i="24"/>
  <c r="I41" i="24" s="1"/>
  <c r="D42" i="24"/>
  <c r="E42" i="24"/>
  <c r="G32" i="89"/>
  <c r="I32" i="89" s="1"/>
  <c r="E32" i="93"/>
  <c r="D32" i="93"/>
  <c r="E33" i="25"/>
  <c r="F33" i="25" s="1"/>
  <c r="H31" i="93"/>
  <c r="F34" i="86"/>
  <c r="B34" i="86"/>
  <c r="D33" i="94"/>
  <c r="E33" i="94"/>
  <c r="F35" i="82"/>
  <c r="H35" i="82" s="1"/>
  <c r="B35" i="82"/>
  <c r="H42" i="29"/>
  <c r="I42" i="29" s="1"/>
  <c r="G34" i="76"/>
  <c r="I34" i="76" s="1"/>
  <c r="G31" i="93"/>
  <c r="I33" i="86"/>
  <c r="E35" i="80"/>
  <c r="D35" i="80"/>
  <c r="H32" i="94"/>
  <c r="I32" i="94" s="1"/>
  <c r="H36" i="63"/>
  <c r="I36" i="63" s="1"/>
  <c r="D113" i="94"/>
  <c r="G112" i="94"/>
  <c r="G33" i="91"/>
  <c r="D34" i="91"/>
  <c r="E34" i="91"/>
  <c r="J111" i="94"/>
  <c r="B39" i="55"/>
  <c r="F39" i="55"/>
  <c r="G39" i="55" s="1"/>
  <c r="G42" i="23"/>
  <c r="I42" i="23" s="1"/>
  <c r="D43" i="23"/>
  <c r="E43" i="23"/>
  <c r="F40" i="42"/>
  <c r="G40" i="42" s="1"/>
  <c r="B40" i="42"/>
  <c r="F39" i="58"/>
  <c r="B39" i="58"/>
  <c r="H33" i="91"/>
  <c r="E35" i="90"/>
  <c r="D35" i="90"/>
  <c r="H40" i="41"/>
  <c r="I40" i="41" s="1"/>
  <c r="H40" i="22"/>
  <c r="I40" i="22" s="1"/>
  <c r="I38" i="58"/>
  <c r="B35" i="75"/>
  <c r="F35" i="75"/>
  <c r="H37" i="53"/>
  <c r="I37" i="53" s="1"/>
  <c r="E38" i="53"/>
  <c r="D38" i="53"/>
  <c r="B36" i="65"/>
  <c r="F36" i="65"/>
  <c r="H33" i="84"/>
  <c r="I33" i="84" s="1"/>
  <c r="D34" i="84"/>
  <c r="E34" i="84"/>
  <c r="E37" i="66"/>
  <c r="D37" i="66"/>
  <c r="B34" i="85"/>
  <c r="F34" i="85"/>
  <c r="H36" i="61"/>
  <c r="I36" i="61" s="1"/>
  <c r="D37" i="61"/>
  <c r="E37" i="61"/>
  <c r="H39" i="44"/>
  <c r="I39" i="44" s="1"/>
  <c r="G42" i="27"/>
  <c r="E43" i="27"/>
  <c r="H42" i="27"/>
  <c r="D43" i="27"/>
  <c r="B40" i="39"/>
  <c r="F40" i="39"/>
  <c r="G40" i="39" s="1"/>
  <c r="F32" i="95"/>
  <c r="H32" i="95" s="1"/>
  <c r="B32" i="95"/>
  <c r="H41" i="32"/>
  <c r="I41" i="32" s="1"/>
  <c r="G31" i="96"/>
  <c r="I31" i="96" s="1"/>
  <c r="H33" i="81"/>
  <c r="I33" i="81" s="1"/>
  <c r="E34" i="81"/>
  <c r="D34" i="81"/>
  <c r="E35" i="76"/>
  <c r="D35" i="76"/>
  <c r="E40" i="44"/>
  <c r="D40" i="44"/>
  <c r="B38" i="72"/>
  <c r="F38" i="72"/>
  <c r="H38" i="72" s="1"/>
  <c r="D41" i="22"/>
  <c r="E41" i="22"/>
  <c r="E32" i="96"/>
  <c r="D32" i="96"/>
  <c r="I39" i="20"/>
  <c r="I32" i="26"/>
  <c r="H40" i="17"/>
  <c r="D41" i="17"/>
  <c r="E41" i="17"/>
  <c r="E41" i="21"/>
  <c r="D41" i="21"/>
  <c r="F43" i="31"/>
  <c r="H43" i="31" s="1"/>
  <c r="B43" i="31"/>
  <c r="E35" i="77"/>
  <c r="D35" i="77"/>
  <c r="B41" i="19"/>
  <c r="F41" i="19"/>
  <c r="H41" i="19" s="1"/>
  <c r="B42" i="34"/>
  <c r="F42" i="34"/>
  <c r="I41" i="71"/>
  <c r="E38" i="54"/>
  <c r="D38" i="54"/>
  <c r="H40" i="21"/>
  <c r="H32" i="92"/>
  <c r="I32" i="92" s="1"/>
  <c r="E33" i="92"/>
  <c r="D33" i="92"/>
  <c r="B33" i="83"/>
  <c r="F33" i="83"/>
  <c r="G33" i="83" s="1"/>
  <c r="B42" i="30"/>
  <c r="F42" i="30"/>
  <c r="H42" i="30" s="1"/>
  <c r="F42" i="71"/>
  <c r="B42" i="71"/>
  <c r="D33" i="26"/>
  <c r="E33" i="26" s="1"/>
  <c r="E33" i="89"/>
  <c r="D33" i="89"/>
  <c r="I41" i="30"/>
  <c r="B37" i="64"/>
  <c r="F37" i="64"/>
  <c r="G37" i="64" s="1"/>
  <c r="G34" i="77"/>
  <c r="D41" i="41"/>
  <c r="E41" i="41"/>
  <c r="F34" i="88"/>
  <c r="B34" i="88"/>
  <c r="D43" i="29"/>
  <c r="E43" i="29"/>
  <c r="H39" i="74"/>
  <c r="I39" i="74" s="1"/>
  <c r="E40" i="74"/>
  <c r="D40" i="74"/>
  <c r="D35" i="78"/>
  <c r="E35" i="78"/>
  <c r="F36" i="68"/>
  <c r="B36" i="68"/>
  <c r="B39" i="45"/>
  <c r="F39" i="45"/>
  <c r="D43" i="70"/>
  <c r="E43" i="70"/>
  <c r="E35" i="79"/>
  <c r="D35" i="79"/>
  <c r="B43" i="69"/>
  <c r="F43" i="69"/>
  <c r="B37" i="56"/>
  <c r="F37" i="56"/>
  <c r="G37" i="56" s="1"/>
  <c r="E42" i="32"/>
  <c r="D42" i="32"/>
  <c r="H42" i="70"/>
  <c r="I42" i="70" s="1"/>
  <c r="H34" i="77"/>
  <c r="D37" i="63"/>
  <c r="E37" i="63"/>
  <c r="G40" i="17"/>
  <c r="H39" i="73"/>
  <c r="G39" i="73"/>
  <c r="D40" i="73"/>
  <c r="E40" i="73"/>
  <c r="G37" i="54"/>
  <c r="I37" i="54" s="1"/>
  <c r="H40" i="43"/>
  <c r="I40" i="43" s="1"/>
  <c r="E41" i="43"/>
  <c r="D41" i="43"/>
  <c r="G36" i="60"/>
  <c r="I36" i="60" s="1"/>
  <c r="E37" i="60"/>
  <c r="D37" i="60"/>
  <c r="G40" i="21"/>
  <c r="B44" i="28"/>
  <c r="F44" i="28"/>
  <c r="H34" i="79"/>
  <c r="I34" i="79" s="1"/>
  <c r="B41" i="3"/>
  <c r="F41" i="3"/>
  <c r="G41" i="3" s="1"/>
  <c r="G37" i="57"/>
  <c r="I37" i="57" s="1"/>
  <c r="D38" i="57"/>
  <c r="E38" i="57"/>
  <c r="J121" i="23"/>
  <c r="J121" i="30"/>
  <c r="J120" i="32"/>
  <c r="J111" i="90"/>
  <c r="J129" i="35"/>
  <c r="J119" i="20"/>
  <c r="J117" i="74"/>
  <c r="J118" i="43"/>
  <c r="J118" i="39"/>
  <c r="J115" i="63"/>
  <c r="J121" i="29"/>
  <c r="J121" i="27"/>
  <c r="J113" i="79"/>
  <c r="J121" i="69"/>
  <c r="E37" i="59"/>
  <c r="D37" i="59"/>
  <c r="E42" i="18"/>
  <c r="D42" i="18"/>
  <c r="B32" i="13"/>
  <c r="E49" i="35"/>
  <c r="F49" i="35" s="1"/>
  <c r="B49" i="35"/>
  <c r="H48" i="35"/>
  <c r="G48" i="35"/>
  <c r="F36" i="62"/>
  <c r="B36" i="62"/>
  <c r="B40" i="20"/>
  <c r="F40" i="20"/>
  <c r="G40" i="20" s="1"/>
  <c r="I33" i="33"/>
  <c r="J111" i="88"/>
  <c r="J116" i="53"/>
  <c r="J116" i="72"/>
  <c r="G36" i="59"/>
  <c r="I32" i="87"/>
  <c r="G41" i="18"/>
  <c r="I41" i="18" s="1"/>
  <c r="I47" i="35"/>
  <c r="B34" i="33"/>
  <c r="J120" i="31"/>
  <c r="J115" i="64"/>
  <c r="H36" i="59"/>
  <c r="E32" i="13"/>
  <c r="F32" i="13" s="1"/>
  <c r="B33" i="87"/>
  <c r="F33" i="87"/>
  <c r="G33" i="87" s="1"/>
  <c r="B33" i="26"/>
  <c r="E34" i="33"/>
  <c r="F34" i="33" s="1"/>
  <c r="J112" i="82"/>
  <c r="G113" i="85"/>
  <c r="E114" i="85"/>
  <c r="D114" i="85"/>
  <c r="D123" i="69"/>
  <c r="G122" i="69"/>
  <c r="E123" i="69"/>
  <c r="E116" i="66"/>
  <c r="D116" i="66"/>
  <c r="G115" i="66"/>
  <c r="I118" i="45"/>
  <c r="H118" i="45"/>
  <c r="F113" i="89"/>
  <c r="B113" i="89"/>
  <c r="F117" i="62"/>
  <c r="B117" i="62"/>
  <c r="B114" i="81"/>
  <c r="F114" i="81"/>
  <c r="I119" i="73"/>
  <c r="H119" i="73"/>
  <c r="F113" i="91"/>
  <c r="B113" i="91"/>
  <c r="D117" i="65"/>
  <c r="G116" i="65"/>
  <c r="E117" i="65"/>
  <c r="G121" i="32"/>
  <c r="E122" i="32"/>
  <c r="D122" i="32"/>
  <c r="B121" i="22"/>
  <c r="F121" i="22"/>
  <c r="G119" i="39"/>
  <c r="D120" i="39"/>
  <c r="E120" i="39"/>
  <c r="G122" i="30"/>
  <c r="E123" i="30"/>
  <c r="D123" i="30"/>
  <c r="E121" i="20"/>
  <c r="D121" i="20"/>
  <c r="G120" i="20"/>
  <c r="J116" i="58"/>
  <c r="J115" i="65"/>
  <c r="D119" i="74"/>
  <c r="G118" i="74"/>
  <c r="E119" i="74"/>
  <c r="E118" i="72"/>
  <c r="D118" i="72"/>
  <c r="G117" i="72"/>
  <c r="D113" i="86"/>
  <c r="E113" i="86"/>
  <c r="G112" i="86"/>
  <c r="D113" i="88"/>
  <c r="G112" i="88"/>
  <c r="E113" i="88"/>
  <c r="J113" i="78"/>
  <c r="H116" i="62"/>
  <c r="I116" i="62"/>
  <c r="J114" i="68"/>
  <c r="G121" i="31"/>
  <c r="E122" i="31"/>
  <c r="D122" i="31"/>
  <c r="E123" i="27"/>
  <c r="D123" i="27"/>
  <c r="G122" i="27"/>
  <c r="E115" i="79"/>
  <c r="D115" i="79"/>
  <c r="G114" i="79"/>
  <c r="E123" i="70"/>
  <c r="G122" i="70"/>
  <c r="D123" i="70"/>
  <c r="G116" i="61"/>
  <c r="D117" i="61"/>
  <c r="E117" i="61"/>
  <c r="E113" i="84"/>
  <c r="D113" i="84"/>
  <c r="G112" i="84"/>
  <c r="D117" i="64"/>
  <c r="G116" i="64"/>
  <c r="E117" i="64"/>
  <c r="J112" i="85"/>
  <c r="J116" i="46"/>
  <c r="E123" i="29"/>
  <c r="G122" i="29"/>
  <c r="D123" i="29"/>
  <c r="B120" i="41"/>
  <c r="F120" i="41"/>
  <c r="G116" i="60"/>
  <c r="D117" i="60"/>
  <c r="E117" i="60"/>
  <c r="G115" i="68"/>
  <c r="E116" i="68"/>
  <c r="D116" i="68"/>
  <c r="G117" i="46"/>
  <c r="E118" i="46"/>
  <c r="D118" i="46"/>
  <c r="J115" i="61"/>
  <c r="D113" i="92"/>
  <c r="E113" i="92"/>
  <c r="G112" i="92"/>
  <c r="J121" i="70"/>
  <c r="J119" i="19"/>
  <c r="D120" i="43"/>
  <c r="E120" i="43"/>
  <c r="G119" i="43"/>
  <c r="H113" i="81"/>
  <c r="I113" i="81"/>
  <c r="J115" i="60"/>
  <c r="J119" i="34"/>
  <c r="I120" i="22"/>
  <c r="H120" i="22"/>
  <c r="D115" i="78"/>
  <c r="E115" i="78"/>
  <c r="G114" i="78"/>
  <c r="D113" i="90"/>
  <c r="G112" i="90"/>
  <c r="E113" i="90"/>
  <c r="J114" i="66"/>
  <c r="G120" i="19"/>
  <c r="D121" i="19"/>
  <c r="E121" i="19"/>
  <c r="I119" i="41"/>
  <c r="H119" i="41"/>
  <c r="E118" i="53"/>
  <c r="G117" i="53"/>
  <c r="D118" i="53"/>
  <c r="G120" i="34"/>
  <c r="D121" i="34"/>
  <c r="E121" i="34"/>
  <c r="E118" i="58"/>
  <c r="D118" i="58"/>
  <c r="G117" i="58"/>
  <c r="B119" i="45"/>
  <c r="F119" i="45"/>
  <c r="H112" i="89"/>
  <c r="I112" i="89"/>
  <c r="J111" i="86"/>
  <c r="J111" i="92"/>
  <c r="J111" i="84"/>
  <c r="B120" i="73"/>
  <c r="F120" i="73"/>
  <c r="I112" i="91"/>
  <c r="H112" i="91"/>
  <c r="G116" i="63"/>
  <c r="E117" i="63"/>
  <c r="D117" i="63"/>
  <c r="J112" i="95"/>
  <c r="J116" i="59"/>
  <c r="I118" i="56"/>
  <c r="H118" i="56"/>
  <c r="D118" i="59"/>
  <c r="E118" i="59"/>
  <c r="G117" i="59"/>
  <c r="G122" i="23"/>
  <c r="E123" i="23"/>
  <c r="D123" i="23"/>
  <c r="D122" i="18"/>
  <c r="G121" i="18"/>
  <c r="E122" i="18"/>
  <c r="J114" i="67"/>
  <c r="J120" i="18"/>
  <c r="F119" i="56"/>
  <c r="B119" i="56"/>
  <c r="G118" i="57"/>
  <c r="E119" i="57"/>
  <c r="D119" i="57"/>
  <c r="J121" i="71"/>
  <c r="G122" i="71"/>
  <c r="E123" i="71"/>
  <c r="D123" i="71"/>
  <c r="J117" i="57"/>
  <c r="G113" i="95"/>
  <c r="D114" i="95"/>
  <c r="E114" i="95" s="1"/>
  <c r="J118" i="44"/>
  <c r="H130" i="35"/>
  <c r="I130" i="35"/>
  <c r="G112" i="96"/>
  <c r="D113" i="96"/>
  <c r="E113" i="96" s="1"/>
  <c r="J120" i="17"/>
  <c r="B120" i="42"/>
  <c r="F120" i="42"/>
  <c r="B115" i="75"/>
  <c r="F115" i="75"/>
  <c r="H113" i="83"/>
  <c r="I113" i="83"/>
  <c r="H121" i="24"/>
  <c r="I121" i="24"/>
  <c r="F113" i="93"/>
  <c r="B113" i="93"/>
  <c r="B114" i="80"/>
  <c r="F114" i="80"/>
  <c r="F118" i="55"/>
  <c r="B118" i="55"/>
  <c r="G119" i="44"/>
  <c r="D120" i="44"/>
  <c r="E120" i="44"/>
  <c r="I114" i="76"/>
  <c r="H114" i="76"/>
  <c r="B112" i="13"/>
  <c r="H114" i="75"/>
  <c r="I114" i="75"/>
  <c r="F114" i="83"/>
  <c r="B114" i="83"/>
  <c r="H117" i="54"/>
  <c r="I117" i="54"/>
  <c r="F122" i="24"/>
  <c r="B122" i="24"/>
  <c r="H113" i="80"/>
  <c r="I113" i="80"/>
  <c r="B121" i="21"/>
  <c r="F121" i="21"/>
  <c r="G121" i="17"/>
  <c r="E122" i="17"/>
  <c r="D122" i="17"/>
  <c r="D124" i="28"/>
  <c r="G123" i="28"/>
  <c r="E124" i="28"/>
  <c r="I112" i="25"/>
  <c r="H112" i="25"/>
  <c r="B115" i="76"/>
  <c r="F115" i="76"/>
  <c r="I111" i="33"/>
  <c r="H111" i="33"/>
  <c r="D113" i="87"/>
  <c r="G112" i="87"/>
  <c r="E113" i="87"/>
  <c r="F112" i="33"/>
  <c r="B112" i="33"/>
  <c r="J122" i="28"/>
  <c r="E112" i="13"/>
  <c r="F112" i="13" s="1"/>
  <c r="J111" i="87"/>
  <c r="J119" i="3"/>
  <c r="B118" i="54"/>
  <c r="F118" i="54"/>
  <c r="I112" i="93"/>
  <c r="H112" i="93"/>
  <c r="H117" i="55"/>
  <c r="I117" i="55"/>
  <c r="I120" i="21"/>
  <c r="H120" i="21"/>
  <c r="F115" i="77"/>
  <c r="B115" i="77"/>
  <c r="J111" i="96"/>
  <c r="D121" i="3"/>
  <c r="G120" i="3"/>
  <c r="E121" i="3"/>
  <c r="B132" i="35"/>
  <c r="E132" i="35"/>
  <c r="F132" i="35" s="1"/>
  <c r="G131" i="35"/>
  <c r="H119" i="42"/>
  <c r="I119" i="42"/>
  <c r="H111" i="13"/>
  <c r="I111" i="13"/>
  <c r="G113" i="82"/>
  <c r="D114" i="82"/>
  <c r="E114" i="82"/>
  <c r="G115" i="67"/>
  <c r="D116" i="67"/>
  <c r="E116" i="67"/>
  <c r="I114" i="77"/>
  <c r="H114" i="77"/>
  <c r="B113" i="25"/>
  <c r="F113" i="25"/>
  <c r="F33" i="26" l="1"/>
  <c r="G33" i="26" s="1"/>
  <c r="I34" i="99"/>
  <c r="I36" i="97"/>
  <c r="D36" i="99"/>
  <c r="E36" i="99"/>
  <c r="H35" i="99"/>
  <c r="G35" i="99"/>
  <c r="F33" i="98"/>
  <c r="H33" i="98" s="1"/>
  <c r="B33" i="98"/>
  <c r="E37" i="97"/>
  <c r="F37" i="97" s="1"/>
  <c r="D38" i="97" s="1"/>
  <c r="B37" i="97"/>
  <c r="O20" i="1"/>
  <c r="R134" i="1"/>
  <c r="J111" i="99"/>
  <c r="O88" i="26"/>
  <c r="O89" i="26" s="1"/>
  <c r="M89" i="26"/>
  <c r="N18" i="2"/>
  <c r="G42" i="30"/>
  <c r="I42" i="30" s="1"/>
  <c r="D113" i="99"/>
  <c r="G112" i="99"/>
  <c r="E113" i="99"/>
  <c r="J112" i="26"/>
  <c r="F113" i="98"/>
  <c r="B113" i="98"/>
  <c r="H112" i="97"/>
  <c r="I112" i="97"/>
  <c r="H112" i="98"/>
  <c r="I112" i="98"/>
  <c r="R135" i="2"/>
  <c r="O19" i="2"/>
  <c r="B113" i="97"/>
  <c r="F113" i="97"/>
  <c r="D114" i="26"/>
  <c r="G113" i="26"/>
  <c r="H33" i="83"/>
  <c r="I33" i="83" s="1"/>
  <c r="I34" i="77"/>
  <c r="F37" i="67"/>
  <c r="H37" i="67" s="1"/>
  <c r="B37" i="67"/>
  <c r="B38" i="46"/>
  <c r="F38" i="46"/>
  <c r="H38" i="46" s="1"/>
  <c r="B42" i="24"/>
  <c r="F42" i="24"/>
  <c r="H42" i="24" s="1"/>
  <c r="F35" i="80"/>
  <c r="B35" i="80"/>
  <c r="F32" i="93"/>
  <c r="H32" i="93" s="1"/>
  <c r="B32" i="93"/>
  <c r="H33" i="26"/>
  <c r="H37" i="56"/>
  <c r="D36" i="82"/>
  <c r="E36" i="82"/>
  <c r="H34" i="86"/>
  <c r="D35" i="86"/>
  <c r="G34" i="86"/>
  <c r="E35" i="86"/>
  <c r="G35" i="82"/>
  <c r="I35" i="82" s="1"/>
  <c r="I31" i="93"/>
  <c r="G38" i="72"/>
  <c r="I38" i="72" s="1"/>
  <c r="F33" i="94"/>
  <c r="H33" i="94" s="1"/>
  <c r="B33" i="94"/>
  <c r="G33" i="25"/>
  <c r="D34" i="25"/>
  <c r="H33" i="25"/>
  <c r="B34" i="84"/>
  <c r="F34" i="84"/>
  <c r="H34" i="84" s="1"/>
  <c r="H35" i="75"/>
  <c r="E36" i="75"/>
  <c r="D36" i="75"/>
  <c r="H39" i="58"/>
  <c r="D40" i="58"/>
  <c r="E40" i="58"/>
  <c r="I112" i="94"/>
  <c r="H112" i="94"/>
  <c r="F35" i="90"/>
  <c r="G35" i="90" s="1"/>
  <c r="B35" i="90"/>
  <c r="F37" i="66"/>
  <c r="H37" i="66" s="1"/>
  <c r="B37" i="66"/>
  <c r="B38" i="53"/>
  <c r="F38" i="53"/>
  <c r="I33" i="91"/>
  <c r="D41" i="42"/>
  <c r="E41" i="42"/>
  <c r="E113" i="94"/>
  <c r="F113" i="94" s="1"/>
  <c r="B113" i="94"/>
  <c r="H36" i="65"/>
  <c r="E37" i="65"/>
  <c r="D37" i="65"/>
  <c r="F43" i="23"/>
  <c r="B43" i="23"/>
  <c r="I42" i="27"/>
  <c r="G36" i="65"/>
  <c r="G35" i="75"/>
  <c r="G39" i="58"/>
  <c r="H40" i="42"/>
  <c r="I40" i="42" s="1"/>
  <c r="H39" i="55"/>
  <c r="I39" i="55" s="1"/>
  <c r="D40" i="55"/>
  <c r="E40" i="55"/>
  <c r="F34" i="91"/>
  <c r="B34" i="91"/>
  <c r="I39" i="73"/>
  <c r="H37" i="64"/>
  <c r="G41" i="19"/>
  <c r="I41" i="19" s="1"/>
  <c r="B43" i="27"/>
  <c r="F43" i="27"/>
  <c r="D35" i="85"/>
  <c r="E35" i="85"/>
  <c r="H40" i="20"/>
  <c r="I40" i="20" s="1"/>
  <c r="F32" i="96"/>
  <c r="B32" i="96"/>
  <c r="F34" i="81"/>
  <c r="H34" i="81" s="1"/>
  <c r="B34" i="81"/>
  <c r="D39" i="72"/>
  <c r="E39" i="72"/>
  <c r="H40" i="39"/>
  <c r="I40" i="39" s="1"/>
  <c r="D41" i="39"/>
  <c r="E41" i="39"/>
  <c r="F37" i="61"/>
  <c r="H37" i="61" s="1"/>
  <c r="B37" i="61"/>
  <c r="H34" i="85"/>
  <c r="F41" i="22"/>
  <c r="H41" i="22" s="1"/>
  <c r="B41" i="22"/>
  <c r="F40" i="44"/>
  <c r="H40" i="44" s="1"/>
  <c r="B40" i="44"/>
  <c r="B35" i="76"/>
  <c r="F35" i="76"/>
  <c r="G35" i="76" s="1"/>
  <c r="G32" i="95"/>
  <c r="I32" i="95" s="1"/>
  <c r="D33" i="95"/>
  <c r="E33" i="95"/>
  <c r="G34" i="85"/>
  <c r="I36" i="59"/>
  <c r="H44" i="28"/>
  <c r="E45" i="28"/>
  <c r="D45" i="28"/>
  <c r="F37" i="63"/>
  <c r="G37" i="63" s="1"/>
  <c r="B37" i="63"/>
  <c r="F42" i="32"/>
  <c r="H42" i="32" s="1"/>
  <c r="B42" i="32"/>
  <c r="D44" i="69"/>
  <c r="E44" i="69"/>
  <c r="E40" i="45"/>
  <c r="D40" i="45"/>
  <c r="H34" i="88"/>
  <c r="E35" i="88"/>
  <c r="D35" i="88"/>
  <c r="B38" i="54"/>
  <c r="F38" i="54"/>
  <c r="G38" i="54" s="1"/>
  <c r="F41" i="21"/>
  <c r="G41" i="21" s="1"/>
  <c r="B41" i="21"/>
  <c r="F41" i="17"/>
  <c r="G41" i="17" s="1"/>
  <c r="B41" i="17"/>
  <c r="C50" i="17"/>
  <c r="I33" i="26"/>
  <c r="F38" i="57"/>
  <c r="G38" i="57" s="1"/>
  <c r="B38" i="57"/>
  <c r="D42" i="3"/>
  <c r="E42" i="3"/>
  <c r="E37" i="68"/>
  <c r="D37" i="68"/>
  <c r="B35" i="78"/>
  <c r="F35" i="78"/>
  <c r="G35" i="78" s="1"/>
  <c r="I37" i="64"/>
  <c r="B33" i="89"/>
  <c r="F33" i="89"/>
  <c r="H33" i="89" s="1"/>
  <c r="D43" i="71"/>
  <c r="E43" i="71"/>
  <c r="I40" i="21"/>
  <c r="B35" i="77"/>
  <c r="F35" i="77"/>
  <c r="G35" i="77" s="1"/>
  <c r="I40" i="17"/>
  <c r="H33" i="87"/>
  <c r="I33" i="87" s="1"/>
  <c r="F41" i="43"/>
  <c r="H41" i="43" s="1"/>
  <c r="B41" i="43"/>
  <c r="I37" i="56"/>
  <c r="H43" i="69"/>
  <c r="B35" i="79"/>
  <c r="F35" i="79"/>
  <c r="G39" i="45"/>
  <c r="G36" i="68"/>
  <c r="B40" i="74"/>
  <c r="F40" i="74"/>
  <c r="G40" i="74" s="1"/>
  <c r="F43" i="29"/>
  <c r="H43" i="29" s="1"/>
  <c r="B43" i="29"/>
  <c r="G34" i="88"/>
  <c r="B41" i="41"/>
  <c r="F41" i="41"/>
  <c r="G41" i="41" s="1"/>
  <c r="E38" i="64"/>
  <c r="D38" i="64"/>
  <c r="H42" i="71"/>
  <c r="F33" i="92"/>
  <c r="B33" i="92"/>
  <c r="E42" i="19"/>
  <c r="D42" i="19"/>
  <c r="E44" i="31"/>
  <c r="D44" i="31"/>
  <c r="I48" i="35"/>
  <c r="H41" i="3"/>
  <c r="I41" i="3" s="1"/>
  <c r="G44" i="28"/>
  <c r="F37" i="60"/>
  <c r="B37" i="60"/>
  <c r="B40" i="73"/>
  <c r="F40" i="73"/>
  <c r="G40" i="73" s="1"/>
  <c r="D38" i="56"/>
  <c r="E38" i="56"/>
  <c r="G43" i="69"/>
  <c r="F43" i="70"/>
  <c r="B43" i="70"/>
  <c r="H39" i="45"/>
  <c r="H36" i="68"/>
  <c r="G42" i="71"/>
  <c r="E43" i="30"/>
  <c r="D43" i="30"/>
  <c r="E34" i="83"/>
  <c r="D34" i="83"/>
  <c r="G42" i="34"/>
  <c r="D43" i="34"/>
  <c r="H42" i="34"/>
  <c r="E43" i="34"/>
  <c r="G43" i="31"/>
  <c r="I43" i="31" s="1"/>
  <c r="D35" i="33"/>
  <c r="H34" i="33"/>
  <c r="G34" i="33"/>
  <c r="D33" i="13"/>
  <c r="H32" i="13"/>
  <c r="G32" i="13"/>
  <c r="E37" i="62"/>
  <c r="D37" i="62"/>
  <c r="B37" i="59"/>
  <c r="F37" i="59"/>
  <c r="H37" i="59" s="1"/>
  <c r="H36" i="62"/>
  <c r="G36" i="62"/>
  <c r="G49" i="35"/>
  <c r="H49" i="35"/>
  <c r="E50" i="35"/>
  <c r="F50" i="35" s="1"/>
  <c r="B50" i="35"/>
  <c r="F42" i="18"/>
  <c r="H42" i="18" s="1"/>
  <c r="B42" i="18"/>
  <c r="J112" i="91"/>
  <c r="J119" i="41"/>
  <c r="J120" i="22"/>
  <c r="J116" i="62"/>
  <c r="D34" i="26"/>
  <c r="D34" i="87"/>
  <c r="E34" i="87"/>
  <c r="E41" i="20"/>
  <c r="D41" i="20"/>
  <c r="J112" i="25"/>
  <c r="J114" i="76"/>
  <c r="H116" i="63"/>
  <c r="I116" i="63"/>
  <c r="J112" i="89"/>
  <c r="I117" i="58"/>
  <c r="H117" i="58"/>
  <c r="B121" i="34"/>
  <c r="F121" i="34"/>
  <c r="F121" i="19"/>
  <c r="B121" i="19"/>
  <c r="I112" i="90"/>
  <c r="H112" i="90"/>
  <c r="B115" i="78"/>
  <c r="F115" i="78"/>
  <c r="H112" i="92"/>
  <c r="I112" i="92"/>
  <c r="B118" i="46"/>
  <c r="F118" i="46"/>
  <c r="I116" i="60"/>
  <c r="H116" i="60"/>
  <c r="H122" i="29"/>
  <c r="I122" i="29"/>
  <c r="F113" i="84"/>
  <c r="B113" i="84"/>
  <c r="I116" i="61"/>
  <c r="H116" i="61"/>
  <c r="I114" i="79"/>
  <c r="H114" i="79"/>
  <c r="B123" i="27"/>
  <c r="F123" i="27"/>
  <c r="H121" i="31"/>
  <c r="I121" i="31"/>
  <c r="H112" i="86"/>
  <c r="I112" i="86"/>
  <c r="F118" i="72"/>
  <c r="B118" i="72"/>
  <c r="B119" i="74"/>
  <c r="F119" i="74"/>
  <c r="F121" i="20"/>
  <c r="B121" i="20"/>
  <c r="H122" i="30"/>
  <c r="I122" i="30"/>
  <c r="E122" i="22"/>
  <c r="G121" i="22"/>
  <c r="D122" i="22"/>
  <c r="H121" i="32"/>
  <c r="I121" i="32"/>
  <c r="G114" i="81"/>
  <c r="D115" i="81"/>
  <c r="E115" i="81"/>
  <c r="H115" i="66"/>
  <c r="I115" i="66"/>
  <c r="I122" i="69"/>
  <c r="H122" i="69"/>
  <c r="H113" i="85"/>
  <c r="I113" i="85"/>
  <c r="B118" i="58"/>
  <c r="F118" i="58"/>
  <c r="I120" i="34"/>
  <c r="H120" i="34"/>
  <c r="I120" i="19"/>
  <c r="H120" i="19"/>
  <c r="B113" i="90"/>
  <c r="F113" i="90"/>
  <c r="J113" i="81"/>
  <c r="F120" i="43"/>
  <c r="B120" i="43"/>
  <c r="H115" i="68"/>
  <c r="I115" i="68"/>
  <c r="E121" i="41"/>
  <c r="G120" i="41"/>
  <c r="D121" i="41"/>
  <c r="I116" i="64"/>
  <c r="H116" i="64"/>
  <c r="B123" i="70"/>
  <c r="F123" i="70"/>
  <c r="F115" i="79"/>
  <c r="B115" i="79"/>
  <c r="G113" i="91"/>
  <c r="E114" i="91"/>
  <c r="D114" i="91"/>
  <c r="G113" i="89"/>
  <c r="D114" i="89"/>
  <c r="E114" i="89"/>
  <c r="F116" i="66"/>
  <c r="B116" i="66"/>
  <c r="F123" i="69"/>
  <c r="B123" i="69"/>
  <c r="F117" i="63"/>
  <c r="B117" i="63"/>
  <c r="G119" i="45"/>
  <c r="D120" i="45"/>
  <c r="E120" i="45"/>
  <c r="B118" i="53"/>
  <c r="F118" i="53"/>
  <c r="I114" i="78"/>
  <c r="H114" i="78"/>
  <c r="F113" i="92"/>
  <c r="B113" i="92"/>
  <c r="I117" i="46"/>
  <c r="H117" i="46"/>
  <c r="F117" i="64"/>
  <c r="B117" i="64"/>
  <c r="H122" i="70"/>
  <c r="I122" i="70"/>
  <c r="F122" i="31"/>
  <c r="B122" i="31"/>
  <c r="H112" i="88"/>
  <c r="I112" i="88"/>
  <c r="B113" i="86"/>
  <c r="F113" i="86"/>
  <c r="F123" i="30"/>
  <c r="B123" i="30"/>
  <c r="F120" i="39"/>
  <c r="B120" i="39"/>
  <c r="F122" i="32"/>
  <c r="B122" i="32"/>
  <c r="I116" i="65"/>
  <c r="H116" i="65"/>
  <c r="F114" i="85"/>
  <c r="B114" i="85"/>
  <c r="E121" i="73"/>
  <c r="G120" i="73"/>
  <c r="D121" i="73"/>
  <c r="H117" i="53"/>
  <c r="I117" i="53"/>
  <c r="I119" i="43"/>
  <c r="H119" i="43"/>
  <c r="F116" i="68"/>
  <c r="B116" i="68"/>
  <c r="F117" i="60"/>
  <c r="B117" i="60"/>
  <c r="B123" i="29"/>
  <c r="F123" i="29"/>
  <c r="H112" i="84"/>
  <c r="I112" i="84"/>
  <c r="B117" i="61"/>
  <c r="F117" i="61"/>
  <c r="H122" i="27"/>
  <c r="I122" i="27"/>
  <c r="B113" i="88"/>
  <c r="F113" i="88"/>
  <c r="H117" i="72"/>
  <c r="I117" i="72"/>
  <c r="H118" i="74"/>
  <c r="I118" i="74"/>
  <c r="H120" i="20"/>
  <c r="I120" i="20"/>
  <c r="H119" i="39"/>
  <c r="I119" i="39"/>
  <c r="B117" i="65"/>
  <c r="F117" i="65"/>
  <c r="J119" i="73"/>
  <c r="D118" i="62"/>
  <c r="G117" i="62"/>
  <c r="E118" i="62"/>
  <c r="J118" i="45"/>
  <c r="J130" i="35"/>
  <c r="F123" i="23"/>
  <c r="B123" i="23"/>
  <c r="H117" i="59"/>
  <c r="I117" i="59"/>
  <c r="J118" i="56"/>
  <c r="I121" i="18"/>
  <c r="H121" i="18"/>
  <c r="J121" i="24"/>
  <c r="J113" i="83"/>
  <c r="D120" i="56"/>
  <c r="G119" i="56"/>
  <c r="E120" i="56"/>
  <c r="F122" i="18"/>
  <c r="B122" i="18"/>
  <c r="H122" i="23"/>
  <c r="I122" i="23"/>
  <c r="B118" i="59"/>
  <c r="F118" i="59"/>
  <c r="H122" i="71"/>
  <c r="I122" i="71"/>
  <c r="J120" i="21"/>
  <c r="F119" i="57"/>
  <c r="B119" i="57"/>
  <c r="J112" i="93"/>
  <c r="J119" i="42"/>
  <c r="J117" i="55"/>
  <c r="B123" i="71"/>
  <c r="F123" i="71"/>
  <c r="I118" i="57"/>
  <c r="H118" i="57"/>
  <c r="D113" i="13"/>
  <c r="E113" i="13" s="1"/>
  <c r="G112" i="13"/>
  <c r="G113" i="25"/>
  <c r="D114" i="25"/>
  <c r="E114" i="25" s="1"/>
  <c r="F114" i="82"/>
  <c r="B114" i="82"/>
  <c r="E133" i="35"/>
  <c r="F133" i="35" s="1"/>
  <c r="G132" i="35"/>
  <c r="B133" i="35"/>
  <c r="G112" i="33"/>
  <c r="D113" i="33"/>
  <c r="E113" i="33" s="1"/>
  <c r="G121" i="21"/>
  <c r="D122" i="21"/>
  <c r="E122" i="21"/>
  <c r="B120" i="44"/>
  <c r="F120" i="44"/>
  <c r="D116" i="75"/>
  <c r="E116" i="75"/>
  <c r="G115" i="75"/>
  <c r="F113" i="96"/>
  <c r="B113" i="96"/>
  <c r="H113" i="82"/>
  <c r="I113" i="82"/>
  <c r="I120" i="3"/>
  <c r="H120" i="3"/>
  <c r="H123" i="28"/>
  <c r="I123" i="28"/>
  <c r="F122" i="17"/>
  <c r="B122" i="17"/>
  <c r="G122" i="24"/>
  <c r="D123" i="24"/>
  <c r="E123" i="24"/>
  <c r="H119" i="44"/>
  <c r="I119" i="44"/>
  <c r="G113" i="93"/>
  <c r="D114" i="93"/>
  <c r="E114" i="93" s="1"/>
  <c r="H112" i="96"/>
  <c r="I112" i="96"/>
  <c r="F116" i="67"/>
  <c r="B116" i="67"/>
  <c r="B121" i="3"/>
  <c r="F121" i="3"/>
  <c r="I112" i="87"/>
  <c r="H112" i="87"/>
  <c r="J111" i="33"/>
  <c r="F124" i="28"/>
  <c r="B124" i="28"/>
  <c r="J117" i="54"/>
  <c r="D115" i="83"/>
  <c r="E115" i="83"/>
  <c r="G114" i="83"/>
  <c r="E115" i="80"/>
  <c r="D115" i="80"/>
  <c r="G114" i="80"/>
  <c r="D121" i="42"/>
  <c r="G120" i="42"/>
  <c r="E121" i="42"/>
  <c r="B114" i="95"/>
  <c r="F114" i="95"/>
  <c r="J114" i="77"/>
  <c r="I115" i="67"/>
  <c r="H115" i="67"/>
  <c r="J111" i="13"/>
  <c r="H131" i="35"/>
  <c r="I131" i="35"/>
  <c r="D116" i="77"/>
  <c r="E116" i="77"/>
  <c r="G115" i="77"/>
  <c r="G118" i="54"/>
  <c r="E119" i="54"/>
  <c r="D119" i="54"/>
  <c r="F113" i="87"/>
  <c r="B113" i="87"/>
  <c r="G115" i="76"/>
  <c r="E116" i="76"/>
  <c r="D116" i="76"/>
  <c r="H121" i="17"/>
  <c r="I121" i="17"/>
  <c r="J113" i="80"/>
  <c r="J114" i="75"/>
  <c r="D119" i="55"/>
  <c r="G118" i="55"/>
  <c r="E119" i="55"/>
  <c r="H113" i="95"/>
  <c r="I113" i="95"/>
  <c r="I28" i="36"/>
  <c r="G33" i="98" l="1"/>
  <c r="I33" i="98"/>
  <c r="G37" i="97"/>
  <c r="I33" i="25"/>
  <c r="E38" i="97"/>
  <c r="F38" i="97" s="1"/>
  <c r="D39" i="97" s="1"/>
  <c r="B38" i="97"/>
  <c r="I35" i="99"/>
  <c r="H37" i="97"/>
  <c r="I37" i="97" s="1"/>
  <c r="D34" i="98"/>
  <c r="E34" i="98"/>
  <c r="F36" i="99"/>
  <c r="B36" i="99"/>
  <c r="I93" i="36"/>
  <c r="R134" i="2"/>
  <c r="N19" i="2"/>
  <c r="N20" i="2" s="1"/>
  <c r="P18" i="2"/>
  <c r="P19" i="2" s="1"/>
  <c r="P20" i="2" s="1"/>
  <c r="I112" i="99"/>
  <c r="H112" i="99"/>
  <c r="B113" i="99"/>
  <c r="F113" i="99"/>
  <c r="J112" i="97"/>
  <c r="I34" i="86"/>
  <c r="J112" i="98"/>
  <c r="E114" i="26"/>
  <c r="F114" i="26" s="1"/>
  <c r="B114" i="26"/>
  <c r="G113" i="97"/>
  <c r="D114" i="97"/>
  <c r="E114" i="97"/>
  <c r="I113" i="26"/>
  <c r="H113" i="26"/>
  <c r="D114" i="98"/>
  <c r="G113" i="98"/>
  <c r="E114" i="98"/>
  <c r="H35" i="90"/>
  <c r="I35" i="90" s="1"/>
  <c r="G33" i="94"/>
  <c r="I33" i="94" s="1"/>
  <c r="G34" i="84"/>
  <c r="I34" i="84" s="1"/>
  <c r="G37" i="67"/>
  <c r="I37" i="67" s="1"/>
  <c r="E38" i="67"/>
  <c r="D38" i="67"/>
  <c r="G37" i="66"/>
  <c r="I37" i="66" s="1"/>
  <c r="G38" i="46"/>
  <c r="I38" i="46" s="1"/>
  <c r="E39" i="46"/>
  <c r="D39" i="46"/>
  <c r="I39" i="45"/>
  <c r="G42" i="24"/>
  <c r="I42" i="24" s="1"/>
  <c r="E43" i="24"/>
  <c r="D43" i="24"/>
  <c r="G41" i="22"/>
  <c r="I41" i="22" s="1"/>
  <c r="I36" i="65"/>
  <c r="H41" i="17"/>
  <c r="I41" i="17" s="1"/>
  <c r="I39" i="58"/>
  <c r="B36" i="82"/>
  <c r="F36" i="82"/>
  <c r="D36" i="80"/>
  <c r="E36" i="80"/>
  <c r="B34" i="25"/>
  <c r="E34" i="25"/>
  <c r="F34" i="25" s="1"/>
  <c r="B35" i="86"/>
  <c r="F35" i="86"/>
  <c r="G32" i="93"/>
  <c r="I32" i="93" s="1"/>
  <c r="D33" i="93"/>
  <c r="E33" i="93"/>
  <c r="H35" i="80"/>
  <c r="G42" i="18"/>
  <c r="I42" i="18" s="1"/>
  <c r="G41" i="43"/>
  <c r="I41" i="43" s="1"/>
  <c r="D34" i="94"/>
  <c r="E34" i="94"/>
  <c r="G35" i="80"/>
  <c r="G113" i="94"/>
  <c r="D114" i="94"/>
  <c r="B114" i="94" s="1"/>
  <c r="H41" i="21"/>
  <c r="I41" i="21" s="1"/>
  <c r="H38" i="53"/>
  <c r="E39" i="53"/>
  <c r="D39" i="53"/>
  <c r="J112" i="94"/>
  <c r="F36" i="75"/>
  <c r="G36" i="75" s="1"/>
  <c r="B36" i="75"/>
  <c r="D35" i="91"/>
  <c r="H34" i="91"/>
  <c r="E35" i="91"/>
  <c r="G34" i="91"/>
  <c r="B40" i="55"/>
  <c r="F40" i="55"/>
  <c r="G40" i="55" s="1"/>
  <c r="G43" i="23"/>
  <c r="D44" i="23"/>
  <c r="E44" i="23"/>
  <c r="H43" i="23"/>
  <c r="D38" i="66"/>
  <c r="E38" i="66"/>
  <c r="E35" i="84"/>
  <c r="D35" i="84"/>
  <c r="G37" i="59"/>
  <c r="I37" i="59" s="1"/>
  <c r="B37" i="65"/>
  <c r="F37" i="65"/>
  <c r="F41" i="42"/>
  <c r="B41" i="42"/>
  <c r="G38" i="53"/>
  <c r="D36" i="90"/>
  <c r="E36" i="90"/>
  <c r="F40" i="58"/>
  <c r="B40" i="58"/>
  <c r="I35" i="75"/>
  <c r="B39" i="72"/>
  <c r="F39" i="72"/>
  <c r="G39" i="72" s="1"/>
  <c r="H32" i="96"/>
  <c r="D33" i="96"/>
  <c r="E33" i="96"/>
  <c r="B35" i="85"/>
  <c r="F35" i="85"/>
  <c r="G35" i="85" s="1"/>
  <c r="G43" i="29"/>
  <c r="I43" i="29" s="1"/>
  <c r="G37" i="61"/>
  <c r="I37" i="61" s="1"/>
  <c r="B41" i="39"/>
  <c r="F41" i="39"/>
  <c r="G41" i="39" s="1"/>
  <c r="G43" i="27"/>
  <c r="D44" i="27"/>
  <c r="E44" i="27"/>
  <c r="H43" i="27"/>
  <c r="H35" i="76"/>
  <c r="I35" i="76" s="1"/>
  <c r="D36" i="76"/>
  <c r="E36" i="76"/>
  <c r="G40" i="44"/>
  <c r="I40" i="44" s="1"/>
  <c r="D41" i="44"/>
  <c r="E41" i="44"/>
  <c r="D42" i="22"/>
  <c r="E42" i="22"/>
  <c r="G34" i="81"/>
  <c r="I34" i="81" s="1"/>
  <c r="E35" i="81"/>
  <c r="D35" i="81"/>
  <c r="F33" i="95"/>
  <c r="H33" i="95" s="1"/>
  <c r="B33" i="95"/>
  <c r="I34" i="85"/>
  <c r="D38" i="61"/>
  <c r="E38" i="61"/>
  <c r="G32" i="96"/>
  <c r="I44" i="28"/>
  <c r="I36" i="68"/>
  <c r="B43" i="34"/>
  <c r="F43" i="34"/>
  <c r="H43" i="34" s="1"/>
  <c r="F43" i="30"/>
  <c r="H43" i="30" s="1"/>
  <c r="B43" i="30"/>
  <c r="B38" i="56"/>
  <c r="F38" i="56"/>
  <c r="H38" i="56" s="1"/>
  <c r="F42" i="19"/>
  <c r="G42" i="19" s="1"/>
  <c r="B42" i="19"/>
  <c r="I42" i="71"/>
  <c r="H41" i="41"/>
  <c r="I41" i="41" s="1"/>
  <c r="E42" i="41"/>
  <c r="D42" i="41"/>
  <c r="H40" i="74"/>
  <c r="I40" i="74" s="1"/>
  <c r="I43" i="69"/>
  <c r="G33" i="89"/>
  <c r="I33" i="89" s="1"/>
  <c r="D34" i="89"/>
  <c r="E34" i="89"/>
  <c r="F42" i="3"/>
  <c r="H42" i="3" s="1"/>
  <c r="B42" i="3"/>
  <c r="D39" i="57"/>
  <c r="E39" i="57"/>
  <c r="H38" i="54"/>
  <c r="I38" i="54" s="1"/>
  <c r="D39" i="54"/>
  <c r="E39" i="54"/>
  <c r="B44" i="69"/>
  <c r="F44" i="69"/>
  <c r="G44" i="69" s="1"/>
  <c r="D43" i="32"/>
  <c r="E43" i="32"/>
  <c r="G43" i="70"/>
  <c r="D44" i="70"/>
  <c r="E44" i="70"/>
  <c r="E38" i="60"/>
  <c r="D38" i="60"/>
  <c r="H33" i="92"/>
  <c r="E34" i="92"/>
  <c r="D34" i="92"/>
  <c r="B38" i="64"/>
  <c r="F38" i="64"/>
  <c r="H35" i="79"/>
  <c r="D36" i="79"/>
  <c r="E36" i="79"/>
  <c r="E36" i="77"/>
  <c r="D36" i="77"/>
  <c r="D36" i="78"/>
  <c r="E36" i="78"/>
  <c r="I34" i="88"/>
  <c r="B45" i="28"/>
  <c r="F45" i="28"/>
  <c r="G45" i="28" s="1"/>
  <c r="F34" i="83"/>
  <c r="G34" i="83" s="1"/>
  <c r="B34" i="83"/>
  <c r="H40" i="73"/>
  <c r="I40" i="73" s="1"/>
  <c r="D41" i="73"/>
  <c r="E41" i="73"/>
  <c r="G37" i="60"/>
  <c r="F44" i="31"/>
  <c r="G44" i="31" s="1"/>
  <c r="B44" i="31"/>
  <c r="D44" i="29"/>
  <c r="E44" i="29"/>
  <c r="G35" i="79"/>
  <c r="E42" i="43"/>
  <c r="D42" i="43"/>
  <c r="H35" i="77"/>
  <c r="I35" i="77" s="1"/>
  <c r="B43" i="71"/>
  <c r="F43" i="71"/>
  <c r="G43" i="71" s="1"/>
  <c r="H38" i="57"/>
  <c r="I38" i="57" s="1"/>
  <c r="E42" i="17"/>
  <c r="D42" i="17"/>
  <c r="D42" i="21"/>
  <c r="E42" i="21"/>
  <c r="F40" i="45"/>
  <c r="H40" i="45" s="1"/>
  <c r="B40" i="45"/>
  <c r="G42" i="32"/>
  <c r="I42" i="32" s="1"/>
  <c r="E38" i="63"/>
  <c r="D38" i="63"/>
  <c r="I42" i="34"/>
  <c r="H43" i="70"/>
  <c r="H37" i="60"/>
  <c r="G33" i="92"/>
  <c r="D41" i="74"/>
  <c r="E41" i="74"/>
  <c r="H35" i="78"/>
  <c r="I35" i="78" s="1"/>
  <c r="F37" i="68"/>
  <c r="G37" i="68" s="1"/>
  <c r="B37" i="68"/>
  <c r="F35" i="88"/>
  <c r="B35" i="88"/>
  <c r="H37" i="63"/>
  <c r="I37" i="63" s="1"/>
  <c r="J117" i="46"/>
  <c r="J113" i="85"/>
  <c r="J116" i="64"/>
  <c r="J114" i="78"/>
  <c r="J120" i="19"/>
  <c r="J122" i="69"/>
  <c r="J116" i="63"/>
  <c r="J116" i="61"/>
  <c r="J117" i="58"/>
  <c r="J117" i="59"/>
  <c r="J114" i="79"/>
  <c r="J116" i="60"/>
  <c r="J112" i="90"/>
  <c r="B51" i="35"/>
  <c r="E51" i="35"/>
  <c r="F51" i="35" s="1"/>
  <c r="H50" i="35"/>
  <c r="G50" i="35"/>
  <c r="I32" i="13"/>
  <c r="I34" i="33"/>
  <c r="F34" i="87"/>
  <c r="G34" i="87" s="1"/>
  <c r="B34" i="87"/>
  <c r="B34" i="26"/>
  <c r="E43" i="18"/>
  <c r="D43" i="18"/>
  <c r="I49" i="35"/>
  <c r="I36" i="62"/>
  <c r="D38" i="59"/>
  <c r="E38" i="59"/>
  <c r="B33" i="13"/>
  <c r="B35" i="33"/>
  <c r="F37" i="62"/>
  <c r="H37" i="62" s="1"/>
  <c r="B37" i="62"/>
  <c r="J120" i="20"/>
  <c r="J117" i="72"/>
  <c r="J122" i="27"/>
  <c r="J112" i="84"/>
  <c r="F41" i="20"/>
  <c r="B41" i="20"/>
  <c r="E34" i="26"/>
  <c r="F34" i="26" s="1"/>
  <c r="E33" i="13"/>
  <c r="F33" i="13" s="1"/>
  <c r="E35" i="33"/>
  <c r="F35" i="33" s="1"/>
  <c r="I117" i="62"/>
  <c r="H117" i="62"/>
  <c r="G117" i="60"/>
  <c r="E118" i="60"/>
  <c r="D118" i="60"/>
  <c r="J119" i="43"/>
  <c r="I120" i="73"/>
  <c r="H120" i="73"/>
  <c r="J116" i="65"/>
  <c r="D121" i="39"/>
  <c r="G120" i="39"/>
  <c r="E121" i="39"/>
  <c r="G122" i="31"/>
  <c r="E123" i="31"/>
  <c r="D123" i="31"/>
  <c r="D118" i="64"/>
  <c r="G117" i="64"/>
  <c r="E118" i="64"/>
  <c r="D114" i="92"/>
  <c r="E114" i="92"/>
  <c r="G113" i="92"/>
  <c r="I113" i="89"/>
  <c r="H113" i="89"/>
  <c r="D121" i="43"/>
  <c r="E121" i="43"/>
  <c r="G120" i="43"/>
  <c r="G118" i="58"/>
  <c r="D119" i="58"/>
  <c r="E119" i="58"/>
  <c r="J121" i="32"/>
  <c r="D122" i="20"/>
  <c r="E122" i="20"/>
  <c r="G121" i="20"/>
  <c r="D119" i="72"/>
  <c r="G118" i="72"/>
  <c r="E119" i="72"/>
  <c r="G113" i="84"/>
  <c r="E114" i="84"/>
  <c r="D114" i="84"/>
  <c r="B118" i="62"/>
  <c r="F118" i="62"/>
  <c r="J119" i="39"/>
  <c r="J118" i="74"/>
  <c r="G113" i="88"/>
  <c r="D114" i="88"/>
  <c r="E114" i="88"/>
  <c r="E118" i="61"/>
  <c r="G117" i="61"/>
  <c r="D118" i="61"/>
  <c r="G123" i="29"/>
  <c r="E124" i="29"/>
  <c r="D124" i="29"/>
  <c r="J117" i="53"/>
  <c r="J112" i="88"/>
  <c r="J122" i="70"/>
  <c r="G117" i="63"/>
  <c r="E118" i="63"/>
  <c r="D118" i="63"/>
  <c r="E117" i="66"/>
  <c r="G116" i="66"/>
  <c r="D117" i="66"/>
  <c r="F114" i="91"/>
  <c r="B114" i="91"/>
  <c r="G115" i="79"/>
  <c r="D116" i="79"/>
  <c r="E116" i="79"/>
  <c r="J115" i="68"/>
  <c r="J122" i="30"/>
  <c r="D120" i="74"/>
  <c r="E120" i="74"/>
  <c r="G119" i="74"/>
  <c r="J112" i="86"/>
  <c r="E124" i="27"/>
  <c r="D124" i="27"/>
  <c r="G123" i="27"/>
  <c r="J122" i="29"/>
  <c r="E119" i="46"/>
  <c r="D119" i="46"/>
  <c r="G118" i="46"/>
  <c r="G115" i="78"/>
  <c r="E116" i="78"/>
  <c r="D116" i="78"/>
  <c r="G116" i="68"/>
  <c r="E117" i="68"/>
  <c r="D117" i="68"/>
  <c r="E115" i="85"/>
  <c r="G114" i="85"/>
  <c r="D115" i="85"/>
  <c r="E123" i="32"/>
  <c r="D123" i="32"/>
  <c r="G122" i="32"/>
  <c r="G123" i="30"/>
  <c r="D124" i="30"/>
  <c r="E124" i="30"/>
  <c r="B120" i="45"/>
  <c r="F120" i="45"/>
  <c r="D124" i="70"/>
  <c r="E124" i="70"/>
  <c r="G123" i="70"/>
  <c r="B121" i="41"/>
  <c r="F121" i="41"/>
  <c r="G113" i="90"/>
  <c r="D114" i="90"/>
  <c r="E114" i="90"/>
  <c r="F115" i="81"/>
  <c r="B115" i="81"/>
  <c r="F122" i="22"/>
  <c r="B122" i="22"/>
  <c r="D122" i="19"/>
  <c r="G121" i="19"/>
  <c r="E122" i="19"/>
  <c r="J121" i="18"/>
  <c r="E118" i="65"/>
  <c r="D118" i="65"/>
  <c r="G117" i="65"/>
  <c r="B121" i="73"/>
  <c r="F121" i="73"/>
  <c r="D114" i="86"/>
  <c r="G113" i="86"/>
  <c r="E114" i="86"/>
  <c r="D119" i="53"/>
  <c r="E119" i="53"/>
  <c r="G118" i="53"/>
  <c r="H119" i="45"/>
  <c r="I119" i="45"/>
  <c r="G123" i="69"/>
  <c r="E124" i="69"/>
  <c r="D124" i="69"/>
  <c r="B114" i="89"/>
  <c r="F114" i="89"/>
  <c r="I113" i="91"/>
  <c r="H113" i="91"/>
  <c r="H120" i="41"/>
  <c r="I120" i="41"/>
  <c r="J120" i="34"/>
  <c r="J115" i="66"/>
  <c r="I114" i="81"/>
  <c r="H114" i="81"/>
  <c r="H121" i="22"/>
  <c r="I121" i="22"/>
  <c r="J121" i="31"/>
  <c r="J112" i="92"/>
  <c r="G121" i="34"/>
  <c r="E122" i="34"/>
  <c r="D122" i="34"/>
  <c r="J120" i="3"/>
  <c r="J122" i="71"/>
  <c r="D119" i="59"/>
  <c r="G118" i="59"/>
  <c r="E119" i="59"/>
  <c r="J122" i="23"/>
  <c r="H119" i="56"/>
  <c r="I119" i="56"/>
  <c r="D124" i="23"/>
  <c r="E124" i="23"/>
  <c r="G123" i="23"/>
  <c r="G122" i="18"/>
  <c r="D123" i="18"/>
  <c r="E123" i="18"/>
  <c r="F120" i="56"/>
  <c r="B120" i="56"/>
  <c r="E124" i="71"/>
  <c r="G123" i="71"/>
  <c r="D124" i="71"/>
  <c r="G119" i="57"/>
  <c r="E120" i="57"/>
  <c r="D120" i="57"/>
  <c r="J115" i="67"/>
  <c r="J118" i="57"/>
  <c r="J131" i="35"/>
  <c r="J113" i="95"/>
  <c r="H118" i="55"/>
  <c r="I118" i="55"/>
  <c r="I115" i="76"/>
  <c r="H115" i="76"/>
  <c r="I115" i="77"/>
  <c r="H115" i="77"/>
  <c r="H120" i="42"/>
  <c r="I120" i="42"/>
  <c r="I114" i="83"/>
  <c r="H114" i="83"/>
  <c r="H113" i="93"/>
  <c r="I113" i="93"/>
  <c r="J119" i="44"/>
  <c r="G113" i="96"/>
  <c r="D114" i="96"/>
  <c r="E114" i="96" s="1"/>
  <c r="B113" i="33"/>
  <c r="F113" i="33"/>
  <c r="B119" i="55"/>
  <c r="F119" i="55"/>
  <c r="J121" i="17"/>
  <c r="D114" i="87"/>
  <c r="G113" i="87"/>
  <c r="E114" i="87"/>
  <c r="H118" i="54"/>
  <c r="I118" i="54"/>
  <c r="G114" i="95"/>
  <c r="D115" i="95"/>
  <c r="E115" i="95" s="1"/>
  <c r="F121" i="42"/>
  <c r="B121" i="42"/>
  <c r="H114" i="80"/>
  <c r="I114" i="80"/>
  <c r="D122" i="3"/>
  <c r="G121" i="3"/>
  <c r="E122" i="3"/>
  <c r="G116" i="67"/>
  <c r="D117" i="67"/>
  <c r="E117" i="67"/>
  <c r="D123" i="17"/>
  <c r="G122" i="17"/>
  <c r="E123" i="17"/>
  <c r="H115" i="75"/>
  <c r="I115" i="75"/>
  <c r="B122" i="21"/>
  <c r="F122" i="21"/>
  <c r="H112" i="33"/>
  <c r="I112" i="33"/>
  <c r="I132" i="35"/>
  <c r="H132" i="35"/>
  <c r="D115" i="82"/>
  <c r="G114" i="82"/>
  <c r="E115" i="82"/>
  <c r="I113" i="25"/>
  <c r="H113" i="25"/>
  <c r="I112" i="13"/>
  <c r="H112" i="13"/>
  <c r="F116" i="76"/>
  <c r="B116" i="76"/>
  <c r="B116" i="77"/>
  <c r="F116" i="77"/>
  <c r="F115" i="80"/>
  <c r="B115" i="80"/>
  <c r="B115" i="83"/>
  <c r="F115" i="83"/>
  <c r="J112" i="87"/>
  <c r="J112" i="96"/>
  <c r="F123" i="24"/>
  <c r="B123" i="24"/>
  <c r="J123" i="28"/>
  <c r="J113" i="82"/>
  <c r="G120" i="44"/>
  <c r="D121" i="44"/>
  <c r="E121" i="44"/>
  <c r="I121" i="21"/>
  <c r="H121" i="21"/>
  <c r="E134" i="35"/>
  <c r="F134" i="35" s="1"/>
  <c r="B134" i="35"/>
  <c r="G133" i="35"/>
  <c r="F119" i="54"/>
  <c r="B119" i="54"/>
  <c r="D125" i="28"/>
  <c r="G124" i="28"/>
  <c r="E125" i="28"/>
  <c r="B114" i="93"/>
  <c r="F114" i="93"/>
  <c r="I122" i="24"/>
  <c r="H122" i="24"/>
  <c r="B116" i="75"/>
  <c r="F116" i="75"/>
  <c r="F114" i="25"/>
  <c r="B114" i="25"/>
  <c r="F113" i="13"/>
  <c r="B113" i="13"/>
  <c r="D37" i="99" l="1"/>
  <c r="E37" i="99"/>
  <c r="E39" i="97"/>
  <c r="F39" i="97"/>
  <c r="D40" i="97" s="1"/>
  <c r="B39" i="97"/>
  <c r="H36" i="99"/>
  <c r="H38" i="97"/>
  <c r="G36" i="99"/>
  <c r="F34" i="98"/>
  <c r="B34" i="98"/>
  <c r="G38" i="97"/>
  <c r="I94" i="36"/>
  <c r="I43" i="70"/>
  <c r="D114" i="99"/>
  <c r="G113" i="99"/>
  <c r="E114" i="99"/>
  <c r="J112" i="99"/>
  <c r="I37" i="60"/>
  <c r="I43" i="23"/>
  <c r="B114" i="98"/>
  <c r="F114" i="98"/>
  <c r="I113" i="97"/>
  <c r="H113" i="97"/>
  <c r="J113" i="26"/>
  <c r="F114" i="97"/>
  <c r="B114" i="97"/>
  <c r="H113" i="98"/>
  <c r="I113" i="98"/>
  <c r="D115" i="26"/>
  <c r="G114" i="26"/>
  <c r="F38" i="67"/>
  <c r="H38" i="67" s="1"/>
  <c r="B38" i="67"/>
  <c r="B39" i="46"/>
  <c r="F39" i="46"/>
  <c r="H39" i="46" s="1"/>
  <c r="H44" i="31"/>
  <c r="I44" i="31" s="1"/>
  <c r="B43" i="24"/>
  <c r="F43" i="24"/>
  <c r="G42" i="3"/>
  <c r="I42" i="3" s="1"/>
  <c r="I35" i="80"/>
  <c r="H39" i="72"/>
  <c r="I39" i="72" s="1"/>
  <c r="I34" i="91"/>
  <c r="H36" i="82"/>
  <c r="E37" i="82"/>
  <c r="D37" i="82"/>
  <c r="G35" i="86"/>
  <c r="H35" i="86"/>
  <c r="E36" i="86"/>
  <c r="D36" i="86"/>
  <c r="F34" i="94"/>
  <c r="G34" i="94" s="1"/>
  <c r="B34" i="94"/>
  <c r="B36" i="80"/>
  <c r="F36" i="80"/>
  <c r="H36" i="80" s="1"/>
  <c r="B33" i="93"/>
  <c r="F33" i="93"/>
  <c r="G33" i="93" s="1"/>
  <c r="G34" i="25"/>
  <c r="D35" i="25"/>
  <c r="H34" i="25"/>
  <c r="G36" i="82"/>
  <c r="I33" i="92"/>
  <c r="H44" i="69"/>
  <c r="I44" i="69" s="1"/>
  <c r="G33" i="95"/>
  <c r="I33" i="95" s="1"/>
  <c r="B36" i="90"/>
  <c r="F36" i="90"/>
  <c r="G36" i="90" s="1"/>
  <c r="G41" i="42"/>
  <c r="D42" i="42"/>
  <c r="E42" i="42"/>
  <c r="H40" i="55"/>
  <c r="I40" i="55" s="1"/>
  <c r="E41" i="55"/>
  <c r="D41" i="55"/>
  <c r="B39" i="53"/>
  <c r="F39" i="53"/>
  <c r="G39" i="53" s="1"/>
  <c r="E114" i="94"/>
  <c r="F114" i="94" s="1"/>
  <c r="E38" i="65"/>
  <c r="D38" i="65"/>
  <c r="G38" i="56"/>
  <c r="I38" i="56" s="1"/>
  <c r="G37" i="65"/>
  <c r="B44" i="23"/>
  <c r="F44" i="23"/>
  <c r="H44" i="23" s="1"/>
  <c r="B35" i="91"/>
  <c r="F35" i="91"/>
  <c r="B35" i="84"/>
  <c r="F35" i="84"/>
  <c r="G40" i="58"/>
  <c r="D41" i="58"/>
  <c r="E41" i="58"/>
  <c r="H40" i="58"/>
  <c r="H41" i="42"/>
  <c r="H37" i="65"/>
  <c r="I37" i="65" s="1"/>
  <c r="B38" i="66"/>
  <c r="F38" i="66"/>
  <c r="H38" i="66" s="1"/>
  <c r="H36" i="75"/>
  <c r="I36" i="75" s="1"/>
  <c r="E37" i="75"/>
  <c r="D37" i="75"/>
  <c r="I38" i="53"/>
  <c r="I113" i="94"/>
  <c r="H113" i="94"/>
  <c r="B35" i="81"/>
  <c r="F35" i="81"/>
  <c r="H35" i="81" s="1"/>
  <c r="F41" i="44"/>
  <c r="H41" i="44" s="1"/>
  <c r="B41" i="44"/>
  <c r="H43" i="71"/>
  <c r="I43" i="71" s="1"/>
  <c r="G43" i="34"/>
  <c r="I43" i="34" s="1"/>
  <c r="F38" i="61"/>
  <c r="G38" i="61" s="1"/>
  <c r="B38" i="61"/>
  <c r="I43" i="27"/>
  <c r="H41" i="39"/>
  <c r="I41" i="39" s="1"/>
  <c r="E42" i="39"/>
  <c r="D42" i="39"/>
  <c r="G37" i="62"/>
  <c r="I37" i="62" s="1"/>
  <c r="E34" i="95"/>
  <c r="D34" i="95"/>
  <c r="F42" i="22"/>
  <c r="H42" i="22" s="1"/>
  <c r="B42" i="22"/>
  <c r="H35" i="85"/>
  <c r="I35" i="85" s="1"/>
  <c r="D36" i="85"/>
  <c r="E36" i="85"/>
  <c r="F33" i="96"/>
  <c r="G33" i="96" s="1"/>
  <c r="B33" i="96"/>
  <c r="B36" i="76"/>
  <c r="F36" i="76"/>
  <c r="G36" i="76" s="1"/>
  <c r="B44" i="27"/>
  <c r="F44" i="27"/>
  <c r="I32" i="96"/>
  <c r="D40" i="72"/>
  <c r="E40" i="72"/>
  <c r="I50" i="35"/>
  <c r="E36" i="88"/>
  <c r="D36" i="88"/>
  <c r="F41" i="74"/>
  <c r="H41" i="74" s="1"/>
  <c r="B41" i="74"/>
  <c r="C51" i="17"/>
  <c r="B42" i="17"/>
  <c r="F42" i="17"/>
  <c r="H42" i="17" s="1"/>
  <c r="B42" i="43"/>
  <c r="F42" i="43"/>
  <c r="G42" i="43" s="1"/>
  <c r="B44" i="29"/>
  <c r="F44" i="29"/>
  <c r="H44" i="29" s="1"/>
  <c r="D45" i="31"/>
  <c r="E45" i="31"/>
  <c r="D39" i="64"/>
  <c r="E39" i="64"/>
  <c r="B34" i="92"/>
  <c r="F34" i="92"/>
  <c r="H34" i="92" s="1"/>
  <c r="D39" i="56"/>
  <c r="E39" i="56"/>
  <c r="H34" i="87"/>
  <c r="I34" i="87" s="1"/>
  <c r="E38" i="68"/>
  <c r="D38" i="68"/>
  <c r="G40" i="45"/>
  <c r="I40" i="45" s="1"/>
  <c r="H45" i="28"/>
  <c r="I45" i="28" s="1"/>
  <c r="E46" i="28"/>
  <c r="D46" i="28"/>
  <c r="G38" i="64"/>
  <c r="B44" i="70"/>
  <c r="F44" i="70"/>
  <c r="H44" i="70" s="1"/>
  <c r="D45" i="69"/>
  <c r="E45" i="69"/>
  <c r="D43" i="19"/>
  <c r="E43" i="19"/>
  <c r="G35" i="88"/>
  <c r="B38" i="63"/>
  <c r="F38" i="63"/>
  <c r="H38" i="63" s="1"/>
  <c r="E44" i="71"/>
  <c r="D44" i="71"/>
  <c r="B36" i="78"/>
  <c r="F36" i="78"/>
  <c r="H36" i="78" s="1"/>
  <c r="F36" i="79"/>
  <c r="H36" i="79" s="1"/>
  <c r="B36" i="79"/>
  <c r="B34" i="89"/>
  <c r="F34" i="89"/>
  <c r="G34" i="89" s="1"/>
  <c r="F42" i="41"/>
  <c r="B42" i="41"/>
  <c r="D44" i="34"/>
  <c r="E44" i="34"/>
  <c r="H35" i="88"/>
  <c r="H37" i="68"/>
  <c r="I37" i="68" s="1"/>
  <c r="E41" i="45"/>
  <c r="D41" i="45"/>
  <c r="F42" i="21"/>
  <c r="G42" i="21" s="1"/>
  <c r="B42" i="21"/>
  <c r="B41" i="73"/>
  <c r="F41" i="73"/>
  <c r="H41" i="73" s="1"/>
  <c r="H34" i="83"/>
  <c r="I34" i="83" s="1"/>
  <c r="D35" i="83"/>
  <c r="E35" i="83"/>
  <c r="B36" i="77"/>
  <c r="F36" i="77"/>
  <c r="H36" i="77" s="1"/>
  <c r="I35" i="79"/>
  <c r="H38" i="64"/>
  <c r="I38" i="64" s="1"/>
  <c r="B38" i="60"/>
  <c r="F38" i="60"/>
  <c r="G38" i="60" s="1"/>
  <c r="F43" i="32"/>
  <c r="H43" i="32" s="1"/>
  <c r="B43" i="32"/>
  <c r="B39" i="54"/>
  <c r="F39" i="54"/>
  <c r="G39" i="54" s="1"/>
  <c r="B39" i="57"/>
  <c r="F39" i="57"/>
  <c r="H39" i="57" s="1"/>
  <c r="E43" i="3"/>
  <c r="D43" i="3"/>
  <c r="H42" i="19"/>
  <c r="I42" i="19" s="1"/>
  <c r="G43" i="30"/>
  <c r="I43" i="30" s="1"/>
  <c r="D44" i="30"/>
  <c r="E44" i="30"/>
  <c r="J119" i="56"/>
  <c r="J119" i="45"/>
  <c r="J112" i="33"/>
  <c r="J113" i="91"/>
  <c r="J120" i="73"/>
  <c r="D35" i="26"/>
  <c r="E35" i="26" s="1"/>
  <c r="H34" i="26"/>
  <c r="G34" i="26"/>
  <c r="D34" i="13"/>
  <c r="E34" i="13" s="1"/>
  <c r="G33" i="13"/>
  <c r="H33" i="13"/>
  <c r="D36" i="33"/>
  <c r="E36" i="33" s="1"/>
  <c r="G35" i="33"/>
  <c r="H35" i="33"/>
  <c r="E42" i="20"/>
  <c r="D42" i="20"/>
  <c r="E52" i="35"/>
  <c r="F52" i="35" s="1"/>
  <c r="G51" i="35"/>
  <c r="H51" i="35"/>
  <c r="B52" i="35"/>
  <c r="G41" i="20"/>
  <c r="E38" i="62"/>
  <c r="D38" i="62"/>
  <c r="J120" i="41"/>
  <c r="H41" i="20"/>
  <c r="I41" i="20" s="1"/>
  <c r="B38" i="59"/>
  <c r="F38" i="59"/>
  <c r="H38" i="59" s="1"/>
  <c r="B43" i="18"/>
  <c r="F43" i="18"/>
  <c r="H43" i="18" s="1"/>
  <c r="D35" i="87"/>
  <c r="E35" i="87"/>
  <c r="J121" i="22"/>
  <c r="B124" i="69"/>
  <c r="F124" i="69"/>
  <c r="H117" i="65"/>
  <c r="I117" i="65"/>
  <c r="G122" i="22"/>
  <c r="D123" i="22"/>
  <c r="E123" i="22"/>
  <c r="F114" i="90"/>
  <c r="B114" i="90"/>
  <c r="I123" i="70"/>
  <c r="H123" i="70"/>
  <c r="H122" i="32"/>
  <c r="I122" i="32"/>
  <c r="H114" i="85"/>
  <c r="I114" i="85"/>
  <c r="H116" i="68"/>
  <c r="I116" i="68"/>
  <c r="I118" i="46"/>
  <c r="H118" i="46"/>
  <c r="I123" i="27"/>
  <c r="H123" i="27"/>
  <c r="H119" i="74"/>
  <c r="I119" i="74"/>
  <c r="B114" i="84"/>
  <c r="F114" i="84"/>
  <c r="H118" i="72"/>
  <c r="I118" i="72"/>
  <c r="F122" i="20"/>
  <c r="B122" i="20"/>
  <c r="I118" i="58"/>
  <c r="H118" i="58"/>
  <c r="B114" i="92"/>
  <c r="F114" i="92"/>
  <c r="F123" i="31"/>
  <c r="B123" i="31"/>
  <c r="H120" i="39"/>
  <c r="I120" i="39"/>
  <c r="I117" i="60"/>
  <c r="H117" i="60"/>
  <c r="H121" i="34"/>
  <c r="I121" i="34"/>
  <c r="H118" i="53"/>
  <c r="I118" i="53"/>
  <c r="I113" i="86"/>
  <c r="H113" i="86"/>
  <c r="F118" i="65"/>
  <c r="B118" i="65"/>
  <c r="H121" i="19"/>
  <c r="I121" i="19"/>
  <c r="I113" i="90"/>
  <c r="H113" i="90"/>
  <c r="F123" i="32"/>
  <c r="B123" i="32"/>
  <c r="F116" i="78"/>
  <c r="B116" i="78"/>
  <c r="B119" i="46"/>
  <c r="F119" i="46"/>
  <c r="B124" i="27"/>
  <c r="F124" i="27"/>
  <c r="E115" i="91"/>
  <c r="G114" i="91"/>
  <c r="D115" i="91"/>
  <c r="B118" i="63"/>
  <c r="F118" i="63"/>
  <c r="H123" i="29"/>
  <c r="I123" i="29"/>
  <c r="F119" i="72"/>
  <c r="B119" i="72"/>
  <c r="H120" i="43"/>
  <c r="I120" i="43"/>
  <c r="J113" i="89"/>
  <c r="B121" i="39"/>
  <c r="F121" i="39"/>
  <c r="D115" i="89"/>
  <c r="G114" i="89"/>
  <c r="E115" i="89"/>
  <c r="I123" i="69"/>
  <c r="H123" i="69"/>
  <c r="F114" i="86"/>
  <c r="B114" i="86"/>
  <c r="E122" i="73"/>
  <c r="G121" i="73"/>
  <c r="D122" i="73"/>
  <c r="B122" i="19"/>
  <c r="F122" i="19"/>
  <c r="E116" i="81"/>
  <c r="G115" i="81"/>
  <c r="D116" i="81"/>
  <c r="E122" i="41"/>
  <c r="D122" i="41"/>
  <c r="G121" i="41"/>
  <c r="F124" i="70"/>
  <c r="B124" i="70"/>
  <c r="F124" i="30"/>
  <c r="B124" i="30"/>
  <c r="F117" i="68"/>
  <c r="B117" i="68"/>
  <c r="F120" i="74"/>
  <c r="B120" i="74"/>
  <c r="F116" i="79"/>
  <c r="B116" i="79"/>
  <c r="B117" i="66"/>
  <c r="F117" i="66"/>
  <c r="B118" i="61"/>
  <c r="F118" i="61"/>
  <c r="F114" i="88"/>
  <c r="B114" i="88"/>
  <c r="D119" i="62"/>
  <c r="E119" i="62"/>
  <c r="G118" i="62"/>
  <c r="H113" i="84"/>
  <c r="I113" i="84"/>
  <c r="I121" i="20"/>
  <c r="H121" i="20"/>
  <c r="I113" i="92"/>
  <c r="H113" i="92"/>
  <c r="I117" i="64"/>
  <c r="H117" i="64"/>
  <c r="H122" i="31"/>
  <c r="I122" i="31"/>
  <c r="F118" i="60"/>
  <c r="B118" i="60"/>
  <c r="J117" i="62"/>
  <c r="J132" i="35"/>
  <c r="F122" i="34"/>
  <c r="B122" i="34"/>
  <c r="J114" i="81"/>
  <c r="B119" i="53"/>
  <c r="F119" i="53"/>
  <c r="G120" i="45"/>
  <c r="E121" i="45"/>
  <c r="D121" i="45"/>
  <c r="I123" i="30"/>
  <c r="H123" i="30"/>
  <c r="F115" i="85"/>
  <c r="B115" i="85"/>
  <c r="H115" i="78"/>
  <c r="I115" i="78"/>
  <c r="H115" i="79"/>
  <c r="I115" i="79"/>
  <c r="I116" i="66"/>
  <c r="H116" i="66"/>
  <c r="I117" i="63"/>
  <c r="H117" i="63"/>
  <c r="B124" i="29"/>
  <c r="F124" i="29"/>
  <c r="H117" i="61"/>
  <c r="I117" i="61"/>
  <c r="I113" i="88"/>
  <c r="H113" i="88"/>
  <c r="B119" i="58"/>
  <c r="F119" i="58"/>
  <c r="F121" i="43"/>
  <c r="B121" i="43"/>
  <c r="B118" i="64"/>
  <c r="F118" i="64"/>
  <c r="J114" i="80"/>
  <c r="B123" i="18"/>
  <c r="F123" i="18"/>
  <c r="B124" i="23"/>
  <c r="F124" i="23"/>
  <c r="I118" i="59"/>
  <c r="H118" i="59"/>
  <c r="J113" i="25"/>
  <c r="J114" i="83"/>
  <c r="J115" i="77"/>
  <c r="H122" i="18"/>
  <c r="I122" i="18"/>
  <c r="B119" i="59"/>
  <c r="F119" i="59"/>
  <c r="D121" i="56"/>
  <c r="E121" i="56"/>
  <c r="G120" i="56"/>
  <c r="I123" i="23"/>
  <c r="H123" i="23"/>
  <c r="J118" i="55"/>
  <c r="H119" i="57"/>
  <c r="I119" i="57"/>
  <c r="B124" i="71"/>
  <c r="F124" i="71"/>
  <c r="J115" i="76"/>
  <c r="F120" i="57"/>
  <c r="B120" i="57"/>
  <c r="H123" i="71"/>
  <c r="I123" i="71"/>
  <c r="G114" i="93"/>
  <c r="D115" i="93"/>
  <c r="F125" i="28"/>
  <c r="B125" i="28"/>
  <c r="B135" i="35"/>
  <c r="G134" i="35"/>
  <c r="E135" i="35"/>
  <c r="F135" i="35" s="1"/>
  <c r="H114" i="82"/>
  <c r="I114" i="82"/>
  <c r="B117" i="67"/>
  <c r="F117" i="67"/>
  <c r="H121" i="3"/>
  <c r="I121" i="3"/>
  <c r="I113" i="96"/>
  <c r="H113" i="96"/>
  <c r="G113" i="13"/>
  <c r="D114" i="13"/>
  <c r="G114" i="25"/>
  <c r="D115" i="25"/>
  <c r="E115" i="25" s="1"/>
  <c r="J122" i="24"/>
  <c r="J121" i="21"/>
  <c r="G123" i="24"/>
  <c r="E124" i="24"/>
  <c r="D124" i="24"/>
  <c r="E116" i="83"/>
  <c r="G115" i="83"/>
  <c r="D116" i="83"/>
  <c r="F115" i="82"/>
  <c r="B115" i="82"/>
  <c r="I116" i="67"/>
  <c r="H116" i="67"/>
  <c r="B122" i="3"/>
  <c r="F122" i="3"/>
  <c r="B115" i="95"/>
  <c r="F115" i="95"/>
  <c r="J120" i="42"/>
  <c r="G116" i="75"/>
  <c r="E117" i="75"/>
  <c r="D117" i="75"/>
  <c r="H133" i="35"/>
  <c r="I133" i="35"/>
  <c r="B121" i="44"/>
  <c r="F121" i="44"/>
  <c r="G115" i="80"/>
  <c r="E116" i="80"/>
  <c r="D116" i="80"/>
  <c r="G116" i="77"/>
  <c r="E117" i="77"/>
  <c r="D117" i="77"/>
  <c r="J112" i="13"/>
  <c r="J115" i="75"/>
  <c r="H122" i="17"/>
  <c r="I122" i="17"/>
  <c r="H114" i="95"/>
  <c r="I114" i="95"/>
  <c r="H113" i="87"/>
  <c r="I113" i="87"/>
  <c r="G119" i="55"/>
  <c r="D120" i="55"/>
  <c r="E120" i="55"/>
  <c r="J113" i="93"/>
  <c r="I124" i="28"/>
  <c r="H124" i="28"/>
  <c r="E120" i="54"/>
  <c r="D120" i="54"/>
  <c r="G119" i="54"/>
  <c r="H120" i="44"/>
  <c r="I120" i="44"/>
  <c r="D117" i="76"/>
  <c r="G116" i="76"/>
  <c r="E117" i="76"/>
  <c r="G122" i="21"/>
  <c r="E123" i="21"/>
  <c r="D123" i="21"/>
  <c r="B123" i="17"/>
  <c r="F123" i="17"/>
  <c r="D122" i="42"/>
  <c r="E122" i="42"/>
  <c r="G121" i="42"/>
  <c r="J118" i="54"/>
  <c r="B114" i="87"/>
  <c r="F114" i="87"/>
  <c r="G113" i="33"/>
  <c r="D114" i="33"/>
  <c r="E114" i="33" s="1"/>
  <c r="F114" i="96"/>
  <c r="B114" i="96"/>
  <c r="I36" i="99" l="1"/>
  <c r="E40" i="97"/>
  <c r="F40" i="97" s="1"/>
  <c r="D41" i="97" s="1"/>
  <c r="B40" i="97"/>
  <c r="D35" i="98"/>
  <c r="E35" i="98"/>
  <c r="H39" i="97"/>
  <c r="I34" i="25"/>
  <c r="H34" i="98"/>
  <c r="G39" i="97"/>
  <c r="G34" i="98"/>
  <c r="I38" i="97"/>
  <c r="F37" i="99"/>
  <c r="D38" i="99" s="1"/>
  <c r="B37" i="99"/>
  <c r="H33" i="93"/>
  <c r="I33" i="93" s="1"/>
  <c r="I35" i="88"/>
  <c r="I36" i="82"/>
  <c r="H113" i="99"/>
  <c r="I113" i="99"/>
  <c r="F114" i="99"/>
  <c r="B114" i="99"/>
  <c r="G39" i="57"/>
  <c r="I39" i="57" s="1"/>
  <c r="I41" i="42"/>
  <c r="I114" i="26"/>
  <c r="H114" i="26"/>
  <c r="J113" i="97"/>
  <c r="B115" i="26"/>
  <c r="E115" i="26"/>
  <c r="F115" i="26" s="1"/>
  <c r="G114" i="97"/>
  <c r="D115" i="97"/>
  <c r="E115" i="97"/>
  <c r="D115" i="98"/>
  <c r="G114" i="98"/>
  <c r="E115" i="98"/>
  <c r="J113" i="98"/>
  <c r="H33" i="96"/>
  <c r="I33" i="96" s="1"/>
  <c r="I35" i="86"/>
  <c r="G36" i="80"/>
  <c r="I36" i="80" s="1"/>
  <c r="G38" i="67"/>
  <c r="I38" i="67" s="1"/>
  <c r="E39" i="67"/>
  <c r="D39" i="67"/>
  <c r="G38" i="66"/>
  <c r="I38" i="66" s="1"/>
  <c r="H38" i="60"/>
  <c r="I38" i="60" s="1"/>
  <c r="G39" i="46"/>
  <c r="I39" i="46" s="1"/>
  <c r="E40" i="46"/>
  <c r="D40" i="46"/>
  <c r="D44" i="24"/>
  <c r="E44" i="24"/>
  <c r="H43" i="24"/>
  <c r="G43" i="24"/>
  <c r="G42" i="17"/>
  <c r="G42" i="22"/>
  <c r="I42" i="22" s="1"/>
  <c r="G36" i="79"/>
  <c r="I36" i="79" s="1"/>
  <c r="H38" i="61"/>
  <c r="I38" i="61" s="1"/>
  <c r="J113" i="94"/>
  <c r="B35" i="25"/>
  <c r="E35" i="25"/>
  <c r="F35" i="25" s="1"/>
  <c r="D34" i="93"/>
  <c r="E34" i="93"/>
  <c r="E37" i="80"/>
  <c r="D37" i="80"/>
  <c r="H34" i="94"/>
  <c r="I34" i="94" s="1"/>
  <c r="D35" i="94"/>
  <c r="E35" i="94"/>
  <c r="F36" i="86"/>
  <c r="B36" i="86"/>
  <c r="F37" i="82"/>
  <c r="G37" i="82" s="1"/>
  <c r="B37" i="82"/>
  <c r="H34" i="89"/>
  <c r="I34" i="89" s="1"/>
  <c r="G44" i="70"/>
  <c r="I44" i="70" s="1"/>
  <c r="I42" i="17"/>
  <c r="G41" i="44"/>
  <c r="I41" i="44" s="1"/>
  <c r="D39" i="66"/>
  <c r="E39" i="66"/>
  <c r="I40" i="58"/>
  <c r="G114" i="94"/>
  <c r="D115" i="94"/>
  <c r="D37" i="90"/>
  <c r="E37" i="90"/>
  <c r="H35" i="84"/>
  <c r="E36" i="84"/>
  <c r="D36" i="84"/>
  <c r="H42" i="21"/>
  <c r="I42" i="21" s="1"/>
  <c r="G44" i="23"/>
  <c r="I44" i="23" s="1"/>
  <c r="D45" i="23"/>
  <c r="E45" i="23"/>
  <c r="B41" i="55"/>
  <c r="F41" i="55"/>
  <c r="G41" i="55" s="1"/>
  <c r="F42" i="42"/>
  <c r="G42" i="42" s="1"/>
  <c r="B42" i="42"/>
  <c r="F37" i="75"/>
  <c r="G37" i="75" s="1"/>
  <c r="B37" i="75"/>
  <c r="E36" i="91"/>
  <c r="H35" i="91"/>
  <c r="D36" i="91"/>
  <c r="G35" i="91"/>
  <c r="I51" i="35"/>
  <c r="G44" i="29"/>
  <c r="B41" i="58"/>
  <c r="F41" i="58"/>
  <c r="G35" i="84"/>
  <c r="B38" i="65"/>
  <c r="F38" i="65"/>
  <c r="H39" i="53"/>
  <c r="I39" i="53" s="1"/>
  <c r="D40" i="53"/>
  <c r="E40" i="53"/>
  <c r="H36" i="90"/>
  <c r="I36" i="90" s="1"/>
  <c r="B34" i="95"/>
  <c r="F34" i="95"/>
  <c r="G34" i="95" s="1"/>
  <c r="G43" i="32"/>
  <c r="I43" i="32" s="1"/>
  <c r="D37" i="76"/>
  <c r="E37" i="76"/>
  <c r="B36" i="85"/>
  <c r="F36" i="85"/>
  <c r="G36" i="85" s="1"/>
  <c r="G41" i="73"/>
  <c r="I41" i="73" s="1"/>
  <c r="G34" i="92"/>
  <c r="I34" i="92" s="1"/>
  <c r="E39" i="61"/>
  <c r="D39" i="61"/>
  <c r="E42" i="44"/>
  <c r="D42" i="44"/>
  <c r="B40" i="72"/>
  <c r="F40" i="72"/>
  <c r="G40" i="72" s="1"/>
  <c r="E45" i="27"/>
  <c r="G44" i="27"/>
  <c r="H44" i="27"/>
  <c r="D45" i="27"/>
  <c r="H36" i="76"/>
  <c r="I36" i="76" s="1"/>
  <c r="D34" i="96"/>
  <c r="E34" i="96"/>
  <c r="E43" i="22"/>
  <c r="D43" i="22"/>
  <c r="B42" i="39"/>
  <c r="F42" i="39"/>
  <c r="H42" i="39" s="1"/>
  <c r="G35" i="81"/>
  <c r="I35" i="81" s="1"/>
  <c r="D36" i="81"/>
  <c r="E36" i="81"/>
  <c r="I33" i="13"/>
  <c r="G38" i="59"/>
  <c r="I38" i="59" s="1"/>
  <c r="E39" i="60"/>
  <c r="D39" i="60"/>
  <c r="D42" i="73"/>
  <c r="E42" i="73"/>
  <c r="D43" i="41"/>
  <c r="E43" i="41"/>
  <c r="B44" i="71"/>
  <c r="F44" i="71"/>
  <c r="G44" i="71" s="1"/>
  <c r="D39" i="63"/>
  <c r="E39" i="63"/>
  <c r="B45" i="69"/>
  <c r="F45" i="69"/>
  <c r="H45" i="69" s="1"/>
  <c r="F46" i="28"/>
  <c r="H46" i="28" s="1"/>
  <c r="B46" i="28"/>
  <c r="E45" i="29"/>
  <c r="D45" i="29"/>
  <c r="E42" i="74"/>
  <c r="D42" i="74"/>
  <c r="B44" i="30"/>
  <c r="F44" i="30"/>
  <c r="G44" i="30" s="1"/>
  <c r="B43" i="3"/>
  <c r="F43" i="3"/>
  <c r="G43" i="3" s="1"/>
  <c r="E40" i="57"/>
  <c r="D40" i="57"/>
  <c r="H39" i="54"/>
  <c r="I39" i="54" s="1"/>
  <c r="G36" i="77"/>
  <c r="I36" i="77" s="1"/>
  <c r="D43" i="21"/>
  <c r="E43" i="21"/>
  <c r="H42" i="41"/>
  <c r="B45" i="31"/>
  <c r="F45" i="31"/>
  <c r="G41" i="74"/>
  <c r="I41" i="74" s="1"/>
  <c r="E44" i="32"/>
  <c r="D44" i="32"/>
  <c r="B35" i="83"/>
  <c r="F35" i="83"/>
  <c r="G35" i="83" s="1"/>
  <c r="B41" i="45"/>
  <c r="F41" i="45"/>
  <c r="H41" i="45" s="1"/>
  <c r="G42" i="41"/>
  <c r="E35" i="89"/>
  <c r="D35" i="89"/>
  <c r="E37" i="79"/>
  <c r="D37" i="79"/>
  <c r="G36" i="78"/>
  <c r="I36" i="78" s="1"/>
  <c r="E37" i="78"/>
  <c r="D37" i="78"/>
  <c r="G38" i="63"/>
  <c r="I38" i="63" s="1"/>
  <c r="E45" i="70"/>
  <c r="D45" i="70"/>
  <c r="H42" i="43"/>
  <c r="I42" i="43" s="1"/>
  <c r="E43" i="43"/>
  <c r="D43" i="43"/>
  <c r="B36" i="88"/>
  <c r="F36" i="88"/>
  <c r="G36" i="88" s="1"/>
  <c r="I35" i="33"/>
  <c r="E40" i="54"/>
  <c r="D40" i="54"/>
  <c r="D37" i="77"/>
  <c r="E37" i="77"/>
  <c r="B44" i="34"/>
  <c r="F44" i="34"/>
  <c r="F43" i="19"/>
  <c r="B43" i="19"/>
  <c r="F38" i="68"/>
  <c r="H38" i="68" s="1"/>
  <c r="B38" i="68"/>
  <c r="F39" i="56"/>
  <c r="B39" i="56"/>
  <c r="D35" i="92"/>
  <c r="E35" i="92"/>
  <c r="F39" i="64"/>
  <c r="H39" i="64" s="1"/>
  <c r="B39" i="64"/>
  <c r="I44" i="29"/>
  <c r="D43" i="17"/>
  <c r="E43" i="17"/>
  <c r="J121" i="19"/>
  <c r="J121" i="34"/>
  <c r="J118" i="59"/>
  <c r="J118" i="58"/>
  <c r="J122" i="31"/>
  <c r="J113" i="84"/>
  <c r="J116" i="68"/>
  <c r="J122" i="32"/>
  <c r="J118" i="46"/>
  <c r="J123" i="70"/>
  <c r="J124" i="28"/>
  <c r="J115" i="78"/>
  <c r="J123" i="23"/>
  <c r="J116" i="67"/>
  <c r="J120" i="39"/>
  <c r="B38" i="62"/>
  <c r="F38" i="62"/>
  <c r="B42" i="20"/>
  <c r="F42" i="20"/>
  <c r="G42" i="20" s="1"/>
  <c r="J117" i="63"/>
  <c r="J118" i="53"/>
  <c r="I34" i="26"/>
  <c r="D44" i="18"/>
  <c r="E44" i="18"/>
  <c r="D39" i="59"/>
  <c r="E39" i="59"/>
  <c r="G52" i="35"/>
  <c r="B53" i="35"/>
  <c r="E53" i="35"/>
  <c r="F53" i="35" s="1"/>
  <c r="H52" i="35"/>
  <c r="J117" i="64"/>
  <c r="J121" i="20"/>
  <c r="J123" i="69"/>
  <c r="B35" i="87"/>
  <c r="F35" i="87"/>
  <c r="G35" i="87" s="1"/>
  <c r="G43" i="18"/>
  <c r="I43" i="18" s="1"/>
  <c r="B36" i="33"/>
  <c r="F36" i="33"/>
  <c r="G36" i="33" s="1"/>
  <c r="B34" i="13"/>
  <c r="F34" i="13"/>
  <c r="H34" i="13" s="1"/>
  <c r="B35" i="26"/>
  <c r="F35" i="26"/>
  <c r="G35" i="26" s="1"/>
  <c r="J120" i="44"/>
  <c r="D116" i="85"/>
  <c r="G115" i="85"/>
  <c r="E116" i="85"/>
  <c r="E120" i="53"/>
  <c r="D120" i="53"/>
  <c r="G119" i="53"/>
  <c r="D123" i="34"/>
  <c r="E123" i="34"/>
  <c r="G122" i="34"/>
  <c r="D119" i="60"/>
  <c r="E119" i="60"/>
  <c r="G118" i="60"/>
  <c r="E119" i="61"/>
  <c r="G118" i="61"/>
  <c r="D119" i="61"/>
  <c r="G122" i="19"/>
  <c r="D123" i="19"/>
  <c r="E123" i="19"/>
  <c r="G121" i="39"/>
  <c r="D122" i="39"/>
  <c r="E122" i="39"/>
  <c r="H114" i="91"/>
  <c r="I114" i="91"/>
  <c r="G119" i="46"/>
  <c r="E120" i="46"/>
  <c r="D120" i="46"/>
  <c r="J118" i="72"/>
  <c r="J119" i="74"/>
  <c r="J114" i="85"/>
  <c r="D125" i="29"/>
  <c r="G124" i="29"/>
  <c r="E125" i="29"/>
  <c r="I120" i="45"/>
  <c r="H120" i="45"/>
  <c r="F119" i="62"/>
  <c r="B119" i="62"/>
  <c r="E117" i="79"/>
  <c r="D117" i="79"/>
  <c r="G116" i="79"/>
  <c r="G117" i="68"/>
  <c r="E118" i="68"/>
  <c r="D118" i="68"/>
  <c r="G124" i="70"/>
  <c r="E125" i="70"/>
  <c r="D125" i="70"/>
  <c r="B116" i="81"/>
  <c r="F116" i="81"/>
  <c r="E119" i="63"/>
  <c r="G118" i="63"/>
  <c r="D119" i="63"/>
  <c r="G123" i="32"/>
  <c r="D124" i="32"/>
  <c r="E124" i="32"/>
  <c r="J117" i="60"/>
  <c r="E124" i="31"/>
  <c r="D124" i="31"/>
  <c r="G123" i="31"/>
  <c r="B123" i="22"/>
  <c r="F123" i="22"/>
  <c r="D125" i="69"/>
  <c r="G124" i="69"/>
  <c r="E125" i="69"/>
  <c r="E122" i="43"/>
  <c r="D122" i="43"/>
  <c r="G121" i="43"/>
  <c r="J113" i="88"/>
  <c r="J116" i="66"/>
  <c r="J123" i="30"/>
  <c r="J113" i="92"/>
  <c r="E118" i="66"/>
  <c r="D118" i="66"/>
  <c r="G117" i="66"/>
  <c r="I121" i="41"/>
  <c r="H121" i="41"/>
  <c r="I115" i="81"/>
  <c r="H115" i="81"/>
  <c r="B122" i="73"/>
  <c r="F122" i="73"/>
  <c r="D115" i="86"/>
  <c r="G114" i="86"/>
  <c r="E115" i="86"/>
  <c r="H114" i="89"/>
  <c r="I114" i="89"/>
  <c r="D120" i="72"/>
  <c r="E120" i="72"/>
  <c r="G119" i="72"/>
  <c r="E125" i="27"/>
  <c r="G124" i="27"/>
  <c r="D125" i="27"/>
  <c r="D115" i="92"/>
  <c r="E115" i="92"/>
  <c r="G114" i="92"/>
  <c r="D115" i="84"/>
  <c r="G114" i="84"/>
  <c r="E115" i="84"/>
  <c r="H122" i="22"/>
  <c r="I122" i="22"/>
  <c r="E119" i="64"/>
  <c r="G118" i="64"/>
  <c r="D119" i="64"/>
  <c r="D120" i="58"/>
  <c r="E120" i="58"/>
  <c r="G119" i="58"/>
  <c r="J117" i="61"/>
  <c r="J115" i="79"/>
  <c r="F121" i="45"/>
  <c r="B121" i="45"/>
  <c r="H118" i="62"/>
  <c r="I118" i="62"/>
  <c r="D115" i="88"/>
  <c r="G114" i="88"/>
  <c r="E115" i="88"/>
  <c r="D121" i="74"/>
  <c r="G120" i="74"/>
  <c r="E121" i="74"/>
  <c r="D125" i="30"/>
  <c r="G124" i="30"/>
  <c r="E125" i="30"/>
  <c r="B122" i="41"/>
  <c r="F122" i="41"/>
  <c r="I121" i="73"/>
  <c r="H121" i="73"/>
  <c r="F115" i="89"/>
  <c r="B115" i="89"/>
  <c r="J120" i="43"/>
  <c r="J123" i="29"/>
  <c r="B115" i="91"/>
  <c r="F115" i="91"/>
  <c r="E117" i="78"/>
  <c r="D117" i="78"/>
  <c r="G116" i="78"/>
  <c r="J113" i="90"/>
  <c r="G118" i="65"/>
  <c r="D119" i="65"/>
  <c r="E119" i="65"/>
  <c r="J113" i="86"/>
  <c r="D123" i="20"/>
  <c r="G122" i="20"/>
  <c r="E123" i="20"/>
  <c r="J123" i="27"/>
  <c r="E115" i="90"/>
  <c r="G114" i="90"/>
  <c r="D115" i="90"/>
  <c r="J117" i="65"/>
  <c r="J113" i="87"/>
  <c r="J122" i="17"/>
  <c r="J133" i="35"/>
  <c r="F121" i="56"/>
  <c r="B121" i="56"/>
  <c r="J122" i="18"/>
  <c r="D124" i="18"/>
  <c r="E124" i="18"/>
  <c r="G123" i="18"/>
  <c r="J114" i="95"/>
  <c r="J119" i="57"/>
  <c r="H120" i="56"/>
  <c r="I120" i="56"/>
  <c r="D120" i="59"/>
  <c r="G119" i="59"/>
  <c r="E120" i="59"/>
  <c r="D125" i="23"/>
  <c r="E125" i="23"/>
  <c r="G124" i="23"/>
  <c r="J113" i="96"/>
  <c r="G124" i="71"/>
  <c r="D125" i="71"/>
  <c r="E125" i="71"/>
  <c r="G120" i="57"/>
  <c r="D121" i="57"/>
  <c r="E121" i="57"/>
  <c r="J121" i="3"/>
  <c r="J114" i="82"/>
  <c r="J123" i="71"/>
  <c r="H122" i="21"/>
  <c r="I122" i="21"/>
  <c r="I119" i="54"/>
  <c r="H119" i="54"/>
  <c r="F120" i="55"/>
  <c r="B120" i="55"/>
  <c r="F116" i="80"/>
  <c r="B116" i="80"/>
  <c r="D122" i="44"/>
  <c r="G121" i="44"/>
  <c r="E122" i="44"/>
  <c r="F117" i="75"/>
  <c r="B117" i="75"/>
  <c r="D116" i="95"/>
  <c r="E116" i="95" s="1"/>
  <c r="G115" i="95"/>
  <c r="B124" i="24"/>
  <c r="F124" i="24"/>
  <c r="B114" i="13"/>
  <c r="B115" i="93"/>
  <c r="D115" i="87"/>
  <c r="G114" i="87"/>
  <c r="E115" i="87"/>
  <c r="H121" i="42"/>
  <c r="I121" i="42"/>
  <c r="E124" i="17"/>
  <c r="G123" i="17"/>
  <c r="D124" i="17"/>
  <c r="B120" i="54"/>
  <c r="F120" i="54"/>
  <c r="H119" i="55"/>
  <c r="I119" i="55"/>
  <c r="F117" i="77"/>
  <c r="B117" i="77"/>
  <c r="F116" i="83"/>
  <c r="B116" i="83"/>
  <c r="B115" i="25"/>
  <c r="F115" i="25"/>
  <c r="I113" i="13"/>
  <c r="H113" i="13"/>
  <c r="I114" i="93"/>
  <c r="H114" i="93"/>
  <c r="B114" i="33"/>
  <c r="F114" i="33"/>
  <c r="F123" i="21"/>
  <c r="B123" i="21"/>
  <c r="I116" i="76"/>
  <c r="H116" i="76"/>
  <c r="H115" i="80"/>
  <c r="I115" i="80"/>
  <c r="I116" i="75"/>
  <c r="H116" i="75"/>
  <c r="D123" i="3"/>
  <c r="G122" i="3"/>
  <c r="E123" i="3"/>
  <c r="G115" i="82"/>
  <c r="D116" i="82"/>
  <c r="E116" i="82"/>
  <c r="I115" i="83"/>
  <c r="H115" i="83"/>
  <c r="I123" i="24"/>
  <c r="H123" i="24"/>
  <c r="H114" i="25"/>
  <c r="I114" i="25"/>
  <c r="G117" i="67"/>
  <c r="D118" i="67"/>
  <c r="E118" i="67"/>
  <c r="G135" i="35"/>
  <c r="B136" i="35"/>
  <c r="E136" i="35"/>
  <c r="F136" i="35" s="1"/>
  <c r="D126" i="28"/>
  <c r="G125" i="28"/>
  <c r="E126" i="28"/>
  <c r="D115" i="96"/>
  <c r="E115" i="96" s="1"/>
  <c r="G114" i="96"/>
  <c r="I113" i="33"/>
  <c r="H113" i="33"/>
  <c r="B122" i="42"/>
  <c r="F122" i="42"/>
  <c r="F117" i="76"/>
  <c r="B117" i="76"/>
  <c r="I116" i="77"/>
  <c r="H116" i="77"/>
  <c r="E114" i="13"/>
  <c r="F114" i="13" s="1"/>
  <c r="H134" i="35"/>
  <c r="I134" i="35"/>
  <c r="E115" i="93"/>
  <c r="F115" i="93" s="1"/>
  <c r="G37" i="99" l="1"/>
  <c r="I39" i="97"/>
  <c r="G40" i="97"/>
  <c r="E38" i="99"/>
  <c r="F38" i="99" s="1"/>
  <c r="B38" i="99"/>
  <c r="I34" i="98"/>
  <c r="F35" i="98"/>
  <c r="B35" i="98"/>
  <c r="E41" i="97"/>
  <c r="F41" i="97" s="1"/>
  <c r="D42" i="97" s="1"/>
  <c r="B41" i="97"/>
  <c r="H37" i="99"/>
  <c r="I37" i="99" s="1"/>
  <c r="H40" i="97"/>
  <c r="J113" i="99"/>
  <c r="H34" i="95"/>
  <c r="D115" i="99"/>
  <c r="G114" i="99"/>
  <c r="E115" i="99"/>
  <c r="I35" i="84"/>
  <c r="I43" i="24"/>
  <c r="J114" i="26"/>
  <c r="B115" i="97"/>
  <c r="F115" i="97"/>
  <c r="H114" i="98"/>
  <c r="I114" i="98"/>
  <c r="I114" i="97"/>
  <c r="H114" i="97"/>
  <c r="F115" i="98"/>
  <c r="B115" i="98"/>
  <c r="G115" i="26"/>
  <c r="D116" i="26"/>
  <c r="I34" i="95"/>
  <c r="F39" i="67"/>
  <c r="G39" i="67" s="1"/>
  <c r="B39" i="67"/>
  <c r="B40" i="46"/>
  <c r="F40" i="46"/>
  <c r="G40" i="46" s="1"/>
  <c r="F44" i="24"/>
  <c r="H44" i="24" s="1"/>
  <c r="B44" i="24"/>
  <c r="I35" i="91"/>
  <c r="E38" i="82"/>
  <c r="D38" i="82"/>
  <c r="F35" i="94"/>
  <c r="G35" i="94" s="1"/>
  <c r="B35" i="94"/>
  <c r="H35" i="26"/>
  <c r="I35" i="26" s="1"/>
  <c r="F34" i="93"/>
  <c r="H34" i="93" s="1"/>
  <c r="B34" i="93"/>
  <c r="H36" i="88"/>
  <c r="I36" i="88" s="1"/>
  <c r="H37" i="82"/>
  <c r="I37" i="82" s="1"/>
  <c r="H36" i="86"/>
  <c r="D37" i="86"/>
  <c r="G36" i="86"/>
  <c r="E37" i="86"/>
  <c r="B37" i="80"/>
  <c r="F37" i="80"/>
  <c r="G37" i="80" s="1"/>
  <c r="D36" i="25"/>
  <c r="H35" i="25"/>
  <c r="G35" i="25"/>
  <c r="F40" i="53"/>
  <c r="G40" i="53" s="1"/>
  <c r="B40" i="53"/>
  <c r="D39" i="65"/>
  <c r="E39" i="65"/>
  <c r="F36" i="84"/>
  <c r="H36" i="84" s="1"/>
  <c r="B36" i="84"/>
  <c r="D42" i="55"/>
  <c r="E42" i="55"/>
  <c r="F45" i="23"/>
  <c r="H45" i="23" s="1"/>
  <c r="B45" i="23"/>
  <c r="E115" i="94"/>
  <c r="F115" i="94" s="1"/>
  <c r="B115" i="94"/>
  <c r="B39" i="66"/>
  <c r="F39" i="66"/>
  <c r="H39" i="66" s="1"/>
  <c r="B36" i="91"/>
  <c r="F36" i="91"/>
  <c r="G36" i="91" s="1"/>
  <c r="H38" i="65"/>
  <c r="E38" i="75"/>
  <c r="D38" i="75"/>
  <c r="E43" i="42"/>
  <c r="D43" i="42"/>
  <c r="H114" i="94"/>
  <c r="I114" i="94"/>
  <c r="B37" i="90"/>
  <c r="F37" i="90"/>
  <c r="G38" i="65"/>
  <c r="G41" i="58"/>
  <c r="H41" i="58"/>
  <c r="E42" i="58"/>
  <c r="D42" i="58"/>
  <c r="H37" i="75"/>
  <c r="I37" i="75" s="1"/>
  <c r="H42" i="42"/>
  <c r="I42" i="42" s="1"/>
  <c r="H41" i="55"/>
  <c r="I41" i="55" s="1"/>
  <c r="H35" i="87"/>
  <c r="I35" i="87" s="1"/>
  <c r="F34" i="96"/>
  <c r="B34" i="96"/>
  <c r="I44" i="27"/>
  <c r="F37" i="76"/>
  <c r="H37" i="76" s="1"/>
  <c r="B37" i="76"/>
  <c r="F43" i="22"/>
  <c r="B43" i="22"/>
  <c r="B39" i="61"/>
  <c r="F39" i="61"/>
  <c r="G39" i="61" s="1"/>
  <c r="H36" i="85"/>
  <c r="I36" i="85" s="1"/>
  <c r="E37" i="85"/>
  <c r="D37" i="85"/>
  <c r="H35" i="83"/>
  <c r="G46" i="28"/>
  <c r="I46" i="28" s="1"/>
  <c r="B36" i="81"/>
  <c r="F36" i="81"/>
  <c r="G36" i="81" s="1"/>
  <c r="H40" i="72"/>
  <c r="I40" i="72" s="1"/>
  <c r="D41" i="72"/>
  <c r="E41" i="72"/>
  <c r="G42" i="39"/>
  <c r="I42" i="39" s="1"/>
  <c r="E43" i="39"/>
  <c r="D43" i="39"/>
  <c r="F45" i="27"/>
  <c r="B45" i="27"/>
  <c r="F42" i="44"/>
  <c r="H42" i="44" s="1"/>
  <c r="B42" i="44"/>
  <c r="E35" i="95"/>
  <c r="D35" i="95"/>
  <c r="H39" i="56"/>
  <c r="E40" i="56"/>
  <c r="D40" i="56"/>
  <c r="F37" i="78"/>
  <c r="G37" i="78" s="1"/>
  <c r="B37" i="78"/>
  <c r="D46" i="31"/>
  <c r="E46" i="31"/>
  <c r="B43" i="21"/>
  <c r="F43" i="21"/>
  <c r="H43" i="21" s="1"/>
  <c r="G34" i="13"/>
  <c r="I34" i="13" s="1"/>
  <c r="B35" i="92"/>
  <c r="F35" i="92"/>
  <c r="H35" i="92" s="1"/>
  <c r="E44" i="19"/>
  <c r="D44" i="19"/>
  <c r="F43" i="43"/>
  <c r="H43" i="43" s="1"/>
  <c r="B43" i="43"/>
  <c r="B35" i="89"/>
  <c r="F35" i="89"/>
  <c r="G35" i="89" s="1"/>
  <c r="G41" i="45"/>
  <c r="I41" i="45" s="1"/>
  <c r="E42" i="45"/>
  <c r="D42" i="45"/>
  <c r="D36" i="83"/>
  <c r="E36" i="83"/>
  <c r="H45" i="31"/>
  <c r="E46" i="69"/>
  <c r="D46" i="69"/>
  <c r="D45" i="71"/>
  <c r="E45" i="71"/>
  <c r="B43" i="41"/>
  <c r="F43" i="41"/>
  <c r="H44" i="34"/>
  <c r="D45" i="34"/>
  <c r="E45" i="34"/>
  <c r="F42" i="74"/>
  <c r="H42" i="74" s="1"/>
  <c r="B42" i="74"/>
  <c r="H42" i="20"/>
  <c r="I42" i="20" s="1"/>
  <c r="F43" i="17"/>
  <c r="B43" i="17"/>
  <c r="C52" i="17"/>
  <c r="G43" i="19"/>
  <c r="G44" i="34"/>
  <c r="E37" i="88"/>
  <c r="D37" i="88"/>
  <c r="G45" i="31"/>
  <c r="I42" i="41"/>
  <c r="D44" i="3"/>
  <c r="E44" i="3"/>
  <c r="H44" i="30"/>
  <c r="I44" i="30" s="1"/>
  <c r="E45" i="30"/>
  <c r="D45" i="30"/>
  <c r="B45" i="29"/>
  <c r="F45" i="29"/>
  <c r="F39" i="63"/>
  <c r="H39" i="63" s="1"/>
  <c r="B39" i="63"/>
  <c r="F40" i="54"/>
  <c r="H40" i="54" s="1"/>
  <c r="B40" i="54"/>
  <c r="F45" i="70"/>
  <c r="H45" i="70" s="1"/>
  <c r="B45" i="70"/>
  <c r="B39" i="60"/>
  <c r="F39" i="60"/>
  <c r="H39" i="60" s="1"/>
  <c r="G39" i="64"/>
  <c r="I39" i="64" s="1"/>
  <c r="E40" i="64"/>
  <c r="D40" i="64"/>
  <c r="G39" i="56"/>
  <c r="G38" i="68"/>
  <c r="I38" i="68" s="1"/>
  <c r="D39" i="68"/>
  <c r="E39" i="68"/>
  <c r="H43" i="19"/>
  <c r="I43" i="19" s="1"/>
  <c r="B37" i="77"/>
  <c r="F37" i="77"/>
  <c r="H37" i="77" s="1"/>
  <c r="B37" i="79"/>
  <c r="F37" i="79"/>
  <c r="G37" i="79" s="1"/>
  <c r="I35" i="83"/>
  <c r="F44" i="32"/>
  <c r="B44" i="32"/>
  <c r="B40" i="57"/>
  <c r="F40" i="57"/>
  <c r="H40" i="57" s="1"/>
  <c r="H43" i="3"/>
  <c r="I43" i="3" s="1"/>
  <c r="E47" i="28"/>
  <c r="D47" i="28"/>
  <c r="G45" i="69"/>
  <c r="I45" i="69" s="1"/>
  <c r="H44" i="71"/>
  <c r="I44" i="71" s="1"/>
  <c r="B42" i="73"/>
  <c r="F42" i="73"/>
  <c r="H42" i="73" s="1"/>
  <c r="J121" i="73"/>
  <c r="J114" i="91"/>
  <c r="J120" i="45"/>
  <c r="J114" i="25"/>
  <c r="J114" i="89"/>
  <c r="J121" i="41"/>
  <c r="E36" i="87"/>
  <c r="D36" i="87"/>
  <c r="I52" i="35"/>
  <c r="F39" i="59"/>
  <c r="B39" i="59"/>
  <c r="D39" i="62"/>
  <c r="E39" i="62"/>
  <c r="H36" i="33"/>
  <c r="I36" i="33" s="1"/>
  <c r="B54" i="35"/>
  <c r="H53" i="35"/>
  <c r="G53" i="35"/>
  <c r="E54" i="35"/>
  <c r="F54" i="35" s="1"/>
  <c r="J120" i="56"/>
  <c r="D36" i="26"/>
  <c r="E36" i="26" s="1"/>
  <c r="D35" i="13"/>
  <c r="B44" i="18"/>
  <c r="F44" i="18"/>
  <c r="H44" i="18" s="1"/>
  <c r="E43" i="20"/>
  <c r="D43" i="20"/>
  <c r="G38" i="62"/>
  <c r="D37" i="33"/>
  <c r="E37" i="33" s="1"/>
  <c r="H38" i="62"/>
  <c r="E116" i="91"/>
  <c r="D116" i="91"/>
  <c r="G115" i="91"/>
  <c r="G122" i="41"/>
  <c r="D123" i="41"/>
  <c r="E123" i="41"/>
  <c r="B125" i="30"/>
  <c r="F125" i="30"/>
  <c r="F119" i="64"/>
  <c r="B119" i="64"/>
  <c r="J122" i="22"/>
  <c r="B115" i="84"/>
  <c r="F115" i="84"/>
  <c r="B125" i="27"/>
  <c r="F125" i="27"/>
  <c r="H121" i="43"/>
  <c r="I121" i="43"/>
  <c r="I124" i="69"/>
  <c r="H124" i="69"/>
  <c r="H123" i="31"/>
  <c r="I123" i="31"/>
  <c r="H118" i="63"/>
  <c r="I118" i="63"/>
  <c r="B125" i="70"/>
  <c r="F125" i="70"/>
  <c r="I121" i="39"/>
  <c r="H121" i="39"/>
  <c r="B119" i="61"/>
  <c r="F119" i="61"/>
  <c r="B123" i="34"/>
  <c r="F123" i="34"/>
  <c r="B115" i="90"/>
  <c r="F115" i="90"/>
  <c r="I116" i="78"/>
  <c r="H116" i="78"/>
  <c r="D116" i="89"/>
  <c r="G115" i="89"/>
  <c r="E116" i="89"/>
  <c r="I114" i="88"/>
  <c r="H114" i="88"/>
  <c r="I119" i="58"/>
  <c r="H119" i="58"/>
  <c r="I118" i="64"/>
  <c r="H118" i="64"/>
  <c r="H114" i="92"/>
  <c r="I114" i="92"/>
  <c r="H124" i="27"/>
  <c r="I124" i="27"/>
  <c r="B120" i="72"/>
  <c r="F120" i="72"/>
  <c r="I114" i="86"/>
  <c r="H114" i="86"/>
  <c r="H117" i="66"/>
  <c r="I117" i="66"/>
  <c r="B122" i="43"/>
  <c r="F122" i="43"/>
  <c r="F125" i="69"/>
  <c r="B125" i="69"/>
  <c r="F124" i="31"/>
  <c r="B124" i="31"/>
  <c r="B124" i="32"/>
  <c r="F124" i="32"/>
  <c r="I117" i="68"/>
  <c r="H117" i="68"/>
  <c r="B120" i="46"/>
  <c r="F120" i="46"/>
  <c r="I118" i="61"/>
  <c r="H118" i="61"/>
  <c r="F119" i="60"/>
  <c r="B119" i="60"/>
  <c r="I119" i="53"/>
  <c r="H119" i="53"/>
  <c r="H115" i="85"/>
  <c r="I115" i="85"/>
  <c r="H114" i="90"/>
  <c r="I114" i="90"/>
  <c r="I122" i="20"/>
  <c r="H122" i="20"/>
  <c r="F119" i="65"/>
  <c r="B119" i="65"/>
  <c r="F117" i="78"/>
  <c r="B117" i="78"/>
  <c r="H120" i="74"/>
  <c r="I120" i="74"/>
  <c r="F115" i="88"/>
  <c r="B115" i="88"/>
  <c r="E122" i="45"/>
  <c r="G121" i="45"/>
  <c r="D122" i="45"/>
  <c r="B115" i="86"/>
  <c r="F115" i="86"/>
  <c r="J115" i="81"/>
  <c r="F118" i="66"/>
  <c r="B118" i="66"/>
  <c r="E124" i="22"/>
  <c r="D124" i="22"/>
  <c r="G123" i="22"/>
  <c r="H123" i="32"/>
  <c r="I123" i="32"/>
  <c r="E117" i="81"/>
  <c r="D117" i="81"/>
  <c r="G116" i="81"/>
  <c r="H124" i="70"/>
  <c r="I124" i="70"/>
  <c r="I116" i="79"/>
  <c r="H116" i="79"/>
  <c r="G119" i="62"/>
  <c r="D120" i="62"/>
  <c r="E120" i="62"/>
  <c r="I124" i="29"/>
  <c r="H124" i="29"/>
  <c r="B123" i="19"/>
  <c r="F123" i="19"/>
  <c r="I122" i="34"/>
  <c r="H122" i="34"/>
  <c r="B120" i="53"/>
  <c r="F120" i="53"/>
  <c r="B116" i="85"/>
  <c r="F116" i="85"/>
  <c r="J116" i="75"/>
  <c r="F123" i="20"/>
  <c r="B123" i="20"/>
  <c r="H118" i="65"/>
  <c r="I118" i="65"/>
  <c r="I124" i="30"/>
  <c r="H124" i="30"/>
  <c r="B121" i="74"/>
  <c r="F121" i="74"/>
  <c r="J118" i="62"/>
  <c r="F120" i="58"/>
  <c r="B120" i="58"/>
  <c r="I114" i="84"/>
  <c r="H114" i="84"/>
  <c r="B115" i="92"/>
  <c r="F115" i="92"/>
  <c r="H119" i="72"/>
  <c r="I119" i="72"/>
  <c r="D123" i="73"/>
  <c r="G122" i="73"/>
  <c r="E123" i="73"/>
  <c r="B119" i="63"/>
  <c r="F119" i="63"/>
  <c r="B118" i="68"/>
  <c r="F118" i="68"/>
  <c r="B117" i="79"/>
  <c r="F117" i="79"/>
  <c r="B125" i="29"/>
  <c r="F125" i="29"/>
  <c r="I119" i="46"/>
  <c r="H119" i="46"/>
  <c r="F122" i="39"/>
  <c r="B122" i="39"/>
  <c r="I122" i="19"/>
  <c r="H122" i="19"/>
  <c r="H118" i="60"/>
  <c r="I118" i="60"/>
  <c r="J113" i="13"/>
  <c r="F125" i="23"/>
  <c r="B125" i="23"/>
  <c r="B120" i="59"/>
  <c r="F120" i="59"/>
  <c r="E122" i="56"/>
  <c r="D122" i="56"/>
  <c r="G121" i="56"/>
  <c r="I123" i="18"/>
  <c r="H123" i="18"/>
  <c r="H124" i="23"/>
  <c r="I124" i="23"/>
  <c r="I119" i="59"/>
  <c r="H119" i="59"/>
  <c r="F124" i="18"/>
  <c r="B124" i="18"/>
  <c r="H124" i="71"/>
  <c r="I124" i="71"/>
  <c r="J115" i="80"/>
  <c r="J121" i="42"/>
  <c r="F121" i="57"/>
  <c r="B121" i="57"/>
  <c r="J113" i="33"/>
  <c r="H120" i="57"/>
  <c r="I120" i="57"/>
  <c r="B125" i="71"/>
  <c r="F125" i="71"/>
  <c r="G115" i="93"/>
  <c r="D116" i="93"/>
  <c r="G114" i="13"/>
  <c r="D115" i="13"/>
  <c r="E115" i="13" s="1"/>
  <c r="J134" i="35"/>
  <c r="B115" i="96"/>
  <c r="F115" i="96"/>
  <c r="H125" i="28"/>
  <c r="I125" i="28"/>
  <c r="I135" i="35"/>
  <c r="H135" i="35"/>
  <c r="H115" i="82"/>
  <c r="I115" i="82"/>
  <c r="H122" i="3"/>
  <c r="I122" i="3"/>
  <c r="D115" i="33"/>
  <c r="E115" i="33" s="1"/>
  <c r="G114" i="33"/>
  <c r="G115" i="25"/>
  <c r="D116" i="25"/>
  <c r="E116" i="25" s="1"/>
  <c r="G116" i="83"/>
  <c r="E117" i="83"/>
  <c r="D117" i="83"/>
  <c r="D118" i="77"/>
  <c r="E118" i="77"/>
  <c r="G117" i="77"/>
  <c r="E121" i="55"/>
  <c r="D121" i="55"/>
  <c r="G120" i="55"/>
  <c r="B126" i="28"/>
  <c r="F126" i="28"/>
  <c r="B118" i="67"/>
  <c r="F118" i="67"/>
  <c r="J115" i="83"/>
  <c r="F123" i="3"/>
  <c r="B123" i="3"/>
  <c r="D124" i="21"/>
  <c r="G123" i="21"/>
  <c r="E124" i="21"/>
  <c r="J119" i="55"/>
  <c r="H115" i="95"/>
  <c r="I115" i="95"/>
  <c r="G116" i="80"/>
  <c r="D117" i="80"/>
  <c r="E117" i="80"/>
  <c r="J119" i="54"/>
  <c r="D123" i="42"/>
  <c r="E123" i="42"/>
  <c r="G122" i="42"/>
  <c r="H114" i="96"/>
  <c r="I114" i="96"/>
  <c r="E137" i="35"/>
  <c r="F137" i="35" s="1"/>
  <c r="B137" i="35"/>
  <c r="G136" i="35"/>
  <c r="I117" i="67"/>
  <c r="H117" i="67"/>
  <c r="G120" i="54"/>
  <c r="E121" i="54"/>
  <c r="D121" i="54"/>
  <c r="B124" i="17"/>
  <c r="F124" i="17"/>
  <c r="I114" i="87"/>
  <c r="H114" i="87"/>
  <c r="E125" i="24"/>
  <c r="D125" i="24"/>
  <c r="G124" i="24"/>
  <c r="E118" i="75"/>
  <c r="D118" i="75"/>
  <c r="G117" i="75"/>
  <c r="I121" i="44"/>
  <c r="H121" i="44"/>
  <c r="J116" i="77"/>
  <c r="G117" i="76"/>
  <c r="D118" i="76"/>
  <c r="E118" i="76"/>
  <c r="J123" i="24"/>
  <c r="B116" i="82"/>
  <c r="F116" i="82"/>
  <c r="J116" i="76"/>
  <c r="J114" i="93"/>
  <c r="I123" i="17"/>
  <c r="H123" i="17"/>
  <c r="B115" i="87"/>
  <c r="F115" i="87"/>
  <c r="B116" i="95"/>
  <c r="F116" i="95"/>
  <c r="B122" i="44"/>
  <c r="F122" i="44"/>
  <c r="J122" i="21"/>
  <c r="I40" i="97" l="1"/>
  <c r="D39" i="99"/>
  <c r="E39" i="99"/>
  <c r="H38" i="99"/>
  <c r="G38" i="99"/>
  <c r="E42" i="97"/>
  <c r="F42" i="97" s="1"/>
  <c r="B42" i="97"/>
  <c r="H41" i="97"/>
  <c r="D36" i="98"/>
  <c r="E36" i="98"/>
  <c r="G41" i="97"/>
  <c r="H35" i="98"/>
  <c r="G35" i="98"/>
  <c r="I38" i="65"/>
  <c r="H114" i="99"/>
  <c r="I114" i="99"/>
  <c r="F115" i="99"/>
  <c r="B115" i="99"/>
  <c r="J114" i="97"/>
  <c r="J114" i="98"/>
  <c r="D116" i="98"/>
  <c r="G115" i="98"/>
  <c r="E116" i="98"/>
  <c r="B116" i="26"/>
  <c r="E116" i="26"/>
  <c r="F116" i="26" s="1"/>
  <c r="D116" i="97"/>
  <c r="E116" i="97" s="1"/>
  <c r="G115" i="97"/>
  <c r="H115" i="26"/>
  <c r="I115" i="26"/>
  <c r="G35" i="92"/>
  <c r="G37" i="76"/>
  <c r="I37" i="76" s="1"/>
  <c r="G42" i="74"/>
  <c r="I42" i="74" s="1"/>
  <c r="H39" i="67"/>
  <c r="I39" i="67" s="1"/>
  <c r="E40" i="67"/>
  <c r="D40" i="67"/>
  <c r="I41" i="58"/>
  <c r="H40" i="46"/>
  <c r="I40" i="46" s="1"/>
  <c r="E41" i="46"/>
  <c r="D41" i="46"/>
  <c r="G44" i="24"/>
  <c r="I44" i="24" s="1"/>
  <c r="D45" i="24"/>
  <c r="E45" i="24"/>
  <c r="G44" i="18"/>
  <c r="J114" i="94"/>
  <c r="D36" i="94"/>
  <c r="E36" i="94"/>
  <c r="H37" i="80"/>
  <c r="I37" i="80" s="1"/>
  <c r="E38" i="80"/>
  <c r="D38" i="80"/>
  <c r="F37" i="86"/>
  <c r="G37" i="86" s="1"/>
  <c r="B37" i="86"/>
  <c r="B38" i="82"/>
  <c r="F38" i="82"/>
  <c r="G40" i="57"/>
  <c r="I40" i="57" s="1"/>
  <c r="I35" i="25"/>
  <c r="I36" i="86"/>
  <c r="H35" i="94"/>
  <c r="I35" i="94" s="1"/>
  <c r="E36" i="25"/>
  <c r="F36" i="25" s="1"/>
  <c r="B36" i="25"/>
  <c r="G34" i="93"/>
  <c r="I34" i="93" s="1"/>
  <c r="E35" i="93"/>
  <c r="D35" i="93"/>
  <c r="F38" i="75"/>
  <c r="H38" i="75" s="1"/>
  <c r="B38" i="75"/>
  <c r="D116" i="94"/>
  <c r="B116" i="94" s="1"/>
  <c r="G115" i="94"/>
  <c r="G45" i="23"/>
  <c r="I45" i="23" s="1"/>
  <c r="E46" i="23"/>
  <c r="D46" i="23"/>
  <c r="D38" i="90"/>
  <c r="E38" i="90"/>
  <c r="E116" i="94"/>
  <c r="H37" i="90"/>
  <c r="F43" i="42"/>
  <c r="H43" i="42" s="1"/>
  <c r="B43" i="42"/>
  <c r="G39" i="66"/>
  <c r="I39" i="66" s="1"/>
  <c r="D40" i="66"/>
  <c r="E40" i="66"/>
  <c r="B42" i="55"/>
  <c r="F42" i="55"/>
  <c r="H42" i="55" s="1"/>
  <c r="E37" i="84"/>
  <c r="D37" i="84"/>
  <c r="F39" i="65"/>
  <c r="H39" i="65" s="1"/>
  <c r="B39" i="65"/>
  <c r="B42" i="58"/>
  <c r="F42" i="58"/>
  <c r="G37" i="90"/>
  <c r="H36" i="91"/>
  <c r="I36" i="91" s="1"/>
  <c r="D37" i="91"/>
  <c r="E37" i="91"/>
  <c r="G36" i="84"/>
  <c r="I36" i="84" s="1"/>
  <c r="H40" i="53"/>
  <c r="I40" i="53" s="1"/>
  <c r="D41" i="53"/>
  <c r="E41" i="53"/>
  <c r="D43" i="44"/>
  <c r="E43" i="44"/>
  <c r="E44" i="22"/>
  <c r="D44" i="22"/>
  <c r="E35" i="96"/>
  <c r="D35" i="96"/>
  <c r="I38" i="62"/>
  <c r="G45" i="70"/>
  <c r="G40" i="54"/>
  <c r="H35" i="89"/>
  <c r="I35" i="89" s="1"/>
  <c r="G42" i="44"/>
  <c r="I42" i="44" s="1"/>
  <c r="G34" i="96"/>
  <c r="H45" i="27"/>
  <c r="D46" i="27"/>
  <c r="E46" i="27"/>
  <c r="G45" i="27"/>
  <c r="H36" i="81"/>
  <c r="I36" i="81" s="1"/>
  <c r="D37" i="81"/>
  <c r="E37" i="81"/>
  <c r="H39" i="61"/>
  <c r="I39" i="61" s="1"/>
  <c r="D40" i="61"/>
  <c r="E40" i="61"/>
  <c r="H43" i="22"/>
  <c r="F35" i="95"/>
  <c r="B35" i="95"/>
  <c r="B43" i="39"/>
  <c r="F43" i="39"/>
  <c r="G43" i="39" s="1"/>
  <c r="B41" i="72"/>
  <c r="F41" i="72"/>
  <c r="G41" i="72" s="1"/>
  <c r="B37" i="85"/>
  <c r="F37" i="85"/>
  <c r="G43" i="22"/>
  <c r="E38" i="76"/>
  <c r="D38" i="76"/>
  <c r="H34" i="96"/>
  <c r="I34" i="96" s="1"/>
  <c r="G42" i="73"/>
  <c r="I42" i="73" s="1"/>
  <c r="G39" i="60"/>
  <c r="I39" i="60" s="1"/>
  <c r="H45" i="29"/>
  <c r="D46" i="29"/>
  <c r="E46" i="29"/>
  <c r="H43" i="17"/>
  <c r="E44" i="17"/>
  <c r="D44" i="17"/>
  <c r="E44" i="41"/>
  <c r="D44" i="41"/>
  <c r="B45" i="71"/>
  <c r="F45" i="71"/>
  <c r="B42" i="45"/>
  <c r="F42" i="45"/>
  <c r="H42" i="45" s="1"/>
  <c r="I39" i="56"/>
  <c r="E41" i="57"/>
  <c r="D41" i="57"/>
  <c r="H44" i="32"/>
  <c r="E45" i="32"/>
  <c r="D45" i="32"/>
  <c r="D38" i="79"/>
  <c r="E38" i="79"/>
  <c r="F40" i="64"/>
  <c r="G40" i="64" s="1"/>
  <c r="B40" i="64"/>
  <c r="I45" i="70"/>
  <c r="I40" i="54"/>
  <c r="F37" i="88"/>
  <c r="H37" i="88" s="1"/>
  <c r="B37" i="88"/>
  <c r="G43" i="17"/>
  <c r="F46" i="69"/>
  <c r="B46" i="69"/>
  <c r="I45" i="31"/>
  <c r="I35" i="92"/>
  <c r="F46" i="31"/>
  <c r="H46" i="31" s="1"/>
  <c r="B46" i="31"/>
  <c r="D43" i="73"/>
  <c r="E43" i="73"/>
  <c r="F39" i="68"/>
  <c r="H39" i="68" s="1"/>
  <c r="B39" i="68"/>
  <c r="E40" i="60"/>
  <c r="D40" i="60"/>
  <c r="G39" i="63"/>
  <c r="I39" i="63" s="1"/>
  <c r="E40" i="63"/>
  <c r="D40" i="63"/>
  <c r="B45" i="30"/>
  <c r="F45" i="30"/>
  <c r="G45" i="30" s="1"/>
  <c r="B44" i="3"/>
  <c r="F44" i="3"/>
  <c r="G44" i="3" s="1"/>
  <c r="D43" i="74"/>
  <c r="E43" i="74"/>
  <c r="F45" i="34"/>
  <c r="H45" i="34" s="1"/>
  <c r="B45" i="34"/>
  <c r="H43" i="41"/>
  <c r="G43" i="43"/>
  <c r="I43" i="43" s="1"/>
  <c r="E44" i="43"/>
  <c r="D44" i="43"/>
  <c r="D36" i="92"/>
  <c r="E36" i="92"/>
  <c r="G43" i="21"/>
  <c r="I43" i="21" s="1"/>
  <c r="E44" i="21"/>
  <c r="D44" i="21"/>
  <c r="D38" i="78"/>
  <c r="E38" i="78"/>
  <c r="B40" i="56"/>
  <c r="F40" i="56"/>
  <c r="H40" i="56" s="1"/>
  <c r="B47" i="28"/>
  <c r="F47" i="28"/>
  <c r="H47" i="28" s="1"/>
  <c r="G44" i="32"/>
  <c r="H37" i="79"/>
  <c r="I37" i="79" s="1"/>
  <c r="G37" i="77"/>
  <c r="I37" i="77" s="1"/>
  <c r="D38" i="77"/>
  <c r="E38" i="77"/>
  <c r="D46" i="70"/>
  <c r="E46" i="70"/>
  <c r="D41" i="54"/>
  <c r="E41" i="54"/>
  <c r="G45" i="29"/>
  <c r="I44" i="34"/>
  <c r="G43" i="41"/>
  <c r="B36" i="83"/>
  <c r="F36" i="83"/>
  <c r="G36" i="83" s="1"/>
  <c r="E36" i="89"/>
  <c r="D36" i="89"/>
  <c r="B44" i="19"/>
  <c r="F44" i="19"/>
  <c r="G44" i="19" s="1"/>
  <c r="H37" i="78"/>
  <c r="I37" i="78" s="1"/>
  <c r="J115" i="85"/>
  <c r="J114" i="92"/>
  <c r="J114" i="96"/>
  <c r="J117" i="66"/>
  <c r="J114" i="84"/>
  <c r="J125" i="28"/>
  <c r="B35" i="13"/>
  <c r="E40" i="59"/>
  <c r="D40" i="59"/>
  <c r="J119" i="59"/>
  <c r="J123" i="18"/>
  <c r="J122" i="34"/>
  <c r="J124" i="29"/>
  <c r="J116" i="78"/>
  <c r="J121" i="39"/>
  <c r="J124" i="69"/>
  <c r="F37" i="33"/>
  <c r="B37" i="33"/>
  <c r="E45" i="18"/>
  <c r="D45" i="18"/>
  <c r="I53" i="35"/>
  <c r="H39" i="59"/>
  <c r="J122" i="19"/>
  <c r="J119" i="46"/>
  <c r="J116" i="79"/>
  <c r="B43" i="20"/>
  <c r="F43" i="20"/>
  <c r="I44" i="18"/>
  <c r="B36" i="26"/>
  <c r="F36" i="26"/>
  <c r="H36" i="26" s="1"/>
  <c r="B39" i="62"/>
  <c r="F39" i="62"/>
  <c r="J118" i="65"/>
  <c r="J124" i="70"/>
  <c r="J120" i="74"/>
  <c r="J114" i="90"/>
  <c r="J124" i="27"/>
  <c r="E35" i="13"/>
  <c r="F35" i="13" s="1"/>
  <c r="H54" i="35"/>
  <c r="B55" i="35"/>
  <c r="G54" i="35"/>
  <c r="E55" i="35"/>
  <c r="F55" i="35" s="1"/>
  <c r="G39" i="59"/>
  <c r="B36" i="87"/>
  <c r="F36" i="87"/>
  <c r="G36" i="87" s="1"/>
  <c r="D123" i="39"/>
  <c r="G122" i="39"/>
  <c r="E123" i="39"/>
  <c r="D118" i="79"/>
  <c r="E118" i="79"/>
  <c r="G117" i="79"/>
  <c r="E120" i="63"/>
  <c r="D120" i="63"/>
  <c r="G119" i="63"/>
  <c r="B123" i="73"/>
  <c r="F123" i="73"/>
  <c r="E121" i="58"/>
  <c r="G120" i="58"/>
  <c r="D121" i="58"/>
  <c r="I116" i="81"/>
  <c r="H116" i="81"/>
  <c r="D121" i="46"/>
  <c r="E121" i="46"/>
  <c r="G120" i="46"/>
  <c r="D125" i="32"/>
  <c r="E125" i="32"/>
  <c r="G124" i="32"/>
  <c r="G120" i="72"/>
  <c r="E121" i="72"/>
  <c r="D121" i="72"/>
  <c r="G125" i="30"/>
  <c r="E126" i="30"/>
  <c r="D126" i="30"/>
  <c r="I122" i="41"/>
  <c r="H122" i="41"/>
  <c r="J119" i="72"/>
  <c r="J124" i="30"/>
  <c r="E124" i="20"/>
  <c r="D124" i="20"/>
  <c r="G123" i="20"/>
  <c r="E121" i="53"/>
  <c r="D121" i="53"/>
  <c r="G120" i="53"/>
  <c r="E124" i="19"/>
  <c r="G123" i="19"/>
  <c r="D124" i="19"/>
  <c r="F117" i="81"/>
  <c r="B117" i="81"/>
  <c r="H123" i="22"/>
  <c r="I123" i="22"/>
  <c r="E119" i="66"/>
  <c r="D119" i="66"/>
  <c r="G118" i="66"/>
  <c r="B122" i="45"/>
  <c r="F122" i="45"/>
  <c r="G115" i="88"/>
  <c r="E116" i="88"/>
  <c r="D116" i="88"/>
  <c r="D118" i="78"/>
  <c r="G117" i="78"/>
  <c r="E118" i="78"/>
  <c r="J122" i="20"/>
  <c r="E120" i="60"/>
  <c r="G119" i="60"/>
  <c r="D120" i="60"/>
  <c r="G125" i="69"/>
  <c r="E126" i="69"/>
  <c r="D126" i="69"/>
  <c r="J119" i="58"/>
  <c r="I115" i="89"/>
  <c r="H115" i="89"/>
  <c r="D116" i="90"/>
  <c r="G115" i="90"/>
  <c r="E116" i="90"/>
  <c r="E120" i="61"/>
  <c r="D120" i="61"/>
  <c r="G119" i="61"/>
  <c r="J118" i="63"/>
  <c r="D126" i="27"/>
  <c r="E126" i="27"/>
  <c r="G125" i="27"/>
  <c r="H115" i="91"/>
  <c r="I115" i="91"/>
  <c r="D126" i="29"/>
  <c r="E126" i="29"/>
  <c r="G125" i="29"/>
  <c r="G118" i="68"/>
  <c r="E119" i="68"/>
  <c r="D119" i="68"/>
  <c r="E122" i="74"/>
  <c r="D122" i="74"/>
  <c r="G121" i="74"/>
  <c r="B120" i="62"/>
  <c r="F120" i="62"/>
  <c r="B124" i="22"/>
  <c r="F124" i="22"/>
  <c r="I121" i="45"/>
  <c r="H121" i="45"/>
  <c r="D123" i="43"/>
  <c r="G122" i="43"/>
  <c r="E123" i="43"/>
  <c r="F116" i="89"/>
  <c r="B116" i="89"/>
  <c r="B116" i="91"/>
  <c r="F116" i="91"/>
  <c r="J118" i="60"/>
  <c r="H122" i="73"/>
  <c r="I122" i="73"/>
  <c r="G115" i="92"/>
  <c r="E116" i="92"/>
  <c r="D116" i="92"/>
  <c r="D117" i="85"/>
  <c r="E117" i="85"/>
  <c r="G116" i="85"/>
  <c r="H119" i="62"/>
  <c r="I119" i="62"/>
  <c r="J123" i="32"/>
  <c r="E116" i="86"/>
  <c r="D116" i="86"/>
  <c r="G115" i="86"/>
  <c r="D120" i="65"/>
  <c r="E120" i="65"/>
  <c r="G119" i="65"/>
  <c r="J119" i="53"/>
  <c r="J118" i="61"/>
  <c r="J117" i="68"/>
  <c r="D125" i="31"/>
  <c r="G124" i="31"/>
  <c r="E125" i="31"/>
  <c r="J114" i="86"/>
  <c r="J118" i="64"/>
  <c r="J114" i="88"/>
  <c r="D124" i="34"/>
  <c r="E124" i="34"/>
  <c r="G123" i="34"/>
  <c r="G125" i="70"/>
  <c r="D126" i="70"/>
  <c r="E126" i="70"/>
  <c r="J123" i="31"/>
  <c r="J121" i="43"/>
  <c r="D116" i="84"/>
  <c r="G115" i="84"/>
  <c r="E116" i="84"/>
  <c r="D120" i="64"/>
  <c r="G119" i="64"/>
  <c r="E120" i="64"/>
  <c r="F123" i="41"/>
  <c r="B123" i="41"/>
  <c r="J135" i="35"/>
  <c r="D125" i="18"/>
  <c r="G124" i="18"/>
  <c r="E125" i="18"/>
  <c r="E126" i="23"/>
  <c r="G125" i="23"/>
  <c r="D126" i="23"/>
  <c r="J122" i="3"/>
  <c r="J124" i="23"/>
  <c r="I121" i="56"/>
  <c r="H121" i="56"/>
  <c r="D121" i="59"/>
  <c r="E121" i="59"/>
  <c r="G120" i="59"/>
  <c r="B122" i="56"/>
  <c r="F122" i="56"/>
  <c r="E126" i="71"/>
  <c r="G125" i="71"/>
  <c r="D126" i="71"/>
  <c r="E122" i="57"/>
  <c r="G121" i="57"/>
  <c r="D122" i="57"/>
  <c r="J123" i="17"/>
  <c r="J121" i="44"/>
  <c r="J114" i="87"/>
  <c r="J117" i="67"/>
  <c r="J120" i="57"/>
  <c r="J124" i="71"/>
  <c r="B118" i="75"/>
  <c r="F118" i="75"/>
  <c r="B123" i="42"/>
  <c r="F123" i="42"/>
  <c r="H116" i="80"/>
  <c r="I116" i="80"/>
  <c r="B118" i="77"/>
  <c r="F118" i="77"/>
  <c r="I114" i="33"/>
  <c r="H114" i="33"/>
  <c r="D116" i="87"/>
  <c r="G115" i="87"/>
  <c r="E116" i="87"/>
  <c r="I124" i="24"/>
  <c r="H124" i="24"/>
  <c r="B121" i="54"/>
  <c r="F121" i="54"/>
  <c r="I136" i="35"/>
  <c r="H136" i="35"/>
  <c r="J115" i="95"/>
  <c r="G123" i="3"/>
  <c r="D124" i="3"/>
  <c r="E124" i="3"/>
  <c r="F117" i="83"/>
  <c r="B117" i="83"/>
  <c r="B116" i="25"/>
  <c r="F116" i="25"/>
  <c r="G115" i="96"/>
  <c r="D116" i="96"/>
  <c r="E116" i="96" s="1"/>
  <c r="B116" i="93"/>
  <c r="G122" i="44"/>
  <c r="D123" i="44"/>
  <c r="E123" i="44"/>
  <c r="B118" i="76"/>
  <c r="F118" i="76"/>
  <c r="B125" i="24"/>
  <c r="F125" i="24"/>
  <c r="H122" i="42"/>
  <c r="I122" i="42"/>
  <c r="H123" i="21"/>
  <c r="I123" i="21"/>
  <c r="D119" i="67"/>
  <c r="G118" i="67"/>
  <c r="E119" i="67"/>
  <c r="G126" i="28"/>
  <c r="D127" i="28"/>
  <c r="E127" i="28"/>
  <c r="H120" i="55"/>
  <c r="I120" i="55"/>
  <c r="I117" i="77"/>
  <c r="H117" i="77"/>
  <c r="I115" i="25"/>
  <c r="H115" i="25"/>
  <c r="F115" i="33"/>
  <c r="B115" i="33"/>
  <c r="J115" i="82"/>
  <c r="B115" i="13"/>
  <c r="F115" i="13"/>
  <c r="I115" i="93"/>
  <c r="H115" i="93"/>
  <c r="D117" i="95"/>
  <c r="E117" i="95" s="1"/>
  <c r="G116" i="95"/>
  <c r="D117" i="82"/>
  <c r="G116" i="82"/>
  <c r="E117" i="82"/>
  <c r="I117" i="76"/>
  <c r="H117" i="76"/>
  <c r="H117" i="75"/>
  <c r="I117" i="75"/>
  <c r="D125" i="17"/>
  <c r="G124" i="17"/>
  <c r="E125" i="17"/>
  <c r="H120" i="54"/>
  <c r="I120" i="54"/>
  <c r="B138" i="35"/>
  <c r="E138" i="35"/>
  <c r="F138" i="35" s="1"/>
  <c r="G137" i="35"/>
  <c r="F117" i="80"/>
  <c r="B117" i="80"/>
  <c r="B124" i="21"/>
  <c r="F124" i="21"/>
  <c r="F121" i="55"/>
  <c r="B121" i="55"/>
  <c r="I116" i="83"/>
  <c r="H116" i="83"/>
  <c r="I114" i="13"/>
  <c r="H114" i="13"/>
  <c r="E116" i="93"/>
  <c r="F116" i="93" s="1"/>
  <c r="D43" i="97" l="1"/>
  <c r="G42" i="97"/>
  <c r="J115" i="26"/>
  <c r="J114" i="99"/>
  <c r="I41" i="97"/>
  <c r="F36" i="98"/>
  <c r="H36" i="98" s="1"/>
  <c r="B36" i="98"/>
  <c r="I38" i="99"/>
  <c r="I35" i="98"/>
  <c r="E43" i="97"/>
  <c r="F43" i="97" s="1"/>
  <c r="B43" i="97"/>
  <c r="H42" i="97"/>
  <c r="F39" i="99"/>
  <c r="G39" i="99" s="1"/>
  <c r="B39" i="99"/>
  <c r="I54" i="35"/>
  <c r="G38" i="75"/>
  <c r="I38" i="75" s="1"/>
  <c r="G115" i="99"/>
  <c r="E116" i="99"/>
  <c r="D116" i="99"/>
  <c r="I43" i="17"/>
  <c r="H115" i="97"/>
  <c r="I115" i="97"/>
  <c r="F116" i="94"/>
  <c r="B116" i="97"/>
  <c r="F116" i="97"/>
  <c r="H115" i="98"/>
  <c r="I115" i="98"/>
  <c r="G116" i="26"/>
  <c r="D117" i="26"/>
  <c r="F116" i="98"/>
  <c r="B116" i="98"/>
  <c r="B40" i="67"/>
  <c r="F40" i="67"/>
  <c r="G40" i="67" s="1"/>
  <c r="H40" i="64"/>
  <c r="I40" i="64" s="1"/>
  <c r="B41" i="46"/>
  <c r="F41" i="46"/>
  <c r="H41" i="46" s="1"/>
  <c r="F45" i="24"/>
  <c r="H45" i="24" s="1"/>
  <c r="B45" i="24"/>
  <c r="H44" i="19"/>
  <c r="G36" i="25"/>
  <c r="H36" i="25"/>
  <c r="D37" i="25"/>
  <c r="B37" i="25" s="1"/>
  <c r="B38" i="80"/>
  <c r="F38" i="80"/>
  <c r="G38" i="80" s="1"/>
  <c r="F36" i="94"/>
  <c r="H36" i="94" s="1"/>
  <c r="B36" i="94"/>
  <c r="G39" i="65"/>
  <c r="I39" i="65" s="1"/>
  <c r="G38" i="82"/>
  <c r="E39" i="82"/>
  <c r="D39" i="82"/>
  <c r="G36" i="26"/>
  <c r="G46" i="31"/>
  <c r="I46" i="31" s="1"/>
  <c r="H38" i="82"/>
  <c r="B35" i="93"/>
  <c r="F35" i="93"/>
  <c r="H35" i="93" s="1"/>
  <c r="E38" i="86"/>
  <c r="H37" i="86"/>
  <c r="I37" i="86" s="1"/>
  <c r="D38" i="86"/>
  <c r="G42" i="58"/>
  <c r="D43" i="58"/>
  <c r="H42" i="58"/>
  <c r="E43" i="58"/>
  <c r="B40" i="66"/>
  <c r="F40" i="66"/>
  <c r="H40" i="66" s="1"/>
  <c r="B41" i="53"/>
  <c r="F41" i="53"/>
  <c r="H41" i="53" s="1"/>
  <c r="B37" i="91"/>
  <c r="F37" i="91"/>
  <c r="D40" i="65"/>
  <c r="E40" i="65"/>
  <c r="G42" i="55"/>
  <c r="I42" i="55" s="1"/>
  <c r="D43" i="55"/>
  <c r="E43" i="55"/>
  <c r="E44" i="42"/>
  <c r="D44" i="42"/>
  <c r="I44" i="32"/>
  <c r="H43" i="39"/>
  <c r="I43" i="39" s="1"/>
  <c r="B37" i="84"/>
  <c r="F37" i="84"/>
  <c r="I37" i="90"/>
  <c r="B38" i="90"/>
  <c r="F38" i="90"/>
  <c r="I115" i="94"/>
  <c r="H115" i="94"/>
  <c r="H41" i="72"/>
  <c r="I41" i="72" s="1"/>
  <c r="I45" i="27"/>
  <c r="G43" i="42"/>
  <c r="I43" i="42" s="1"/>
  <c r="F46" i="23"/>
  <c r="B46" i="23"/>
  <c r="E39" i="75"/>
  <c r="D39" i="75"/>
  <c r="G37" i="85"/>
  <c r="D38" i="85"/>
  <c r="E38" i="85"/>
  <c r="H35" i="95"/>
  <c r="D36" i="95"/>
  <c r="E36" i="95"/>
  <c r="B37" i="81"/>
  <c r="F37" i="81"/>
  <c r="F44" i="22"/>
  <c r="G44" i="22" s="1"/>
  <c r="B44" i="22"/>
  <c r="G47" i="28"/>
  <c r="I47" i="28" s="1"/>
  <c r="G37" i="88"/>
  <c r="I37" i="88" s="1"/>
  <c r="I43" i="22"/>
  <c r="F40" i="61"/>
  <c r="H40" i="61" s="1"/>
  <c r="B40" i="61"/>
  <c r="F38" i="76"/>
  <c r="G38" i="76" s="1"/>
  <c r="B38" i="76"/>
  <c r="D42" i="72"/>
  <c r="E42" i="72"/>
  <c r="E44" i="39"/>
  <c r="D44" i="39"/>
  <c r="B46" i="27"/>
  <c r="F46" i="27"/>
  <c r="H37" i="85"/>
  <c r="G35" i="95"/>
  <c r="B35" i="96"/>
  <c r="F35" i="96"/>
  <c r="H35" i="96" s="1"/>
  <c r="B43" i="44"/>
  <c r="F43" i="44"/>
  <c r="I45" i="29"/>
  <c r="H36" i="83"/>
  <c r="I36" i="83" s="1"/>
  <c r="D37" i="83"/>
  <c r="E37" i="83"/>
  <c r="B46" i="70"/>
  <c r="F46" i="70"/>
  <c r="H46" i="70" s="1"/>
  <c r="B43" i="74"/>
  <c r="F43" i="74"/>
  <c r="G43" i="74" s="1"/>
  <c r="B40" i="60"/>
  <c r="F40" i="60"/>
  <c r="G40" i="60" s="1"/>
  <c r="H46" i="69"/>
  <c r="D47" i="69"/>
  <c r="E47" i="69"/>
  <c r="B45" i="32"/>
  <c r="F45" i="32"/>
  <c r="G45" i="32" s="1"/>
  <c r="G45" i="71"/>
  <c r="D46" i="71"/>
  <c r="E46" i="71"/>
  <c r="F44" i="17"/>
  <c r="H44" i="17" s="1"/>
  <c r="C53" i="17"/>
  <c r="B44" i="17"/>
  <c r="B46" i="29"/>
  <c r="F46" i="29"/>
  <c r="H46" i="29" s="1"/>
  <c r="F36" i="89"/>
  <c r="H36" i="89" s="1"/>
  <c r="B36" i="89"/>
  <c r="D46" i="34"/>
  <c r="E46" i="34"/>
  <c r="H45" i="30"/>
  <c r="I45" i="30" s="1"/>
  <c r="E46" i="30"/>
  <c r="D46" i="30"/>
  <c r="E40" i="68"/>
  <c r="D40" i="68"/>
  <c r="D47" i="31"/>
  <c r="E47" i="31"/>
  <c r="E38" i="88"/>
  <c r="D38" i="88"/>
  <c r="E41" i="64"/>
  <c r="D41" i="64"/>
  <c r="D45" i="19"/>
  <c r="E45" i="19"/>
  <c r="I43" i="41"/>
  <c r="B41" i="54"/>
  <c r="F41" i="54"/>
  <c r="H41" i="54" s="1"/>
  <c r="D48" i="28"/>
  <c r="E48" i="28"/>
  <c r="F38" i="78"/>
  <c r="G38" i="78" s="1"/>
  <c r="B38" i="78"/>
  <c r="G45" i="34"/>
  <c r="I45" i="34" s="1"/>
  <c r="H44" i="3"/>
  <c r="I44" i="3" s="1"/>
  <c r="E45" i="3"/>
  <c r="D45" i="3"/>
  <c r="G39" i="68"/>
  <c r="I39" i="68" s="1"/>
  <c r="G46" i="69"/>
  <c r="D43" i="45"/>
  <c r="E43" i="45"/>
  <c r="F44" i="41"/>
  <c r="B44" i="41"/>
  <c r="I44" i="19"/>
  <c r="F38" i="77"/>
  <c r="B38" i="77"/>
  <c r="G40" i="56"/>
  <c r="I40" i="56" s="1"/>
  <c r="D41" i="56"/>
  <c r="E41" i="56"/>
  <c r="F44" i="21"/>
  <c r="B44" i="21"/>
  <c r="B36" i="92"/>
  <c r="F36" i="92"/>
  <c r="B44" i="43"/>
  <c r="F44" i="43"/>
  <c r="B40" i="63"/>
  <c r="F40" i="63"/>
  <c r="G40" i="63" s="1"/>
  <c r="B43" i="73"/>
  <c r="F43" i="73"/>
  <c r="G43" i="73" s="1"/>
  <c r="B38" i="79"/>
  <c r="F38" i="79"/>
  <c r="H38" i="79" s="1"/>
  <c r="F41" i="57"/>
  <c r="H41" i="57" s="1"/>
  <c r="B41" i="57"/>
  <c r="G42" i="45"/>
  <c r="I42" i="45" s="1"/>
  <c r="H45" i="71"/>
  <c r="J123" i="22"/>
  <c r="J115" i="89"/>
  <c r="J122" i="41"/>
  <c r="D36" i="13"/>
  <c r="H35" i="13"/>
  <c r="G35" i="13"/>
  <c r="D40" i="62"/>
  <c r="E40" i="62"/>
  <c r="E44" i="20"/>
  <c r="D44" i="20"/>
  <c r="I39" i="59"/>
  <c r="D38" i="33"/>
  <c r="E38" i="33" s="1"/>
  <c r="B40" i="59"/>
  <c r="F40" i="59"/>
  <c r="H40" i="59" s="1"/>
  <c r="D37" i="87"/>
  <c r="E37" i="87"/>
  <c r="H43" i="20"/>
  <c r="G55" i="35"/>
  <c r="H55" i="35"/>
  <c r="B56" i="35"/>
  <c r="E56" i="35"/>
  <c r="F56" i="35" s="1"/>
  <c r="G39" i="62"/>
  <c r="D37" i="26"/>
  <c r="E37" i="26" s="1"/>
  <c r="H37" i="33"/>
  <c r="J119" i="62"/>
  <c r="J122" i="73"/>
  <c r="H36" i="87"/>
  <c r="I36" i="87" s="1"/>
  <c r="H39" i="62"/>
  <c r="I36" i="26"/>
  <c r="G43" i="20"/>
  <c r="B45" i="18"/>
  <c r="F45" i="18"/>
  <c r="G45" i="18" s="1"/>
  <c r="G37" i="33"/>
  <c r="H115" i="84"/>
  <c r="I115" i="84"/>
  <c r="H116" i="85"/>
  <c r="I116" i="85"/>
  <c r="E117" i="89"/>
  <c r="D117" i="89"/>
  <c r="G116" i="89"/>
  <c r="E121" i="62"/>
  <c r="G120" i="62"/>
  <c r="D121" i="62"/>
  <c r="I125" i="29"/>
  <c r="H125" i="29"/>
  <c r="I125" i="69"/>
  <c r="H125" i="69"/>
  <c r="B116" i="88"/>
  <c r="F116" i="88"/>
  <c r="B124" i="19"/>
  <c r="F124" i="19"/>
  <c r="F121" i="53"/>
  <c r="B121" i="53"/>
  <c r="B121" i="72"/>
  <c r="F121" i="72"/>
  <c r="B121" i="46"/>
  <c r="F121" i="46"/>
  <c r="I120" i="58"/>
  <c r="H120" i="58"/>
  <c r="I119" i="63"/>
  <c r="H119" i="63"/>
  <c r="B123" i="39"/>
  <c r="F123" i="39"/>
  <c r="H119" i="64"/>
  <c r="I119" i="64"/>
  <c r="B116" i="84"/>
  <c r="F116" i="84"/>
  <c r="F126" i="70"/>
  <c r="B126" i="70"/>
  <c r="F124" i="34"/>
  <c r="B124" i="34"/>
  <c r="F120" i="65"/>
  <c r="B120" i="65"/>
  <c r="H115" i="92"/>
  <c r="I115" i="92"/>
  <c r="G116" i="91"/>
  <c r="E117" i="91"/>
  <c r="D117" i="91"/>
  <c r="J121" i="45"/>
  <c r="F119" i="68"/>
  <c r="B119" i="68"/>
  <c r="I125" i="27"/>
  <c r="H125" i="27"/>
  <c r="I119" i="61"/>
  <c r="H119" i="61"/>
  <c r="H115" i="90"/>
  <c r="I115" i="90"/>
  <c r="F120" i="60"/>
  <c r="B120" i="60"/>
  <c r="I118" i="66"/>
  <c r="H118" i="66"/>
  <c r="I123" i="19"/>
  <c r="H123" i="19"/>
  <c r="F126" i="30"/>
  <c r="B126" i="30"/>
  <c r="B125" i="32"/>
  <c r="F125" i="32"/>
  <c r="B120" i="63"/>
  <c r="F120" i="63"/>
  <c r="B118" i="79"/>
  <c r="F118" i="79"/>
  <c r="B120" i="64"/>
  <c r="F120" i="64"/>
  <c r="I125" i="70"/>
  <c r="H125" i="70"/>
  <c r="I124" i="31"/>
  <c r="H124" i="31"/>
  <c r="H115" i="86"/>
  <c r="I115" i="86"/>
  <c r="F117" i="85"/>
  <c r="B117" i="85"/>
  <c r="H122" i="43"/>
  <c r="I122" i="43"/>
  <c r="D125" i="22"/>
  <c r="G124" i="22"/>
  <c r="E125" i="22"/>
  <c r="I121" i="74"/>
  <c r="H121" i="74"/>
  <c r="B126" i="29"/>
  <c r="F126" i="29"/>
  <c r="B120" i="61"/>
  <c r="F120" i="61"/>
  <c r="B116" i="90"/>
  <c r="F116" i="90"/>
  <c r="B126" i="69"/>
  <c r="F126" i="69"/>
  <c r="I119" i="60"/>
  <c r="H119" i="60"/>
  <c r="I117" i="78"/>
  <c r="H117" i="78"/>
  <c r="I115" i="88"/>
  <c r="H115" i="88"/>
  <c r="B119" i="66"/>
  <c r="F119" i="66"/>
  <c r="H123" i="20"/>
  <c r="I123" i="20"/>
  <c r="I120" i="72"/>
  <c r="H120" i="72"/>
  <c r="I120" i="46"/>
  <c r="H120" i="46"/>
  <c r="J116" i="81"/>
  <c r="E124" i="73"/>
  <c r="G123" i="73"/>
  <c r="D124" i="73"/>
  <c r="J121" i="56"/>
  <c r="G123" i="41"/>
  <c r="E124" i="41"/>
  <c r="D124" i="41"/>
  <c r="H123" i="34"/>
  <c r="I123" i="34"/>
  <c r="B125" i="31"/>
  <c r="F125" i="31"/>
  <c r="H119" i="65"/>
  <c r="I119" i="65"/>
  <c r="B116" i="86"/>
  <c r="F116" i="86"/>
  <c r="F116" i="92"/>
  <c r="B116" i="92"/>
  <c r="F123" i="43"/>
  <c r="B123" i="43"/>
  <c r="F122" i="74"/>
  <c r="B122" i="74"/>
  <c r="I118" i="68"/>
  <c r="H118" i="68"/>
  <c r="J115" i="91"/>
  <c r="B126" i="27"/>
  <c r="F126" i="27"/>
  <c r="B118" i="78"/>
  <c r="F118" i="78"/>
  <c r="G122" i="45"/>
  <c r="D123" i="45"/>
  <c r="E123" i="45"/>
  <c r="D118" i="81"/>
  <c r="G117" i="81"/>
  <c r="E118" i="81"/>
  <c r="I120" i="53"/>
  <c r="H120" i="53"/>
  <c r="F124" i="20"/>
  <c r="B124" i="20"/>
  <c r="I125" i="30"/>
  <c r="H125" i="30"/>
  <c r="I124" i="32"/>
  <c r="H124" i="32"/>
  <c r="B121" i="58"/>
  <c r="F121" i="58"/>
  <c r="I117" i="79"/>
  <c r="H117" i="79"/>
  <c r="H122" i="39"/>
  <c r="I122" i="39"/>
  <c r="J123" i="21"/>
  <c r="F121" i="59"/>
  <c r="B121" i="59"/>
  <c r="J136" i="35"/>
  <c r="B126" i="23"/>
  <c r="F126" i="23"/>
  <c r="I124" i="18"/>
  <c r="H124" i="18"/>
  <c r="G122" i="56"/>
  <c r="E123" i="56"/>
  <c r="D123" i="56"/>
  <c r="H120" i="59"/>
  <c r="I120" i="59"/>
  <c r="I125" i="23"/>
  <c r="H125" i="23"/>
  <c r="F125" i="18"/>
  <c r="B125" i="18"/>
  <c r="J114" i="13"/>
  <c r="J115" i="93"/>
  <c r="J115" i="25"/>
  <c r="F122" i="57"/>
  <c r="B122" i="57"/>
  <c r="H121" i="57"/>
  <c r="I121" i="57"/>
  <c r="B126" i="71"/>
  <c r="F126" i="71"/>
  <c r="J120" i="54"/>
  <c r="J117" i="75"/>
  <c r="J124" i="24"/>
  <c r="I125" i="71"/>
  <c r="H125" i="71"/>
  <c r="J116" i="80"/>
  <c r="G116" i="93"/>
  <c r="D117" i="93"/>
  <c r="E117" i="93" s="1"/>
  <c r="E125" i="21"/>
  <c r="G124" i="21"/>
  <c r="D125" i="21"/>
  <c r="I124" i="17"/>
  <c r="H124" i="17"/>
  <c r="B117" i="82"/>
  <c r="F117" i="82"/>
  <c r="G115" i="13"/>
  <c r="D116" i="13"/>
  <c r="E116" i="13" s="1"/>
  <c r="I126" i="28"/>
  <c r="H126" i="28"/>
  <c r="F124" i="3"/>
  <c r="B124" i="3"/>
  <c r="E122" i="55"/>
  <c r="D122" i="55"/>
  <c r="G121" i="55"/>
  <c r="J116" i="83"/>
  <c r="G117" i="80"/>
  <c r="E118" i="80"/>
  <c r="D118" i="80"/>
  <c r="B125" i="17"/>
  <c r="F125" i="17"/>
  <c r="J117" i="76"/>
  <c r="B117" i="95"/>
  <c r="F117" i="95"/>
  <c r="J117" i="77"/>
  <c r="G117" i="83"/>
  <c r="D118" i="83"/>
  <c r="E118" i="83"/>
  <c r="I123" i="3"/>
  <c r="H123" i="3"/>
  <c r="E122" i="54"/>
  <c r="D122" i="54"/>
  <c r="G121" i="54"/>
  <c r="I115" i="87"/>
  <c r="H115" i="87"/>
  <c r="J114" i="33"/>
  <c r="E119" i="75"/>
  <c r="D119" i="75"/>
  <c r="G118" i="75"/>
  <c r="I137" i="35"/>
  <c r="H137" i="35"/>
  <c r="J120" i="55"/>
  <c r="I118" i="67"/>
  <c r="H118" i="67"/>
  <c r="B123" i="44"/>
  <c r="F123" i="44"/>
  <c r="F116" i="96"/>
  <c r="B116" i="96"/>
  <c r="G116" i="25"/>
  <c r="D117" i="25"/>
  <c r="E117" i="25" s="1"/>
  <c r="B116" i="87"/>
  <c r="F116" i="87"/>
  <c r="D119" i="77"/>
  <c r="G118" i="77"/>
  <c r="E119" i="77"/>
  <c r="B139" i="35"/>
  <c r="G138" i="35"/>
  <c r="E139" i="35"/>
  <c r="F139" i="35" s="1"/>
  <c r="H116" i="82"/>
  <c r="I116" i="82"/>
  <c r="H116" i="95"/>
  <c r="I116" i="95"/>
  <c r="G115" i="33"/>
  <c r="D116" i="33"/>
  <c r="E116" i="33" s="1"/>
  <c r="F127" i="28"/>
  <c r="B127" i="28"/>
  <c r="B119" i="67"/>
  <c r="F119" i="67"/>
  <c r="J122" i="42"/>
  <c r="E126" i="24"/>
  <c r="D126" i="24"/>
  <c r="G125" i="24"/>
  <c r="D119" i="76"/>
  <c r="E119" i="76"/>
  <c r="G118" i="76"/>
  <c r="I122" i="44"/>
  <c r="H122" i="44"/>
  <c r="I115" i="96"/>
  <c r="H115" i="96"/>
  <c r="E124" i="42"/>
  <c r="D124" i="42"/>
  <c r="G123" i="42"/>
  <c r="I38" i="82" l="1"/>
  <c r="I42" i="97"/>
  <c r="G36" i="98"/>
  <c r="I36" i="98" s="1"/>
  <c r="J115" i="98"/>
  <c r="H39" i="99"/>
  <c r="I39" i="99" s="1"/>
  <c r="D44" i="97"/>
  <c r="E44" i="97"/>
  <c r="H43" i="97"/>
  <c r="G43" i="97"/>
  <c r="G36" i="94"/>
  <c r="I36" i="94" s="1"/>
  <c r="D40" i="99"/>
  <c r="E40" i="99"/>
  <c r="D37" i="98"/>
  <c r="E37" i="98"/>
  <c r="I36" i="25"/>
  <c r="F116" i="99"/>
  <c r="B116" i="99"/>
  <c r="H115" i="99"/>
  <c r="I115" i="99"/>
  <c r="I37" i="85"/>
  <c r="G41" i="57"/>
  <c r="I41" i="57" s="1"/>
  <c r="J115" i="97"/>
  <c r="D117" i="94"/>
  <c r="G116" i="94"/>
  <c r="D117" i="98"/>
  <c r="G116" i="98"/>
  <c r="E117" i="98"/>
  <c r="H116" i="26"/>
  <c r="I116" i="26"/>
  <c r="E117" i="26"/>
  <c r="F117" i="26" s="1"/>
  <c r="B117" i="26"/>
  <c r="D117" i="97"/>
  <c r="E117" i="97" s="1"/>
  <c r="G116" i="97"/>
  <c r="G38" i="79"/>
  <c r="I38" i="79" s="1"/>
  <c r="H40" i="67"/>
  <c r="I40" i="67" s="1"/>
  <c r="E41" i="67"/>
  <c r="D41" i="67"/>
  <c r="D42" i="46"/>
  <c r="E42" i="46"/>
  <c r="G41" i="46"/>
  <c r="I41" i="46" s="1"/>
  <c r="G45" i="24"/>
  <c r="I45" i="24" s="1"/>
  <c r="E46" i="24"/>
  <c r="D46" i="24"/>
  <c r="B39" i="82"/>
  <c r="F39" i="82"/>
  <c r="G39" i="82" s="1"/>
  <c r="H43" i="74"/>
  <c r="I43" i="74" s="1"/>
  <c r="J115" i="94"/>
  <c r="F38" i="86"/>
  <c r="B38" i="86"/>
  <c r="D36" i="93"/>
  <c r="E36" i="93"/>
  <c r="H38" i="80"/>
  <c r="I38" i="80" s="1"/>
  <c r="E39" i="80"/>
  <c r="D39" i="80"/>
  <c r="G40" i="66"/>
  <c r="I40" i="66" s="1"/>
  <c r="I42" i="58"/>
  <c r="G35" i="93"/>
  <c r="I35" i="93" s="1"/>
  <c r="D37" i="94"/>
  <c r="E37" i="94"/>
  <c r="E37" i="25"/>
  <c r="F37" i="25" s="1"/>
  <c r="F39" i="75"/>
  <c r="H39" i="75" s="1"/>
  <c r="B39" i="75"/>
  <c r="H38" i="90"/>
  <c r="E39" i="90"/>
  <c r="D39" i="90"/>
  <c r="G37" i="84"/>
  <c r="E38" i="84"/>
  <c r="D38" i="84"/>
  <c r="B43" i="55"/>
  <c r="F43" i="55"/>
  <c r="G43" i="55" s="1"/>
  <c r="G37" i="91"/>
  <c r="H37" i="91"/>
  <c r="D38" i="91"/>
  <c r="E38" i="91"/>
  <c r="F44" i="42"/>
  <c r="H44" i="42" s="1"/>
  <c r="B44" i="42"/>
  <c r="H44" i="22"/>
  <c r="I44" i="22" s="1"/>
  <c r="F43" i="58"/>
  <c r="B43" i="58"/>
  <c r="H46" i="23"/>
  <c r="E47" i="23"/>
  <c r="G46" i="23"/>
  <c r="D47" i="23"/>
  <c r="G38" i="90"/>
  <c r="H37" i="84"/>
  <c r="B40" i="65"/>
  <c r="F40" i="65"/>
  <c r="G41" i="53"/>
  <c r="I41" i="53" s="1"/>
  <c r="D42" i="53"/>
  <c r="E42" i="53"/>
  <c r="D41" i="66"/>
  <c r="E41" i="66"/>
  <c r="E44" i="44"/>
  <c r="D44" i="44"/>
  <c r="H46" i="27"/>
  <c r="D47" i="27"/>
  <c r="E47" i="27"/>
  <c r="G46" i="27"/>
  <c r="B42" i="72"/>
  <c r="F42" i="72"/>
  <c r="G42" i="72" s="1"/>
  <c r="G37" i="81"/>
  <c r="E38" i="81"/>
  <c r="D38" i="81"/>
  <c r="I35" i="95"/>
  <c r="B38" i="85"/>
  <c r="F38" i="85"/>
  <c r="G38" i="85" s="1"/>
  <c r="D36" i="96"/>
  <c r="E36" i="96"/>
  <c r="F44" i="39"/>
  <c r="H44" i="39" s="1"/>
  <c r="B44" i="39"/>
  <c r="E41" i="61"/>
  <c r="D41" i="61"/>
  <c r="H40" i="60"/>
  <c r="I40" i="60" s="1"/>
  <c r="G46" i="70"/>
  <c r="I46" i="70" s="1"/>
  <c r="G43" i="44"/>
  <c r="G40" i="61"/>
  <c r="I40" i="61" s="1"/>
  <c r="E45" i="22"/>
  <c r="D45" i="22"/>
  <c r="H43" i="44"/>
  <c r="I43" i="44" s="1"/>
  <c r="G35" i="96"/>
  <c r="I35" i="96" s="1"/>
  <c r="H38" i="76"/>
  <c r="I38" i="76" s="1"/>
  <c r="D39" i="76"/>
  <c r="E39" i="76"/>
  <c r="H37" i="81"/>
  <c r="B36" i="95"/>
  <c r="F36" i="95"/>
  <c r="H36" i="95" s="1"/>
  <c r="D45" i="43"/>
  <c r="E45" i="43"/>
  <c r="F46" i="34"/>
  <c r="G46" i="34" s="1"/>
  <c r="B46" i="34"/>
  <c r="B41" i="56"/>
  <c r="F41" i="56"/>
  <c r="H41" i="56" s="1"/>
  <c r="D45" i="21"/>
  <c r="E45" i="21"/>
  <c r="E39" i="77"/>
  <c r="D39" i="77"/>
  <c r="H44" i="41"/>
  <c r="D45" i="41"/>
  <c r="E45" i="41"/>
  <c r="F45" i="19"/>
  <c r="G45" i="19" s="1"/>
  <c r="B45" i="19"/>
  <c r="F41" i="64"/>
  <c r="G41" i="64" s="1"/>
  <c r="B41" i="64"/>
  <c r="E46" i="32"/>
  <c r="D46" i="32"/>
  <c r="I39" i="62"/>
  <c r="G40" i="59"/>
  <c r="I40" i="59" s="1"/>
  <c r="I45" i="71"/>
  <c r="G44" i="43"/>
  <c r="H44" i="21"/>
  <c r="H38" i="77"/>
  <c r="E39" i="78"/>
  <c r="D39" i="78"/>
  <c r="B48" i="28"/>
  <c r="F48" i="28"/>
  <c r="G48" i="28" s="1"/>
  <c r="B47" i="31"/>
  <c r="F47" i="31"/>
  <c r="G47" i="31" s="1"/>
  <c r="F40" i="68"/>
  <c r="B40" i="68"/>
  <c r="E37" i="89"/>
  <c r="D37" i="89"/>
  <c r="D47" i="70"/>
  <c r="E47" i="70"/>
  <c r="B37" i="83"/>
  <c r="F37" i="83"/>
  <c r="G37" i="83" s="1"/>
  <c r="E37" i="92"/>
  <c r="D37" i="92"/>
  <c r="F46" i="30"/>
  <c r="G46" i="30" s="1"/>
  <c r="B46" i="30"/>
  <c r="D41" i="63"/>
  <c r="E41" i="63"/>
  <c r="H36" i="92"/>
  <c r="B45" i="3"/>
  <c r="F45" i="3"/>
  <c r="G45" i="3" s="1"/>
  <c r="E42" i="54"/>
  <c r="D42" i="54"/>
  <c r="D45" i="17"/>
  <c r="E45" i="17"/>
  <c r="E42" i="57"/>
  <c r="D42" i="57"/>
  <c r="E39" i="79"/>
  <c r="D39" i="79"/>
  <c r="H43" i="73"/>
  <c r="I43" i="73" s="1"/>
  <c r="D44" i="73"/>
  <c r="E44" i="73"/>
  <c r="H40" i="63"/>
  <c r="I40" i="63" s="1"/>
  <c r="H44" i="43"/>
  <c r="G36" i="92"/>
  <c r="G44" i="21"/>
  <c r="G38" i="77"/>
  <c r="G44" i="41"/>
  <c r="B43" i="45"/>
  <c r="F43" i="45"/>
  <c r="I46" i="69"/>
  <c r="H38" i="78"/>
  <c r="I38" i="78" s="1"/>
  <c r="G41" i="54"/>
  <c r="I41" i="54" s="1"/>
  <c r="B38" i="88"/>
  <c r="F38" i="88"/>
  <c r="H38" i="88" s="1"/>
  <c r="G36" i="89"/>
  <c r="I36" i="89" s="1"/>
  <c r="G46" i="29"/>
  <c r="I46" i="29" s="1"/>
  <c r="D47" i="29"/>
  <c r="E47" i="29"/>
  <c r="G44" i="17"/>
  <c r="I44" i="17" s="1"/>
  <c r="B46" i="71"/>
  <c r="F46" i="71"/>
  <c r="H46" i="71" s="1"/>
  <c r="H45" i="32"/>
  <c r="I45" i="32" s="1"/>
  <c r="B47" i="69"/>
  <c r="F47" i="69"/>
  <c r="D41" i="60"/>
  <c r="E41" i="60"/>
  <c r="E44" i="74"/>
  <c r="D44" i="74"/>
  <c r="J115" i="92"/>
  <c r="J119" i="63"/>
  <c r="J123" i="19"/>
  <c r="J125" i="30"/>
  <c r="J120" i="53"/>
  <c r="J120" i="46"/>
  <c r="J115" i="88"/>
  <c r="J119" i="60"/>
  <c r="J124" i="31"/>
  <c r="J119" i="61"/>
  <c r="H45" i="18"/>
  <c r="I45" i="18" s="1"/>
  <c r="I37" i="33"/>
  <c r="F37" i="87"/>
  <c r="H37" i="87" s="1"/>
  <c r="B37" i="87"/>
  <c r="J115" i="90"/>
  <c r="J115" i="84"/>
  <c r="B57" i="35"/>
  <c r="G56" i="35"/>
  <c r="H56" i="35"/>
  <c r="E57" i="35"/>
  <c r="F57" i="35" s="1"/>
  <c r="D41" i="59"/>
  <c r="E41" i="59"/>
  <c r="F38" i="33"/>
  <c r="G38" i="33" s="1"/>
  <c r="B38" i="33"/>
  <c r="I35" i="13"/>
  <c r="E46" i="18"/>
  <c r="D46" i="18"/>
  <c r="F37" i="26"/>
  <c r="B37" i="26"/>
  <c r="I43" i="20"/>
  <c r="B40" i="62"/>
  <c r="F40" i="62"/>
  <c r="H40" i="62" s="1"/>
  <c r="B36" i="13"/>
  <c r="J115" i="96"/>
  <c r="J121" i="57"/>
  <c r="J122" i="43"/>
  <c r="J115" i="86"/>
  <c r="J116" i="85"/>
  <c r="I55" i="35"/>
  <c r="F44" i="20"/>
  <c r="B44" i="20"/>
  <c r="E36" i="13"/>
  <c r="F36" i="13" s="1"/>
  <c r="J122" i="39"/>
  <c r="G121" i="58"/>
  <c r="D122" i="58"/>
  <c r="E122" i="58"/>
  <c r="B118" i="81"/>
  <c r="F118" i="81"/>
  <c r="E119" i="78"/>
  <c r="G118" i="78"/>
  <c r="D119" i="78"/>
  <c r="D123" i="74"/>
  <c r="G122" i="74"/>
  <c r="E123" i="74"/>
  <c r="D117" i="92"/>
  <c r="E117" i="92"/>
  <c r="G116" i="92"/>
  <c r="I123" i="73"/>
  <c r="H123" i="73"/>
  <c r="H124" i="22"/>
  <c r="I124" i="22"/>
  <c r="D121" i="64"/>
  <c r="G120" i="64"/>
  <c r="E121" i="64"/>
  <c r="G118" i="79"/>
  <c r="E119" i="79"/>
  <c r="D119" i="79"/>
  <c r="G125" i="32"/>
  <c r="D126" i="32"/>
  <c r="E126" i="32"/>
  <c r="J119" i="64"/>
  <c r="G121" i="46"/>
  <c r="E122" i="46"/>
  <c r="D122" i="46"/>
  <c r="D117" i="88"/>
  <c r="G116" i="88"/>
  <c r="E117" i="88"/>
  <c r="D117" i="86"/>
  <c r="E117" i="86"/>
  <c r="G116" i="86"/>
  <c r="D126" i="31"/>
  <c r="E126" i="31"/>
  <c r="G125" i="31"/>
  <c r="F124" i="41"/>
  <c r="B124" i="41"/>
  <c r="E120" i="66"/>
  <c r="D120" i="66"/>
  <c r="G119" i="66"/>
  <c r="G126" i="69"/>
  <c r="E127" i="69"/>
  <c r="D127" i="69"/>
  <c r="G120" i="61"/>
  <c r="D121" i="61"/>
  <c r="E121" i="61"/>
  <c r="B125" i="22"/>
  <c r="F125" i="22"/>
  <c r="E118" i="85"/>
  <c r="G117" i="85"/>
  <c r="D118" i="85"/>
  <c r="D121" i="60"/>
  <c r="E121" i="60"/>
  <c r="G120" i="60"/>
  <c r="G119" i="68"/>
  <c r="E120" i="68"/>
  <c r="D120" i="68"/>
  <c r="H116" i="91"/>
  <c r="I116" i="91"/>
  <c r="E121" i="65"/>
  <c r="G120" i="65"/>
  <c r="D121" i="65"/>
  <c r="D127" i="70"/>
  <c r="G126" i="70"/>
  <c r="E127" i="70"/>
  <c r="D122" i="53"/>
  <c r="E122" i="53"/>
  <c r="G121" i="53"/>
  <c r="J125" i="29"/>
  <c r="H116" i="89"/>
  <c r="I116" i="89"/>
  <c r="J118" i="67"/>
  <c r="J125" i="23"/>
  <c r="B123" i="45"/>
  <c r="F123" i="45"/>
  <c r="G126" i="27"/>
  <c r="D127" i="27"/>
  <c r="E127" i="27"/>
  <c r="J118" i="68"/>
  <c r="E124" i="43"/>
  <c r="G123" i="43"/>
  <c r="D124" i="43"/>
  <c r="J120" i="72"/>
  <c r="J117" i="78"/>
  <c r="J121" i="74"/>
  <c r="G120" i="63"/>
  <c r="D121" i="63"/>
  <c r="E121" i="63"/>
  <c r="D117" i="84"/>
  <c r="G116" i="84"/>
  <c r="E117" i="84"/>
  <c r="D124" i="39"/>
  <c r="G123" i="39"/>
  <c r="E124" i="39"/>
  <c r="G121" i="72"/>
  <c r="E122" i="72"/>
  <c r="D122" i="72"/>
  <c r="G124" i="19"/>
  <c r="E125" i="19"/>
  <c r="D125" i="19"/>
  <c r="B121" i="62"/>
  <c r="F121" i="62"/>
  <c r="B117" i="89"/>
  <c r="F117" i="89"/>
  <c r="J117" i="79"/>
  <c r="J124" i="32"/>
  <c r="D125" i="20"/>
  <c r="E125" i="20"/>
  <c r="G124" i="20"/>
  <c r="H117" i="81"/>
  <c r="I117" i="81"/>
  <c r="H122" i="45"/>
  <c r="I122" i="45"/>
  <c r="J119" i="65"/>
  <c r="J123" i="34"/>
  <c r="I123" i="41"/>
  <c r="H123" i="41"/>
  <c r="B124" i="73"/>
  <c r="F124" i="73"/>
  <c r="J123" i="20"/>
  <c r="E117" i="90"/>
  <c r="D117" i="90"/>
  <c r="G116" i="90"/>
  <c r="E127" i="29"/>
  <c r="D127" i="29"/>
  <c r="G126" i="29"/>
  <c r="J125" i="70"/>
  <c r="G126" i="30"/>
  <c r="E127" i="30"/>
  <c r="D127" i="30"/>
  <c r="J118" i="66"/>
  <c r="J125" i="27"/>
  <c r="F117" i="91"/>
  <c r="B117" i="91"/>
  <c r="G124" i="34"/>
  <c r="E125" i="34"/>
  <c r="D125" i="34"/>
  <c r="J120" i="58"/>
  <c r="J125" i="69"/>
  <c r="I120" i="62"/>
  <c r="H120" i="62"/>
  <c r="J116" i="95"/>
  <c r="J124" i="17"/>
  <c r="J120" i="59"/>
  <c r="H122" i="56"/>
  <c r="I122" i="56"/>
  <c r="D127" i="23"/>
  <c r="E127" i="23"/>
  <c r="G126" i="23"/>
  <c r="D122" i="59"/>
  <c r="G121" i="59"/>
  <c r="E122" i="59"/>
  <c r="E126" i="18"/>
  <c r="D126" i="18"/>
  <c r="G125" i="18"/>
  <c r="B123" i="56"/>
  <c r="F123" i="56"/>
  <c r="J124" i="18"/>
  <c r="E127" i="71"/>
  <c r="D127" i="71"/>
  <c r="G126" i="71"/>
  <c r="G122" i="57"/>
  <c r="E123" i="57"/>
  <c r="D123" i="57"/>
  <c r="J137" i="35"/>
  <c r="J115" i="87"/>
  <c r="J125" i="71"/>
  <c r="F124" i="42"/>
  <c r="B124" i="42"/>
  <c r="F119" i="76"/>
  <c r="B119" i="76"/>
  <c r="G127" i="28"/>
  <c r="D128" i="28"/>
  <c r="E128" i="28"/>
  <c r="I138" i="35"/>
  <c r="H138" i="35"/>
  <c r="G116" i="96"/>
  <c r="D117" i="96"/>
  <c r="I118" i="75"/>
  <c r="H118" i="75"/>
  <c r="B122" i="54"/>
  <c r="F122" i="54"/>
  <c r="B118" i="83"/>
  <c r="F118" i="83"/>
  <c r="H117" i="80"/>
  <c r="I117" i="80"/>
  <c r="I121" i="55"/>
  <c r="H121" i="55"/>
  <c r="H115" i="13"/>
  <c r="I115" i="13"/>
  <c r="F125" i="21"/>
  <c r="B125" i="21"/>
  <c r="J122" i="44"/>
  <c r="I125" i="24"/>
  <c r="H125" i="24"/>
  <c r="G119" i="67"/>
  <c r="D120" i="67"/>
  <c r="E120" i="67"/>
  <c r="G116" i="87"/>
  <c r="D117" i="87"/>
  <c r="E117" i="87"/>
  <c r="F117" i="25"/>
  <c r="B117" i="25"/>
  <c r="B119" i="75"/>
  <c r="F119" i="75"/>
  <c r="H117" i="83"/>
  <c r="I117" i="83"/>
  <c r="B122" i="55"/>
  <c r="F122" i="55"/>
  <c r="G124" i="3"/>
  <c r="D125" i="3"/>
  <c r="E125" i="3"/>
  <c r="D118" i="82"/>
  <c r="G117" i="82"/>
  <c r="E118" i="82"/>
  <c r="H124" i="21"/>
  <c r="I124" i="21"/>
  <c r="I118" i="76"/>
  <c r="H118" i="76"/>
  <c r="F126" i="24"/>
  <c r="B126" i="24"/>
  <c r="B116" i="33"/>
  <c r="F116" i="33"/>
  <c r="J116" i="82"/>
  <c r="H118" i="77"/>
  <c r="I118" i="77"/>
  <c r="H116" i="25"/>
  <c r="I116" i="25"/>
  <c r="J123" i="3"/>
  <c r="D118" i="95"/>
  <c r="E118" i="95" s="1"/>
  <c r="G117" i="95"/>
  <c r="D126" i="17"/>
  <c r="E126" i="17"/>
  <c r="G125" i="17"/>
  <c r="B118" i="80"/>
  <c r="F118" i="80"/>
  <c r="F117" i="93"/>
  <c r="B117" i="93"/>
  <c r="H123" i="42"/>
  <c r="I123" i="42"/>
  <c r="I115" i="33"/>
  <c r="H115" i="33"/>
  <c r="G139" i="35"/>
  <c r="B140" i="35"/>
  <c r="E140" i="35"/>
  <c r="F140" i="35" s="1"/>
  <c r="F119" i="77"/>
  <c r="B119" i="77"/>
  <c r="D124" i="44"/>
  <c r="G123" i="44"/>
  <c r="E124" i="44"/>
  <c r="H121" i="54"/>
  <c r="I121" i="54"/>
  <c r="J126" i="28"/>
  <c r="B116" i="13"/>
  <c r="F116" i="13"/>
  <c r="I116" i="93"/>
  <c r="H116" i="93"/>
  <c r="J116" i="26" l="1"/>
  <c r="I37" i="81"/>
  <c r="B37" i="98"/>
  <c r="F37" i="98"/>
  <c r="H37" i="98" s="1"/>
  <c r="I43" i="97"/>
  <c r="B40" i="99"/>
  <c r="F40" i="99"/>
  <c r="D41" i="99" s="1"/>
  <c r="F44" i="97"/>
  <c r="D45" i="97" s="1"/>
  <c r="B44" i="97"/>
  <c r="I44" i="43"/>
  <c r="J115" i="99"/>
  <c r="D117" i="99"/>
  <c r="G116" i="99"/>
  <c r="E117" i="99"/>
  <c r="I44" i="41"/>
  <c r="I37" i="84"/>
  <c r="I44" i="21"/>
  <c r="D118" i="26"/>
  <c r="G117" i="26"/>
  <c r="I116" i="97"/>
  <c r="H116" i="97"/>
  <c r="F117" i="97"/>
  <c r="B117" i="97"/>
  <c r="F117" i="98"/>
  <c r="B117" i="98"/>
  <c r="H116" i="98"/>
  <c r="I116" i="98"/>
  <c r="I116" i="94"/>
  <c r="H116" i="94"/>
  <c r="E117" i="94"/>
  <c r="F117" i="94" s="1"/>
  <c r="E118" i="94" s="1"/>
  <c r="B117" i="94"/>
  <c r="G36" i="95"/>
  <c r="I38" i="90"/>
  <c r="G39" i="75"/>
  <c r="I39" i="75" s="1"/>
  <c r="F41" i="67"/>
  <c r="G41" i="67" s="1"/>
  <c r="B41" i="67"/>
  <c r="F42" i="46"/>
  <c r="G42" i="46" s="1"/>
  <c r="B42" i="46"/>
  <c r="G44" i="42"/>
  <c r="F46" i="24"/>
  <c r="G46" i="24" s="1"/>
  <c r="B46" i="24"/>
  <c r="D38" i="25"/>
  <c r="G37" i="25"/>
  <c r="H37" i="25"/>
  <c r="G38" i="86"/>
  <c r="H38" i="86"/>
  <c r="D39" i="86"/>
  <c r="E39" i="86"/>
  <c r="H39" i="82"/>
  <c r="I39" i="82" s="1"/>
  <c r="E40" i="82"/>
  <c r="D40" i="82"/>
  <c r="I36" i="95"/>
  <c r="I46" i="23"/>
  <c r="B37" i="94"/>
  <c r="F37" i="94"/>
  <c r="G37" i="94" s="1"/>
  <c r="B39" i="80"/>
  <c r="F39" i="80"/>
  <c r="G39" i="80" s="1"/>
  <c r="F36" i="93"/>
  <c r="B36" i="93"/>
  <c r="I46" i="27"/>
  <c r="H40" i="65"/>
  <c r="E41" i="65"/>
  <c r="D41" i="65"/>
  <c r="F47" i="23"/>
  <c r="B47" i="23"/>
  <c r="D45" i="42"/>
  <c r="E45" i="42"/>
  <c r="I37" i="91"/>
  <c r="E44" i="55"/>
  <c r="D44" i="55"/>
  <c r="F42" i="53"/>
  <c r="G42" i="53" s="1"/>
  <c r="B42" i="53"/>
  <c r="B39" i="90"/>
  <c r="F39" i="90"/>
  <c r="H39" i="90" s="1"/>
  <c r="G41" i="56"/>
  <c r="I41" i="56" s="1"/>
  <c r="G43" i="58"/>
  <c r="E44" i="58"/>
  <c r="D44" i="58"/>
  <c r="I44" i="42"/>
  <c r="B38" i="84"/>
  <c r="F38" i="84"/>
  <c r="B41" i="66"/>
  <c r="F41" i="66"/>
  <c r="G40" i="65"/>
  <c r="H43" i="58"/>
  <c r="B38" i="91"/>
  <c r="F38" i="91"/>
  <c r="H38" i="91" s="1"/>
  <c r="H43" i="55"/>
  <c r="I43" i="55" s="1"/>
  <c r="D40" i="75"/>
  <c r="E40" i="75"/>
  <c r="G44" i="39"/>
  <c r="I44" i="39" s="1"/>
  <c r="D39" i="85"/>
  <c r="E39" i="85"/>
  <c r="G38" i="88"/>
  <c r="I38" i="88" s="1"/>
  <c r="H41" i="64"/>
  <c r="I41" i="64" s="1"/>
  <c r="D37" i="95"/>
  <c r="E37" i="95"/>
  <c r="B41" i="61"/>
  <c r="F41" i="61"/>
  <c r="G41" i="61" s="1"/>
  <c r="H38" i="33"/>
  <c r="I38" i="33" s="1"/>
  <c r="I56" i="35"/>
  <c r="B39" i="76"/>
  <c r="F39" i="76"/>
  <c r="G39" i="76" s="1"/>
  <c r="B45" i="22"/>
  <c r="F45" i="22"/>
  <c r="H45" i="22" s="1"/>
  <c r="B36" i="96"/>
  <c r="F36" i="96"/>
  <c r="H36" i="96" s="1"/>
  <c r="H38" i="85"/>
  <c r="I38" i="85" s="1"/>
  <c r="B44" i="44"/>
  <c r="F44" i="44"/>
  <c r="D45" i="39"/>
  <c r="E45" i="39"/>
  <c r="B38" i="81"/>
  <c r="F38" i="81"/>
  <c r="H38" i="81" s="1"/>
  <c r="H42" i="72"/>
  <c r="I42" i="72" s="1"/>
  <c r="E43" i="72"/>
  <c r="D43" i="72"/>
  <c r="B47" i="27"/>
  <c r="F47" i="27"/>
  <c r="I36" i="92"/>
  <c r="E48" i="69"/>
  <c r="D48" i="69"/>
  <c r="B47" i="29"/>
  <c r="F47" i="29"/>
  <c r="H47" i="29" s="1"/>
  <c r="D44" i="45"/>
  <c r="E44" i="45"/>
  <c r="F39" i="79"/>
  <c r="H39" i="79" s="1"/>
  <c r="B39" i="79"/>
  <c r="F41" i="63"/>
  <c r="G41" i="63" s="1"/>
  <c r="B41" i="63"/>
  <c r="F37" i="89"/>
  <c r="G37" i="89" s="1"/>
  <c r="B37" i="89"/>
  <c r="E41" i="68"/>
  <c r="D41" i="68"/>
  <c r="I38" i="77"/>
  <c r="F46" i="32"/>
  <c r="G46" i="32" s="1"/>
  <c r="B46" i="32"/>
  <c r="H46" i="34"/>
  <c r="I46" i="34" s="1"/>
  <c r="E47" i="34"/>
  <c r="D47" i="34"/>
  <c r="F41" i="60"/>
  <c r="H41" i="60" s="1"/>
  <c r="B41" i="60"/>
  <c r="D47" i="30"/>
  <c r="E47" i="30"/>
  <c r="F47" i="70"/>
  <c r="H47" i="70" s="1"/>
  <c r="B47" i="70"/>
  <c r="G40" i="68"/>
  <c r="H47" i="31"/>
  <c r="I47" i="31" s="1"/>
  <c r="H48" i="28"/>
  <c r="I48" i="28" s="1"/>
  <c r="F39" i="78"/>
  <c r="G39" i="78" s="1"/>
  <c r="B39" i="78"/>
  <c r="D42" i="64"/>
  <c r="E42" i="64"/>
  <c r="H45" i="19"/>
  <c r="I45" i="19" s="1"/>
  <c r="F45" i="41"/>
  <c r="G45" i="41" s="1"/>
  <c r="B45" i="41"/>
  <c r="G37" i="87"/>
  <c r="I37" i="87" s="1"/>
  <c r="F44" i="74"/>
  <c r="G44" i="74" s="1"/>
  <c r="B44" i="74"/>
  <c r="H47" i="69"/>
  <c r="G43" i="45"/>
  <c r="B44" i="73"/>
  <c r="F44" i="73"/>
  <c r="B42" i="57"/>
  <c r="F42" i="57"/>
  <c r="H42" i="57" s="1"/>
  <c r="F45" i="17"/>
  <c r="G45" i="17" s="1"/>
  <c r="C54" i="17"/>
  <c r="B45" i="17"/>
  <c r="H45" i="3"/>
  <c r="I45" i="3" s="1"/>
  <c r="E46" i="3"/>
  <c r="D46" i="3"/>
  <c r="H46" i="30"/>
  <c r="I46" i="30" s="1"/>
  <c r="H37" i="83"/>
  <c r="I37" i="83" s="1"/>
  <c r="D38" i="83"/>
  <c r="E38" i="83"/>
  <c r="B45" i="21"/>
  <c r="F45" i="21"/>
  <c r="H45" i="21" s="1"/>
  <c r="D42" i="56"/>
  <c r="E42" i="56"/>
  <c r="G47" i="69"/>
  <c r="G46" i="71"/>
  <c r="I46" i="71" s="1"/>
  <c r="E47" i="71"/>
  <c r="D47" i="71"/>
  <c r="D39" i="88"/>
  <c r="E39" i="88"/>
  <c r="H43" i="45"/>
  <c r="F42" i="54"/>
  <c r="H42" i="54" s="1"/>
  <c r="B42" i="54"/>
  <c r="B37" i="92"/>
  <c r="F37" i="92"/>
  <c r="H37" i="92" s="1"/>
  <c r="H40" i="68"/>
  <c r="E48" i="31"/>
  <c r="D48" i="31"/>
  <c r="D49" i="28"/>
  <c r="E49" i="28"/>
  <c r="E46" i="19"/>
  <c r="D46" i="19"/>
  <c r="F39" i="77"/>
  <c r="G39" i="77" s="1"/>
  <c r="B39" i="77"/>
  <c r="B45" i="43"/>
  <c r="F45" i="43"/>
  <c r="G45" i="43" s="1"/>
  <c r="J122" i="45"/>
  <c r="D37" i="13"/>
  <c r="E37" i="13" s="1"/>
  <c r="H36" i="13"/>
  <c r="G36" i="13"/>
  <c r="J122" i="56"/>
  <c r="E41" i="62"/>
  <c r="D41" i="62"/>
  <c r="D38" i="26"/>
  <c r="E38" i="26" s="1"/>
  <c r="B41" i="59"/>
  <c r="F41" i="59"/>
  <c r="H41" i="59" s="1"/>
  <c r="D45" i="20"/>
  <c r="E45" i="20"/>
  <c r="G44" i="20"/>
  <c r="G37" i="26"/>
  <c r="D39" i="33"/>
  <c r="E39" i="33" s="1"/>
  <c r="E38" i="87"/>
  <c r="D38" i="87"/>
  <c r="J123" i="42"/>
  <c r="J117" i="81"/>
  <c r="J116" i="89"/>
  <c r="J116" i="91"/>
  <c r="H44" i="20"/>
  <c r="G40" i="62"/>
  <c r="I40" i="62" s="1"/>
  <c r="H37" i="26"/>
  <c r="B46" i="18"/>
  <c r="F46" i="18"/>
  <c r="H46" i="18" s="1"/>
  <c r="H57" i="35"/>
  <c r="B58" i="35"/>
  <c r="E58" i="35"/>
  <c r="F58" i="35" s="1"/>
  <c r="G57" i="35"/>
  <c r="F127" i="30"/>
  <c r="B127" i="30"/>
  <c r="H116" i="90"/>
  <c r="I116" i="90"/>
  <c r="E125" i="73"/>
  <c r="D125" i="73"/>
  <c r="G124" i="73"/>
  <c r="F125" i="20"/>
  <c r="B125" i="20"/>
  <c r="H121" i="72"/>
  <c r="I121" i="72"/>
  <c r="F121" i="63"/>
  <c r="B121" i="63"/>
  <c r="D124" i="45"/>
  <c r="E124" i="45"/>
  <c r="G123" i="45"/>
  <c r="B127" i="70"/>
  <c r="F127" i="70"/>
  <c r="H119" i="68"/>
  <c r="I119" i="68"/>
  <c r="B118" i="85"/>
  <c r="F118" i="85"/>
  <c r="B127" i="69"/>
  <c r="F127" i="69"/>
  <c r="B120" i="66"/>
  <c r="F120" i="66"/>
  <c r="I125" i="31"/>
  <c r="H125" i="31"/>
  <c r="F117" i="88"/>
  <c r="B117" i="88"/>
  <c r="B119" i="79"/>
  <c r="F119" i="79"/>
  <c r="H120" i="64"/>
  <c r="I120" i="64"/>
  <c r="F117" i="92"/>
  <c r="B117" i="92"/>
  <c r="F119" i="78"/>
  <c r="B119" i="78"/>
  <c r="B125" i="34"/>
  <c r="F125" i="34"/>
  <c r="D118" i="91"/>
  <c r="G117" i="91"/>
  <c r="E118" i="91"/>
  <c r="I126" i="29"/>
  <c r="H126" i="29"/>
  <c r="B117" i="90"/>
  <c r="F117" i="90"/>
  <c r="G121" i="62"/>
  <c r="D122" i="62"/>
  <c r="E122" i="62"/>
  <c r="I124" i="19"/>
  <c r="H124" i="19"/>
  <c r="H116" i="84"/>
  <c r="I116" i="84"/>
  <c r="I120" i="63"/>
  <c r="H120" i="63"/>
  <c r="F124" i="43"/>
  <c r="B124" i="43"/>
  <c r="F122" i="53"/>
  <c r="B122" i="53"/>
  <c r="F121" i="65"/>
  <c r="B121" i="65"/>
  <c r="H120" i="60"/>
  <c r="I120" i="60"/>
  <c r="H117" i="85"/>
  <c r="I117" i="85"/>
  <c r="F117" i="86"/>
  <c r="B117" i="86"/>
  <c r="B122" i="46"/>
  <c r="F122" i="46"/>
  <c r="F121" i="64"/>
  <c r="B121" i="64"/>
  <c r="J123" i="73"/>
  <c r="H118" i="78"/>
  <c r="I118" i="78"/>
  <c r="J120" i="62"/>
  <c r="I126" i="30"/>
  <c r="H126" i="30"/>
  <c r="F127" i="29"/>
  <c r="B127" i="29"/>
  <c r="H124" i="20"/>
  <c r="I124" i="20"/>
  <c r="F122" i="72"/>
  <c r="B122" i="72"/>
  <c r="H123" i="39"/>
  <c r="I123" i="39"/>
  <c r="B117" i="84"/>
  <c r="F117" i="84"/>
  <c r="H123" i="43"/>
  <c r="I123" i="43"/>
  <c r="B127" i="27"/>
  <c r="F127" i="27"/>
  <c r="I120" i="65"/>
  <c r="H120" i="65"/>
  <c r="F120" i="68"/>
  <c r="B120" i="68"/>
  <c r="F121" i="61"/>
  <c r="B121" i="61"/>
  <c r="I126" i="69"/>
  <c r="H126" i="69"/>
  <c r="B126" i="31"/>
  <c r="F126" i="31"/>
  <c r="F126" i="32"/>
  <c r="B126" i="32"/>
  <c r="H118" i="79"/>
  <c r="I118" i="79"/>
  <c r="J124" i="22"/>
  <c r="I116" i="92"/>
  <c r="H116" i="92"/>
  <c r="H122" i="74"/>
  <c r="I122" i="74"/>
  <c r="F122" i="58"/>
  <c r="B122" i="58"/>
  <c r="H124" i="34"/>
  <c r="I124" i="34"/>
  <c r="J123" i="41"/>
  <c r="G117" i="89"/>
  <c r="E118" i="89"/>
  <c r="D118" i="89"/>
  <c r="F125" i="19"/>
  <c r="B125" i="19"/>
  <c r="B124" i="39"/>
  <c r="F124" i="39"/>
  <c r="H126" i="27"/>
  <c r="I126" i="27"/>
  <c r="I121" i="53"/>
  <c r="H121" i="53"/>
  <c r="H126" i="70"/>
  <c r="I126" i="70"/>
  <c r="B121" i="60"/>
  <c r="F121" i="60"/>
  <c r="D126" i="22"/>
  <c r="E126" i="22"/>
  <c r="G125" i="22"/>
  <c r="H120" i="61"/>
  <c r="I120" i="61"/>
  <c r="H119" i="66"/>
  <c r="I119" i="66"/>
  <c r="G124" i="41"/>
  <c r="D125" i="41"/>
  <c r="E125" i="41"/>
  <c r="H116" i="86"/>
  <c r="I116" i="86"/>
  <c r="H116" i="88"/>
  <c r="I116" i="88"/>
  <c r="I121" i="46"/>
  <c r="H121" i="46"/>
  <c r="H125" i="32"/>
  <c r="I125" i="32"/>
  <c r="B123" i="74"/>
  <c r="F123" i="74"/>
  <c r="G118" i="81"/>
  <c r="E119" i="81"/>
  <c r="D119" i="81"/>
  <c r="I121" i="58"/>
  <c r="H121" i="58"/>
  <c r="H125" i="18"/>
  <c r="I125" i="18"/>
  <c r="I126" i="23"/>
  <c r="H126" i="23"/>
  <c r="J117" i="83"/>
  <c r="B126" i="18"/>
  <c r="F126" i="18"/>
  <c r="I121" i="59"/>
  <c r="H121" i="59"/>
  <c r="G123" i="56"/>
  <c r="D124" i="56"/>
  <c r="E124" i="56"/>
  <c r="F122" i="59"/>
  <c r="B122" i="59"/>
  <c r="F127" i="23"/>
  <c r="B127" i="23"/>
  <c r="F123" i="57"/>
  <c r="B123" i="57"/>
  <c r="B127" i="71"/>
  <c r="F127" i="71"/>
  <c r="J121" i="54"/>
  <c r="J121" i="55"/>
  <c r="J138" i="35"/>
  <c r="I122" i="57"/>
  <c r="H122" i="57"/>
  <c r="J115" i="33"/>
  <c r="J116" i="25"/>
  <c r="J115" i="13"/>
  <c r="H126" i="71"/>
  <c r="I126" i="71"/>
  <c r="G119" i="77"/>
  <c r="D120" i="77"/>
  <c r="E120" i="77"/>
  <c r="I125" i="17"/>
  <c r="H125" i="17"/>
  <c r="G126" i="24"/>
  <c r="D127" i="24"/>
  <c r="E127" i="24"/>
  <c r="H117" i="82"/>
  <c r="I117" i="82"/>
  <c r="B125" i="3"/>
  <c r="F125" i="3"/>
  <c r="F117" i="87"/>
  <c r="B117" i="87"/>
  <c r="D123" i="54"/>
  <c r="E123" i="54"/>
  <c r="G122" i="54"/>
  <c r="B117" i="96"/>
  <c r="B128" i="28"/>
  <c r="F128" i="28"/>
  <c r="G116" i="13"/>
  <c r="D117" i="13"/>
  <c r="E117" i="13" s="1"/>
  <c r="I139" i="35"/>
  <c r="H139" i="35"/>
  <c r="H117" i="95"/>
  <c r="I117" i="95"/>
  <c r="G116" i="33"/>
  <c r="D117" i="33"/>
  <c r="E117" i="33" s="1"/>
  <c r="F118" i="82"/>
  <c r="B118" i="82"/>
  <c r="I124" i="3"/>
  <c r="H124" i="3"/>
  <c r="I116" i="87"/>
  <c r="H116" i="87"/>
  <c r="J125" i="24"/>
  <c r="E126" i="21"/>
  <c r="D126" i="21"/>
  <c r="G125" i="21"/>
  <c r="J118" i="75"/>
  <c r="I116" i="96"/>
  <c r="H116" i="96"/>
  <c r="I127" i="28"/>
  <c r="H127" i="28"/>
  <c r="J116" i="93"/>
  <c r="I123" i="44"/>
  <c r="H123" i="44"/>
  <c r="D119" i="80"/>
  <c r="G118" i="80"/>
  <c r="E119" i="80"/>
  <c r="B126" i="17"/>
  <c r="F126" i="17"/>
  <c r="J118" i="77"/>
  <c r="J118" i="76"/>
  <c r="J124" i="21"/>
  <c r="D123" i="55"/>
  <c r="G122" i="55"/>
  <c r="E123" i="55"/>
  <c r="B120" i="67"/>
  <c r="F120" i="67"/>
  <c r="J117" i="80"/>
  <c r="E117" i="96"/>
  <c r="F117" i="96" s="1"/>
  <c r="B124" i="44"/>
  <c r="F124" i="44"/>
  <c r="B141" i="35"/>
  <c r="E141" i="35"/>
  <c r="F141" i="35" s="1"/>
  <c r="G140" i="35"/>
  <c r="D118" i="93"/>
  <c r="E118" i="93" s="1"/>
  <c r="G117" i="93"/>
  <c r="B118" i="95"/>
  <c r="F118" i="95"/>
  <c r="E120" i="75"/>
  <c r="D120" i="75"/>
  <c r="G119" i="75"/>
  <c r="D118" i="25"/>
  <c r="E118" i="25" s="1"/>
  <c r="G117" i="25"/>
  <c r="H119" i="67"/>
  <c r="I119" i="67"/>
  <c r="D119" i="83"/>
  <c r="E119" i="83"/>
  <c r="G118" i="83"/>
  <c r="D120" i="76"/>
  <c r="G119" i="76"/>
  <c r="E120" i="76"/>
  <c r="E125" i="42"/>
  <c r="D125" i="42"/>
  <c r="G124" i="42"/>
  <c r="G37" i="98" l="1"/>
  <c r="I37" i="25"/>
  <c r="I37" i="98"/>
  <c r="G44" i="97"/>
  <c r="G40" i="99"/>
  <c r="E41" i="99"/>
  <c r="F41" i="99" s="1"/>
  <c r="G41" i="99" s="1"/>
  <c r="B41" i="99"/>
  <c r="E45" i="97"/>
  <c r="F45" i="97" s="1"/>
  <c r="D46" i="97" s="1"/>
  <c r="B45" i="97"/>
  <c r="D38" i="98"/>
  <c r="E38" i="98"/>
  <c r="H44" i="97"/>
  <c r="I44" i="97" s="1"/>
  <c r="H40" i="99"/>
  <c r="I40" i="99" s="1"/>
  <c r="G47" i="70"/>
  <c r="H45" i="17"/>
  <c r="I45" i="17" s="1"/>
  <c r="H116" i="99"/>
  <c r="I116" i="99"/>
  <c r="F117" i="99"/>
  <c r="B117" i="99"/>
  <c r="I40" i="65"/>
  <c r="G42" i="57"/>
  <c r="I42" i="57" s="1"/>
  <c r="H42" i="46"/>
  <c r="I42" i="46" s="1"/>
  <c r="J116" i="98"/>
  <c r="G117" i="94"/>
  <c r="D118" i="94"/>
  <c r="B118" i="94" s="1"/>
  <c r="J116" i="94"/>
  <c r="D118" i="98"/>
  <c r="G117" i="98"/>
  <c r="E118" i="98"/>
  <c r="J116" i="97"/>
  <c r="H117" i="26"/>
  <c r="I117" i="26"/>
  <c r="D118" i="97"/>
  <c r="E118" i="97" s="1"/>
  <c r="G117" i="97"/>
  <c r="E118" i="26"/>
  <c r="F118" i="26" s="1"/>
  <c r="B118" i="26"/>
  <c r="H37" i="89"/>
  <c r="I37" i="89" s="1"/>
  <c r="H39" i="80"/>
  <c r="I39" i="80" s="1"/>
  <c r="H39" i="76"/>
  <c r="I39" i="76" s="1"/>
  <c r="H41" i="67"/>
  <c r="I41" i="67" s="1"/>
  <c r="E42" i="67"/>
  <c r="D42" i="67"/>
  <c r="E43" i="46"/>
  <c r="D43" i="46"/>
  <c r="H46" i="24"/>
  <c r="I46" i="24" s="1"/>
  <c r="D47" i="24"/>
  <c r="E47" i="24"/>
  <c r="G41" i="60"/>
  <c r="I41" i="60" s="1"/>
  <c r="G45" i="22"/>
  <c r="I45" i="22" s="1"/>
  <c r="D37" i="93"/>
  <c r="E37" i="93"/>
  <c r="I37" i="26"/>
  <c r="H44" i="74"/>
  <c r="I44" i="74" s="1"/>
  <c r="H36" i="93"/>
  <c r="G36" i="93"/>
  <c r="H37" i="94"/>
  <c r="I37" i="94" s="1"/>
  <c r="D38" i="94"/>
  <c r="E38" i="94"/>
  <c r="B40" i="82"/>
  <c r="F40" i="82"/>
  <c r="H40" i="82" s="1"/>
  <c r="F39" i="86"/>
  <c r="B39" i="86"/>
  <c r="H39" i="78"/>
  <c r="I39" i="78" s="1"/>
  <c r="D40" i="80"/>
  <c r="E40" i="80"/>
  <c r="I38" i="86"/>
  <c r="E38" i="25"/>
  <c r="F38" i="25" s="1"/>
  <c r="B38" i="25"/>
  <c r="G38" i="81"/>
  <c r="I38" i="81" s="1"/>
  <c r="G41" i="66"/>
  <c r="D42" i="66"/>
  <c r="E42" i="66"/>
  <c r="H38" i="84"/>
  <c r="E39" i="84"/>
  <c r="D39" i="84"/>
  <c r="B41" i="65"/>
  <c r="F41" i="65"/>
  <c r="H41" i="65" s="1"/>
  <c r="I43" i="58"/>
  <c r="G39" i="90"/>
  <c r="I39" i="90" s="1"/>
  <c r="E40" i="90"/>
  <c r="D40" i="90"/>
  <c r="F44" i="55"/>
  <c r="H44" i="55" s="1"/>
  <c r="B44" i="55"/>
  <c r="F45" i="42"/>
  <c r="G45" i="42" s="1"/>
  <c r="B45" i="42"/>
  <c r="G47" i="29"/>
  <c r="I47" i="29" s="1"/>
  <c r="E39" i="91"/>
  <c r="D39" i="91"/>
  <c r="G38" i="91"/>
  <c r="I38" i="91" s="1"/>
  <c r="F40" i="75"/>
  <c r="H40" i="75" s="1"/>
  <c r="B40" i="75"/>
  <c r="H41" i="66"/>
  <c r="G38" i="84"/>
  <c r="B44" i="58"/>
  <c r="F44" i="58"/>
  <c r="H42" i="53"/>
  <c r="I42" i="53" s="1"/>
  <c r="D43" i="53"/>
  <c r="E43" i="53"/>
  <c r="H47" i="23"/>
  <c r="G47" i="23"/>
  <c r="D48" i="23"/>
  <c r="E48" i="23"/>
  <c r="D45" i="44"/>
  <c r="E45" i="44"/>
  <c r="H41" i="61"/>
  <c r="I41" i="61" s="1"/>
  <c r="B43" i="72"/>
  <c r="F43" i="72"/>
  <c r="G43" i="72" s="1"/>
  <c r="F45" i="39"/>
  <c r="H45" i="39" s="1"/>
  <c r="B45" i="39"/>
  <c r="G44" i="44"/>
  <c r="E40" i="76"/>
  <c r="D40" i="76"/>
  <c r="D39" i="81"/>
  <c r="E39" i="81"/>
  <c r="D42" i="61"/>
  <c r="E42" i="61"/>
  <c r="B37" i="95"/>
  <c r="F37" i="95"/>
  <c r="G37" i="95" s="1"/>
  <c r="B39" i="85"/>
  <c r="F39" i="85"/>
  <c r="H39" i="85" s="1"/>
  <c r="H46" i="32"/>
  <c r="G47" i="27"/>
  <c r="H47" i="27"/>
  <c r="D48" i="27"/>
  <c r="E48" i="27"/>
  <c r="H44" i="44"/>
  <c r="G36" i="96"/>
  <c r="I36" i="96" s="1"/>
  <c r="E37" i="96"/>
  <c r="D37" i="96"/>
  <c r="E46" i="22"/>
  <c r="D46" i="22"/>
  <c r="I44" i="20"/>
  <c r="I36" i="13"/>
  <c r="H45" i="43"/>
  <c r="I45" i="43" s="1"/>
  <c r="H39" i="77"/>
  <c r="I39" i="77" s="1"/>
  <c r="B47" i="71"/>
  <c r="F47" i="71"/>
  <c r="H47" i="71" s="1"/>
  <c r="B38" i="83"/>
  <c r="F38" i="83"/>
  <c r="I47" i="70"/>
  <c r="F47" i="34"/>
  <c r="G47" i="34" s="1"/>
  <c r="B47" i="34"/>
  <c r="E40" i="79"/>
  <c r="D40" i="79"/>
  <c r="I57" i="35"/>
  <c r="G42" i="54"/>
  <c r="I42" i="54" s="1"/>
  <c r="E43" i="57"/>
  <c r="D43" i="57"/>
  <c r="I43" i="45"/>
  <c r="I47" i="69"/>
  <c r="D45" i="74"/>
  <c r="E45" i="74"/>
  <c r="H41" i="63"/>
  <c r="I41" i="63" s="1"/>
  <c r="E42" i="63"/>
  <c r="D42" i="63"/>
  <c r="G39" i="79"/>
  <c r="I39" i="79" s="1"/>
  <c r="D48" i="29"/>
  <c r="E48" i="29"/>
  <c r="E46" i="43"/>
  <c r="D46" i="43"/>
  <c r="B46" i="19"/>
  <c r="F46" i="19"/>
  <c r="G46" i="19" s="1"/>
  <c r="B49" i="28"/>
  <c r="F49" i="28"/>
  <c r="G49" i="28" s="1"/>
  <c r="G37" i="92"/>
  <c r="I37" i="92" s="1"/>
  <c r="E38" i="92"/>
  <c r="D38" i="92"/>
  <c r="B42" i="56"/>
  <c r="F42" i="56"/>
  <c r="E46" i="17"/>
  <c r="D46" i="17"/>
  <c r="F42" i="64"/>
  <c r="H42" i="64" s="1"/>
  <c r="B42" i="64"/>
  <c r="B47" i="30"/>
  <c r="F47" i="30"/>
  <c r="H47" i="30" s="1"/>
  <c r="D47" i="32"/>
  <c r="E47" i="32"/>
  <c r="F41" i="68"/>
  <c r="G41" i="68" s="1"/>
  <c r="B41" i="68"/>
  <c r="F44" i="45"/>
  <c r="B44" i="45"/>
  <c r="D40" i="77"/>
  <c r="E40" i="77"/>
  <c r="B48" i="31"/>
  <c r="F48" i="31"/>
  <c r="H48" i="31" s="1"/>
  <c r="E43" i="54"/>
  <c r="D43" i="54"/>
  <c r="F39" i="88"/>
  <c r="G39" i="88" s="1"/>
  <c r="B39" i="88"/>
  <c r="G45" i="21"/>
  <c r="I45" i="21" s="1"/>
  <c r="D46" i="21"/>
  <c r="E46" i="21"/>
  <c r="F46" i="3"/>
  <c r="G46" i="3" s="1"/>
  <c r="B46" i="3"/>
  <c r="G44" i="73"/>
  <c r="E45" i="73"/>
  <c r="H44" i="73"/>
  <c r="D45" i="73"/>
  <c r="H45" i="41"/>
  <c r="I45" i="41" s="1"/>
  <c r="E46" i="41"/>
  <c r="D46" i="41"/>
  <c r="E40" i="78"/>
  <c r="D40" i="78"/>
  <c r="I40" i="68"/>
  <c r="E48" i="70"/>
  <c r="D48" i="70"/>
  <c r="D42" i="60"/>
  <c r="E42" i="60"/>
  <c r="I46" i="32"/>
  <c r="E38" i="89"/>
  <c r="D38" i="89"/>
  <c r="F48" i="69"/>
  <c r="H48" i="69" s="1"/>
  <c r="B48" i="69"/>
  <c r="J117" i="95"/>
  <c r="J126" i="30"/>
  <c r="J120" i="61"/>
  <c r="J116" i="86"/>
  <c r="J116" i="90"/>
  <c r="J124" i="34"/>
  <c r="J117" i="85"/>
  <c r="J116" i="84"/>
  <c r="J120" i="64"/>
  <c r="E47" i="18"/>
  <c r="D47" i="18"/>
  <c r="B39" i="33"/>
  <c r="F39" i="33"/>
  <c r="H39" i="33" s="1"/>
  <c r="F45" i="20"/>
  <c r="G45" i="20" s="1"/>
  <c r="B45" i="20"/>
  <c r="E42" i="59"/>
  <c r="D42" i="59"/>
  <c r="B38" i="26"/>
  <c r="F38" i="26"/>
  <c r="G38" i="26" s="1"/>
  <c r="B41" i="62"/>
  <c r="F41" i="62"/>
  <c r="H41" i="62" s="1"/>
  <c r="J126" i="69"/>
  <c r="J126" i="29"/>
  <c r="G41" i="59"/>
  <c r="I41" i="59" s="1"/>
  <c r="B38" i="87"/>
  <c r="F38" i="87"/>
  <c r="G38" i="87" s="1"/>
  <c r="J125" i="18"/>
  <c r="J118" i="79"/>
  <c r="J123" i="43"/>
  <c r="J123" i="39"/>
  <c r="J124" i="20"/>
  <c r="J118" i="78"/>
  <c r="J120" i="63"/>
  <c r="J124" i="19"/>
  <c r="J125" i="31"/>
  <c r="J121" i="72"/>
  <c r="G58" i="35"/>
  <c r="E59" i="35"/>
  <c r="F59" i="35" s="1"/>
  <c r="B59" i="35"/>
  <c r="H58" i="35"/>
  <c r="G46" i="18"/>
  <c r="I46" i="18" s="1"/>
  <c r="B37" i="13"/>
  <c r="F37" i="13"/>
  <c r="H37" i="13" s="1"/>
  <c r="J125" i="32"/>
  <c r="J116" i="88"/>
  <c r="J126" i="70"/>
  <c r="J126" i="27"/>
  <c r="I117" i="89"/>
  <c r="H117" i="89"/>
  <c r="J122" i="74"/>
  <c r="G126" i="32"/>
  <c r="D127" i="32"/>
  <c r="E127" i="32"/>
  <c r="G120" i="68"/>
  <c r="D121" i="68"/>
  <c r="E121" i="68"/>
  <c r="G122" i="72"/>
  <c r="D123" i="72"/>
  <c r="E123" i="72"/>
  <c r="D128" i="29"/>
  <c r="E128" i="29"/>
  <c r="G127" i="29"/>
  <c r="J120" i="60"/>
  <c r="I121" i="62"/>
  <c r="H121" i="62"/>
  <c r="D126" i="34"/>
  <c r="G125" i="34"/>
  <c r="E126" i="34"/>
  <c r="E120" i="79"/>
  <c r="G119" i="79"/>
  <c r="D120" i="79"/>
  <c r="D128" i="69"/>
  <c r="G127" i="69"/>
  <c r="E128" i="69"/>
  <c r="J119" i="68"/>
  <c r="I123" i="45"/>
  <c r="H123" i="45"/>
  <c r="D122" i="63"/>
  <c r="E122" i="63"/>
  <c r="G121" i="63"/>
  <c r="G125" i="20"/>
  <c r="D126" i="20"/>
  <c r="E126" i="20"/>
  <c r="H118" i="81"/>
  <c r="I118" i="81"/>
  <c r="B125" i="41"/>
  <c r="F125" i="41"/>
  <c r="F126" i="22"/>
  <c r="B126" i="22"/>
  <c r="E126" i="19"/>
  <c r="D126" i="19"/>
  <c r="G125" i="19"/>
  <c r="D127" i="31"/>
  <c r="E127" i="31"/>
  <c r="G126" i="31"/>
  <c r="G121" i="64"/>
  <c r="D122" i="64"/>
  <c r="E122" i="64"/>
  <c r="G117" i="86"/>
  <c r="D118" i="86"/>
  <c r="E118" i="86"/>
  <c r="G122" i="53"/>
  <c r="E123" i="53"/>
  <c r="D123" i="53"/>
  <c r="G117" i="90"/>
  <c r="D118" i="90"/>
  <c r="E118" i="90"/>
  <c r="D118" i="92"/>
  <c r="E118" i="92"/>
  <c r="G117" i="92"/>
  <c r="H124" i="73"/>
  <c r="I124" i="73"/>
  <c r="J125" i="17"/>
  <c r="J121" i="58"/>
  <c r="G123" i="74"/>
  <c r="D124" i="74"/>
  <c r="E124" i="74"/>
  <c r="I124" i="41"/>
  <c r="H124" i="41"/>
  <c r="D122" i="60"/>
  <c r="G121" i="60"/>
  <c r="E122" i="60"/>
  <c r="E125" i="39"/>
  <c r="G124" i="39"/>
  <c r="D125" i="39"/>
  <c r="B118" i="89"/>
  <c r="F118" i="89"/>
  <c r="E122" i="61"/>
  <c r="D122" i="61"/>
  <c r="G121" i="61"/>
  <c r="J120" i="65"/>
  <c r="G122" i="46"/>
  <c r="D123" i="46"/>
  <c r="E123" i="46"/>
  <c r="H117" i="91"/>
  <c r="I117" i="91"/>
  <c r="D121" i="66"/>
  <c r="G120" i="66"/>
  <c r="E121" i="66"/>
  <c r="D119" i="85"/>
  <c r="E119" i="85"/>
  <c r="G118" i="85"/>
  <c r="D128" i="70"/>
  <c r="E128" i="70"/>
  <c r="G127" i="70"/>
  <c r="B124" i="45"/>
  <c r="F124" i="45"/>
  <c r="F125" i="73"/>
  <c r="B125" i="73"/>
  <c r="J121" i="59"/>
  <c r="B119" i="81"/>
  <c r="F119" i="81"/>
  <c r="J121" i="46"/>
  <c r="J119" i="66"/>
  <c r="H125" i="22"/>
  <c r="I125" i="22"/>
  <c r="J121" i="53"/>
  <c r="D123" i="58"/>
  <c r="E123" i="58"/>
  <c r="G122" i="58"/>
  <c r="J116" i="92"/>
  <c r="D128" i="27"/>
  <c r="G127" i="27"/>
  <c r="E128" i="27"/>
  <c r="D118" i="84"/>
  <c r="E118" i="84"/>
  <c r="G117" i="84"/>
  <c r="G121" i="65"/>
  <c r="E122" i="65"/>
  <c r="D122" i="65"/>
  <c r="D125" i="43"/>
  <c r="E125" i="43"/>
  <c r="G124" i="43"/>
  <c r="F122" i="62"/>
  <c r="B122" i="62"/>
  <c r="B118" i="91"/>
  <c r="F118" i="91"/>
  <c r="G119" i="78"/>
  <c r="D120" i="78"/>
  <c r="E120" i="78"/>
  <c r="D118" i="88"/>
  <c r="E118" i="88"/>
  <c r="G117" i="88"/>
  <c r="D128" i="30"/>
  <c r="G127" i="30"/>
  <c r="E128" i="30"/>
  <c r="F124" i="56"/>
  <c r="B124" i="56"/>
  <c r="G127" i="23"/>
  <c r="E128" i="23"/>
  <c r="D128" i="23"/>
  <c r="I123" i="56"/>
  <c r="H123" i="56"/>
  <c r="G122" i="59"/>
  <c r="E123" i="59"/>
  <c r="D123" i="59"/>
  <c r="D127" i="18"/>
  <c r="E127" i="18"/>
  <c r="G126" i="18"/>
  <c r="J126" i="23"/>
  <c r="G123" i="57"/>
  <c r="E124" i="57"/>
  <c r="D124" i="57"/>
  <c r="J123" i="44"/>
  <c r="J116" i="96"/>
  <c r="J126" i="71"/>
  <c r="J122" i="57"/>
  <c r="G127" i="71"/>
  <c r="D128" i="71"/>
  <c r="E128" i="71"/>
  <c r="D118" i="96"/>
  <c r="E118" i="96" s="1"/>
  <c r="G117" i="96"/>
  <c r="H124" i="42"/>
  <c r="I124" i="42"/>
  <c r="H119" i="76"/>
  <c r="I119" i="76"/>
  <c r="I117" i="93"/>
  <c r="H117" i="93"/>
  <c r="F123" i="55"/>
  <c r="B123" i="55"/>
  <c r="F126" i="21"/>
  <c r="B126" i="21"/>
  <c r="J116" i="87"/>
  <c r="G118" i="82"/>
  <c r="D119" i="82"/>
  <c r="E119" i="82"/>
  <c r="J139" i="35"/>
  <c r="H116" i="13"/>
  <c r="I116" i="13"/>
  <c r="D129" i="28"/>
  <c r="G128" i="28"/>
  <c r="E129" i="28"/>
  <c r="H122" i="54"/>
  <c r="I122" i="54"/>
  <c r="G117" i="87"/>
  <c r="D118" i="87"/>
  <c r="E118" i="87"/>
  <c r="H126" i="24"/>
  <c r="I126" i="24"/>
  <c r="F125" i="42"/>
  <c r="B125" i="42"/>
  <c r="B120" i="76"/>
  <c r="F120" i="76"/>
  <c r="I118" i="83"/>
  <c r="H118" i="83"/>
  <c r="B118" i="25"/>
  <c r="F118" i="25"/>
  <c r="D125" i="44"/>
  <c r="G124" i="44"/>
  <c r="E125" i="44"/>
  <c r="G120" i="67"/>
  <c r="D121" i="67"/>
  <c r="E121" i="67"/>
  <c r="I118" i="80"/>
  <c r="H118" i="80"/>
  <c r="H116" i="33"/>
  <c r="I116" i="33"/>
  <c r="G125" i="3"/>
  <c r="D126" i="3"/>
  <c r="E126" i="3"/>
  <c r="F120" i="77"/>
  <c r="B120" i="77"/>
  <c r="I119" i="75"/>
  <c r="H119" i="75"/>
  <c r="G118" i="95"/>
  <c r="D119" i="95"/>
  <c r="E119" i="95" s="1"/>
  <c r="F118" i="93"/>
  <c r="B118" i="93"/>
  <c r="H140" i="35"/>
  <c r="I140" i="35"/>
  <c r="G126" i="17"/>
  <c r="D127" i="17"/>
  <c r="E127" i="17"/>
  <c r="F119" i="80"/>
  <c r="B119" i="80"/>
  <c r="J127" i="28"/>
  <c r="J124" i="3"/>
  <c r="F123" i="54"/>
  <c r="B123" i="54"/>
  <c r="I119" i="77"/>
  <c r="H119" i="77"/>
  <c r="B119" i="83"/>
  <c r="F119" i="83"/>
  <c r="J119" i="67"/>
  <c r="H117" i="25"/>
  <c r="I117" i="25"/>
  <c r="F120" i="75"/>
  <c r="B120" i="75"/>
  <c r="G141" i="35"/>
  <c r="B142" i="35"/>
  <c r="E142" i="35"/>
  <c r="F142" i="35" s="1"/>
  <c r="I122" i="55"/>
  <c r="H122" i="55"/>
  <c r="H125" i="21"/>
  <c r="I125" i="21"/>
  <c r="B117" i="33"/>
  <c r="F117" i="33"/>
  <c r="B117" i="13"/>
  <c r="F117" i="13"/>
  <c r="J117" i="82"/>
  <c r="B127" i="24"/>
  <c r="F127" i="24"/>
  <c r="J116" i="99" l="1"/>
  <c r="E46" i="97"/>
  <c r="F46" i="97" s="1"/>
  <c r="B46" i="97"/>
  <c r="B38" i="98"/>
  <c r="F38" i="98"/>
  <c r="G38" i="98" s="1"/>
  <c r="H45" i="97"/>
  <c r="D42" i="99"/>
  <c r="E42" i="99"/>
  <c r="G45" i="97"/>
  <c r="H41" i="99"/>
  <c r="I41" i="99" s="1"/>
  <c r="J117" i="26"/>
  <c r="F118" i="94"/>
  <c r="D119" i="94" s="1"/>
  <c r="E119" i="94" s="1"/>
  <c r="G117" i="99"/>
  <c r="E118" i="99"/>
  <c r="D118" i="99"/>
  <c r="H117" i="97"/>
  <c r="I117" i="97"/>
  <c r="D119" i="26"/>
  <c r="G118" i="26"/>
  <c r="F118" i="97"/>
  <c r="B118" i="97"/>
  <c r="F118" i="98"/>
  <c r="B118" i="98"/>
  <c r="H117" i="98"/>
  <c r="I117" i="98"/>
  <c r="I117" i="94"/>
  <c r="H117" i="94"/>
  <c r="G40" i="75"/>
  <c r="I40" i="75" s="1"/>
  <c r="I36" i="93"/>
  <c r="B42" i="67"/>
  <c r="F42" i="67"/>
  <c r="H42" i="67" s="1"/>
  <c r="I41" i="66"/>
  <c r="B43" i="46"/>
  <c r="F43" i="46"/>
  <c r="H43" i="46" s="1"/>
  <c r="F47" i="24"/>
  <c r="G47" i="24" s="1"/>
  <c r="B47" i="24"/>
  <c r="H38" i="25"/>
  <c r="G38" i="25"/>
  <c r="D39" i="25"/>
  <c r="B39" i="25" s="1"/>
  <c r="G48" i="31"/>
  <c r="I48" i="31" s="1"/>
  <c r="G47" i="71"/>
  <c r="I47" i="71" s="1"/>
  <c r="F40" i="80"/>
  <c r="B40" i="80"/>
  <c r="B38" i="94"/>
  <c r="F38" i="94"/>
  <c r="H38" i="94" s="1"/>
  <c r="F37" i="93"/>
  <c r="B37" i="93"/>
  <c r="H39" i="88"/>
  <c r="I39" i="88" s="1"/>
  <c r="G40" i="82"/>
  <c r="I40" i="82" s="1"/>
  <c r="D41" i="82"/>
  <c r="E41" i="82"/>
  <c r="H38" i="87"/>
  <c r="I38" i="87" s="1"/>
  <c r="I44" i="73"/>
  <c r="G39" i="86"/>
  <c r="H39" i="86"/>
  <c r="E40" i="86"/>
  <c r="D40" i="86"/>
  <c r="I44" i="44"/>
  <c r="H43" i="72"/>
  <c r="I43" i="72" s="1"/>
  <c r="I47" i="23"/>
  <c r="D45" i="58"/>
  <c r="H44" i="58"/>
  <c r="E45" i="58"/>
  <c r="G44" i="58"/>
  <c r="G41" i="65"/>
  <c r="I41" i="65" s="1"/>
  <c r="G47" i="30"/>
  <c r="I47" i="30" s="1"/>
  <c r="E41" i="75"/>
  <c r="D41" i="75"/>
  <c r="I38" i="84"/>
  <c r="B48" i="23"/>
  <c r="F48" i="23"/>
  <c r="F43" i="53"/>
  <c r="B43" i="53"/>
  <c r="G43" i="53"/>
  <c r="B39" i="91"/>
  <c r="F39" i="91"/>
  <c r="H39" i="91" s="1"/>
  <c r="G44" i="55"/>
  <c r="I44" i="55" s="1"/>
  <c r="D45" i="55"/>
  <c r="E45" i="55"/>
  <c r="H45" i="42"/>
  <c r="I45" i="42" s="1"/>
  <c r="E46" i="42"/>
  <c r="D46" i="42"/>
  <c r="F40" i="90"/>
  <c r="G40" i="90" s="1"/>
  <c r="B40" i="90"/>
  <c r="E42" i="65"/>
  <c r="D42" i="65"/>
  <c r="B39" i="84"/>
  <c r="F39" i="84"/>
  <c r="F42" i="66"/>
  <c r="G42" i="66" s="1"/>
  <c r="B42" i="66"/>
  <c r="G39" i="85"/>
  <c r="I39" i="85" s="1"/>
  <c r="D40" i="85"/>
  <c r="E40" i="85"/>
  <c r="E38" i="95"/>
  <c r="D38" i="95"/>
  <c r="F39" i="81"/>
  <c r="H39" i="81" s="1"/>
  <c r="B39" i="81"/>
  <c r="G39" i="33"/>
  <c r="I39" i="33" s="1"/>
  <c r="G48" i="69"/>
  <c r="I48" i="69" s="1"/>
  <c r="H41" i="68"/>
  <c r="I41" i="68" s="1"/>
  <c r="B37" i="96"/>
  <c r="F37" i="96"/>
  <c r="H37" i="96" s="1"/>
  <c r="B48" i="27"/>
  <c r="F48" i="27"/>
  <c r="E46" i="39"/>
  <c r="D46" i="39"/>
  <c r="B45" i="44"/>
  <c r="F45" i="44"/>
  <c r="H45" i="44" s="1"/>
  <c r="B46" i="22"/>
  <c r="F46" i="22"/>
  <c r="H46" i="22" s="1"/>
  <c r="B40" i="76"/>
  <c r="F40" i="76"/>
  <c r="G40" i="76" s="1"/>
  <c r="G37" i="13"/>
  <c r="I37" i="13" s="1"/>
  <c r="I47" i="27"/>
  <c r="H37" i="95"/>
  <c r="I37" i="95" s="1"/>
  <c r="B42" i="61"/>
  <c r="F42" i="61"/>
  <c r="H42" i="61" s="1"/>
  <c r="G45" i="39"/>
  <c r="I45" i="39" s="1"/>
  <c r="D44" i="72"/>
  <c r="E44" i="72"/>
  <c r="F42" i="60"/>
  <c r="H42" i="60" s="1"/>
  <c r="B42" i="60"/>
  <c r="E47" i="3"/>
  <c r="D47" i="3"/>
  <c r="D43" i="56"/>
  <c r="E43" i="56"/>
  <c r="B38" i="92"/>
  <c r="F38" i="92"/>
  <c r="G38" i="92" s="1"/>
  <c r="E50" i="28"/>
  <c r="D50" i="28"/>
  <c r="B43" i="57"/>
  <c r="F43" i="57"/>
  <c r="G43" i="57" s="1"/>
  <c r="D39" i="83"/>
  <c r="E39" i="83"/>
  <c r="G41" i="62"/>
  <c r="I41" i="62" s="1"/>
  <c r="E49" i="69"/>
  <c r="D49" i="69"/>
  <c r="B40" i="78"/>
  <c r="F40" i="78"/>
  <c r="H40" i="78" s="1"/>
  <c r="B45" i="73"/>
  <c r="F45" i="73"/>
  <c r="G45" i="73" s="1"/>
  <c r="G44" i="45"/>
  <c r="E45" i="45"/>
  <c r="D45" i="45"/>
  <c r="F47" i="32"/>
  <c r="G47" i="32" s="1"/>
  <c r="B47" i="32"/>
  <c r="F46" i="17"/>
  <c r="H46" i="17" s="1"/>
  <c r="B46" i="17"/>
  <c r="C55" i="17"/>
  <c r="D47" i="19"/>
  <c r="E47" i="19"/>
  <c r="F42" i="63"/>
  <c r="H42" i="63" s="1"/>
  <c r="B42" i="63"/>
  <c r="B45" i="74"/>
  <c r="F45" i="74"/>
  <c r="H45" i="74" s="1"/>
  <c r="F40" i="79"/>
  <c r="G40" i="79" s="1"/>
  <c r="B40" i="79"/>
  <c r="B38" i="89"/>
  <c r="F38" i="89"/>
  <c r="H38" i="89" s="1"/>
  <c r="F48" i="70"/>
  <c r="H48" i="70" s="1"/>
  <c r="B48" i="70"/>
  <c r="B46" i="41"/>
  <c r="F46" i="41"/>
  <c r="H46" i="41" s="1"/>
  <c r="F46" i="21"/>
  <c r="H46" i="21" s="1"/>
  <c r="B46" i="21"/>
  <c r="E40" i="88"/>
  <c r="D40" i="88"/>
  <c r="D49" i="31"/>
  <c r="E49" i="31"/>
  <c r="B40" i="77"/>
  <c r="F40" i="77"/>
  <c r="G40" i="77" s="1"/>
  <c r="D42" i="68"/>
  <c r="E42" i="68"/>
  <c r="D43" i="64"/>
  <c r="E43" i="64"/>
  <c r="G42" i="56"/>
  <c r="H49" i="28"/>
  <c r="I49" i="28" s="1"/>
  <c r="B48" i="29"/>
  <c r="F48" i="29"/>
  <c r="H48" i="29" s="1"/>
  <c r="E48" i="34"/>
  <c r="D48" i="34"/>
  <c r="H47" i="34"/>
  <c r="I47" i="34" s="1"/>
  <c r="G38" i="83"/>
  <c r="H46" i="3"/>
  <c r="I46" i="3" s="1"/>
  <c r="B43" i="54"/>
  <c r="F43" i="54"/>
  <c r="H43" i="54" s="1"/>
  <c r="H44" i="45"/>
  <c r="E48" i="30"/>
  <c r="D48" i="30"/>
  <c r="G42" i="64"/>
  <c r="I42" i="64" s="1"/>
  <c r="H42" i="56"/>
  <c r="H46" i="19"/>
  <c r="I46" i="19" s="1"/>
  <c r="F46" i="43"/>
  <c r="H46" i="43" s="1"/>
  <c r="B46" i="43"/>
  <c r="H38" i="83"/>
  <c r="I38" i="83" s="1"/>
  <c r="E48" i="71"/>
  <c r="D48" i="71"/>
  <c r="J123" i="45"/>
  <c r="J121" i="62"/>
  <c r="J118" i="80"/>
  <c r="J117" i="91"/>
  <c r="J124" i="41"/>
  <c r="J122" i="54"/>
  <c r="J125" i="22"/>
  <c r="J124" i="73"/>
  <c r="D39" i="26"/>
  <c r="E39" i="26" s="1"/>
  <c r="E46" i="20"/>
  <c r="D46" i="20"/>
  <c r="J119" i="75"/>
  <c r="H59" i="35"/>
  <c r="B60" i="35"/>
  <c r="E60" i="35"/>
  <c r="F60" i="35" s="1"/>
  <c r="G59" i="35"/>
  <c r="B42" i="59"/>
  <c r="F42" i="59"/>
  <c r="H42" i="59" s="1"/>
  <c r="D38" i="13"/>
  <c r="E38" i="13" s="1"/>
  <c r="I58" i="35"/>
  <c r="E39" i="87"/>
  <c r="D39" i="87"/>
  <c r="E42" i="62"/>
  <c r="D42" i="62"/>
  <c r="H38" i="26"/>
  <c r="I38" i="26" s="1"/>
  <c r="H45" i="20"/>
  <c r="I45" i="20" s="1"/>
  <c r="D40" i="33"/>
  <c r="E40" i="33" s="1"/>
  <c r="F47" i="18"/>
  <c r="H47" i="18" s="1"/>
  <c r="B47" i="18"/>
  <c r="H119" i="78"/>
  <c r="I119" i="78"/>
  <c r="E123" i="62"/>
  <c r="G122" i="62"/>
  <c r="D123" i="62"/>
  <c r="B122" i="65"/>
  <c r="F122" i="65"/>
  <c r="F128" i="27"/>
  <c r="B128" i="27"/>
  <c r="F123" i="58"/>
  <c r="B123" i="58"/>
  <c r="H118" i="85"/>
  <c r="I118" i="85"/>
  <c r="H120" i="66"/>
  <c r="I120" i="66"/>
  <c r="I121" i="61"/>
  <c r="H121" i="61"/>
  <c r="I117" i="92"/>
  <c r="H117" i="92"/>
  <c r="B118" i="90"/>
  <c r="F118" i="90"/>
  <c r="I122" i="53"/>
  <c r="H122" i="53"/>
  <c r="F126" i="20"/>
  <c r="B126" i="20"/>
  <c r="F122" i="63"/>
  <c r="B122" i="63"/>
  <c r="I119" i="79"/>
  <c r="H119" i="79"/>
  <c r="B126" i="34"/>
  <c r="F126" i="34"/>
  <c r="I127" i="29"/>
  <c r="H127" i="29"/>
  <c r="B123" i="72"/>
  <c r="F123" i="72"/>
  <c r="H120" i="68"/>
  <c r="I120" i="68"/>
  <c r="I127" i="30"/>
  <c r="H127" i="30"/>
  <c r="B118" i="88"/>
  <c r="F118" i="88"/>
  <c r="D119" i="91"/>
  <c r="E119" i="91"/>
  <c r="G118" i="91"/>
  <c r="I124" i="43"/>
  <c r="H124" i="43"/>
  <c r="B118" i="84"/>
  <c r="F118" i="84"/>
  <c r="H127" i="70"/>
  <c r="I127" i="70"/>
  <c r="B121" i="66"/>
  <c r="F121" i="66"/>
  <c r="B123" i="46"/>
  <c r="F123" i="46"/>
  <c r="B122" i="61"/>
  <c r="F122" i="61"/>
  <c r="B125" i="39"/>
  <c r="F125" i="39"/>
  <c r="H121" i="60"/>
  <c r="I121" i="60"/>
  <c r="I117" i="90"/>
  <c r="H117" i="90"/>
  <c r="B122" i="64"/>
  <c r="F122" i="64"/>
  <c r="B127" i="31"/>
  <c r="F127" i="31"/>
  <c r="J118" i="81"/>
  <c r="H125" i="20"/>
  <c r="I125" i="20"/>
  <c r="H127" i="69"/>
  <c r="I127" i="69"/>
  <c r="I122" i="72"/>
  <c r="H122" i="72"/>
  <c r="B128" i="30"/>
  <c r="F128" i="30"/>
  <c r="I121" i="65"/>
  <c r="H121" i="65"/>
  <c r="H122" i="58"/>
  <c r="I122" i="58"/>
  <c r="D120" i="81"/>
  <c r="G119" i="81"/>
  <c r="E120" i="81"/>
  <c r="G125" i="73"/>
  <c r="D126" i="73"/>
  <c r="E126" i="73"/>
  <c r="B119" i="85"/>
  <c r="F119" i="85"/>
  <c r="H122" i="46"/>
  <c r="I122" i="46"/>
  <c r="I124" i="39"/>
  <c r="H124" i="39"/>
  <c r="F122" i="60"/>
  <c r="B122" i="60"/>
  <c r="B124" i="74"/>
  <c r="F124" i="74"/>
  <c r="B118" i="92"/>
  <c r="F118" i="92"/>
  <c r="F123" i="53"/>
  <c r="B123" i="53"/>
  <c r="F118" i="86"/>
  <c r="B118" i="86"/>
  <c r="H121" i="64"/>
  <c r="I121" i="64"/>
  <c r="I125" i="19"/>
  <c r="H125" i="19"/>
  <c r="D127" i="22"/>
  <c r="E127" i="22"/>
  <c r="G126" i="22"/>
  <c r="I121" i="63"/>
  <c r="H121" i="63"/>
  <c r="F128" i="69"/>
  <c r="B128" i="69"/>
  <c r="F128" i="29"/>
  <c r="B128" i="29"/>
  <c r="F127" i="32"/>
  <c r="B127" i="32"/>
  <c r="J122" i="55"/>
  <c r="I117" i="88"/>
  <c r="H117" i="88"/>
  <c r="B120" i="78"/>
  <c r="F120" i="78"/>
  <c r="F125" i="43"/>
  <c r="B125" i="43"/>
  <c r="H117" i="84"/>
  <c r="I117" i="84"/>
  <c r="H127" i="27"/>
  <c r="I127" i="27"/>
  <c r="G124" i="45"/>
  <c r="D125" i="45"/>
  <c r="E125" i="45"/>
  <c r="B128" i="70"/>
  <c r="F128" i="70"/>
  <c r="E119" i="89"/>
  <c r="D119" i="89"/>
  <c r="G118" i="89"/>
  <c r="H123" i="74"/>
  <c r="I123" i="74"/>
  <c r="I117" i="86"/>
  <c r="H117" i="86"/>
  <c r="H126" i="31"/>
  <c r="I126" i="31"/>
  <c r="F126" i="19"/>
  <c r="B126" i="19"/>
  <c r="G125" i="41"/>
  <c r="E126" i="41"/>
  <c r="D126" i="41"/>
  <c r="B120" i="79"/>
  <c r="F120" i="79"/>
  <c r="H125" i="34"/>
  <c r="I125" i="34"/>
  <c r="B121" i="68"/>
  <c r="F121" i="68"/>
  <c r="H126" i="32"/>
  <c r="I126" i="32"/>
  <c r="J117" i="89"/>
  <c r="J123" i="56"/>
  <c r="F127" i="18"/>
  <c r="B127" i="18"/>
  <c r="I122" i="59"/>
  <c r="H122" i="59"/>
  <c r="F128" i="23"/>
  <c r="B128" i="23"/>
  <c r="D125" i="56"/>
  <c r="E125" i="56"/>
  <c r="G124" i="56"/>
  <c r="J125" i="21"/>
  <c r="J140" i="35"/>
  <c r="J116" i="33"/>
  <c r="H126" i="18"/>
  <c r="I126" i="18"/>
  <c r="F123" i="59"/>
  <c r="B123" i="59"/>
  <c r="H127" i="23"/>
  <c r="I127" i="23"/>
  <c r="J117" i="25"/>
  <c r="I127" i="71"/>
  <c r="H127" i="71"/>
  <c r="F124" i="57"/>
  <c r="B124" i="57"/>
  <c r="J117" i="93"/>
  <c r="J124" i="42"/>
  <c r="B128" i="71"/>
  <c r="F128" i="71"/>
  <c r="H123" i="57"/>
  <c r="I123" i="57"/>
  <c r="B127" i="17"/>
  <c r="F127" i="17"/>
  <c r="F126" i="3"/>
  <c r="B126" i="3"/>
  <c r="G125" i="42"/>
  <c r="D126" i="42"/>
  <c r="E126" i="42"/>
  <c r="B129" i="28"/>
  <c r="F129" i="28"/>
  <c r="I118" i="82"/>
  <c r="H118" i="82"/>
  <c r="B118" i="96"/>
  <c r="F118" i="96"/>
  <c r="D128" i="24"/>
  <c r="G127" i="24"/>
  <c r="E128" i="24"/>
  <c r="D118" i="13"/>
  <c r="G117" i="13"/>
  <c r="E143" i="35"/>
  <c r="F143" i="35" s="1"/>
  <c r="G142" i="35"/>
  <c r="B143" i="35"/>
  <c r="H126" i="17"/>
  <c r="I126" i="17"/>
  <c r="D119" i="93"/>
  <c r="G118" i="93"/>
  <c r="I125" i="3"/>
  <c r="H125" i="3"/>
  <c r="I124" i="44"/>
  <c r="H124" i="44"/>
  <c r="G118" i="25"/>
  <c r="D119" i="25"/>
  <c r="E119" i="25" s="1"/>
  <c r="D121" i="76"/>
  <c r="E121" i="76"/>
  <c r="G120" i="76"/>
  <c r="B118" i="87"/>
  <c r="F118" i="87"/>
  <c r="J116" i="13"/>
  <c r="G123" i="55"/>
  <c r="E124" i="55"/>
  <c r="D124" i="55"/>
  <c r="D118" i="33"/>
  <c r="E118" i="33" s="1"/>
  <c r="G117" i="33"/>
  <c r="D120" i="80"/>
  <c r="G119" i="80"/>
  <c r="E120" i="80"/>
  <c r="F119" i="95"/>
  <c r="B119" i="95"/>
  <c r="B121" i="67"/>
  <c r="F121" i="67"/>
  <c r="B125" i="44"/>
  <c r="F125" i="44"/>
  <c r="J118" i="83"/>
  <c r="J126" i="24"/>
  <c r="H117" i="87"/>
  <c r="I117" i="87"/>
  <c r="J119" i="76"/>
  <c r="H117" i="96"/>
  <c r="I117" i="96"/>
  <c r="I141" i="35"/>
  <c r="H141" i="35"/>
  <c r="D121" i="75"/>
  <c r="G120" i="75"/>
  <c r="E121" i="75"/>
  <c r="D120" i="83"/>
  <c r="G119" i="83"/>
  <c r="E120" i="83"/>
  <c r="J119" i="77"/>
  <c r="D124" i="54"/>
  <c r="G123" i="54"/>
  <c r="E124" i="54"/>
  <c r="I118" i="95"/>
  <c r="H118" i="95"/>
  <c r="E121" i="77"/>
  <c r="G120" i="77"/>
  <c r="D121" i="77"/>
  <c r="H120" i="67"/>
  <c r="I120" i="67"/>
  <c r="H128" i="28"/>
  <c r="I128" i="28"/>
  <c r="B119" i="82"/>
  <c r="F119" i="82"/>
  <c r="G126" i="21"/>
  <c r="E127" i="21"/>
  <c r="D127" i="21"/>
  <c r="G118" i="94" l="1"/>
  <c r="I118" i="94" s="1"/>
  <c r="I44" i="45"/>
  <c r="B119" i="94"/>
  <c r="F119" i="94"/>
  <c r="G119" i="94" s="1"/>
  <c r="H118" i="94"/>
  <c r="D47" i="97"/>
  <c r="B47" i="97" s="1"/>
  <c r="G46" i="97"/>
  <c r="I45" i="97"/>
  <c r="F42" i="99"/>
  <c r="D43" i="99" s="1"/>
  <c r="B42" i="99"/>
  <c r="D39" i="98"/>
  <c r="E39" i="98"/>
  <c r="E47" i="97"/>
  <c r="H38" i="98"/>
  <c r="I38" i="98" s="1"/>
  <c r="H46" i="97"/>
  <c r="I39" i="86"/>
  <c r="G46" i="17"/>
  <c r="I46" i="17" s="1"/>
  <c r="F118" i="99"/>
  <c r="B118" i="99"/>
  <c r="H117" i="99"/>
  <c r="I117" i="99"/>
  <c r="J117" i="98"/>
  <c r="G38" i="94"/>
  <c r="I38" i="94" s="1"/>
  <c r="H47" i="24"/>
  <c r="I47" i="24" s="1"/>
  <c r="J117" i="97"/>
  <c r="H118" i="26"/>
  <c r="I118" i="26"/>
  <c r="D119" i="98"/>
  <c r="G118" i="98"/>
  <c r="E119" i="98"/>
  <c r="J117" i="94"/>
  <c r="E119" i="26"/>
  <c r="F119" i="26" s="1"/>
  <c r="B119" i="26"/>
  <c r="D119" i="97"/>
  <c r="G118" i="97"/>
  <c r="E119" i="97"/>
  <c r="H40" i="90"/>
  <c r="I40" i="90" s="1"/>
  <c r="H40" i="77"/>
  <c r="I40" i="77" s="1"/>
  <c r="G42" i="67"/>
  <c r="I42" i="67" s="1"/>
  <c r="E43" i="67"/>
  <c r="D43" i="67"/>
  <c r="G42" i="60"/>
  <c r="I42" i="60" s="1"/>
  <c r="I42" i="56"/>
  <c r="G43" i="46"/>
  <c r="I43" i="46" s="1"/>
  <c r="E44" i="46"/>
  <c r="D44" i="46"/>
  <c r="E48" i="24"/>
  <c r="D48" i="24"/>
  <c r="I38" i="25"/>
  <c r="F40" i="86"/>
  <c r="B40" i="86"/>
  <c r="E39" i="25"/>
  <c r="F39" i="25" s="1"/>
  <c r="G47" i="18"/>
  <c r="I47" i="18" s="1"/>
  <c r="G42" i="63"/>
  <c r="I42" i="63" s="1"/>
  <c r="E38" i="93"/>
  <c r="D38" i="93"/>
  <c r="H40" i="80"/>
  <c r="E41" i="80"/>
  <c r="D41" i="80"/>
  <c r="G37" i="96"/>
  <c r="I37" i="96" s="1"/>
  <c r="G39" i="81"/>
  <c r="I39" i="81" s="1"/>
  <c r="G37" i="93"/>
  <c r="G46" i="43"/>
  <c r="I46" i="43" s="1"/>
  <c r="F41" i="82"/>
  <c r="H41" i="82" s="1"/>
  <c r="B41" i="82"/>
  <c r="H37" i="93"/>
  <c r="E39" i="94"/>
  <c r="D39" i="94"/>
  <c r="G40" i="80"/>
  <c r="G43" i="54"/>
  <c r="I43" i="54" s="1"/>
  <c r="G45" i="44"/>
  <c r="I45" i="44" s="1"/>
  <c r="H39" i="84"/>
  <c r="E40" i="84"/>
  <c r="D40" i="84"/>
  <c r="F46" i="42"/>
  <c r="G46" i="42" s="1"/>
  <c r="B46" i="42"/>
  <c r="B45" i="55"/>
  <c r="F45" i="55"/>
  <c r="G45" i="55" s="1"/>
  <c r="G48" i="23"/>
  <c r="H48" i="23"/>
  <c r="E49" i="23"/>
  <c r="D49" i="23"/>
  <c r="F45" i="58"/>
  <c r="B45" i="58"/>
  <c r="H42" i="66"/>
  <c r="I42" i="66" s="1"/>
  <c r="E43" i="66"/>
  <c r="D43" i="66"/>
  <c r="B42" i="65"/>
  <c r="F42" i="65"/>
  <c r="H42" i="65" s="1"/>
  <c r="G39" i="91"/>
  <c r="I39" i="91" s="1"/>
  <c r="E40" i="91"/>
  <c r="D40" i="91"/>
  <c r="I44" i="58"/>
  <c r="G48" i="29"/>
  <c r="I48" i="29" s="1"/>
  <c r="G39" i="84"/>
  <c r="D41" i="90"/>
  <c r="E41" i="90"/>
  <c r="H43" i="53"/>
  <c r="I43" i="53" s="1"/>
  <c r="E44" i="53"/>
  <c r="D44" i="53"/>
  <c r="B41" i="75"/>
  <c r="F41" i="75"/>
  <c r="H41" i="75" s="1"/>
  <c r="E47" i="22"/>
  <c r="D47" i="22"/>
  <c r="F40" i="85"/>
  <c r="G40" i="85" s="1"/>
  <c r="B40" i="85"/>
  <c r="B46" i="39"/>
  <c r="F46" i="39"/>
  <c r="H46" i="39" s="1"/>
  <c r="G46" i="41"/>
  <c r="I46" i="41" s="1"/>
  <c r="G48" i="70"/>
  <c r="G45" i="74"/>
  <c r="I45" i="74" s="1"/>
  <c r="B44" i="72"/>
  <c r="F44" i="72"/>
  <c r="G44" i="72" s="1"/>
  <c r="G48" i="27"/>
  <c r="D49" i="27"/>
  <c r="E49" i="27"/>
  <c r="H48" i="27"/>
  <c r="D38" i="96"/>
  <c r="E38" i="96"/>
  <c r="E40" i="81"/>
  <c r="D40" i="81"/>
  <c r="B38" i="95"/>
  <c r="F38" i="95"/>
  <c r="H38" i="95" s="1"/>
  <c r="E43" i="61"/>
  <c r="D43" i="61"/>
  <c r="G46" i="21"/>
  <c r="I46" i="21" s="1"/>
  <c r="G42" i="61"/>
  <c r="I42" i="61" s="1"/>
  <c r="H40" i="76"/>
  <c r="I40" i="76" s="1"/>
  <c r="D41" i="76"/>
  <c r="E41" i="76"/>
  <c r="G46" i="22"/>
  <c r="I46" i="22" s="1"/>
  <c r="E46" i="44"/>
  <c r="D46" i="44"/>
  <c r="I48" i="70"/>
  <c r="B48" i="71"/>
  <c r="F48" i="71"/>
  <c r="G48" i="71" s="1"/>
  <c r="F48" i="30"/>
  <c r="H48" i="30" s="1"/>
  <c r="B48" i="30"/>
  <c r="F48" i="34"/>
  <c r="B48" i="34"/>
  <c r="F43" i="64"/>
  <c r="G43" i="64" s="1"/>
  <c r="B43" i="64"/>
  <c r="F49" i="31"/>
  <c r="H49" i="31" s="1"/>
  <c r="B49" i="31"/>
  <c r="H40" i="79"/>
  <c r="I40" i="79" s="1"/>
  <c r="B47" i="19"/>
  <c r="F47" i="19"/>
  <c r="H47" i="19" s="1"/>
  <c r="H47" i="32"/>
  <c r="I47" i="32" s="1"/>
  <c r="B45" i="45"/>
  <c r="F45" i="45"/>
  <c r="H45" i="45" s="1"/>
  <c r="B50" i="28"/>
  <c r="F50" i="28"/>
  <c r="G50" i="28" s="1"/>
  <c r="E39" i="92"/>
  <c r="D39" i="92"/>
  <c r="G42" i="59"/>
  <c r="I42" i="59" s="1"/>
  <c r="I59" i="35"/>
  <c r="E44" i="54"/>
  <c r="D44" i="54"/>
  <c r="E41" i="77"/>
  <c r="D41" i="77"/>
  <c r="F40" i="88"/>
  <c r="H40" i="88" s="1"/>
  <c r="B40" i="88"/>
  <c r="D47" i="41"/>
  <c r="E47" i="41"/>
  <c r="D46" i="74"/>
  <c r="E46" i="74"/>
  <c r="H45" i="73"/>
  <c r="I45" i="73" s="1"/>
  <c r="F49" i="69"/>
  <c r="B49" i="69"/>
  <c r="H43" i="57"/>
  <c r="I43" i="57" s="1"/>
  <c r="D44" i="57"/>
  <c r="E44" i="57"/>
  <c r="B47" i="3"/>
  <c r="F47" i="3"/>
  <c r="H47" i="3" s="1"/>
  <c r="D49" i="29"/>
  <c r="E49" i="29"/>
  <c r="F42" i="68"/>
  <c r="G42" i="68" s="1"/>
  <c r="B42" i="68"/>
  <c r="D47" i="21"/>
  <c r="E47" i="21"/>
  <c r="D49" i="70"/>
  <c r="E49" i="70"/>
  <c r="E43" i="63"/>
  <c r="D43" i="63"/>
  <c r="G40" i="78"/>
  <c r="I40" i="78" s="1"/>
  <c r="E41" i="78"/>
  <c r="D41" i="78"/>
  <c r="F39" i="83"/>
  <c r="G39" i="83" s="1"/>
  <c r="B39" i="83"/>
  <c r="H38" i="92"/>
  <c r="I38" i="92" s="1"/>
  <c r="E43" i="60"/>
  <c r="D43" i="60"/>
  <c r="E47" i="43"/>
  <c r="D47" i="43"/>
  <c r="G38" i="89"/>
  <c r="I38" i="89" s="1"/>
  <c r="D39" i="89"/>
  <c r="E39" i="89"/>
  <c r="D41" i="79"/>
  <c r="E41" i="79"/>
  <c r="D47" i="17"/>
  <c r="E47" i="17"/>
  <c r="E48" i="32"/>
  <c r="D48" i="32"/>
  <c r="E46" i="73"/>
  <c r="D46" i="73"/>
  <c r="B43" i="56"/>
  <c r="F43" i="56"/>
  <c r="G43" i="56" s="1"/>
  <c r="J117" i="86"/>
  <c r="J117" i="88"/>
  <c r="J124" i="39"/>
  <c r="J125" i="3"/>
  <c r="J126" i="31"/>
  <c r="J123" i="74"/>
  <c r="J125" i="20"/>
  <c r="J120" i="68"/>
  <c r="J118" i="85"/>
  <c r="J125" i="19"/>
  <c r="J121" i="60"/>
  <c r="F40" i="33"/>
  <c r="B40" i="33"/>
  <c r="F38" i="13"/>
  <c r="H38" i="13" s="1"/>
  <c r="B38" i="13"/>
  <c r="B61" i="35"/>
  <c r="G60" i="35"/>
  <c r="H60" i="35"/>
  <c r="E61" i="35"/>
  <c r="F61" i="35" s="1"/>
  <c r="F46" i="20"/>
  <c r="G46" i="20" s="1"/>
  <c r="B46" i="20"/>
  <c r="J127" i="29"/>
  <c r="F42" i="62"/>
  <c r="B42" i="62"/>
  <c r="F39" i="87"/>
  <c r="H39" i="87" s="1"/>
  <c r="B39" i="87"/>
  <c r="E43" i="59"/>
  <c r="D43" i="59"/>
  <c r="J127" i="23"/>
  <c r="J126" i="18"/>
  <c r="J126" i="32"/>
  <c r="J125" i="34"/>
  <c r="J127" i="70"/>
  <c r="J127" i="30"/>
  <c r="J122" i="53"/>
  <c r="J117" i="92"/>
  <c r="J119" i="78"/>
  <c r="E48" i="18"/>
  <c r="D48" i="18"/>
  <c r="F39" i="26"/>
  <c r="B39" i="26"/>
  <c r="D122" i="68"/>
  <c r="E122" i="68"/>
  <c r="G121" i="68"/>
  <c r="G120" i="79"/>
  <c r="E121" i="79"/>
  <c r="D121" i="79"/>
  <c r="H125" i="41"/>
  <c r="I125" i="41"/>
  <c r="E129" i="70"/>
  <c r="G128" i="70"/>
  <c r="D129" i="70"/>
  <c r="H124" i="45"/>
  <c r="I124" i="45"/>
  <c r="H126" i="22"/>
  <c r="I126" i="22"/>
  <c r="G118" i="86"/>
  <c r="D119" i="86"/>
  <c r="E119" i="86"/>
  <c r="D123" i="60"/>
  <c r="E123" i="60"/>
  <c r="G122" i="60"/>
  <c r="F126" i="73"/>
  <c r="B126" i="73"/>
  <c r="F120" i="81"/>
  <c r="B120" i="81"/>
  <c r="J121" i="65"/>
  <c r="J122" i="72"/>
  <c r="G122" i="64"/>
  <c r="D123" i="64"/>
  <c r="E123" i="64"/>
  <c r="E123" i="61"/>
  <c r="G122" i="61"/>
  <c r="D123" i="61"/>
  <c r="D122" i="66"/>
  <c r="G121" i="66"/>
  <c r="E122" i="66"/>
  <c r="G118" i="84"/>
  <c r="D119" i="84"/>
  <c r="E119" i="84"/>
  <c r="I118" i="91"/>
  <c r="H118" i="91"/>
  <c r="J119" i="79"/>
  <c r="E127" i="20"/>
  <c r="G126" i="20"/>
  <c r="D127" i="20"/>
  <c r="J121" i="61"/>
  <c r="G128" i="27"/>
  <c r="E129" i="27"/>
  <c r="D129" i="27"/>
  <c r="I122" i="62"/>
  <c r="H122" i="62"/>
  <c r="J128" i="28"/>
  <c r="I118" i="89"/>
  <c r="H118" i="89"/>
  <c r="J127" i="27"/>
  <c r="D128" i="32"/>
  <c r="E128" i="32"/>
  <c r="G127" i="32"/>
  <c r="D129" i="69"/>
  <c r="G128" i="69"/>
  <c r="E129" i="69"/>
  <c r="J121" i="64"/>
  <c r="G124" i="74"/>
  <c r="D125" i="74"/>
  <c r="E125" i="74"/>
  <c r="D120" i="85"/>
  <c r="E120" i="85"/>
  <c r="G119" i="85"/>
  <c r="H125" i="73"/>
  <c r="I125" i="73"/>
  <c r="J122" i="58"/>
  <c r="E129" i="30"/>
  <c r="G128" i="30"/>
  <c r="D129" i="30"/>
  <c r="J127" i="69"/>
  <c r="E124" i="72"/>
  <c r="G123" i="72"/>
  <c r="D124" i="72"/>
  <c r="D127" i="34"/>
  <c r="G126" i="34"/>
  <c r="E127" i="34"/>
  <c r="J120" i="66"/>
  <c r="E123" i="65"/>
  <c r="D123" i="65"/>
  <c r="G122" i="65"/>
  <c r="F126" i="41"/>
  <c r="B126" i="41"/>
  <c r="E127" i="19"/>
  <c r="D127" i="19"/>
  <c r="G126" i="19"/>
  <c r="B119" i="89"/>
  <c r="F119" i="89"/>
  <c r="E126" i="43"/>
  <c r="G125" i="43"/>
  <c r="D126" i="43"/>
  <c r="B127" i="22"/>
  <c r="F127" i="22"/>
  <c r="G123" i="53"/>
  <c r="E124" i="53"/>
  <c r="D124" i="53"/>
  <c r="D128" i="31"/>
  <c r="E128" i="31"/>
  <c r="G127" i="31"/>
  <c r="G125" i="39"/>
  <c r="D126" i="39"/>
  <c r="E126" i="39"/>
  <c r="D124" i="46"/>
  <c r="G123" i="46"/>
  <c r="E124" i="46"/>
  <c r="F119" i="91"/>
  <c r="B119" i="91"/>
  <c r="E123" i="63"/>
  <c r="G122" i="63"/>
  <c r="D123" i="63"/>
  <c r="G123" i="58"/>
  <c r="E124" i="58"/>
  <c r="D124" i="58"/>
  <c r="B125" i="45"/>
  <c r="F125" i="45"/>
  <c r="J117" i="84"/>
  <c r="E121" i="78"/>
  <c r="D121" i="78"/>
  <c r="G120" i="78"/>
  <c r="E129" i="29"/>
  <c r="D129" i="29"/>
  <c r="G128" i="29"/>
  <c r="J121" i="63"/>
  <c r="E119" i="92"/>
  <c r="D119" i="92"/>
  <c r="G118" i="92"/>
  <c r="J122" i="46"/>
  <c r="H119" i="81"/>
  <c r="I119" i="81"/>
  <c r="J117" i="90"/>
  <c r="J124" i="43"/>
  <c r="D119" i="88"/>
  <c r="G118" i="88"/>
  <c r="E119" i="88"/>
  <c r="G118" i="90"/>
  <c r="D119" i="90"/>
  <c r="E119" i="90"/>
  <c r="B123" i="62"/>
  <c r="F123" i="62"/>
  <c r="J117" i="87"/>
  <c r="J126" i="17"/>
  <c r="G123" i="59"/>
  <c r="D124" i="59"/>
  <c r="E124" i="59"/>
  <c r="F125" i="56"/>
  <c r="B125" i="56"/>
  <c r="E129" i="23"/>
  <c r="D129" i="23"/>
  <c r="G128" i="23"/>
  <c r="J122" i="59"/>
  <c r="J120" i="67"/>
  <c r="J123" i="57"/>
  <c r="D128" i="18"/>
  <c r="G127" i="18"/>
  <c r="E128" i="18"/>
  <c r="H124" i="56"/>
  <c r="I124" i="56"/>
  <c r="J118" i="95"/>
  <c r="J118" i="82"/>
  <c r="D129" i="71"/>
  <c r="E129" i="71"/>
  <c r="G128" i="71"/>
  <c r="J124" i="44"/>
  <c r="E125" i="57"/>
  <c r="D125" i="57"/>
  <c r="G124" i="57"/>
  <c r="J127" i="71"/>
  <c r="F127" i="21"/>
  <c r="B127" i="21"/>
  <c r="H123" i="54"/>
  <c r="I123" i="54"/>
  <c r="B120" i="83"/>
  <c r="F120" i="83"/>
  <c r="J117" i="96"/>
  <c r="G121" i="67"/>
  <c r="D122" i="67"/>
  <c r="E122" i="67"/>
  <c r="H119" i="80"/>
  <c r="I119" i="80"/>
  <c r="B124" i="55"/>
  <c r="F124" i="55"/>
  <c r="B119" i="93"/>
  <c r="B118" i="13"/>
  <c r="F128" i="24"/>
  <c r="B128" i="24"/>
  <c r="F126" i="42"/>
  <c r="B126" i="42"/>
  <c r="D128" i="17"/>
  <c r="E128" i="17"/>
  <c r="G127" i="17"/>
  <c r="F124" i="54"/>
  <c r="B124" i="54"/>
  <c r="J141" i="35"/>
  <c r="G125" i="44"/>
  <c r="D126" i="44"/>
  <c r="E126" i="44"/>
  <c r="F120" i="80"/>
  <c r="B120" i="80"/>
  <c r="I117" i="33"/>
  <c r="H117" i="33"/>
  <c r="F121" i="76"/>
  <c r="B121" i="76"/>
  <c r="I142" i="35"/>
  <c r="H142" i="35"/>
  <c r="G118" i="96"/>
  <c r="D119" i="96"/>
  <c r="H125" i="42"/>
  <c r="I125" i="42"/>
  <c r="G126" i="3"/>
  <c r="D127" i="3"/>
  <c r="E127" i="3"/>
  <c r="I126" i="21"/>
  <c r="H126" i="21"/>
  <c r="B121" i="77"/>
  <c r="F121" i="77"/>
  <c r="H120" i="75"/>
  <c r="I120" i="75"/>
  <c r="J118" i="94"/>
  <c r="B118" i="33"/>
  <c r="F118" i="33"/>
  <c r="I123" i="55"/>
  <c r="H123" i="55"/>
  <c r="B119" i="25"/>
  <c r="F119" i="25"/>
  <c r="H118" i="93"/>
  <c r="I118" i="93"/>
  <c r="B144" i="35"/>
  <c r="G143" i="35"/>
  <c r="E144" i="35"/>
  <c r="F144" i="35" s="1"/>
  <c r="E118" i="13"/>
  <c r="F118" i="13" s="1"/>
  <c r="D120" i="94"/>
  <c r="E120" i="94" s="1"/>
  <c r="G119" i="82"/>
  <c r="D120" i="82"/>
  <c r="E120" i="82"/>
  <c r="I120" i="77"/>
  <c r="H120" i="77"/>
  <c r="I119" i="83"/>
  <c r="H119" i="83"/>
  <c r="F121" i="75"/>
  <c r="B121" i="75"/>
  <c r="G119" i="95"/>
  <c r="D120" i="95"/>
  <c r="D119" i="87"/>
  <c r="G118" i="87"/>
  <c r="E119" i="87"/>
  <c r="I120" i="76"/>
  <c r="H120" i="76"/>
  <c r="H118" i="25"/>
  <c r="I118" i="25"/>
  <c r="E119" i="93"/>
  <c r="F119" i="93" s="1"/>
  <c r="H117" i="13"/>
  <c r="I117" i="13"/>
  <c r="H127" i="24"/>
  <c r="I127" i="24"/>
  <c r="D130" i="28"/>
  <c r="G129" i="28"/>
  <c r="E130" i="28"/>
  <c r="F47" i="97" l="1"/>
  <c r="D48" i="97" s="1"/>
  <c r="J118" i="26"/>
  <c r="I46" i="97"/>
  <c r="H42" i="99"/>
  <c r="G42" i="99"/>
  <c r="H47" i="97"/>
  <c r="E48" i="97"/>
  <c r="F48" i="97" s="1"/>
  <c r="D49" i="97" s="1"/>
  <c r="B48" i="97"/>
  <c r="G47" i="97"/>
  <c r="F39" i="98"/>
  <c r="H39" i="98" s="1"/>
  <c r="B39" i="98"/>
  <c r="E43" i="99"/>
  <c r="F43" i="99" s="1"/>
  <c r="B43" i="99"/>
  <c r="G46" i="39"/>
  <c r="I46" i="39" s="1"/>
  <c r="J117" i="99"/>
  <c r="G118" i="99"/>
  <c r="E119" i="99"/>
  <c r="D119" i="99"/>
  <c r="I39" i="84"/>
  <c r="H118" i="98"/>
  <c r="I118" i="98"/>
  <c r="G119" i="26"/>
  <c r="D120" i="26"/>
  <c r="F119" i="98"/>
  <c r="B119" i="98"/>
  <c r="H118" i="97"/>
  <c r="I118" i="97"/>
  <c r="B119" i="97"/>
  <c r="F119" i="97"/>
  <c r="G40" i="88"/>
  <c r="I40" i="88" s="1"/>
  <c r="G41" i="75"/>
  <c r="I41" i="75" s="1"/>
  <c r="B43" i="67"/>
  <c r="F43" i="67"/>
  <c r="H43" i="67" s="1"/>
  <c r="B44" i="46"/>
  <c r="F44" i="46"/>
  <c r="G44" i="46" s="1"/>
  <c r="F48" i="24"/>
  <c r="G48" i="24" s="1"/>
  <c r="B48" i="24"/>
  <c r="I48" i="23"/>
  <c r="G47" i="19"/>
  <c r="I47" i="19" s="1"/>
  <c r="I37" i="93"/>
  <c r="B39" i="94"/>
  <c r="F39" i="94"/>
  <c r="H39" i="94" s="1"/>
  <c r="B38" i="93"/>
  <c r="F38" i="93"/>
  <c r="H38" i="93" s="1"/>
  <c r="H39" i="25"/>
  <c r="G39" i="25"/>
  <c r="D40" i="25"/>
  <c r="H46" i="42"/>
  <c r="I46" i="42" s="1"/>
  <c r="F41" i="80"/>
  <c r="B41" i="80"/>
  <c r="D42" i="82"/>
  <c r="E42" i="82"/>
  <c r="D41" i="86"/>
  <c r="E41" i="86"/>
  <c r="H40" i="86"/>
  <c r="G40" i="86"/>
  <c r="G41" i="82"/>
  <c r="I41" i="82" s="1"/>
  <c r="I40" i="80"/>
  <c r="H46" i="20"/>
  <c r="I46" i="20" s="1"/>
  <c r="G45" i="45"/>
  <c r="I45" i="45" s="1"/>
  <c r="B44" i="53"/>
  <c r="F44" i="53"/>
  <c r="F41" i="90"/>
  <c r="B41" i="90"/>
  <c r="B40" i="91"/>
  <c r="F40" i="91"/>
  <c r="G42" i="65"/>
  <c r="I42" i="65" s="1"/>
  <c r="E43" i="65"/>
  <c r="D43" i="65"/>
  <c r="B49" i="23"/>
  <c r="F49" i="23"/>
  <c r="B40" i="84"/>
  <c r="F40" i="84"/>
  <c r="E42" i="75"/>
  <c r="D42" i="75"/>
  <c r="B43" i="66"/>
  <c r="F43" i="66"/>
  <c r="H43" i="66" s="1"/>
  <c r="G45" i="58"/>
  <c r="E46" i="58"/>
  <c r="H45" i="58"/>
  <c r="D46" i="58"/>
  <c r="H45" i="55"/>
  <c r="I45" i="55" s="1"/>
  <c r="D46" i="55"/>
  <c r="E46" i="55"/>
  <c r="D47" i="42"/>
  <c r="E47" i="42"/>
  <c r="B43" i="61"/>
  <c r="F43" i="61"/>
  <c r="G43" i="61" s="1"/>
  <c r="F46" i="44"/>
  <c r="H46" i="44" s="1"/>
  <c r="B46" i="44"/>
  <c r="B41" i="76"/>
  <c r="F41" i="76"/>
  <c r="F40" i="81"/>
  <c r="G40" i="81" s="1"/>
  <c r="B40" i="81"/>
  <c r="I48" i="27"/>
  <c r="G49" i="31"/>
  <c r="I49" i="31" s="1"/>
  <c r="G38" i="95"/>
  <c r="I38" i="95" s="1"/>
  <c r="D39" i="95"/>
  <c r="E39" i="95"/>
  <c r="E41" i="85"/>
  <c r="D41" i="85"/>
  <c r="F47" i="22"/>
  <c r="B47" i="22"/>
  <c r="B38" i="96"/>
  <c r="F38" i="96"/>
  <c r="H38" i="96" s="1"/>
  <c r="D45" i="72"/>
  <c r="E45" i="72"/>
  <c r="F49" i="27"/>
  <c r="B49" i="27"/>
  <c r="H44" i="72"/>
  <c r="I44" i="72" s="1"/>
  <c r="E47" i="39"/>
  <c r="D47" i="39"/>
  <c r="H40" i="85"/>
  <c r="I40" i="85" s="1"/>
  <c r="I60" i="35"/>
  <c r="F41" i="79"/>
  <c r="B41" i="79"/>
  <c r="H39" i="83"/>
  <c r="I39" i="83" s="1"/>
  <c r="D40" i="83"/>
  <c r="E40" i="83"/>
  <c r="F43" i="63"/>
  <c r="B43" i="63"/>
  <c r="B44" i="57"/>
  <c r="F44" i="57"/>
  <c r="H44" i="57" s="1"/>
  <c r="B41" i="77"/>
  <c r="F41" i="77"/>
  <c r="G41" i="77" s="1"/>
  <c r="E48" i="19"/>
  <c r="D48" i="19"/>
  <c r="E50" i="31"/>
  <c r="D50" i="31"/>
  <c r="F46" i="73"/>
  <c r="H46" i="73" s="1"/>
  <c r="B46" i="73"/>
  <c r="F41" i="78"/>
  <c r="B41" i="78"/>
  <c r="F47" i="21"/>
  <c r="G47" i="21" s="1"/>
  <c r="B47" i="21"/>
  <c r="D43" i="68"/>
  <c r="E43" i="68"/>
  <c r="E48" i="3"/>
  <c r="D48" i="3"/>
  <c r="G49" i="69"/>
  <c r="E50" i="69"/>
  <c r="D50" i="69"/>
  <c r="F46" i="74"/>
  <c r="H46" i="74" s="1"/>
  <c r="B46" i="74"/>
  <c r="F39" i="92"/>
  <c r="B39" i="92"/>
  <c r="D51" i="28"/>
  <c r="E51" i="28"/>
  <c r="D44" i="64"/>
  <c r="E44" i="64"/>
  <c r="G48" i="30"/>
  <c r="I48" i="30" s="1"/>
  <c r="E49" i="30"/>
  <c r="D49" i="30"/>
  <c r="G39" i="87"/>
  <c r="I39" i="87" s="1"/>
  <c r="H43" i="56"/>
  <c r="I43" i="56" s="1"/>
  <c r="D44" i="56"/>
  <c r="E44" i="56"/>
  <c r="F47" i="17"/>
  <c r="G47" i="17" s="1"/>
  <c r="C56" i="17"/>
  <c r="B47" i="17"/>
  <c r="F39" i="89"/>
  <c r="B39" i="89"/>
  <c r="F47" i="43"/>
  <c r="B47" i="43"/>
  <c r="B44" i="54"/>
  <c r="F44" i="54"/>
  <c r="H43" i="64"/>
  <c r="I43" i="64" s="1"/>
  <c r="B48" i="32"/>
  <c r="F48" i="32"/>
  <c r="H48" i="32" s="1"/>
  <c r="F43" i="60"/>
  <c r="G43" i="60" s="1"/>
  <c r="B43" i="60"/>
  <c r="F49" i="70"/>
  <c r="H49" i="70" s="1"/>
  <c r="B49" i="70"/>
  <c r="H42" i="68"/>
  <c r="I42" i="68" s="1"/>
  <c r="F49" i="29"/>
  <c r="H49" i="29" s="1"/>
  <c r="B49" i="29"/>
  <c r="G47" i="3"/>
  <c r="I47" i="3" s="1"/>
  <c r="H49" i="69"/>
  <c r="F47" i="41"/>
  <c r="B47" i="41"/>
  <c r="D41" i="88"/>
  <c r="E41" i="88"/>
  <c r="H50" i="28"/>
  <c r="I50" i="28" s="1"/>
  <c r="E46" i="45"/>
  <c r="D46" i="45"/>
  <c r="H48" i="34"/>
  <c r="E49" i="34"/>
  <c r="D49" i="34"/>
  <c r="G48" i="34"/>
  <c r="H48" i="71"/>
  <c r="I48" i="71" s="1"/>
  <c r="D49" i="71"/>
  <c r="E49" i="71"/>
  <c r="J125" i="41"/>
  <c r="J122" i="62"/>
  <c r="J119" i="81"/>
  <c r="J118" i="89"/>
  <c r="J126" i="22"/>
  <c r="D40" i="26"/>
  <c r="D41" i="33"/>
  <c r="E41" i="33" s="1"/>
  <c r="D43" i="62"/>
  <c r="E43" i="62"/>
  <c r="D47" i="20"/>
  <c r="E47" i="20"/>
  <c r="H40" i="33"/>
  <c r="J126" i="21"/>
  <c r="H39" i="26"/>
  <c r="F48" i="18"/>
  <c r="B48" i="18"/>
  <c r="H42" i="62"/>
  <c r="D39" i="13"/>
  <c r="E39" i="13" s="1"/>
  <c r="G40" i="33"/>
  <c r="G39" i="26"/>
  <c r="B43" i="59"/>
  <c r="F43" i="59"/>
  <c r="G43" i="59" s="1"/>
  <c r="D40" i="87"/>
  <c r="E40" i="87"/>
  <c r="G42" i="62"/>
  <c r="H61" i="35"/>
  <c r="G61" i="35"/>
  <c r="E62" i="35"/>
  <c r="F62" i="35" s="1"/>
  <c r="B62" i="35"/>
  <c r="G38" i="13"/>
  <c r="I38" i="13" s="1"/>
  <c r="J142" i="35"/>
  <c r="F119" i="90"/>
  <c r="B119" i="90"/>
  <c r="F119" i="88"/>
  <c r="B119" i="88"/>
  <c r="H123" i="46"/>
  <c r="I123" i="46"/>
  <c r="H125" i="39"/>
  <c r="I125" i="39"/>
  <c r="F124" i="53"/>
  <c r="B124" i="53"/>
  <c r="E120" i="89"/>
  <c r="D120" i="89"/>
  <c r="G119" i="89"/>
  <c r="F123" i="65"/>
  <c r="B123" i="65"/>
  <c r="H126" i="34"/>
  <c r="I126" i="34"/>
  <c r="I119" i="85"/>
  <c r="H119" i="85"/>
  <c r="B125" i="74"/>
  <c r="F125" i="74"/>
  <c r="H128" i="69"/>
  <c r="I128" i="69"/>
  <c r="B128" i="32"/>
  <c r="F128" i="32"/>
  <c r="H126" i="20"/>
  <c r="I126" i="20"/>
  <c r="J118" i="91"/>
  <c r="I122" i="61"/>
  <c r="H122" i="61"/>
  <c r="H122" i="64"/>
  <c r="I122" i="64"/>
  <c r="D121" i="81"/>
  <c r="E121" i="81"/>
  <c r="G120" i="81"/>
  <c r="H118" i="86"/>
  <c r="I118" i="86"/>
  <c r="I120" i="79"/>
  <c r="H120" i="79"/>
  <c r="G123" i="62"/>
  <c r="E124" i="62"/>
  <c r="D124" i="62"/>
  <c r="H118" i="90"/>
  <c r="I118" i="90"/>
  <c r="I120" i="78"/>
  <c r="H120" i="78"/>
  <c r="G125" i="45"/>
  <c r="E126" i="45"/>
  <c r="D126" i="45"/>
  <c r="I123" i="58"/>
  <c r="H123" i="58"/>
  <c r="B124" i="46"/>
  <c r="F124" i="46"/>
  <c r="I127" i="31"/>
  <c r="H127" i="31"/>
  <c r="F126" i="43"/>
  <c r="B126" i="43"/>
  <c r="B127" i="34"/>
  <c r="F127" i="34"/>
  <c r="I124" i="74"/>
  <c r="H124" i="74"/>
  <c r="F129" i="69"/>
  <c r="B129" i="69"/>
  <c r="H128" i="27"/>
  <c r="I128" i="27"/>
  <c r="I121" i="66"/>
  <c r="H121" i="66"/>
  <c r="B123" i="60"/>
  <c r="F123" i="60"/>
  <c r="B129" i="70"/>
  <c r="F129" i="70"/>
  <c r="H121" i="68"/>
  <c r="I121" i="68"/>
  <c r="J120" i="75"/>
  <c r="I118" i="92"/>
  <c r="H118" i="92"/>
  <c r="I128" i="29"/>
  <c r="H128" i="29"/>
  <c r="F121" i="78"/>
  <c r="B121" i="78"/>
  <c r="B123" i="63"/>
  <c r="F123" i="63"/>
  <c r="G119" i="91"/>
  <c r="D120" i="91"/>
  <c r="E120" i="91"/>
  <c r="H123" i="53"/>
  <c r="I123" i="53"/>
  <c r="I125" i="43"/>
  <c r="H125" i="43"/>
  <c r="I126" i="19"/>
  <c r="H126" i="19"/>
  <c r="E127" i="41"/>
  <c r="G126" i="41"/>
  <c r="D127" i="41"/>
  <c r="B124" i="72"/>
  <c r="F124" i="72"/>
  <c r="F129" i="30"/>
  <c r="B129" i="30"/>
  <c r="J125" i="73"/>
  <c r="F120" i="85"/>
  <c r="B120" i="85"/>
  <c r="I127" i="32"/>
  <c r="H127" i="32"/>
  <c r="B119" i="84"/>
  <c r="F119" i="84"/>
  <c r="F122" i="66"/>
  <c r="B122" i="66"/>
  <c r="G126" i="73"/>
  <c r="E127" i="73"/>
  <c r="D127" i="73"/>
  <c r="I128" i="70"/>
  <c r="H128" i="70"/>
  <c r="B121" i="79"/>
  <c r="F121" i="79"/>
  <c r="H118" i="88"/>
  <c r="I118" i="88"/>
  <c r="B119" i="92"/>
  <c r="F119" i="92"/>
  <c r="F129" i="29"/>
  <c r="B129" i="29"/>
  <c r="F124" i="58"/>
  <c r="B124" i="58"/>
  <c r="H122" i="63"/>
  <c r="I122" i="63"/>
  <c r="F126" i="39"/>
  <c r="B126" i="39"/>
  <c r="B128" i="31"/>
  <c r="F128" i="31"/>
  <c r="E128" i="22"/>
  <c r="G127" i="22"/>
  <c r="D128" i="22"/>
  <c r="F127" i="19"/>
  <c r="B127" i="19"/>
  <c r="H122" i="65"/>
  <c r="I122" i="65"/>
  <c r="I123" i="72"/>
  <c r="H123" i="72"/>
  <c r="H128" i="30"/>
  <c r="I128" i="30"/>
  <c r="F129" i="27"/>
  <c r="B129" i="27"/>
  <c r="F127" i="20"/>
  <c r="B127" i="20"/>
  <c r="H118" i="84"/>
  <c r="I118" i="84"/>
  <c r="F123" i="61"/>
  <c r="B123" i="61"/>
  <c r="B123" i="64"/>
  <c r="F123" i="64"/>
  <c r="I122" i="60"/>
  <c r="H122" i="60"/>
  <c r="F119" i="86"/>
  <c r="B119" i="86"/>
  <c r="J124" i="45"/>
  <c r="B122" i="68"/>
  <c r="F122" i="68"/>
  <c r="J127" i="24"/>
  <c r="J124" i="56"/>
  <c r="H128" i="23"/>
  <c r="I128" i="23"/>
  <c r="D126" i="56"/>
  <c r="E126" i="56"/>
  <c r="G125" i="56"/>
  <c r="I127" i="18"/>
  <c r="H127" i="18"/>
  <c r="B129" i="23"/>
  <c r="F129" i="23"/>
  <c r="F124" i="59"/>
  <c r="B124" i="59"/>
  <c r="B128" i="18"/>
  <c r="F128" i="18"/>
  <c r="H123" i="59"/>
  <c r="I123" i="59"/>
  <c r="J120" i="77"/>
  <c r="I128" i="71"/>
  <c r="H128" i="71"/>
  <c r="J125" i="42"/>
  <c r="J123" i="54"/>
  <c r="I124" i="57"/>
  <c r="H124" i="57"/>
  <c r="F125" i="57"/>
  <c r="B125" i="57"/>
  <c r="B129" i="71"/>
  <c r="F129" i="71"/>
  <c r="D119" i="13"/>
  <c r="E119" i="13" s="1"/>
  <c r="G118" i="13"/>
  <c r="G119" i="93"/>
  <c r="D120" i="93"/>
  <c r="E120" i="93" s="1"/>
  <c r="J117" i="13"/>
  <c r="H118" i="87"/>
  <c r="I118" i="87"/>
  <c r="B120" i="95"/>
  <c r="H119" i="94"/>
  <c r="I119" i="94"/>
  <c r="B127" i="3"/>
  <c r="F127" i="3"/>
  <c r="B119" i="96"/>
  <c r="G120" i="80"/>
  <c r="E121" i="80"/>
  <c r="D121" i="80"/>
  <c r="G128" i="24"/>
  <c r="E129" i="24"/>
  <c r="D129" i="24"/>
  <c r="E125" i="55"/>
  <c r="G124" i="55"/>
  <c r="D125" i="55"/>
  <c r="H121" i="67"/>
  <c r="I121" i="67"/>
  <c r="H129" i="28"/>
  <c r="I129" i="28"/>
  <c r="B119" i="87"/>
  <c r="F119" i="87"/>
  <c r="H119" i="95"/>
  <c r="I119" i="95"/>
  <c r="G121" i="75"/>
  <c r="E122" i="75"/>
  <c r="D122" i="75"/>
  <c r="B145" i="35"/>
  <c r="G144" i="35"/>
  <c r="E145" i="35"/>
  <c r="F145" i="35" s="1"/>
  <c r="E122" i="77"/>
  <c r="G121" i="77"/>
  <c r="D122" i="77"/>
  <c r="I126" i="3"/>
  <c r="H126" i="3"/>
  <c r="I118" i="96"/>
  <c r="H118" i="96"/>
  <c r="F126" i="44"/>
  <c r="B126" i="44"/>
  <c r="D125" i="54"/>
  <c r="E125" i="54"/>
  <c r="G124" i="54"/>
  <c r="F128" i="17"/>
  <c r="B128" i="17"/>
  <c r="G120" i="83"/>
  <c r="D121" i="83"/>
  <c r="E121" i="83"/>
  <c r="F130" i="28"/>
  <c r="B130" i="28"/>
  <c r="J120" i="76"/>
  <c r="B120" i="82"/>
  <c r="F120" i="82"/>
  <c r="I143" i="35"/>
  <c r="H143" i="35"/>
  <c r="J123" i="55"/>
  <c r="D122" i="76"/>
  <c r="G121" i="76"/>
  <c r="E122" i="76"/>
  <c r="J117" i="33"/>
  <c r="I125" i="44"/>
  <c r="H125" i="44"/>
  <c r="E127" i="42"/>
  <c r="D127" i="42"/>
  <c r="G126" i="42"/>
  <c r="J119" i="80"/>
  <c r="J118" i="25"/>
  <c r="E120" i="95"/>
  <c r="F120" i="95" s="1"/>
  <c r="J119" i="83"/>
  <c r="I119" i="82"/>
  <c r="H119" i="82"/>
  <c r="F120" i="94"/>
  <c r="B120" i="94"/>
  <c r="J118" i="93"/>
  <c r="G119" i="25"/>
  <c r="D120" i="25"/>
  <c r="E120" i="25" s="1"/>
  <c r="G118" i="33"/>
  <c r="D119" i="33"/>
  <c r="E119" i="33" s="1"/>
  <c r="E119" i="96"/>
  <c r="F119" i="96" s="1"/>
  <c r="H127" i="17"/>
  <c r="I127" i="17"/>
  <c r="F122" i="67"/>
  <c r="B122" i="67"/>
  <c r="G127" i="21"/>
  <c r="E128" i="21"/>
  <c r="D128" i="21"/>
  <c r="H44" i="46" l="1"/>
  <c r="I42" i="99"/>
  <c r="D44" i="99"/>
  <c r="G43" i="99"/>
  <c r="H43" i="99"/>
  <c r="E49" i="97"/>
  <c r="F49" i="97" s="1"/>
  <c r="B49" i="97"/>
  <c r="D40" i="98"/>
  <c r="E40" i="98"/>
  <c r="G39" i="98"/>
  <c r="I39" i="98" s="1"/>
  <c r="H48" i="97"/>
  <c r="G48" i="97"/>
  <c r="I47" i="97"/>
  <c r="J118" i="98"/>
  <c r="I44" i="46"/>
  <c r="F119" i="99"/>
  <c r="B119" i="99"/>
  <c r="H118" i="99"/>
  <c r="I118" i="99"/>
  <c r="J118" i="97"/>
  <c r="E120" i="26"/>
  <c r="F120" i="26" s="1"/>
  <c r="B120" i="26"/>
  <c r="H119" i="26"/>
  <c r="I119" i="26"/>
  <c r="D120" i="97"/>
  <c r="E120" i="97" s="1"/>
  <c r="G119" i="97"/>
  <c r="G119" i="98"/>
  <c r="D120" i="98"/>
  <c r="E120" i="98"/>
  <c r="G43" i="67"/>
  <c r="I43" i="67" s="1"/>
  <c r="D44" i="67"/>
  <c r="E44" i="67"/>
  <c r="E45" i="46"/>
  <c r="D45" i="46"/>
  <c r="H48" i="24"/>
  <c r="I48" i="24" s="1"/>
  <c r="D49" i="24"/>
  <c r="E49" i="24"/>
  <c r="B41" i="86"/>
  <c r="F41" i="86"/>
  <c r="H41" i="80"/>
  <c r="D42" i="80"/>
  <c r="E42" i="80"/>
  <c r="I39" i="25"/>
  <c r="I45" i="58"/>
  <c r="I40" i="86"/>
  <c r="F42" i="82"/>
  <c r="H42" i="82" s="1"/>
  <c r="B42" i="82"/>
  <c r="G38" i="93"/>
  <c r="I38" i="93" s="1"/>
  <c r="E39" i="93"/>
  <c r="D39" i="93"/>
  <c r="G39" i="94"/>
  <c r="I39" i="94" s="1"/>
  <c r="E40" i="94"/>
  <c r="D40" i="94"/>
  <c r="G41" i="80"/>
  <c r="E40" i="25"/>
  <c r="F40" i="25" s="1"/>
  <c r="B40" i="25"/>
  <c r="G44" i="57"/>
  <c r="I44" i="57" s="1"/>
  <c r="H43" i="61"/>
  <c r="I43" i="61" s="1"/>
  <c r="B46" i="58"/>
  <c r="F46" i="58"/>
  <c r="B42" i="75"/>
  <c r="F42" i="75"/>
  <c r="H42" i="75" s="1"/>
  <c r="D41" i="84"/>
  <c r="E41" i="84"/>
  <c r="G49" i="23"/>
  <c r="D50" i="23"/>
  <c r="E50" i="23"/>
  <c r="H40" i="91"/>
  <c r="D41" i="91"/>
  <c r="E41" i="91"/>
  <c r="G40" i="91"/>
  <c r="H41" i="90"/>
  <c r="E42" i="90"/>
  <c r="D42" i="90"/>
  <c r="E44" i="66"/>
  <c r="D44" i="66"/>
  <c r="B43" i="65"/>
  <c r="F43" i="65"/>
  <c r="G43" i="65" s="1"/>
  <c r="H44" i="53"/>
  <c r="D45" i="53"/>
  <c r="E45" i="53"/>
  <c r="G49" i="70"/>
  <c r="I49" i="70" s="1"/>
  <c r="H47" i="17"/>
  <c r="I47" i="17" s="1"/>
  <c r="B47" i="42"/>
  <c r="F47" i="42"/>
  <c r="H47" i="42" s="1"/>
  <c r="B46" i="55"/>
  <c r="F46" i="55"/>
  <c r="H46" i="55" s="1"/>
  <c r="G40" i="84"/>
  <c r="G41" i="90"/>
  <c r="H41" i="77"/>
  <c r="I41" i="77" s="1"/>
  <c r="G43" i="66"/>
  <c r="I43" i="66" s="1"/>
  <c r="H40" i="84"/>
  <c r="I40" i="84" s="1"/>
  <c r="H49" i="23"/>
  <c r="I49" i="23" s="1"/>
  <c r="G44" i="53"/>
  <c r="G41" i="76"/>
  <c r="E42" i="76"/>
  <c r="D42" i="76"/>
  <c r="F45" i="72"/>
  <c r="H45" i="72" s="1"/>
  <c r="B45" i="72"/>
  <c r="H47" i="22"/>
  <c r="E48" i="22"/>
  <c r="D48" i="22"/>
  <c r="B39" i="95"/>
  <c r="F39" i="95"/>
  <c r="G39" i="95" s="1"/>
  <c r="D47" i="44"/>
  <c r="E47" i="44"/>
  <c r="F47" i="39"/>
  <c r="G47" i="39" s="1"/>
  <c r="B47" i="39"/>
  <c r="B41" i="85"/>
  <c r="F41" i="85"/>
  <c r="G41" i="85" s="1"/>
  <c r="H40" i="81"/>
  <c r="I40" i="81" s="1"/>
  <c r="E41" i="81"/>
  <c r="D41" i="81"/>
  <c r="D39" i="96"/>
  <c r="E39" i="96"/>
  <c r="E50" i="27"/>
  <c r="G49" i="27"/>
  <c r="D50" i="27"/>
  <c r="H49" i="27"/>
  <c r="G38" i="96"/>
  <c r="I38" i="96" s="1"/>
  <c r="G47" i="22"/>
  <c r="H41" i="76"/>
  <c r="G46" i="44"/>
  <c r="I46" i="44" s="1"/>
  <c r="D44" i="61"/>
  <c r="E44" i="61"/>
  <c r="I49" i="69"/>
  <c r="B49" i="71"/>
  <c r="F49" i="71"/>
  <c r="F46" i="45"/>
  <c r="H46" i="45" s="1"/>
  <c r="B46" i="45"/>
  <c r="B49" i="30"/>
  <c r="F49" i="30"/>
  <c r="H49" i="30" s="1"/>
  <c r="F44" i="64"/>
  <c r="G44" i="64" s="1"/>
  <c r="B44" i="64"/>
  <c r="G46" i="74"/>
  <c r="I46" i="74" s="1"/>
  <c r="D47" i="74"/>
  <c r="E47" i="74"/>
  <c r="F48" i="3"/>
  <c r="G48" i="3" s="1"/>
  <c r="B48" i="3"/>
  <c r="H41" i="78"/>
  <c r="D42" i="78"/>
  <c r="E42" i="78"/>
  <c r="E47" i="73"/>
  <c r="G46" i="73"/>
  <c r="I46" i="73" s="1"/>
  <c r="D47" i="73"/>
  <c r="F50" i="31"/>
  <c r="B50" i="31"/>
  <c r="B41" i="88"/>
  <c r="F41" i="88"/>
  <c r="D48" i="41"/>
  <c r="E48" i="41"/>
  <c r="H44" i="54"/>
  <c r="E45" i="54"/>
  <c r="D45" i="54"/>
  <c r="E48" i="43"/>
  <c r="D48" i="43"/>
  <c r="E40" i="89"/>
  <c r="D40" i="89"/>
  <c r="H39" i="92"/>
  <c r="D40" i="92"/>
  <c r="E40" i="92"/>
  <c r="B50" i="69"/>
  <c r="F50" i="69"/>
  <c r="H50" i="69" s="1"/>
  <c r="G43" i="63"/>
  <c r="D44" i="63"/>
  <c r="E44" i="63"/>
  <c r="I48" i="34"/>
  <c r="H47" i="41"/>
  <c r="E50" i="29"/>
  <c r="D50" i="29"/>
  <c r="G44" i="54"/>
  <c r="H47" i="43"/>
  <c r="H39" i="89"/>
  <c r="D48" i="17"/>
  <c r="E48" i="17"/>
  <c r="B51" i="28"/>
  <c r="F51" i="28"/>
  <c r="H51" i="28" s="1"/>
  <c r="D48" i="21"/>
  <c r="E48" i="21"/>
  <c r="B48" i="19"/>
  <c r="F48" i="19"/>
  <c r="H48" i="19" s="1"/>
  <c r="D42" i="77"/>
  <c r="E42" i="77"/>
  <c r="G41" i="79"/>
  <c r="D42" i="79"/>
  <c r="E42" i="79"/>
  <c r="I61" i="35"/>
  <c r="F49" i="34"/>
  <c r="B49" i="34"/>
  <c r="G47" i="41"/>
  <c r="G49" i="29"/>
  <c r="I49" i="29" s="1"/>
  <c r="D50" i="70"/>
  <c r="E50" i="70"/>
  <c r="H43" i="60"/>
  <c r="I43" i="60" s="1"/>
  <c r="E44" i="60"/>
  <c r="D44" i="60"/>
  <c r="G48" i="32"/>
  <c r="I48" i="32" s="1"/>
  <c r="E49" i="32"/>
  <c r="D49" i="32"/>
  <c r="G47" i="43"/>
  <c r="G39" i="89"/>
  <c r="B44" i="56"/>
  <c r="F44" i="56"/>
  <c r="G44" i="56" s="1"/>
  <c r="G39" i="92"/>
  <c r="B43" i="68"/>
  <c r="F43" i="68"/>
  <c r="H47" i="21"/>
  <c r="I47" i="21" s="1"/>
  <c r="G41" i="78"/>
  <c r="D45" i="57"/>
  <c r="E45" i="57"/>
  <c r="H43" i="63"/>
  <c r="F40" i="83"/>
  <c r="H40" i="83" s="1"/>
  <c r="B40" i="83"/>
  <c r="H41" i="79"/>
  <c r="J125" i="43"/>
  <c r="J123" i="46"/>
  <c r="J123" i="72"/>
  <c r="E49" i="18"/>
  <c r="D49" i="18"/>
  <c r="I39" i="26"/>
  <c r="F47" i="20"/>
  <c r="B47" i="20"/>
  <c r="J122" i="60"/>
  <c r="J127" i="32"/>
  <c r="J126" i="19"/>
  <c r="J121" i="66"/>
  <c r="J127" i="31"/>
  <c r="J123" i="58"/>
  <c r="J120" i="79"/>
  <c r="J119" i="85"/>
  <c r="D44" i="59"/>
  <c r="E44" i="59"/>
  <c r="I42" i="62"/>
  <c r="B40" i="26"/>
  <c r="J119" i="94"/>
  <c r="J128" i="29"/>
  <c r="J121" i="68"/>
  <c r="J128" i="27"/>
  <c r="J120" i="78"/>
  <c r="B63" i="35"/>
  <c r="E63" i="35"/>
  <c r="F63" i="35" s="1"/>
  <c r="G62" i="35"/>
  <c r="H62" i="35"/>
  <c r="B40" i="87"/>
  <c r="F40" i="87"/>
  <c r="G40" i="87" s="1"/>
  <c r="B39" i="13"/>
  <c r="F39" i="13"/>
  <c r="H39" i="13" s="1"/>
  <c r="G48" i="18"/>
  <c r="I40" i="33"/>
  <c r="B43" i="62"/>
  <c r="F43" i="62"/>
  <c r="G43" i="62" s="1"/>
  <c r="E40" i="26"/>
  <c r="F40" i="26" s="1"/>
  <c r="J122" i="63"/>
  <c r="J118" i="88"/>
  <c r="J122" i="64"/>
  <c r="H43" i="59"/>
  <c r="I43" i="59" s="1"/>
  <c r="H48" i="18"/>
  <c r="F41" i="33"/>
  <c r="G41" i="33" s="1"/>
  <c r="B41" i="33"/>
  <c r="D124" i="64"/>
  <c r="G123" i="64"/>
  <c r="E124" i="64"/>
  <c r="J118" i="84"/>
  <c r="D127" i="39"/>
  <c r="G126" i="39"/>
  <c r="E127" i="39"/>
  <c r="E125" i="58"/>
  <c r="D125" i="58"/>
  <c r="G124" i="58"/>
  <c r="E120" i="84"/>
  <c r="G119" i="84"/>
  <c r="D120" i="84"/>
  <c r="D130" i="30"/>
  <c r="G129" i="30"/>
  <c r="E130" i="30"/>
  <c r="I126" i="41"/>
  <c r="H126" i="41"/>
  <c r="E130" i="69"/>
  <c r="G129" i="69"/>
  <c r="D130" i="69"/>
  <c r="F124" i="62"/>
  <c r="B124" i="62"/>
  <c r="I120" i="81"/>
  <c r="H120" i="81"/>
  <c r="J126" i="20"/>
  <c r="J128" i="69"/>
  <c r="E120" i="88"/>
  <c r="G119" i="88"/>
  <c r="D120" i="88"/>
  <c r="G122" i="68"/>
  <c r="E123" i="68"/>
  <c r="D123" i="68"/>
  <c r="G119" i="86"/>
  <c r="D120" i="86"/>
  <c r="E120" i="86"/>
  <c r="G129" i="27"/>
  <c r="E130" i="27"/>
  <c r="D130" i="27"/>
  <c r="D128" i="19"/>
  <c r="E128" i="19"/>
  <c r="G127" i="19"/>
  <c r="E129" i="31"/>
  <c r="D129" i="31"/>
  <c r="G128" i="31"/>
  <c r="H126" i="73"/>
  <c r="I126" i="73"/>
  <c r="G120" i="85"/>
  <c r="E121" i="85"/>
  <c r="D121" i="85"/>
  <c r="D125" i="72"/>
  <c r="E125" i="72"/>
  <c r="G124" i="72"/>
  <c r="F120" i="91"/>
  <c r="B120" i="91"/>
  <c r="E124" i="60"/>
  <c r="D124" i="60"/>
  <c r="G123" i="60"/>
  <c r="D125" i="46"/>
  <c r="G124" i="46"/>
  <c r="E125" i="46"/>
  <c r="F126" i="45"/>
  <c r="B126" i="45"/>
  <c r="D124" i="65"/>
  <c r="E124" i="65"/>
  <c r="G123" i="65"/>
  <c r="J127" i="18"/>
  <c r="J128" i="30"/>
  <c r="J122" i="65"/>
  <c r="F128" i="22"/>
  <c r="B128" i="22"/>
  <c r="D130" i="29"/>
  <c r="G129" i="29"/>
  <c r="E130" i="29"/>
  <c r="J128" i="70"/>
  <c r="J123" i="53"/>
  <c r="H119" i="91"/>
  <c r="I119" i="91"/>
  <c r="E122" i="78"/>
  <c r="D122" i="78"/>
  <c r="G121" i="78"/>
  <c r="J118" i="92"/>
  <c r="J124" i="74"/>
  <c r="G126" i="43"/>
  <c r="E127" i="43"/>
  <c r="D127" i="43"/>
  <c r="J118" i="90"/>
  <c r="I123" i="62"/>
  <c r="H123" i="62"/>
  <c r="J118" i="86"/>
  <c r="B121" i="81"/>
  <c r="F121" i="81"/>
  <c r="J122" i="61"/>
  <c r="E129" i="32"/>
  <c r="D129" i="32"/>
  <c r="G128" i="32"/>
  <c r="D126" i="74"/>
  <c r="G125" i="74"/>
  <c r="E126" i="74"/>
  <c r="J126" i="34"/>
  <c r="I119" i="89"/>
  <c r="H119" i="89"/>
  <c r="D125" i="53"/>
  <c r="G124" i="53"/>
  <c r="E125" i="53"/>
  <c r="E120" i="90"/>
  <c r="G119" i="90"/>
  <c r="D120" i="90"/>
  <c r="J126" i="3"/>
  <c r="D124" i="61"/>
  <c r="G123" i="61"/>
  <c r="E124" i="61"/>
  <c r="E128" i="20"/>
  <c r="D128" i="20"/>
  <c r="G127" i="20"/>
  <c r="I127" i="22"/>
  <c r="H127" i="22"/>
  <c r="G119" i="92"/>
  <c r="D120" i="92"/>
  <c r="E120" i="92"/>
  <c r="D122" i="79"/>
  <c r="E122" i="79"/>
  <c r="G121" i="79"/>
  <c r="F127" i="73"/>
  <c r="B127" i="73"/>
  <c r="E123" i="66"/>
  <c r="D123" i="66"/>
  <c r="G122" i="66"/>
  <c r="B127" i="41"/>
  <c r="F127" i="41"/>
  <c r="G123" i="63"/>
  <c r="E124" i="63"/>
  <c r="D124" i="63"/>
  <c r="G129" i="70"/>
  <c r="D130" i="70"/>
  <c r="E130" i="70"/>
  <c r="E128" i="34"/>
  <c r="G127" i="34"/>
  <c r="D128" i="34"/>
  <c r="H125" i="45"/>
  <c r="I125" i="45"/>
  <c r="B120" i="89"/>
  <c r="F120" i="89"/>
  <c r="J125" i="39"/>
  <c r="J124" i="57"/>
  <c r="J128" i="71"/>
  <c r="J123" i="59"/>
  <c r="J128" i="23"/>
  <c r="J119" i="82"/>
  <c r="I125" i="56"/>
  <c r="H125" i="56"/>
  <c r="J143" i="35"/>
  <c r="J119" i="95"/>
  <c r="D129" i="18"/>
  <c r="E129" i="18"/>
  <c r="G128" i="18"/>
  <c r="D130" i="23"/>
  <c r="E130" i="23"/>
  <c r="G129" i="23"/>
  <c r="D125" i="59"/>
  <c r="G124" i="59"/>
  <c r="E125" i="59"/>
  <c r="B126" i="56"/>
  <c r="F126" i="56"/>
  <c r="G129" i="71"/>
  <c r="E130" i="71"/>
  <c r="D130" i="71"/>
  <c r="G125" i="57"/>
  <c r="D126" i="57"/>
  <c r="E126" i="57"/>
  <c r="D120" i="96"/>
  <c r="E120" i="96" s="1"/>
  <c r="G119" i="96"/>
  <c r="G120" i="95"/>
  <c r="D121" i="95"/>
  <c r="E121" i="95" s="1"/>
  <c r="I121" i="76"/>
  <c r="H121" i="76"/>
  <c r="H120" i="83"/>
  <c r="I120" i="83"/>
  <c r="J118" i="96"/>
  <c r="H144" i="35"/>
  <c r="I144" i="35"/>
  <c r="H124" i="55"/>
  <c r="I124" i="55"/>
  <c r="I128" i="24"/>
  <c r="H128" i="24"/>
  <c r="D123" i="67"/>
  <c r="G122" i="67"/>
  <c r="E123" i="67"/>
  <c r="H126" i="42"/>
  <c r="I126" i="42"/>
  <c r="F122" i="76"/>
  <c r="B122" i="76"/>
  <c r="F125" i="54"/>
  <c r="B125" i="54"/>
  <c r="F122" i="75"/>
  <c r="B122" i="75"/>
  <c r="J129" i="28"/>
  <c r="B121" i="80"/>
  <c r="F121" i="80"/>
  <c r="F128" i="21"/>
  <c r="B128" i="21"/>
  <c r="I127" i="21"/>
  <c r="H127" i="21"/>
  <c r="F119" i="33"/>
  <c r="B119" i="33"/>
  <c r="F120" i="25"/>
  <c r="B120" i="25"/>
  <c r="D121" i="94"/>
  <c r="E121" i="94" s="1"/>
  <c r="G120" i="94"/>
  <c r="B127" i="42"/>
  <c r="F127" i="42"/>
  <c r="J125" i="44"/>
  <c r="E129" i="17"/>
  <c r="G128" i="17"/>
  <c r="D129" i="17"/>
  <c r="B122" i="77"/>
  <c r="F122" i="77"/>
  <c r="J121" i="67"/>
  <c r="B129" i="24"/>
  <c r="F129" i="24"/>
  <c r="D128" i="3"/>
  <c r="G127" i="3"/>
  <c r="E128" i="3"/>
  <c r="J118" i="87"/>
  <c r="B120" i="93"/>
  <c r="F120" i="93"/>
  <c r="H118" i="13"/>
  <c r="I118" i="13"/>
  <c r="J127" i="17"/>
  <c r="H118" i="33"/>
  <c r="I118" i="33"/>
  <c r="H119" i="25"/>
  <c r="I119" i="25"/>
  <c r="G120" i="82"/>
  <c r="D121" i="82"/>
  <c r="E121" i="82"/>
  <c r="G130" i="28"/>
  <c r="D131" i="28"/>
  <c r="E131" i="28"/>
  <c r="F121" i="83"/>
  <c r="B121" i="83"/>
  <c r="I124" i="54"/>
  <c r="H124" i="54"/>
  <c r="G126" i="44"/>
  <c r="D127" i="44"/>
  <c r="E127" i="44"/>
  <c r="I121" i="77"/>
  <c r="H121" i="77"/>
  <c r="G145" i="35"/>
  <c r="E146" i="35"/>
  <c r="F146" i="35" s="1"/>
  <c r="B146" i="35"/>
  <c r="H121" i="75"/>
  <c r="I121" i="75"/>
  <c r="D120" i="87"/>
  <c r="G119" i="87"/>
  <c r="E120" i="87"/>
  <c r="F125" i="55"/>
  <c r="B125" i="55"/>
  <c r="I120" i="80"/>
  <c r="H120" i="80"/>
  <c r="I119" i="93"/>
  <c r="H119" i="93"/>
  <c r="B119" i="13"/>
  <c r="F119" i="13"/>
  <c r="I43" i="99" l="1"/>
  <c r="D50" i="97"/>
  <c r="H49" i="97"/>
  <c r="G49" i="97"/>
  <c r="F40" i="98"/>
  <c r="H40" i="98" s="1"/>
  <c r="B40" i="98"/>
  <c r="I48" i="97"/>
  <c r="E44" i="99"/>
  <c r="F44" i="99" s="1"/>
  <c r="D45" i="99" s="1"/>
  <c r="B44" i="99"/>
  <c r="I41" i="76"/>
  <c r="J118" i="99"/>
  <c r="G119" i="99"/>
  <c r="D120" i="99"/>
  <c r="E120" i="99"/>
  <c r="I39" i="92"/>
  <c r="G42" i="82"/>
  <c r="I42" i="82" s="1"/>
  <c r="I41" i="79"/>
  <c r="I119" i="97"/>
  <c r="H119" i="97"/>
  <c r="B120" i="98"/>
  <c r="F120" i="98"/>
  <c r="B120" i="97"/>
  <c r="F120" i="97"/>
  <c r="G120" i="26"/>
  <c r="D121" i="26"/>
  <c r="H119" i="98"/>
  <c r="I119" i="98"/>
  <c r="J119" i="26"/>
  <c r="B44" i="67"/>
  <c r="F44" i="67"/>
  <c r="G44" i="67" s="1"/>
  <c r="I43" i="63"/>
  <c r="B45" i="46"/>
  <c r="F45" i="46"/>
  <c r="H45" i="46" s="1"/>
  <c r="G49" i="30"/>
  <c r="I49" i="30" s="1"/>
  <c r="B49" i="24"/>
  <c r="F49" i="24"/>
  <c r="G49" i="24" s="1"/>
  <c r="I41" i="90"/>
  <c r="G46" i="55"/>
  <c r="I46" i="55" s="1"/>
  <c r="G47" i="42"/>
  <c r="I47" i="42" s="1"/>
  <c r="F39" i="93"/>
  <c r="G39" i="93" s="1"/>
  <c r="B39" i="93"/>
  <c r="B42" i="80"/>
  <c r="F42" i="80"/>
  <c r="G42" i="80" s="1"/>
  <c r="F40" i="94"/>
  <c r="B40" i="94"/>
  <c r="I41" i="80"/>
  <c r="G42" i="75"/>
  <c r="I42" i="75" s="1"/>
  <c r="E43" i="82"/>
  <c r="D43" i="82"/>
  <c r="D42" i="86"/>
  <c r="G41" i="86"/>
  <c r="E42" i="86"/>
  <c r="H41" i="86"/>
  <c r="H44" i="64"/>
  <c r="I44" i="64" s="1"/>
  <c r="D41" i="25"/>
  <c r="G40" i="25"/>
  <c r="H40" i="25"/>
  <c r="G45" i="72"/>
  <c r="I45" i="72" s="1"/>
  <c r="I44" i="53"/>
  <c r="B44" i="66"/>
  <c r="F44" i="66"/>
  <c r="H44" i="66" s="1"/>
  <c r="I40" i="91"/>
  <c r="B41" i="84"/>
  <c r="F41" i="84"/>
  <c r="H41" i="84" s="1"/>
  <c r="D47" i="55"/>
  <c r="E47" i="55"/>
  <c r="D48" i="42"/>
  <c r="E48" i="42"/>
  <c r="H43" i="65"/>
  <c r="I43" i="65" s="1"/>
  <c r="E44" i="65"/>
  <c r="D44" i="65"/>
  <c r="B42" i="90"/>
  <c r="F42" i="90"/>
  <c r="B50" i="23"/>
  <c r="F50" i="23"/>
  <c r="E43" i="75"/>
  <c r="D43" i="75"/>
  <c r="H46" i="58"/>
  <c r="D47" i="58"/>
  <c r="G46" i="58"/>
  <c r="E47" i="58"/>
  <c r="F45" i="53"/>
  <c r="B45" i="53"/>
  <c r="F41" i="91"/>
  <c r="B41" i="91"/>
  <c r="F44" i="61"/>
  <c r="H44" i="61" s="1"/>
  <c r="B44" i="61"/>
  <c r="F48" i="22"/>
  <c r="H48" i="22" s="1"/>
  <c r="B48" i="22"/>
  <c r="B41" i="81"/>
  <c r="F41" i="81"/>
  <c r="G41" i="81" s="1"/>
  <c r="B47" i="44"/>
  <c r="F47" i="44"/>
  <c r="F50" i="27"/>
  <c r="H50" i="27" s="1"/>
  <c r="B50" i="27"/>
  <c r="F39" i="96"/>
  <c r="G39" i="96" s="1"/>
  <c r="B39" i="96"/>
  <c r="H47" i="39"/>
  <c r="I47" i="39" s="1"/>
  <c r="D48" i="39"/>
  <c r="E48" i="39"/>
  <c r="H39" i="95"/>
  <c r="I39" i="95" s="1"/>
  <c r="D40" i="95"/>
  <c r="E40" i="95"/>
  <c r="I47" i="22"/>
  <c r="D46" i="72"/>
  <c r="E46" i="72"/>
  <c r="H40" i="87"/>
  <c r="I40" i="87" s="1"/>
  <c r="I49" i="27"/>
  <c r="H41" i="85"/>
  <c r="I41" i="85" s="1"/>
  <c r="D42" i="85"/>
  <c r="E42" i="85"/>
  <c r="F42" i="76"/>
  <c r="G42" i="76" s="1"/>
  <c r="B42" i="76"/>
  <c r="I48" i="18"/>
  <c r="I62" i="35"/>
  <c r="I47" i="43"/>
  <c r="G40" i="83"/>
  <c r="I40" i="83" s="1"/>
  <c r="H43" i="68"/>
  <c r="E44" i="68"/>
  <c r="D44" i="68"/>
  <c r="E45" i="56"/>
  <c r="D45" i="56"/>
  <c r="B49" i="32"/>
  <c r="F49" i="32"/>
  <c r="E50" i="34"/>
  <c r="D50" i="34"/>
  <c r="H49" i="34"/>
  <c r="B42" i="79"/>
  <c r="F42" i="79"/>
  <c r="G42" i="79" s="1"/>
  <c r="I39" i="89"/>
  <c r="B44" i="63"/>
  <c r="F44" i="63"/>
  <c r="H44" i="63" s="1"/>
  <c r="E42" i="88"/>
  <c r="D42" i="88"/>
  <c r="E51" i="31"/>
  <c r="D51" i="31"/>
  <c r="E50" i="71"/>
  <c r="D50" i="71"/>
  <c r="H41" i="33"/>
  <c r="I41" i="33" s="1"/>
  <c r="G43" i="68"/>
  <c r="G48" i="19"/>
  <c r="I48" i="19" s="1"/>
  <c r="D49" i="19"/>
  <c r="E49" i="19"/>
  <c r="G51" i="28"/>
  <c r="I51" i="28" s="1"/>
  <c r="I47" i="41"/>
  <c r="D51" i="69"/>
  <c r="E51" i="69"/>
  <c r="B40" i="92"/>
  <c r="F40" i="92"/>
  <c r="F48" i="43"/>
  <c r="H48" i="43" s="1"/>
  <c r="B48" i="43"/>
  <c r="I44" i="54"/>
  <c r="B47" i="73"/>
  <c r="F47" i="73"/>
  <c r="G47" i="73" s="1"/>
  <c r="B42" i="78"/>
  <c r="F42" i="78"/>
  <c r="H42" i="78" s="1"/>
  <c r="B47" i="74"/>
  <c r="F47" i="74"/>
  <c r="G47" i="74" s="1"/>
  <c r="D47" i="45"/>
  <c r="E47" i="45"/>
  <c r="B45" i="57"/>
  <c r="F45" i="57"/>
  <c r="H44" i="56"/>
  <c r="I44" i="56" s="1"/>
  <c r="G49" i="34"/>
  <c r="B50" i="29"/>
  <c r="F50" i="29"/>
  <c r="H50" i="29" s="1"/>
  <c r="G50" i="69"/>
  <c r="I50" i="69" s="1"/>
  <c r="H41" i="88"/>
  <c r="G50" i="31"/>
  <c r="I41" i="78"/>
  <c r="D45" i="64"/>
  <c r="E45" i="64"/>
  <c r="D50" i="30"/>
  <c r="E50" i="30"/>
  <c r="G46" i="45"/>
  <c r="I46" i="45" s="1"/>
  <c r="G49" i="71"/>
  <c r="E41" i="83"/>
  <c r="D41" i="83"/>
  <c r="B44" i="60"/>
  <c r="F44" i="60"/>
  <c r="H44" i="60" s="1"/>
  <c r="F50" i="70"/>
  <c r="G50" i="70" s="1"/>
  <c r="B50" i="70"/>
  <c r="B42" i="77"/>
  <c r="F42" i="77"/>
  <c r="G42" i="77" s="1"/>
  <c r="F48" i="21"/>
  <c r="H48" i="21" s="1"/>
  <c r="B48" i="21"/>
  <c r="E52" i="28"/>
  <c r="D52" i="28"/>
  <c r="F48" i="17"/>
  <c r="G48" i="17" s="1"/>
  <c r="B48" i="17"/>
  <c r="C57" i="17"/>
  <c r="F40" i="89"/>
  <c r="G40" i="89" s="1"/>
  <c r="B40" i="89"/>
  <c r="F45" i="54"/>
  <c r="G45" i="54" s="1"/>
  <c r="B45" i="54"/>
  <c r="B48" i="41"/>
  <c r="F48" i="41"/>
  <c r="H48" i="41" s="1"/>
  <c r="G41" i="88"/>
  <c r="H50" i="31"/>
  <c r="H48" i="3"/>
  <c r="I48" i="3" s="1"/>
  <c r="D49" i="3"/>
  <c r="E49" i="3"/>
  <c r="H49" i="71"/>
  <c r="J119" i="89"/>
  <c r="J126" i="41"/>
  <c r="J126" i="73"/>
  <c r="D41" i="26"/>
  <c r="E41" i="26" s="1"/>
  <c r="G40" i="26"/>
  <c r="H40" i="26"/>
  <c r="G63" i="35"/>
  <c r="B64" i="35"/>
  <c r="E64" i="35"/>
  <c r="F64" i="35" s="1"/>
  <c r="H63" i="35"/>
  <c r="B44" i="59"/>
  <c r="F44" i="59"/>
  <c r="G44" i="59" s="1"/>
  <c r="D44" i="62"/>
  <c r="E44" i="62"/>
  <c r="E48" i="20"/>
  <c r="D48" i="20"/>
  <c r="B49" i="18"/>
  <c r="F49" i="18"/>
  <c r="G49" i="18" s="1"/>
  <c r="J128" i="24"/>
  <c r="J127" i="22"/>
  <c r="J123" i="62"/>
  <c r="D40" i="13"/>
  <c r="G47" i="20"/>
  <c r="D42" i="33"/>
  <c r="E42" i="33" s="1"/>
  <c r="H43" i="62"/>
  <c r="I43" i="62" s="1"/>
  <c r="G39" i="13"/>
  <c r="I39" i="13" s="1"/>
  <c r="D41" i="87"/>
  <c r="E41" i="87"/>
  <c r="H47" i="20"/>
  <c r="I122" i="66"/>
  <c r="H122" i="66"/>
  <c r="E128" i="73"/>
  <c r="G127" i="73"/>
  <c r="D128" i="73"/>
  <c r="B120" i="90"/>
  <c r="F120" i="90"/>
  <c r="I124" i="53"/>
  <c r="H124" i="53"/>
  <c r="I128" i="32"/>
  <c r="H128" i="32"/>
  <c r="E122" i="81"/>
  <c r="G121" i="81"/>
  <c r="D122" i="81"/>
  <c r="H126" i="43"/>
  <c r="I126" i="43"/>
  <c r="F122" i="78"/>
  <c r="B122" i="78"/>
  <c r="B130" i="29"/>
  <c r="F130" i="29"/>
  <c r="F124" i="65"/>
  <c r="B124" i="65"/>
  <c r="I124" i="46"/>
  <c r="H124" i="46"/>
  <c r="I120" i="85"/>
  <c r="H120" i="85"/>
  <c r="F129" i="31"/>
  <c r="B129" i="31"/>
  <c r="B128" i="19"/>
  <c r="F128" i="19"/>
  <c r="J120" i="81"/>
  <c r="H129" i="69"/>
  <c r="I129" i="69"/>
  <c r="I119" i="84"/>
  <c r="H119" i="84"/>
  <c r="G120" i="89"/>
  <c r="D121" i="89"/>
  <c r="E121" i="89"/>
  <c r="F128" i="34"/>
  <c r="B128" i="34"/>
  <c r="F130" i="70"/>
  <c r="B130" i="70"/>
  <c r="I123" i="63"/>
  <c r="H123" i="63"/>
  <c r="F123" i="66"/>
  <c r="B123" i="66"/>
  <c r="I121" i="79"/>
  <c r="H121" i="79"/>
  <c r="F120" i="92"/>
  <c r="B120" i="92"/>
  <c r="I127" i="20"/>
  <c r="H127" i="20"/>
  <c r="H123" i="61"/>
  <c r="I123" i="61"/>
  <c r="H119" i="90"/>
  <c r="I119" i="90"/>
  <c r="B125" i="53"/>
  <c r="F125" i="53"/>
  <c r="F129" i="32"/>
  <c r="B129" i="32"/>
  <c r="B125" i="46"/>
  <c r="F125" i="46"/>
  <c r="F125" i="72"/>
  <c r="B125" i="72"/>
  <c r="F130" i="27"/>
  <c r="B130" i="27"/>
  <c r="B120" i="86"/>
  <c r="F120" i="86"/>
  <c r="H122" i="68"/>
  <c r="I122" i="68"/>
  <c r="I129" i="30"/>
  <c r="H129" i="30"/>
  <c r="I127" i="34"/>
  <c r="H127" i="34"/>
  <c r="I129" i="70"/>
  <c r="H129" i="70"/>
  <c r="D128" i="41"/>
  <c r="E128" i="41"/>
  <c r="G127" i="41"/>
  <c r="I119" i="92"/>
  <c r="H119" i="92"/>
  <c r="B128" i="20"/>
  <c r="F128" i="20"/>
  <c r="F124" i="61"/>
  <c r="B124" i="61"/>
  <c r="H125" i="74"/>
  <c r="I125" i="74"/>
  <c r="B127" i="43"/>
  <c r="F127" i="43"/>
  <c r="J119" i="91"/>
  <c r="E129" i="22"/>
  <c r="G128" i="22"/>
  <c r="D129" i="22"/>
  <c r="H123" i="65"/>
  <c r="I123" i="65"/>
  <c r="D127" i="45"/>
  <c r="G126" i="45"/>
  <c r="E127" i="45"/>
  <c r="H123" i="60"/>
  <c r="I123" i="60"/>
  <c r="G120" i="91"/>
  <c r="D121" i="91"/>
  <c r="E121" i="91"/>
  <c r="B121" i="85"/>
  <c r="F121" i="85"/>
  <c r="I127" i="19"/>
  <c r="H127" i="19"/>
  <c r="I119" i="86"/>
  <c r="H119" i="86"/>
  <c r="F120" i="88"/>
  <c r="B120" i="88"/>
  <c r="D125" i="62"/>
  <c r="G124" i="62"/>
  <c r="E125" i="62"/>
  <c r="F130" i="30"/>
  <c r="B130" i="30"/>
  <c r="H124" i="58"/>
  <c r="I124" i="58"/>
  <c r="I126" i="39"/>
  <c r="H126" i="39"/>
  <c r="I123" i="64"/>
  <c r="H123" i="64"/>
  <c r="J125" i="45"/>
  <c r="F124" i="63"/>
  <c r="B124" i="63"/>
  <c r="B122" i="79"/>
  <c r="F122" i="79"/>
  <c r="B126" i="74"/>
  <c r="F126" i="74"/>
  <c r="H121" i="78"/>
  <c r="I121" i="78"/>
  <c r="H129" i="29"/>
  <c r="I129" i="29"/>
  <c r="B124" i="60"/>
  <c r="F124" i="60"/>
  <c r="I124" i="72"/>
  <c r="H124" i="72"/>
  <c r="H128" i="31"/>
  <c r="I128" i="31"/>
  <c r="H129" i="27"/>
  <c r="I129" i="27"/>
  <c r="F123" i="68"/>
  <c r="B123" i="68"/>
  <c r="H119" i="88"/>
  <c r="I119" i="88"/>
  <c r="B130" i="69"/>
  <c r="F130" i="69"/>
  <c r="B120" i="84"/>
  <c r="F120" i="84"/>
  <c r="F125" i="58"/>
  <c r="B125" i="58"/>
  <c r="F127" i="39"/>
  <c r="B127" i="39"/>
  <c r="F124" i="64"/>
  <c r="B124" i="64"/>
  <c r="J124" i="55"/>
  <c r="J144" i="35"/>
  <c r="B125" i="59"/>
  <c r="F125" i="59"/>
  <c r="B129" i="18"/>
  <c r="F129" i="18"/>
  <c r="B130" i="23"/>
  <c r="F130" i="23"/>
  <c r="J124" i="54"/>
  <c r="D127" i="56"/>
  <c r="E127" i="56"/>
  <c r="G126" i="56"/>
  <c r="H128" i="18"/>
  <c r="I128" i="18"/>
  <c r="J125" i="56"/>
  <c r="I124" i="59"/>
  <c r="H124" i="59"/>
  <c r="H129" i="23"/>
  <c r="I129" i="23"/>
  <c r="B126" i="57"/>
  <c r="F126" i="57"/>
  <c r="B130" i="71"/>
  <c r="F130" i="71"/>
  <c r="H125" i="57"/>
  <c r="I125" i="57"/>
  <c r="I129" i="71"/>
  <c r="H129" i="71"/>
  <c r="J118" i="33"/>
  <c r="J121" i="76"/>
  <c r="B147" i="35"/>
  <c r="G146" i="35"/>
  <c r="E147" i="35"/>
  <c r="F147" i="35" s="1"/>
  <c r="H130" i="28"/>
  <c r="I130" i="28"/>
  <c r="B121" i="82"/>
  <c r="F121" i="82"/>
  <c r="G120" i="93"/>
  <c r="D121" i="93"/>
  <c r="E121" i="93" s="1"/>
  <c r="G127" i="42"/>
  <c r="E128" i="42"/>
  <c r="D128" i="42"/>
  <c r="H120" i="94"/>
  <c r="I120" i="94"/>
  <c r="G120" i="25"/>
  <c r="D121" i="25"/>
  <c r="E121" i="25" s="1"/>
  <c r="G128" i="21"/>
  <c r="D129" i="21"/>
  <c r="E129" i="21"/>
  <c r="J120" i="83"/>
  <c r="I120" i="95"/>
  <c r="H120" i="95"/>
  <c r="D126" i="55"/>
  <c r="G125" i="55"/>
  <c r="E126" i="55"/>
  <c r="H119" i="87"/>
  <c r="I119" i="87"/>
  <c r="I145" i="35"/>
  <c r="H145" i="35"/>
  <c r="B127" i="44"/>
  <c r="F127" i="44"/>
  <c r="D122" i="83"/>
  <c r="E122" i="83"/>
  <c r="G121" i="83"/>
  <c r="H120" i="82"/>
  <c r="I120" i="82"/>
  <c r="J119" i="25"/>
  <c r="D123" i="75"/>
  <c r="E123" i="75"/>
  <c r="G122" i="75"/>
  <c r="I122" i="67"/>
  <c r="H122" i="67"/>
  <c r="I119" i="96"/>
  <c r="H119" i="96"/>
  <c r="J119" i="93"/>
  <c r="B120" i="87"/>
  <c r="F120" i="87"/>
  <c r="H126" i="44"/>
  <c r="I126" i="44"/>
  <c r="J118" i="13"/>
  <c r="I127" i="3"/>
  <c r="H127" i="3"/>
  <c r="E123" i="77"/>
  <c r="D123" i="77"/>
  <c r="G122" i="77"/>
  <c r="F129" i="17"/>
  <c r="B129" i="17"/>
  <c r="F121" i="94"/>
  <c r="B121" i="94"/>
  <c r="G119" i="33"/>
  <c r="D120" i="33"/>
  <c r="J127" i="21"/>
  <c r="D123" i="76"/>
  <c r="E123" i="76"/>
  <c r="G122" i="76"/>
  <c r="J126" i="42"/>
  <c r="F123" i="67"/>
  <c r="B123" i="67"/>
  <c r="D120" i="13"/>
  <c r="E120" i="13" s="1"/>
  <c r="G119" i="13"/>
  <c r="J120" i="80"/>
  <c r="J121" i="75"/>
  <c r="J121" i="77"/>
  <c r="B131" i="28"/>
  <c r="F131" i="28"/>
  <c r="F128" i="3"/>
  <c r="B128" i="3"/>
  <c r="E130" i="24"/>
  <c r="G129" i="24"/>
  <c r="D130" i="24"/>
  <c r="H128" i="17"/>
  <c r="I128" i="17"/>
  <c r="D122" i="80"/>
  <c r="E122" i="80"/>
  <c r="G121" i="80"/>
  <c r="E126" i="54"/>
  <c r="G125" i="54"/>
  <c r="D126" i="54"/>
  <c r="F121" i="95"/>
  <c r="B121" i="95"/>
  <c r="F120" i="96"/>
  <c r="B120" i="96"/>
  <c r="G45" i="46" l="1"/>
  <c r="G44" i="99"/>
  <c r="D41" i="98"/>
  <c r="E41" i="98"/>
  <c r="E45" i="99"/>
  <c r="F45" i="99" s="1"/>
  <c r="B45" i="99"/>
  <c r="I50" i="31"/>
  <c r="G40" i="98"/>
  <c r="I40" i="98" s="1"/>
  <c r="I49" i="97"/>
  <c r="H44" i="99"/>
  <c r="I44" i="99" s="1"/>
  <c r="E50" i="97"/>
  <c r="F50" i="97"/>
  <c r="D51" i="97" s="1"/>
  <c r="B50" i="97"/>
  <c r="I40" i="25"/>
  <c r="I49" i="71"/>
  <c r="B120" i="99"/>
  <c r="F120" i="99"/>
  <c r="H119" i="99"/>
  <c r="I119" i="99"/>
  <c r="H50" i="70"/>
  <c r="I50" i="70" s="1"/>
  <c r="I45" i="46"/>
  <c r="G48" i="22"/>
  <c r="I48" i="22" s="1"/>
  <c r="J119" i="98"/>
  <c r="G120" i="98"/>
  <c r="D121" i="98"/>
  <c r="E121" i="98"/>
  <c r="I120" i="26"/>
  <c r="H120" i="26"/>
  <c r="G120" i="97"/>
  <c r="D121" i="97"/>
  <c r="E121" i="97" s="1"/>
  <c r="E121" i="26"/>
  <c r="F121" i="26" s="1"/>
  <c r="B121" i="26"/>
  <c r="J119" i="97"/>
  <c r="H42" i="76"/>
  <c r="I42" i="76" s="1"/>
  <c r="I41" i="86"/>
  <c r="H42" i="80"/>
  <c r="H44" i="67"/>
  <c r="I44" i="67" s="1"/>
  <c r="D45" i="67"/>
  <c r="E45" i="67"/>
  <c r="D46" i="46"/>
  <c r="E46" i="46"/>
  <c r="H49" i="24"/>
  <c r="I49" i="24" s="1"/>
  <c r="E50" i="24"/>
  <c r="D50" i="24"/>
  <c r="F42" i="86"/>
  <c r="B42" i="86"/>
  <c r="E41" i="94"/>
  <c r="D41" i="94"/>
  <c r="B43" i="82"/>
  <c r="F43" i="82"/>
  <c r="G43" i="82" s="1"/>
  <c r="H40" i="94"/>
  <c r="I42" i="80"/>
  <c r="G40" i="94"/>
  <c r="G44" i="66"/>
  <c r="I44" i="66" s="1"/>
  <c r="E41" i="25"/>
  <c r="F41" i="25" s="1"/>
  <c r="B41" i="25"/>
  <c r="D43" i="80"/>
  <c r="E43" i="80"/>
  <c r="H39" i="93"/>
  <c r="I39" i="93" s="1"/>
  <c r="E40" i="93"/>
  <c r="D40" i="93"/>
  <c r="H45" i="53"/>
  <c r="D46" i="53"/>
  <c r="E46" i="53"/>
  <c r="I46" i="58"/>
  <c r="G42" i="90"/>
  <c r="E43" i="90"/>
  <c r="D43" i="90"/>
  <c r="B47" i="55"/>
  <c r="F47" i="55"/>
  <c r="H47" i="55" s="1"/>
  <c r="H42" i="77"/>
  <c r="I42" i="77" s="1"/>
  <c r="E42" i="91"/>
  <c r="H41" i="91"/>
  <c r="D42" i="91"/>
  <c r="F47" i="58"/>
  <c r="B47" i="58"/>
  <c r="G50" i="23"/>
  <c r="H50" i="23"/>
  <c r="D51" i="23"/>
  <c r="E51" i="23"/>
  <c r="F44" i="65"/>
  <c r="B44" i="65"/>
  <c r="B48" i="42"/>
  <c r="F48" i="42"/>
  <c r="G41" i="84"/>
  <c r="I41" i="84" s="1"/>
  <c r="D42" i="84"/>
  <c r="E42" i="84"/>
  <c r="G48" i="41"/>
  <c r="I48" i="41" s="1"/>
  <c r="G41" i="91"/>
  <c r="G45" i="53"/>
  <c r="F43" i="75"/>
  <c r="G43" i="75" s="1"/>
  <c r="B43" i="75"/>
  <c r="H42" i="90"/>
  <c r="D45" i="66"/>
  <c r="E45" i="66"/>
  <c r="F42" i="85"/>
  <c r="H42" i="85" s="1"/>
  <c r="B42" i="85"/>
  <c r="G47" i="44"/>
  <c r="D48" i="44"/>
  <c r="E48" i="44"/>
  <c r="H44" i="59"/>
  <c r="I44" i="59" s="1"/>
  <c r="H40" i="89"/>
  <c r="I40" i="89" s="1"/>
  <c r="G42" i="78"/>
  <c r="I42" i="78" s="1"/>
  <c r="E43" i="76"/>
  <c r="D43" i="76"/>
  <c r="B48" i="39"/>
  <c r="F48" i="39"/>
  <c r="G48" i="39" s="1"/>
  <c r="G50" i="27"/>
  <c r="I50" i="27" s="1"/>
  <c r="E51" i="27"/>
  <c r="D51" i="27"/>
  <c r="G44" i="60"/>
  <c r="I44" i="60" s="1"/>
  <c r="B40" i="95"/>
  <c r="F40" i="95"/>
  <c r="G40" i="95" s="1"/>
  <c r="H39" i="96"/>
  <c r="I39" i="96" s="1"/>
  <c r="E40" i="96"/>
  <c r="D40" i="96"/>
  <c r="H41" i="81"/>
  <c r="I41" i="81" s="1"/>
  <c r="D42" i="81"/>
  <c r="E42" i="81"/>
  <c r="E49" i="22"/>
  <c r="D49" i="22"/>
  <c r="D45" i="61"/>
  <c r="E45" i="61"/>
  <c r="F46" i="72"/>
  <c r="H46" i="72" s="1"/>
  <c r="B46" i="72"/>
  <c r="H47" i="44"/>
  <c r="G44" i="61"/>
  <c r="I44" i="61" s="1"/>
  <c r="I47" i="20"/>
  <c r="D49" i="17"/>
  <c r="E49" i="17"/>
  <c r="B45" i="64"/>
  <c r="F45" i="64"/>
  <c r="H45" i="64" s="1"/>
  <c r="E46" i="57"/>
  <c r="D46" i="57"/>
  <c r="F47" i="45"/>
  <c r="G47" i="45" s="1"/>
  <c r="B47" i="45"/>
  <c r="D41" i="92"/>
  <c r="E41" i="92"/>
  <c r="F50" i="71"/>
  <c r="B50" i="71"/>
  <c r="B51" i="31"/>
  <c r="F51" i="31"/>
  <c r="G44" i="63"/>
  <c r="I44" i="63" s="1"/>
  <c r="E45" i="63"/>
  <c r="D45" i="63"/>
  <c r="H42" i="79"/>
  <c r="I42" i="79" s="1"/>
  <c r="H49" i="18"/>
  <c r="I49" i="18" s="1"/>
  <c r="B49" i="3"/>
  <c r="F49" i="3"/>
  <c r="E46" i="54"/>
  <c r="D46" i="54"/>
  <c r="F52" i="28"/>
  <c r="G52" i="28" s="1"/>
  <c r="B52" i="28"/>
  <c r="G48" i="21"/>
  <c r="I48" i="21" s="1"/>
  <c r="D49" i="21"/>
  <c r="E49" i="21"/>
  <c r="E45" i="60"/>
  <c r="D45" i="60"/>
  <c r="H45" i="57"/>
  <c r="H47" i="74"/>
  <c r="I47" i="74" s="1"/>
  <c r="H47" i="73"/>
  <c r="I47" i="73" s="1"/>
  <c r="G48" i="43"/>
  <c r="I48" i="43" s="1"/>
  <c r="B51" i="69"/>
  <c r="F51" i="69"/>
  <c r="G51" i="69" s="1"/>
  <c r="G49" i="32"/>
  <c r="E50" i="32"/>
  <c r="D50" i="32"/>
  <c r="F45" i="56"/>
  <c r="H45" i="56" s="1"/>
  <c r="B45" i="56"/>
  <c r="I43" i="68"/>
  <c r="I63" i="35"/>
  <c r="E49" i="41"/>
  <c r="D49" i="41"/>
  <c r="H45" i="54"/>
  <c r="I45" i="54" s="1"/>
  <c r="D41" i="89"/>
  <c r="E41" i="89"/>
  <c r="D51" i="70"/>
  <c r="E51" i="70"/>
  <c r="B50" i="30"/>
  <c r="F50" i="30"/>
  <c r="H50" i="30" s="1"/>
  <c r="E43" i="78"/>
  <c r="D43" i="78"/>
  <c r="G40" i="92"/>
  <c r="B42" i="88"/>
  <c r="F42" i="88"/>
  <c r="H42" i="88" s="1"/>
  <c r="E43" i="79"/>
  <c r="D43" i="79"/>
  <c r="I49" i="34"/>
  <c r="I40" i="26"/>
  <c r="H48" i="17"/>
  <c r="I48" i="17" s="1"/>
  <c r="D43" i="77"/>
  <c r="E43" i="77"/>
  <c r="F41" i="83"/>
  <c r="B41" i="83"/>
  <c r="I41" i="88"/>
  <c r="G50" i="29"/>
  <c r="I50" i="29" s="1"/>
  <c r="D51" i="29"/>
  <c r="E51" i="29"/>
  <c r="G45" i="57"/>
  <c r="D48" i="74"/>
  <c r="E48" i="74"/>
  <c r="D48" i="73"/>
  <c r="E48" i="73"/>
  <c r="E49" i="43"/>
  <c r="D49" i="43"/>
  <c r="H40" i="92"/>
  <c r="B49" i="19"/>
  <c r="F49" i="19"/>
  <c r="H49" i="19" s="1"/>
  <c r="B50" i="34"/>
  <c r="F50" i="34"/>
  <c r="H49" i="32"/>
  <c r="B44" i="68"/>
  <c r="F44" i="68"/>
  <c r="G44" i="68" s="1"/>
  <c r="J124" i="58"/>
  <c r="J127" i="19"/>
  <c r="J124" i="72"/>
  <c r="J129" i="23"/>
  <c r="J124" i="53"/>
  <c r="J122" i="68"/>
  <c r="J123" i="61"/>
  <c r="J119" i="84"/>
  <c r="B40" i="13"/>
  <c r="B41" i="87"/>
  <c r="F41" i="87"/>
  <c r="G41" i="87" s="1"/>
  <c r="B44" i="62"/>
  <c r="F44" i="62"/>
  <c r="E65" i="35"/>
  <c r="F65" i="35" s="1"/>
  <c r="H64" i="35"/>
  <c r="B65" i="35"/>
  <c r="G64" i="35"/>
  <c r="J119" i="86"/>
  <c r="J123" i="60"/>
  <c r="J119" i="92"/>
  <c r="J119" i="90"/>
  <c r="J126" i="43"/>
  <c r="B42" i="33"/>
  <c r="F42" i="33"/>
  <c r="H42" i="33" s="1"/>
  <c r="E40" i="13"/>
  <c r="F40" i="13" s="1"/>
  <c r="E50" i="18"/>
  <c r="D50" i="18"/>
  <c r="F48" i="20"/>
  <c r="G48" i="20" s="1"/>
  <c r="B48" i="20"/>
  <c r="D45" i="59"/>
  <c r="E45" i="59"/>
  <c r="B41" i="26"/>
  <c r="F41" i="26"/>
  <c r="H41" i="26" s="1"/>
  <c r="G127" i="39"/>
  <c r="E128" i="39"/>
  <c r="D128" i="39"/>
  <c r="G124" i="63"/>
  <c r="E125" i="63"/>
  <c r="D125" i="63"/>
  <c r="F125" i="62"/>
  <c r="B125" i="62"/>
  <c r="F127" i="45"/>
  <c r="B127" i="45"/>
  <c r="H128" i="22"/>
  <c r="I128" i="22"/>
  <c r="G124" i="61"/>
  <c r="E125" i="61"/>
  <c r="D125" i="61"/>
  <c r="E121" i="86"/>
  <c r="D121" i="86"/>
  <c r="G120" i="86"/>
  <c r="I120" i="89"/>
  <c r="H120" i="89"/>
  <c r="D131" i="29"/>
  <c r="G130" i="29"/>
  <c r="E131" i="29"/>
  <c r="H127" i="73"/>
  <c r="I127" i="73"/>
  <c r="J125" i="57"/>
  <c r="D131" i="69"/>
  <c r="G130" i="69"/>
  <c r="E131" i="69"/>
  <c r="J128" i="31"/>
  <c r="E125" i="60"/>
  <c r="D125" i="60"/>
  <c r="G124" i="60"/>
  <c r="J121" i="78"/>
  <c r="E123" i="79"/>
  <c r="G122" i="79"/>
  <c r="D123" i="79"/>
  <c r="J126" i="39"/>
  <c r="G130" i="30"/>
  <c r="D131" i="30"/>
  <c r="E131" i="30"/>
  <c r="J123" i="65"/>
  <c r="J125" i="74"/>
  <c r="E129" i="20"/>
  <c r="D129" i="20"/>
  <c r="G128" i="20"/>
  <c r="H127" i="41"/>
  <c r="I127" i="41"/>
  <c r="J129" i="70"/>
  <c r="J129" i="30"/>
  <c r="G125" i="72"/>
  <c r="D126" i="72"/>
  <c r="E126" i="72"/>
  <c r="G129" i="32"/>
  <c r="E130" i="32"/>
  <c r="D130" i="32"/>
  <c r="J127" i="20"/>
  <c r="J121" i="79"/>
  <c r="J123" i="63"/>
  <c r="G128" i="34"/>
  <c r="E129" i="34"/>
  <c r="D129" i="34"/>
  <c r="G129" i="31"/>
  <c r="E130" i="31"/>
  <c r="D130" i="31"/>
  <c r="J124" i="46"/>
  <c r="G120" i="90"/>
  <c r="D121" i="90"/>
  <c r="E121" i="90"/>
  <c r="G124" i="64"/>
  <c r="D125" i="64"/>
  <c r="E125" i="64"/>
  <c r="E126" i="58"/>
  <c r="D126" i="58"/>
  <c r="G125" i="58"/>
  <c r="G123" i="68"/>
  <c r="E124" i="68"/>
  <c r="D124" i="68"/>
  <c r="E121" i="88"/>
  <c r="G120" i="88"/>
  <c r="D121" i="88"/>
  <c r="F121" i="91"/>
  <c r="B121" i="91"/>
  <c r="D126" i="46"/>
  <c r="E126" i="46"/>
  <c r="G125" i="46"/>
  <c r="G125" i="53"/>
  <c r="D126" i="53"/>
  <c r="E126" i="53"/>
  <c r="D129" i="19"/>
  <c r="E129" i="19"/>
  <c r="G128" i="19"/>
  <c r="B122" i="81"/>
  <c r="F122" i="81"/>
  <c r="J128" i="32"/>
  <c r="D121" i="84"/>
  <c r="G120" i="84"/>
  <c r="E121" i="84"/>
  <c r="J119" i="88"/>
  <c r="J129" i="27"/>
  <c r="J129" i="29"/>
  <c r="D127" i="74"/>
  <c r="E127" i="74"/>
  <c r="G126" i="74"/>
  <c r="J123" i="64"/>
  <c r="H124" i="62"/>
  <c r="I124" i="62"/>
  <c r="G121" i="85"/>
  <c r="E122" i="85"/>
  <c r="D122" i="85"/>
  <c r="I120" i="91"/>
  <c r="H120" i="91"/>
  <c r="I126" i="45"/>
  <c r="H126" i="45"/>
  <c r="B129" i="22"/>
  <c r="F129" i="22"/>
  <c r="G127" i="43"/>
  <c r="E128" i="43"/>
  <c r="D128" i="43"/>
  <c r="B128" i="41"/>
  <c r="F128" i="41"/>
  <c r="J127" i="34"/>
  <c r="E131" i="27"/>
  <c r="D131" i="27"/>
  <c r="G130" i="27"/>
  <c r="G120" i="92"/>
  <c r="E121" i="92"/>
  <c r="D121" i="92"/>
  <c r="G123" i="66"/>
  <c r="E124" i="66"/>
  <c r="D124" i="66"/>
  <c r="G130" i="70"/>
  <c r="D131" i="70"/>
  <c r="E131" i="70"/>
  <c r="F121" i="89"/>
  <c r="B121" i="89"/>
  <c r="J129" i="69"/>
  <c r="J120" i="85"/>
  <c r="G124" i="65"/>
  <c r="D125" i="65"/>
  <c r="E125" i="65"/>
  <c r="D123" i="78"/>
  <c r="G122" i="78"/>
  <c r="E123" i="78"/>
  <c r="H121" i="81"/>
  <c r="I121" i="81"/>
  <c r="B128" i="73"/>
  <c r="F128" i="73"/>
  <c r="J122" i="66"/>
  <c r="J119" i="87"/>
  <c r="E131" i="23"/>
  <c r="D131" i="23"/>
  <c r="G130" i="23"/>
  <c r="D130" i="18"/>
  <c r="G129" i="18"/>
  <c r="E130" i="18"/>
  <c r="G125" i="59"/>
  <c r="E126" i="59"/>
  <c r="D126" i="59"/>
  <c r="I126" i="56"/>
  <c r="H126" i="56"/>
  <c r="J124" i="59"/>
  <c r="J128" i="18"/>
  <c r="J120" i="95"/>
  <c r="B127" i="56"/>
  <c r="F127" i="56"/>
  <c r="G126" i="57"/>
  <c r="E127" i="57"/>
  <c r="D127" i="57"/>
  <c r="J128" i="17"/>
  <c r="J127" i="3"/>
  <c r="J119" i="96"/>
  <c r="J120" i="94"/>
  <c r="E131" i="71"/>
  <c r="G130" i="71"/>
  <c r="D131" i="71"/>
  <c r="J120" i="82"/>
  <c r="J129" i="71"/>
  <c r="D122" i="95"/>
  <c r="E122" i="95" s="1"/>
  <c r="G121" i="95"/>
  <c r="B130" i="24"/>
  <c r="F130" i="24"/>
  <c r="G128" i="3"/>
  <c r="D129" i="3"/>
  <c r="E129" i="3"/>
  <c r="H119" i="13"/>
  <c r="I119" i="13"/>
  <c r="H122" i="76"/>
  <c r="I122" i="76"/>
  <c r="B120" i="33"/>
  <c r="G121" i="94"/>
  <c r="D122" i="94"/>
  <c r="E122" i="94" s="1"/>
  <c r="F123" i="77"/>
  <c r="B123" i="77"/>
  <c r="G120" i="87"/>
  <c r="D121" i="87"/>
  <c r="E121" i="87"/>
  <c r="G127" i="44"/>
  <c r="D128" i="44"/>
  <c r="E128" i="44"/>
  <c r="H127" i="42"/>
  <c r="I127" i="42"/>
  <c r="H120" i="93"/>
  <c r="I120" i="93"/>
  <c r="F122" i="80"/>
  <c r="B122" i="80"/>
  <c r="H129" i="24"/>
  <c r="I129" i="24"/>
  <c r="G123" i="67"/>
  <c r="D124" i="67"/>
  <c r="E124" i="67"/>
  <c r="H119" i="33"/>
  <c r="I119" i="33"/>
  <c r="B123" i="75"/>
  <c r="F123" i="75"/>
  <c r="B122" i="83"/>
  <c r="F122" i="83"/>
  <c r="B121" i="25"/>
  <c r="F121" i="25"/>
  <c r="D122" i="82"/>
  <c r="G121" i="82"/>
  <c r="E122" i="82"/>
  <c r="E148" i="35"/>
  <c r="F148" i="35" s="1"/>
  <c r="G147" i="35"/>
  <c r="B148" i="35"/>
  <c r="G120" i="96"/>
  <c r="D121" i="96"/>
  <c r="B126" i="54"/>
  <c r="F126" i="54"/>
  <c r="D132" i="28"/>
  <c r="G131" i="28"/>
  <c r="E132" i="28"/>
  <c r="F120" i="13"/>
  <c r="B120" i="13"/>
  <c r="F123" i="76"/>
  <c r="B123" i="76"/>
  <c r="E120" i="33"/>
  <c r="F120" i="33" s="1"/>
  <c r="D130" i="17"/>
  <c r="G129" i="17"/>
  <c r="E130" i="17"/>
  <c r="H125" i="55"/>
  <c r="I125" i="55"/>
  <c r="F129" i="21"/>
  <c r="B129" i="21"/>
  <c r="I120" i="25"/>
  <c r="H120" i="25"/>
  <c r="F128" i="42"/>
  <c r="B128" i="42"/>
  <c r="I146" i="35"/>
  <c r="H146" i="35"/>
  <c r="H125" i="54"/>
  <c r="I125" i="54"/>
  <c r="I121" i="80"/>
  <c r="H121" i="80"/>
  <c r="H122" i="77"/>
  <c r="I122" i="77"/>
  <c r="J126" i="44"/>
  <c r="J122" i="67"/>
  <c r="H122" i="75"/>
  <c r="I122" i="75"/>
  <c r="H121" i="83"/>
  <c r="I121" i="83"/>
  <c r="J145" i="35"/>
  <c r="F126" i="55"/>
  <c r="B126" i="55"/>
  <c r="I128" i="21"/>
  <c r="H128" i="21"/>
  <c r="F121" i="93"/>
  <c r="B121" i="93"/>
  <c r="J130" i="28"/>
  <c r="I47" i="44" l="1"/>
  <c r="D46" i="99"/>
  <c r="G45" i="99"/>
  <c r="H45" i="99"/>
  <c r="E51" i="97"/>
  <c r="F51" i="97" s="1"/>
  <c r="B51" i="97"/>
  <c r="I49" i="32"/>
  <c r="H50" i="97"/>
  <c r="F41" i="98"/>
  <c r="B41" i="98"/>
  <c r="G50" i="97"/>
  <c r="J119" i="99"/>
  <c r="I40" i="92"/>
  <c r="I50" i="23"/>
  <c r="H48" i="20"/>
  <c r="I48" i="20" s="1"/>
  <c r="D121" i="99"/>
  <c r="E121" i="99"/>
  <c r="G120" i="99"/>
  <c r="I42" i="90"/>
  <c r="G47" i="55"/>
  <c r="J120" i="26"/>
  <c r="B121" i="97"/>
  <c r="F121" i="97"/>
  <c r="H120" i="97"/>
  <c r="I120" i="97"/>
  <c r="B121" i="98"/>
  <c r="F121" i="98"/>
  <c r="D122" i="26"/>
  <c r="G121" i="26"/>
  <c r="H120" i="98"/>
  <c r="I120" i="98"/>
  <c r="H43" i="75"/>
  <c r="I43" i="75" s="1"/>
  <c r="H44" i="68"/>
  <c r="I44" i="68" s="1"/>
  <c r="B45" i="67"/>
  <c r="F45" i="67"/>
  <c r="G45" i="67" s="1"/>
  <c r="B46" i="46"/>
  <c r="F46" i="46"/>
  <c r="B50" i="24"/>
  <c r="F50" i="24"/>
  <c r="G50" i="24" s="1"/>
  <c r="I47" i="55"/>
  <c r="G50" i="30"/>
  <c r="I50" i="30" s="1"/>
  <c r="H47" i="45"/>
  <c r="I47" i="45" s="1"/>
  <c r="G46" i="72"/>
  <c r="I46" i="72" s="1"/>
  <c r="G41" i="25"/>
  <c r="H41" i="25"/>
  <c r="D42" i="25"/>
  <c r="E44" i="82"/>
  <c r="D44" i="82"/>
  <c r="G45" i="64"/>
  <c r="I45" i="64" s="1"/>
  <c r="I40" i="94"/>
  <c r="G42" i="86"/>
  <c r="E43" i="86"/>
  <c r="H42" i="86"/>
  <c r="D43" i="86"/>
  <c r="B40" i="93"/>
  <c r="F40" i="93"/>
  <c r="G40" i="93" s="1"/>
  <c r="F43" i="80"/>
  <c r="B43" i="80"/>
  <c r="H43" i="82"/>
  <c r="I43" i="82" s="1"/>
  <c r="B41" i="94"/>
  <c r="F41" i="94"/>
  <c r="G41" i="94" s="1"/>
  <c r="D49" i="42"/>
  <c r="E49" i="42"/>
  <c r="B51" i="23"/>
  <c r="F51" i="23"/>
  <c r="E48" i="58"/>
  <c r="D48" i="58"/>
  <c r="H47" i="58"/>
  <c r="G47" i="58"/>
  <c r="F42" i="84"/>
  <c r="H42" i="84" s="1"/>
  <c r="B42" i="84"/>
  <c r="G44" i="65"/>
  <c r="E45" i="65"/>
  <c r="D45" i="65"/>
  <c r="F42" i="91"/>
  <c r="G42" i="91" s="1"/>
  <c r="B42" i="91"/>
  <c r="F43" i="90"/>
  <c r="H43" i="90" s="1"/>
  <c r="B43" i="90"/>
  <c r="G41" i="26"/>
  <c r="I41" i="26" s="1"/>
  <c r="B45" i="66"/>
  <c r="F45" i="66"/>
  <c r="H48" i="42"/>
  <c r="I41" i="91"/>
  <c r="B46" i="53"/>
  <c r="F46" i="53"/>
  <c r="G46" i="53" s="1"/>
  <c r="E44" i="75"/>
  <c r="D44" i="75"/>
  <c r="G48" i="42"/>
  <c r="H44" i="65"/>
  <c r="E48" i="55"/>
  <c r="D48" i="55"/>
  <c r="I45" i="53"/>
  <c r="B49" i="22"/>
  <c r="F49" i="22"/>
  <c r="B48" i="44"/>
  <c r="F48" i="44"/>
  <c r="G48" i="44" s="1"/>
  <c r="G42" i="88"/>
  <c r="I42" i="88" s="1"/>
  <c r="F45" i="61"/>
  <c r="G45" i="61" s="1"/>
  <c r="B45" i="61"/>
  <c r="B43" i="76"/>
  <c r="F43" i="76"/>
  <c r="H43" i="76" s="1"/>
  <c r="H51" i="69"/>
  <c r="I51" i="69" s="1"/>
  <c r="D47" i="72"/>
  <c r="E47" i="72"/>
  <c r="B40" i="96"/>
  <c r="F40" i="96"/>
  <c r="G40" i="96" s="1"/>
  <c r="H40" i="95"/>
  <c r="I40" i="95" s="1"/>
  <c r="D41" i="95"/>
  <c r="E41" i="95"/>
  <c r="G42" i="85"/>
  <c r="I42" i="85" s="1"/>
  <c r="E43" i="85"/>
  <c r="D43" i="85"/>
  <c r="E49" i="39"/>
  <c r="D49" i="39"/>
  <c r="G42" i="33"/>
  <c r="I42" i="33" s="1"/>
  <c r="I45" i="57"/>
  <c r="F42" i="81"/>
  <c r="H42" i="81" s="1"/>
  <c r="B42" i="81"/>
  <c r="F51" i="27"/>
  <c r="B51" i="27"/>
  <c r="H48" i="39"/>
  <c r="I48" i="39" s="1"/>
  <c r="I64" i="35"/>
  <c r="E42" i="83"/>
  <c r="D42" i="83"/>
  <c r="B43" i="77"/>
  <c r="F43" i="77"/>
  <c r="H43" i="77" s="1"/>
  <c r="F43" i="79"/>
  <c r="B43" i="79"/>
  <c r="F51" i="70"/>
  <c r="B51" i="70"/>
  <c r="F49" i="41"/>
  <c r="B49" i="41"/>
  <c r="B49" i="21"/>
  <c r="F49" i="21"/>
  <c r="H49" i="21" s="1"/>
  <c r="D50" i="3"/>
  <c r="E50" i="3"/>
  <c r="F45" i="63"/>
  <c r="G45" i="63" s="1"/>
  <c r="B45" i="63"/>
  <c r="E52" i="31"/>
  <c r="D52" i="31"/>
  <c r="E51" i="71"/>
  <c r="D51" i="71"/>
  <c r="C58" i="17"/>
  <c r="B49" i="17"/>
  <c r="F49" i="17"/>
  <c r="H41" i="87"/>
  <c r="I41" i="87" s="1"/>
  <c r="E45" i="68"/>
  <c r="D45" i="68"/>
  <c r="F48" i="73"/>
  <c r="H48" i="73" s="1"/>
  <c r="B48" i="73"/>
  <c r="H41" i="83"/>
  <c r="B45" i="60"/>
  <c r="F45" i="60"/>
  <c r="D53" i="28"/>
  <c r="E53" i="28"/>
  <c r="H50" i="71"/>
  <c r="F41" i="92"/>
  <c r="G41" i="92" s="1"/>
  <c r="B41" i="92"/>
  <c r="D48" i="45"/>
  <c r="E48" i="45"/>
  <c r="G50" i="34"/>
  <c r="E51" i="34"/>
  <c r="H50" i="34"/>
  <c r="D51" i="34"/>
  <c r="G49" i="19"/>
  <c r="I49" i="19" s="1"/>
  <c r="D50" i="19"/>
  <c r="E50" i="19"/>
  <c r="B49" i="43"/>
  <c r="F49" i="43"/>
  <c r="H49" i="43" s="1"/>
  <c r="B51" i="29"/>
  <c r="F51" i="29"/>
  <c r="H51" i="29" s="1"/>
  <c r="G41" i="83"/>
  <c r="D43" i="88"/>
  <c r="E43" i="88"/>
  <c r="D51" i="30"/>
  <c r="E51" i="30"/>
  <c r="F41" i="89"/>
  <c r="H41" i="89" s="1"/>
  <c r="B41" i="89"/>
  <c r="G45" i="56"/>
  <c r="I45" i="56" s="1"/>
  <c r="D46" i="56"/>
  <c r="E46" i="56"/>
  <c r="B46" i="54"/>
  <c r="F46" i="54"/>
  <c r="H46" i="54" s="1"/>
  <c r="G49" i="3"/>
  <c r="G51" i="31"/>
  <c r="F46" i="57"/>
  <c r="H46" i="57" s="1"/>
  <c r="B46" i="57"/>
  <c r="E46" i="64"/>
  <c r="D46" i="64"/>
  <c r="B48" i="74"/>
  <c r="F48" i="74"/>
  <c r="G48" i="74" s="1"/>
  <c r="B43" i="78"/>
  <c r="F43" i="78"/>
  <c r="F50" i="32"/>
  <c r="G50" i="32" s="1"/>
  <c r="B50" i="32"/>
  <c r="E52" i="69"/>
  <c r="D52" i="69"/>
  <c r="H52" i="28"/>
  <c r="I52" i="28" s="1"/>
  <c r="H49" i="3"/>
  <c r="H51" i="31"/>
  <c r="G50" i="71"/>
  <c r="J122" i="75"/>
  <c r="J125" i="54"/>
  <c r="J120" i="89"/>
  <c r="D41" i="13"/>
  <c r="E41" i="13" s="1"/>
  <c r="H40" i="13"/>
  <c r="G40" i="13"/>
  <c r="E45" i="62"/>
  <c r="D45" i="62"/>
  <c r="J126" i="45"/>
  <c r="G65" i="35"/>
  <c r="E66" i="35"/>
  <c r="F66" i="35" s="1"/>
  <c r="B66" i="35"/>
  <c r="H65" i="35"/>
  <c r="J126" i="56"/>
  <c r="J127" i="41"/>
  <c r="J128" i="22"/>
  <c r="D42" i="26"/>
  <c r="E42" i="26" s="1"/>
  <c r="E49" i="20"/>
  <c r="D49" i="20"/>
  <c r="D43" i="33"/>
  <c r="H44" i="62"/>
  <c r="B45" i="59"/>
  <c r="F45" i="59"/>
  <c r="B50" i="18"/>
  <c r="F50" i="18"/>
  <c r="G44" i="62"/>
  <c r="D42" i="87"/>
  <c r="E42" i="87"/>
  <c r="E129" i="73"/>
  <c r="D129" i="73"/>
  <c r="G128" i="73"/>
  <c r="F125" i="65"/>
  <c r="B125" i="65"/>
  <c r="I130" i="70"/>
  <c r="H130" i="70"/>
  <c r="F121" i="92"/>
  <c r="B121" i="92"/>
  <c r="B131" i="27"/>
  <c r="F131" i="27"/>
  <c r="G129" i="22"/>
  <c r="E130" i="22"/>
  <c r="D130" i="22"/>
  <c r="I121" i="85"/>
  <c r="H121" i="85"/>
  <c r="I126" i="74"/>
  <c r="H126" i="74"/>
  <c r="F121" i="84"/>
  <c r="B121" i="84"/>
  <c r="I128" i="19"/>
  <c r="H128" i="19"/>
  <c r="F126" i="53"/>
  <c r="B126" i="53"/>
  <c r="F126" i="46"/>
  <c r="B126" i="46"/>
  <c r="I120" i="88"/>
  <c r="H120" i="88"/>
  <c r="H123" i="68"/>
  <c r="I123" i="68"/>
  <c r="B121" i="90"/>
  <c r="F121" i="90"/>
  <c r="I128" i="34"/>
  <c r="H128" i="34"/>
  <c r="B130" i="32"/>
  <c r="F130" i="32"/>
  <c r="B126" i="72"/>
  <c r="F126" i="72"/>
  <c r="F131" i="30"/>
  <c r="B131" i="30"/>
  <c r="I122" i="79"/>
  <c r="H122" i="79"/>
  <c r="F125" i="60"/>
  <c r="B125" i="60"/>
  <c r="H130" i="69"/>
  <c r="I130" i="69"/>
  <c r="I124" i="63"/>
  <c r="H124" i="63"/>
  <c r="I122" i="78"/>
  <c r="H122" i="78"/>
  <c r="H124" i="65"/>
  <c r="I124" i="65"/>
  <c r="E122" i="89"/>
  <c r="G121" i="89"/>
  <c r="D122" i="89"/>
  <c r="F124" i="66"/>
  <c r="B124" i="66"/>
  <c r="F128" i="43"/>
  <c r="B128" i="43"/>
  <c r="J120" i="91"/>
  <c r="J124" i="62"/>
  <c r="I125" i="53"/>
  <c r="H125" i="53"/>
  <c r="H125" i="58"/>
  <c r="I125" i="58"/>
  <c r="F125" i="64"/>
  <c r="B125" i="64"/>
  <c r="H120" i="90"/>
  <c r="I120" i="90"/>
  <c r="H129" i="31"/>
  <c r="I129" i="31"/>
  <c r="I125" i="72"/>
  <c r="H125" i="72"/>
  <c r="H130" i="30"/>
  <c r="I130" i="30"/>
  <c r="B131" i="69"/>
  <c r="F131" i="69"/>
  <c r="B125" i="61"/>
  <c r="F125" i="61"/>
  <c r="G125" i="62"/>
  <c r="D126" i="62"/>
  <c r="E126" i="62"/>
  <c r="B128" i="39"/>
  <c r="F128" i="39"/>
  <c r="J121" i="81"/>
  <c r="B123" i="78"/>
  <c r="F123" i="78"/>
  <c r="I120" i="92"/>
  <c r="H120" i="92"/>
  <c r="F122" i="85"/>
  <c r="B122" i="85"/>
  <c r="F127" i="74"/>
  <c r="B127" i="74"/>
  <c r="D123" i="81"/>
  <c r="G122" i="81"/>
  <c r="E123" i="81"/>
  <c r="F129" i="19"/>
  <c r="B129" i="19"/>
  <c r="H125" i="46"/>
  <c r="I125" i="46"/>
  <c r="D122" i="91"/>
  <c r="E122" i="91"/>
  <c r="G121" i="91"/>
  <c r="F124" i="68"/>
  <c r="B124" i="68"/>
  <c r="B126" i="58"/>
  <c r="F126" i="58"/>
  <c r="H124" i="64"/>
  <c r="I124" i="64"/>
  <c r="B129" i="34"/>
  <c r="F129" i="34"/>
  <c r="H129" i="32"/>
  <c r="I129" i="32"/>
  <c r="H128" i="20"/>
  <c r="I128" i="20"/>
  <c r="H130" i="29"/>
  <c r="I130" i="29"/>
  <c r="I120" i="86"/>
  <c r="H120" i="86"/>
  <c r="F125" i="63"/>
  <c r="B125" i="63"/>
  <c r="J127" i="42"/>
  <c r="F131" i="70"/>
  <c r="B131" i="70"/>
  <c r="H123" i="66"/>
  <c r="I123" i="66"/>
  <c r="H130" i="27"/>
  <c r="I130" i="27"/>
  <c r="E129" i="41"/>
  <c r="D129" i="41"/>
  <c r="G128" i="41"/>
  <c r="H127" i="43"/>
  <c r="I127" i="43"/>
  <c r="I120" i="84"/>
  <c r="H120" i="84"/>
  <c r="B121" i="88"/>
  <c r="F121" i="88"/>
  <c r="B130" i="31"/>
  <c r="F130" i="31"/>
  <c r="F129" i="20"/>
  <c r="B129" i="20"/>
  <c r="B123" i="79"/>
  <c r="F123" i="79"/>
  <c r="I124" i="60"/>
  <c r="H124" i="60"/>
  <c r="J127" i="73"/>
  <c r="B131" i="29"/>
  <c r="F131" i="29"/>
  <c r="F121" i="86"/>
  <c r="B121" i="86"/>
  <c r="H124" i="61"/>
  <c r="I124" i="61"/>
  <c r="E128" i="45"/>
  <c r="G127" i="45"/>
  <c r="D128" i="45"/>
  <c r="H127" i="39"/>
  <c r="I127" i="39"/>
  <c r="J146" i="35"/>
  <c r="B126" i="59"/>
  <c r="F126" i="59"/>
  <c r="I129" i="18"/>
  <c r="H129" i="18"/>
  <c r="I130" i="23"/>
  <c r="H130" i="23"/>
  <c r="G127" i="56"/>
  <c r="D128" i="56"/>
  <c r="E128" i="56"/>
  <c r="B130" i="18"/>
  <c r="F130" i="18"/>
  <c r="F131" i="23"/>
  <c r="B131" i="23"/>
  <c r="J129" i="24"/>
  <c r="J122" i="76"/>
  <c r="I125" i="59"/>
  <c r="H125" i="59"/>
  <c r="J121" i="83"/>
  <c r="B127" i="57"/>
  <c r="F127" i="57"/>
  <c r="J120" i="25"/>
  <c r="B131" i="71"/>
  <c r="F131" i="71"/>
  <c r="J119" i="13"/>
  <c r="I130" i="71"/>
  <c r="H130" i="71"/>
  <c r="H126" i="57"/>
  <c r="I126" i="57"/>
  <c r="G120" i="33"/>
  <c r="D121" i="33"/>
  <c r="E121" i="33" s="1"/>
  <c r="D122" i="93"/>
  <c r="G121" i="93"/>
  <c r="D127" i="55"/>
  <c r="G126" i="55"/>
  <c r="E127" i="55"/>
  <c r="B130" i="17"/>
  <c r="F130" i="17"/>
  <c r="I131" i="28"/>
  <c r="H131" i="28"/>
  <c r="H120" i="96"/>
  <c r="I120" i="96"/>
  <c r="H127" i="44"/>
  <c r="I127" i="44"/>
  <c r="B121" i="87"/>
  <c r="F121" i="87"/>
  <c r="I121" i="94"/>
  <c r="H121" i="94"/>
  <c r="E131" i="24"/>
  <c r="G130" i="24"/>
  <c r="D131" i="24"/>
  <c r="F132" i="28"/>
  <c r="B132" i="28"/>
  <c r="I121" i="82"/>
  <c r="H121" i="82"/>
  <c r="B124" i="67"/>
  <c r="F124" i="67"/>
  <c r="E123" i="80"/>
  <c r="D123" i="80"/>
  <c r="G122" i="80"/>
  <c r="H120" i="87"/>
  <c r="I120" i="87"/>
  <c r="I121" i="95"/>
  <c r="H121" i="95"/>
  <c r="J128" i="21"/>
  <c r="G128" i="42"/>
  <c r="D129" i="42"/>
  <c r="E129" i="42"/>
  <c r="E130" i="21"/>
  <c r="D130" i="21"/>
  <c r="G129" i="21"/>
  <c r="J125" i="55"/>
  <c r="D124" i="76"/>
  <c r="E124" i="76"/>
  <c r="G123" i="76"/>
  <c r="G120" i="13"/>
  <c r="D121" i="13"/>
  <c r="E121" i="13" s="1"/>
  <c r="E127" i="54"/>
  <c r="G126" i="54"/>
  <c r="D127" i="54"/>
  <c r="B121" i="96"/>
  <c r="H147" i="35"/>
  <c r="I147" i="35"/>
  <c r="B122" i="82"/>
  <c r="F122" i="82"/>
  <c r="G121" i="25"/>
  <c r="D122" i="25"/>
  <c r="E122" i="25" s="1"/>
  <c r="G123" i="75"/>
  <c r="D124" i="75"/>
  <c r="E124" i="75"/>
  <c r="I123" i="67"/>
  <c r="H123" i="67"/>
  <c r="J120" i="93"/>
  <c r="B129" i="3"/>
  <c r="F129" i="3"/>
  <c r="J122" i="77"/>
  <c r="J121" i="80"/>
  <c r="H129" i="17"/>
  <c r="I129" i="17"/>
  <c r="E121" i="96"/>
  <c r="F121" i="96" s="1"/>
  <c r="G148" i="35"/>
  <c r="B149" i="35"/>
  <c r="E149" i="35"/>
  <c r="F149" i="35" s="1"/>
  <c r="E123" i="83"/>
  <c r="G122" i="83"/>
  <c r="D123" i="83"/>
  <c r="J119" i="33"/>
  <c r="F128" i="44"/>
  <c r="B128" i="44"/>
  <c r="D124" i="77"/>
  <c r="E124" i="77"/>
  <c r="G123" i="77"/>
  <c r="F122" i="94"/>
  <c r="B122" i="94"/>
  <c r="I128" i="3"/>
  <c r="H128" i="3"/>
  <c r="B122" i="95"/>
  <c r="F122" i="95"/>
  <c r="I49" i="3" l="1"/>
  <c r="I45" i="99"/>
  <c r="D52" i="97"/>
  <c r="E52" i="97"/>
  <c r="G51" i="97"/>
  <c r="H51" i="97"/>
  <c r="D42" i="98"/>
  <c r="E42" i="98"/>
  <c r="H41" i="98"/>
  <c r="I50" i="97"/>
  <c r="G41" i="98"/>
  <c r="E46" i="99"/>
  <c r="F46" i="99" s="1"/>
  <c r="D47" i="99" s="1"/>
  <c r="B46" i="99"/>
  <c r="I41" i="25"/>
  <c r="H120" i="99"/>
  <c r="I120" i="99"/>
  <c r="B121" i="99"/>
  <c r="F121" i="99"/>
  <c r="J120" i="97"/>
  <c r="H121" i="26"/>
  <c r="I121" i="26"/>
  <c r="E122" i="26"/>
  <c r="F122" i="26" s="1"/>
  <c r="B122" i="26"/>
  <c r="J120" i="98"/>
  <c r="D122" i="98"/>
  <c r="G121" i="98"/>
  <c r="E122" i="98"/>
  <c r="G121" i="97"/>
  <c r="D122" i="97"/>
  <c r="E122" i="97"/>
  <c r="H41" i="92"/>
  <c r="H42" i="91"/>
  <c r="I42" i="91" s="1"/>
  <c r="H45" i="67"/>
  <c r="I45" i="67" s="1"/>
  <c r="D46" i="67"/>
  <c r="E46" i="67"/>
  <c r="I44" i="65"/>
  <c r="G46" i="57"/>
  <c r="I46" i="57" s="1"/>
  <c r="H46" i="53"/>
  <c r="I46" i="53" s="1"/>
  <c r="G46" i="46"/>
  <c r="E47" i="46"/>
  <c r="D47" i="46"/>
  <c r="H46" i="46"/>
  <c r="E51" i="24"/>
  <c r="D51" i="24"/>
  <c r="H50" i="24"/>
  <c r="I50" i="24" s="1"/>
  <c r="G43" i="80"/>
  <c r="E44" i="80"/>
  <c r="D44" i="80"/>
  <c r="F43" i="86"/>
  <c r="B43" i="86"/>
  <c r="E42" i="25"/>
  <c r="F42" i="25" s="1"/>
  <c r="B42" i="25"/>
  <c r="I48" i="42"/>
  <c r="H43" i="80"/>
  <c r="H40" i="93"/>
  <c r="I40" i="93" s="1"/>
  <c r="D41" i="93"/>
  <c r="E41" i="93"/>
  <c r="I42" i="86"/>
  <c r="H41" i="94"/>
  <c r="I41" i="94" s="1"/>
  <c r="E42" i="94"/>
  <c r="D42" i="94"/>
  <c r="B44" i="82"/>
  <c r="F44" i="82"/>
  <c r="H50" i="32"/>
  <c r="I50" i="32" s="1"/>
  <c r="G49" i="21"/>
  <c r="G43" i="76"/>
  <c r="I43" i="76" s="1"/>
  <c r="G45" i="66"/>
  <c r="E46" i="66"/>
  <c r="D46" i="66"/>
  <c r="B45" i="65"/>
  <c r="F45" i="65"/>
  <c r="G45" i="65" s="1"/>
  <c r="F48" i="58"/>
  <c r="H48" i="58" s="1"/>
  <c r="B48" i="58"/>
  <c r="G41" i="89"/>
  <c r="I41" i="89" s="1"/>
  <c r="H40" i="96"/>
  <c r="I40" i="96" s="1"/>
  <c r="B48" i="55"/>
  <c r="F48" i="55"/>
  <c r="G48" i="55" s="1"/>
  <c r="G43" i="90"/>
  <c r="I43" i="90" s="1"/>
  <c r="D44" i="90"/>
  <c r="E44" i="90"/>
  <c r="D43" i="91"/>
  <c r="E43" i="91"/>
  <c r="G42" i="84"/>
  <c r="I42" i="84" s="1"/>
  <c r="D43" i="84"/>
  <c r="E43" i="84"/>
  <c r="G48" i="73"/>
  <c r="I48" i="73" s="1"/>
  <c r="F44" i="75"/>
  <c r="H44" i="75" s="1"/>
  <c r="B44" i="75"/>
  <c r="D47" i="53"/>
  <c r="E47" i="53"/>
  <c r="H51" i="23"/>
  <c r="D52" i="23"/>
  <c r="E52" i="23"/>
  <c r="B49" i="42"/>
  <c r="F49" i="42"/>
  <c r="G49" i="42" s="1"/>
  <c r="H45" i="66"/>
  <c r="I47" i="58"/>
  <c r="G51" i="23"/>
  <c r="G49" i="43"/>
  <c r="I49" i="43" s="1"/>
  <c r="G42" i="81"/>
  <c r="I42" i="81" s="1"/>
  <c r="B49" i="39"/>
  <c r="F49" i="39"/>
  <c r="H49" i="39"/>
  <c r="E46" i="61"/>
  <c r="D46" i="61"/>
  <c r="H48" i="44"/>
  <c r="I48" i="44" s="1"/>
  <c r="E49" i="44"/>
  <c r="D49" i="44"/>
  <c r="F47" i="72"/>
  <c r="B47" i="72"/>
  <c r="H49" i="22"/>
  <c r="D50" i="22"/>
  <c r="E50" i="22"/>
  <c r="H48" i="74"/>
  <c r="H51" i="27"/>
  <c r="D52" i="27"/>
  <c r="E52" i="27"/>
  <c r="G51" i="27"/>
  <c r="E41" i="96"/>
  <c r="D41" i="96"/>
  <c r="D43" i="81"/>
  <c r="E43" i="81"/>
  <c r="H45" i="63"/>
  <c r="I45" i="63" s="1"/>
  <c r="B43" i="85"/>
  <c r="F43" i="85"/>
  <c r="H43" i="85" s="1"/>
  <c r="B41" i="95"/>
  <c r="F41" i="95"/>
  <c r="H41" i="95" s="1"/>
  <c r="E44" i="76"/>
  <c r="D44" i="76"/>
  <c r="H45" i="61"/>
  <c r="I45" i="61" s="1"/>
  <c r="G49" i="22"/>
  <c r="I49" i="22" s="1"/>
  <c r="I51" i="31"/>
  <c r="H43" i="78"/>
  <c r="E44" i="78"/>
  <c r="D44" i="78"/>
  <c r="F46" i="64"/>
  <c r="G46" i="64" s="1"/>
  <c r="B46" i="64"/>
  <c r="F51" i="30"/>
  <c r="G51" i="30" s="1"/>
  <c r="B51" i="30"/>
  <c r="F51" i="34"/>
  <c r="G51" i="34" s="1"/>
  <c r="B51" i="34"/>
  <c r="I41" i="92"/>
  <c r="I50" i="71"/>
  <c r="D46" i="60"/>
  <c r="E46" i="60"/>
  <c r="I41" i="83"/>
  <c r="E50" i="17"/>
  <c r="D50" i="17"/>
  <c r="F51" i="71"/>
  <c r="G51" i="71" s="1"/>
  <c r="B51" i="71"/>
  <c r="F50" i="3"/>
  <c r="G50" i="3" s="1"/>
  <c r="B50" i="3"/>
  <c r="H49" i="41"/>
  <c r="E50" i="41"/>
  <c r="D50" i="41"/>
  <c r="E52" i="70"/>
  <c r="D52" i="70"/>
  <c r="D44" i="79"/>
  <c r="E44" i="79"/>
  <c r="B42" i="83"/>
  <c r="F42" i="83"/>
  <c r="H42" i="83" s="1"/>
  <c r="E49" i="74"/>
  <c r="D49" i="74"/>
  <c r="E47" i="57"/>
  <c r="D47" i="57"/>
  <c r="B46" i="56"/>
  <c r="F46" i="56"/>
  <c r="G51" i="29"/>
  <c r="I51" i="29" s="1"/>
  <c r="D52" i="29"/>
  <c r="E52" i="29"/>
  <c r="E50" i="43"/>
  <c r="D50" i="43"/>
  <c r="I50" i="34"/>
  <c r="G49" i="17"/>
  <c r="E50" i="21"/>
  <c r="D50" i="21"/>
  <c r="H51" i="70"/>
  <c r="H43" i="79"/>
  <c r="B52" i="69"/>
  <c r="F52" i="69"/>
  <c r="G52" i="69" s="1"/>
  <c r="D51" i="32"/>
  <c r="E51" i="32"/>
  <c r="G46" i="54"/>
  <c r="I46" i="54" s="1"/>
  <c r="E47" i="54"/>
  <c r="D47" i="54"/>
  <c r="E42" i="89"/>
  <c r="D42" i="89"/>
  <c r="F43" i="88"/>
  <c r="B43" i="88"/>
  <c r="F50" i="19"/>
  <c r="G50" i="19" s="1"/>
  <c r="B50" i="19"/>
  <c r="F48" i="45"/>
  <c r="H48" i="45" s="1"/>
  <c r="B48" i="45"/>
  <c r="D42" i="92"/>
  <c r="E42" i="92"/>
  <c r="B53" i="28"/>
  <c r="F53" i="28"/>
  <c r="H53" i="28" s="1"/>
  <c r="H45" i="60"/>
  <c r="E49" i="73"/>
  <c r="D49" i="73"/>
  <c r="F52" i="31"/>
  <c r="H52" i="31" s="1"/>
  <c r="B52" i="31"/>
  <c r="E46" i="63"/>
  <c r="D46" i="63"/>
  <c r="G49" i="41"/>
  <c r="I49" i="41" s="1"/>
  <c r="G51" i="70"/>
  <c r="G43" i="79"/>
  <c r="G43" i="77"/>
  <c r="I43" i="77" s="1"/>
  <c r="E44" i="77"/>
  <c r="D44" i="77"/>
  <c r="G43" i="78"/>
  <c r="I48" i="74"/>
  <c r="G45" i="60"/>
  <c r="F45" i="68"/>
  <c r="H45" i="68" s="1"/>
  <c r="B45" i="68"/>
  <c r="H49" i="17"/>
  <c r="I49" i="21"/>
  <c r="J130" i="69"/>
  <c r="J123" i="68"/>
  <c r="J120" i="84"/>
  <c r="J120" i="86"/>
  <c r="J125" i="53"/>
  <c r="J130" i="70"/>
  <c r="J130" i="71"/>
  <c r="J125" i="72"/>
  <c r="D51" i="18"/>
  <c r="E51" i="18"/>
  <c r="D46" i="59"/>
  <c r="E46" i="59"/>
  <c r="J130" i="23"/>
  <c r="J130" i="30"/>
  <c r="J129" i="31"/>
  <c r="J124" i="63"/>
  <c r="J121" i="85"/>
  <c r="G50" i="18"/>
  <c r="H45" i="59"/>
  <c r="I44" i="62"/>
  <c r="B43" i="33"/>
  <c r="B49" i="20"/>
  <c r="F49" i="20"/>
  <c r="H49" i="20" s="1"/>
  <c r="I65" i="35"/>
  <c r="F45" i="62"/>
  <c r="B45" i="62"/>
  <c r="I40" i="13"/>
  <c r="J123" i="66"/>
  <c r="F42" i="87"/>
  <c r="B42" i="87"/>
  <c r="E43" i="33"/>
  <c r="F43" i="33" s="1"/>
  <c r="F42" i="26"/>
  <c r="H42" i="26" s="1"/>
  <c r="B42" i="26"/>
  <c r="J127" i="39"/>
  <c r="J127" i="43"/>
  <c r="J130" i="29"/>
  <c r="J129" i="32"/>
  <c r="J124" i="64"/>
  <c r="H50" i="18"/>
  <c r="G45" i="59"/>
  <c r="H66" i="35"/>
  <c r="G66" i="35"/>
  <c r="B67" i="35"/>
  <c r="E67" i="35"/>
  <c r="F67" i="35" s="1"/>
  <c r="B41" i="13"/>
  <c r="F41" i="13"/>
  <c r="J125" i="59"/>
  <c r="J129" i="18"/>
  <c r="J124" i="61"/>
  <c r="E132" i="29"/>
  <c r="D132" i="29"/>
  <c r="G131" i="29"/>
  <c r="J124" i="60"/>
  <c r="D130" i="20"/>
  <c r="E130" i="20"/>
  <c r="G129" i="20"/>
  <c r="J130" i="27"/>
  <c r="E126" i="63"/>
  <c r="G125" i="63"/>
  <c r="D126" i="63"/>
  <c r="E125" i="68"/>
  <c r="D125" i="68"/>
  <c r="G124" i="68"/>
  <c r="J125" i="46"/>
  <c r="G127" i="74"/>
  <c r="D128" i="74"/>
  <c r="E128" i="74"/>
  <c r="J120" i="92"/>
  <c r="D129" i="39"/>
  <c r="E129" i="39"/>
  <c r="G128" i="39"/>
  <c r="H125" i="62"/>
  <c r="I125" i="62"/>
  <c r="E125" i="66"/>
  <c r="D125" i="66"/>
  <c r="G124" i="66"/>
  <c r="J124" i="65"/>
  <c r="E131" i="32"/>
  <c r="G130" i="32"/>
  <c r="D131" i="32"/>
  <c r="D122" i="90"/>
  <c r="G121" i="90"/>
  <c r="E122" i="90"/>
  <c r="H129" i="22"/>
  <c r="I129" i="22"/>
  <c r="E122" i="92"/>
  <c r="D122" i="92"/>
  <c r="G121" i="92"/>
  <c r="E126" i="65"/>
  <c r="D126" i="65"/>
  <c r="G125" i="65"/>
  <c r="J120" i="87"/>
  <c r="J126" i="57"/>
  <c r="B128" i="45"/>
  <c r="F128" i="45"/>
  <c r="E124" i="79"/>
  <c r="G123" i="79"/>
  <c r="D124" i="79"/>
  <c r="E131" i="31"/>
  <c r="D131" i="31"/>
  <c r="G130" i="31"/>
  <c r="H128" i="41"/>
  <c r="I128" i="41"/>
  <c r="E132" i="70"/>
  <c r="D132" i="70"/>
  <c r="G131" i="70"/>
  <c r="J128" i="20"/>
  <c r="E130" i="34"/>
  <c r="G129" i="34"/>
  <c r="D130" i="34"/>
  <c r="D127" i="58"/>
  <c r="E127" i="58"/>
  <c r="G126" i="58"/>
  <c r="I121" i="91"/>
  <c r="H121" i="91"/>
  <c r="I122" i="81"/>
  <c r="H122" i="81"/>
  <c r="D124" i="78"/>
  <c r="E124" i="78"/>
  <c r="G123" i="78"/>
  <c r="E126" i="61"/>
  <c r="G125" i="61"/>
  <c r="D126" i="61"/>
  <c r="B122" i="89"/>
  <c r="F122" i="89"/>
  <c r="E126" i="60"/>
  <c r="D126" i="60"/>
  <c r="G125" i="60"/>
  <c r="E132" i="30"/>
  <c r="G131" i="30"/>
  <c r="D132" i="30"/>
  <c r="J120" i="88"/>
  <c r="G126" i="53"/>
  <c r="E127" i="53"/>
  <c r="D127" i="53"/>
  <c r="D122" i="84"/>
  <c r="G121" i="84"/>
  <c r="E122" i="84"/>
  <c r="D132" i="27"/>
  <c r="G131" i="27"/>
  <c r="E132" i="27"/>
  <c r="I128" i="73"/>
  <c r="H128" i="73"/>
  <c r="I127" i="45"/>
  <c r="H127" i="45"/>
  <c r="B129" i="41"/>
  <c r="F129" i="41"/>
  <c r="F123" i="81"/>
  <c r="B123" i="81"/>
  <c r="G122" i="85"/>
  <c r="E123" i="85"/>
  <c r="D123" i="85"/>
  <c r="E126" i="64"/>
  <c r="G125" i="64"/>
  <c r="D126" i="64"/>
  <c r="E129" i="43"/>
  <c r="G128" i="43"/>
  <c r="D129" i="43"/>
  <c r="H121" i="89"/>
  <c r="I121" i="89"/>
  <c r="G126" i="72"/>
  <c r="E127" i="72"/>
  <c r="D127" i="72"/>
  <c r="F130" i="22"/>
  <c r="B130" i="22"/>
  <c r="B129" i="73"/>
  <c r="F129" i="73"/>
  <c r="D122" i="86"/>
  <c r="G121" i="86"/>
  <c r="E122" i="86"/>
  <c r="E122" i="88"/>
  <c r="G121" i="88"/>
  <c r="D122" i="88"/>
  <c r="B122" i="91"/>
  <c r="F122" i="91"/>
  <c r="D130" i="19"/>
  <c r="E130" i="19"/>
  <c r="G129" i="19"/>
  <c r="B126" i="62"/>
  <c r="F126" i="62"/>
  <c r="G131" i="69"/>
  <c r="D132" i="69"/>
  <c r="E132" i="69"/>
  <c r="J120" i="90"/>
  <c r="J125" i="58"/>
  <c r="J122" i="78"/>
  <c r="J122" i="79"/>
  <c r="J128" i="34"/>
  <c r="G126" i="46"/>
  <c r="E127" i="46"/>
  <c r="D127" i="46"/>
  <c r="J128" i="19"/>
  <c r="J126" i="74"/>
  <c r="E132" i="23"/>
  <c r="D132" i="23"/>
  <c r="G131" i="23"/>
  <c r="G130" i="18"/>
  <c r="E131" i="18"/>
  <c r="D131" i="18"/>
  <c r="F128" i="56"/>
  <c r="B128" i="56"/>
  <c r="G126" i="59"/>
  <c r="E127" i="59"/>
  <c r="D127" i="59"/>
  <c r="H127" i="56"/>
  <c r="I127" i="56"/>
  <c r="J147" i="35"/>
  <c r="D132" i="71"/>
  <c r="E132" i="71"/>
  <c r="G131" i="71"/>
  <c r="J131" i="28"/>
  <c r="J127" i="44"/>
  <c r="J120" i="96"/>
  <c r="E128" i="57"/>
  <c r="D128" i="57"/>
  <c r="G127" i="57"/>
  <c r="G121" i="96"/>
  <c r="D122" i="96"/>
  <c r="E122" i="96" s="1"/>
  <c r="F124" i="77"/>
  <c r="B124" i="77"/>
  <c r="F123" i="83"/>
  <c r="B123" i="83"/>
  <c r="G149" i="35"/>
  <c r="B150" i="35"/>
  <c r="E150" i="35"/>
  <c r="F150" i="35" s="1"/>
  <c r="J129" i="17"/>
  <c r="D123" i="82"/>
  <c r="G122" i="82"/>
  <c r="E123" i="82"/>
  <c r="H120" i="13"/>
  <c r="I120" i="13"/>
  <c r="B130" i="21"/>
  <c r="F130" i="21"/>
  <c r="I128" i="42"/>
  <c r="H128" i="42"/>
  <c r="J121" i="95"/>
  <c r="B123" i="80"/>
  <c r="F123" i="80"/>
  <c r="G132" i="28"/>
  <c r="D133" i="28"/>
  <c r="E133" i="28"/>
  <c r="E131" i="17"/>
  <c r="D131" i="17"/>
  <c r="G130" i="17"/>
  <c r="I126" i="55"/>
  <c r="H126" i="55"/>
  <c r="B122" i="93"/>
  <c r="D123" i="95"/>
  <c r="E123" i="95" s="1"/>
  <c r="G122" i="95"/>
  <c r="D123" i="94"/>
  <c r="E123" i="94" s="1"/>
  <c r="G122" i="94"/>
  <c r="H122" i="83"/>
  <c r="I122" i="83"/>
  <c r="D130" i="3"/>
  <c r="G129" i="3"/>
  <c r="E130" i="3"/>
  <c r="B124" i="75"/>
  <c r="F124" i="75"/>
  <c r="B127" i="54"/>
  <c r="F127" i="54"/>
  <c r="B124" i="76"/>
  <c r="F124" i="76"/>
  <c r="F131" i="24"/>
  <c r="B131" i="24"/>
  <c r="F127" i="55"/>
  <c r="B127" i="55"/>
  <c r="J128" i="3"/>
  <c r="H123" i="77"/>
  <c r="I123" i="77"/>
  <c r="D129" i="44"/>
  <c r="G128" i="44"/>
  <c r="E129" i="44"/>
  <c r="H148" i="35"/>
  <c r="I148" i="35"/>
  <c r="I123" i="75"/>
  <c r="H123" i="75"/>
  <c r="F122" i="25"/>
  <c r="B122" i="25"/>
  <c r="H126" i="54"/>
  <c r="I126" i="54"/>
  <c r="D125" i="67"/>
  <c r="G124" i="67"/>
  <c r="E125" i="67"/>
  <c r="J121" i="82"/>
  <c r="H130" i="24"/>
  <c r="I130" i="24"/>
  <c r="H121" i="93"/>
  <c r="I121" i="93"/>
  <c r="B121" i="33"/>
  <c r="F121" i="33"/>
  <c r="J123" i="67"/>
  <c r="H121" i="25"/>
  <c r="I121" i="25"/>
  <c r="B121" i="13"/>
  <c r="F121" i="13"/>
  <c r="H123" i="76"/>
  <c r="I123" i="76"/>
  <c r="I129" i="21"/>
  <c r="H129" i="21"/>
  <c r="F129" i="42"/>
  <c r="B129" i="42"/>
  <c r="I122" i="80"/>
  <c r="H122" i="80"/>
  <c r="J121" i="94"/>
  <c r="G121" i="87"/>
  <c r="D122" i="87"/>
  <c r="E122" i="87"/>
  <c r="E122" i="93"/>
  <c r="F122" i="93" s="1"/>
  <c r="I120" i="33"/>
  <c r="H120" i="33"/>
  <c r="J120" i="99" l="1"/>
  <c r="I41" i="98"/>
  <c r="J121" i="26"/>
  <c r="I51" i="97"/>
  <c r="E47" i="99"/>
  <c r="F47" i="99" s="1"/>
  <c r="G47" i="99" s="1"/>
  <c r="B47" i="99"/>
  <c r="I46" i="46"/>
  <c r="H46" i="99"/>
  <c r="G46" i="99"/>
  <c r="F42" i="98"/>
  <c r="G42" i="98" s="1"/>
  <c r="B42" i="98"/>
  <c r="F52" i="97"/>
  <c r="D53" i="97" s="1"/>
  <c r="B52" i="97"/>
  <c r="I49" i="17"/>
  <c r="D122" i="99"/>
  <c r="E122" i="99"/>
  <c r="G121" i="99"/>
  <c r="D123" i="26"/>
  <c r="G122" i="26"/>
  <c r="H121" i="98"/>
  <c r="I121" i="98"/>
  <c r="B122" i="97"/>
  <c r="F122" i="97"/>
  <c r="F122" i="98"/>
  <c r="B122" i="98"/>
  <c r="H121" i="97"/>
  <c r="I121" i="97"/>
  <c r="I43" i="80"/>
  <c r="F46" i="67"/>
  <c r="H46" i="67" s="1"/>
  <c r="B46" i="67"/>
  <c r="I45" i="66"/>
  <c r="B47" i="46"/>
  <c r="F47" i="46"/>
  <c r="G47" i="46" s="1"/>
  <c r="H51" i="30"/>
  <c r="I51" i="30" s="1"/>
  <c r="F51" i="24"/>
  <c r="H51" i="24" s="1"/>
  <c r="B51" i="24"/>
  <c r="I45" i="60"/>
  <c r="H48" i="55"/>
  <c r="I48" i="55" s="1"/>
  <c r="D45" i="82"/>
  <c r="E45" i="82"/>
  <c r="G42" i="25"/>
  <c r="D43" i="25"/>
  <c r="H43" i="86"/>
  <c r="E44" i="86"/>
  <c r="D44" i="86"/>
  <c r="B44" i="80"/>
  <c r="F44" i="80"/>
  <c r="G44" i="80" s="1"/>
  <c r="H46" i="64"/>
  <c r="I46" i="64" s="1"/>
  <c r="G43" i="86"/>
  <c r="G44" i="82"/>
  <c r="F42" i="94"/>
  <c r="B42" i="94"/>
  <c r="H44" i="82"/>
  <c r="F41" i="93"/>
  <c r="B41" i="93"/>
  <c r="H42" i="25"/>
  <c r="H49" i="42"/>
  <c r="I49" i="42" s="1"/>
  <c r="F52" i="23"/>
  <c r="B52" i="23"/>
  <c r="G44" i="75"/>
  <c r="I44" i="75" s="1"/>
  <c r="G48" i="58"/>
  <c r="I48" i="58" s="1"/>
  <c r="E49" i="58"/>
  <c r="D49" i="58"/>
  <c r="I51" i="23"/>
  <c r="F43" i="91"/>
  <c r="B43" i="91"/>
  <c r="F46" i="66"/>
  <c r="G46" i="66" s="1"/>
  <c r="B46" i="66"/>
  <c r="F43" i="84"/>
  <c r="G43" i="84" s="1"/>
  <c r="B43" i="84"/>
  <c r="E49" i="55"/>
  <c r="D49" i="55"/>
  <c r="D50" i="42"/>
  <c r="E50" i="42"/>
  <c r="B47" i="53"/>
  <c r="F47" i="53"/>
  <c r="D45" i="75"/>
  <c r="E45" i="75"/>
  <c r="B44" i="90"/>
  <c r="F44" i="90"/>
  <c r="H44" i="90" s="1"/>
  <c r="H45" i="65"/>
  <c r="I45" i="65" s="1"/>
  <c r="D46" i="65"/>
  <c r="E46" i="65"/>
  <c r="G48" i="45"/>
  <c r="I48" i="45" s="1"/>
  <c r="B44" i="76"/>
  <c r="F44" i="76"/>
  <c r="H44" i="76" s="1"/>
  <c r="I51" i="27"/>
  <c r="E48" i="72"/>
  <c r="D48" i="72"/>
  <c r="B46" i="61"/>
  <c r="F46" i="61"/>
  <c r="G46" i="61" s="1"/>
  <c r="G49" i="39"/>
  <c r="I49" i="39" s="1"/>
  <c r="D50" i="39"/>
  <c r="E50" i="39"/>
  <c r="H47" i="72"/>
  <c r="B49" i="44"/>
  <c r="F49" i="44"/>
  <c r="H49" i="44" s="1"/>
  <c r="D44" i="85"/>
  <c r="E44" i="85"/>
  <c r="B50" i="22"/>
  <c r="F50" i="22"/>
  <c r="G50" i="22" s="1"/>
  <c r="G41" i="95"/>
  <c r="I41" i="95" s="1"/>
  <c r="D42" i="95"/>
  <c r="E42" i="95"/>
  <c r="G43" i="85"/>
  <c r="I43" i="85" s="1"/>
  <c r="F43" i="81"/>
  <c r="B43" i="81"/>
  <c r="F41" i="96"/>
  <c r="B41" i="96"/>
  <c r="F52" i="27"/>
  <c r="B52" i="27"/>
  <c r="G47" i="72"/>
  <c r="I50" i="18"/>
  <c r="I43" i="78"/>
  <c r="G45" i="68"/>
  <c r="D46" i="68"/>
  <c r="E46" i="68"/>
  <c r="B46" i="63"/>
  <c r="F46" i="63"/>
  <c r="G46" i="63" s="1"/>
  <c r="G52" i="31"/>
  <c r="I52" i="31" s="1"/>
  <c r="D53" i="31"/>
  <c r="E53" i="31"/>
  <c r="B42" i="92"/>
  <c r="F42" i="92"/>
  <c r="E51" i="19"/>
  <c r="D51" i="19"/>
  <c r="D44" i="88"/>
  <c r="E44" i="88"/>
  <c r="B51" i="32"/>
  <c r="F51" i="32"/>
  <c r="H51" i="32" s="1"/>
  <c r="H52" i="69"/>
  <c r="I52" i="69" s="1"/>
  <c r="I43" i="79"/>
  <c r="B52" i="29"/>
  <c r="F52" i="29"/>
  <c r="H52" i="29" s="1"/>
  <c r="G46" i="56"/>
  <c r="E47" i="56"/>
  <c r="D47" i="56"/>
  <c r="B49" i="74"/>
  <c r="F49" i="74"/>
  <c r="F44" i="79"/>
  <c r="G44" i="79" s="1"/>
  <c r="B44" i="79"/>
  <c r="B44" i="78"/>
  <c r="F44" i="78"/>
  <c r="G44" i="78" s="1"/>
  <c r="G42" i="26"/>
  <c r="I42" i="26" s="1"/>
  <c r="B49" i="73"/>
  <c r="F49" i="73"/>
  <c r="H49" i="73" s="1"/>
  <c r="G53" i="28"/>
  <c r="I53" i="28" s="1"/>
  <c r="D54" i="28"/>
  <c r="E54" i="28"/>
  <c r="H43" i="88"/>
  <c r="B42" i="89"/>
  <c r="F42" i="89"/>
  <c r="I51" i="70"/>
  <c r="B50" i="43"/>
  <c r="F50" i="43"/>
  <c r="E43" i="83"/>
  <c r="D43" i="83"/>
  <c r="B52" i="70"/>
  <c r="F52" i="70"/>
  <c r="D51" i="3"/>
  <c r="E51" i="3"/>
  <c r="E52" i="71"/>
  <c r="D52" i="71"/>
  <c r="D47" i="64"/>
  <c r="E47" i="64"/>
  <c r="I45" i="68"/>
  <c r="F44" i="77"/>
  <c r="G44" i="77" s="1"/>
  <c r="B44" i="77"/>
  <c r="D53" i="69"/>
  <c r="E53" i="69"/>
  <c r="F50" i="21"/>
  <c r="B50" i="21"/>
  <c r="F47" i="57"/>
  <c r="H47" i="57" s="1"/>
  <c r="B47" i="57"/>
  <c r="C59" i="17"/>
  <c r="F50" i="17"/>
  <c r="H50" i="17" s="1"/>
  <c r="B50" i="17"/>
  <c r="B46" i="60"/>
  <c r="F46" i="60"/>
  <c r="G46" i="60" s="1"/>
  <c r="I45" i="59"/>
  <c r="E49" i="45"/>
  <c r="D49" i="45"/>
  <c r="H50" i="19"/>
  <c r="I50" i="19" s="1"/>
  <c r="G43" i="88"/>
  <c r="F47" i="54"/>
  <c r="B47" i="54"/>
  <c r="H46" i="56"/>
  <c r="G42" i="83"/>
  <c r="I42" i="83" s="1"/>
  <c r="F50" i="41"/>
  <c r="G50" i="41" s="1"/>
  <c r="B50" i="41"/>
  <c r="H50" i="3"/>
  <c r="I50" i="3" s="1"/>
  <c r="H51" i="71"/>
  <c r="I51" i="71" s="1"/>
  <c r="H51" i="34"/>
  <c r="I51" i="34" s="1"/>
  <c r="E52" i="34"/>
  <c r="D52" i="34"/>
  <c r="D52" i="30"/>
  <c r="E52" i="30"/>
  <c r="J129" i="22"/>
  <c r="J121" i="91"/>
  <c r="J125" i="62"/>
  <c r="D44" i="33"/>
  <c r="G43" i="33"/>
  <c r="H43" i="33"/>
  <c r="D42" i="13"/>
  <c r="E42" i="13" s="1"/>
  <c r="G67" i="35"/>
  <c r="B68" i="35"/>
  <c r="E68" i="35"/>
  <c r="F68" i="35" s="1"/>
  <c r="H67" i="35"/>
  <c r="E43" i="87"/>
  <c r="D43" i="87"/>
  <c r="B46" i="59"/>
  <c r="F46" i="59"/>
  <c r="G46" i="59" s="1"/>
  <c r="J127" i="45"/>
  <c r="H42" i="87"/>
  <c r="D46" i="62"/>
  <c r="E46" i="62"/>
  <c r="E50" i="20"/>
  <c r="D50" i="20"/>
  <c r="G41" i="13"/>
  <c r="G42" i="87"/>
  <c r="G45" i="62"/>
  <c r="B51" i="18"/>
  <c r="F51" i="18"/>
  <c r="G51" i="18" s="1"/>
  <c r="J127" i="56"/>
  <c r="J128" i="73"/>
  <c r="H41" i="13"/>
  <c r="I66" i="35"/>
  <c r="D43" i="26"/>
  <c r="E43" i="26" s="1"/>
  <c r="H45" i="62"/>
  <c r="G49" i="20"/>
  <c r="I49" i="20" s="1"/>
  <c r="F132" i="69"/>
  <c r="B132" i="69"/>
  <c r="H129" i="19"/>
  <c r="I129" i="19"/>
  <c r="F129" i="43"/>
  <c r="B129" i="43"/>
  <c r="H125" i="64"/>
  <c r="I125" i="64"/>
  <c r="I122" i="85"/>
  <c r="H122" i="85"/>
  <c r="H131" i="30"/>
  <c r="I131" i="30"/>
  <c r="I125" i="61"/>
  <c r="H125" i="61"/>
  <c r="F124" i="78"/>
  <c r="B124" i="78"/>
  <c r="B130" i="34"/>
  <c r="F130" i="34"/>
  <c r="H131" i="70"/>
  <c r="I131" i="70"/>
  <c r="F124" i="79"/>
  <c r="B124" i="79"/>
  <c r="B126" i="65"/>
  <c r="F126" i="65"/>
  <c r="H121" i="90"/>
  <c r="I121" i="90"/>
  <c r="B128" i="74"/>
  <c r="F128" i="74"/>
  <c r="B125" i="68"/>
  <c r="F125" i="68"/>
  <c r="F130" i="20"/>
  <c r="B130" i="20"/>
  <c r="H126" i="46"/>
  <c r="I126" i="46"/>
  <c r="H131" i="69"/>
  <c r="I131" i="69"/>
  <c r="B122" i="88"/>
  <c r="F122" i="88"/>
  <c r="H121" i="86"/>
  <c r="I121" i="86"/>
  <c r="H126" i="72"/>
  <c r="I126" i="72"/>
  <c r="H128" i="43"/>
  <c r="I128" i="43"/>
  <c r="I121" i="84"/>
  <c r="H121" i="84"/>
  <c r="H126" i="53"/>
  <c r="I126" i="53"/>
  <c r="G122" i="89"/>
  <c r="E123" i="89"/>
  <c r="D123" i="89"/>
  <c r="H126" i="58"/>
  <c r="I126" i="58"/>
  <c r="I129" i="34"/>
  <c r="H129" i="34"/>
  <c r="F132" i="70"/>
  <c r="B132" i="70"/>
  <c r="I130" i="31"/>
  <c r="H130" i="31"/>
  <c r="I123" i="79"/>
  <c r="H123" i="79"/>
  <c r="F122" i="90"/>
  <c r="B122" i="90"/>
  <c r="F129" i="39"/>
  <c r="B129" i="39"/>
  <c r="H127" i="74"/>
  <c r="I127" i="74"/>
  <c r="J120" i="13"/>
  <c r="G126" i="62"/>
  <c r="D127" i="62"/>
  <c r="E127" i="62"/>
  <c r="F130" i="19"/>
  <c r="B130" i="19"/>
  <c r="H121" i="88"/>
  <c r="I121" i="88"/>
  <c r="F122" i="86"/>
  <c r="B122" i="86"/>
  <c r="E131" i="22"/>
  <c r="G130" i="22"/>
  <c r="D131" i="22"/>
  <c r="J121" i="89"/>
  <c r="F123" i="85"/>
  <c r="B123" i="85"/>
  <c r="G123" i="81"/>
  <c r="D124" i="81"/>
  <c r="E124" i="81"/>
  <c r="I131" i="27"/>
  <c r="H131" i="27"/>
  <c r="F122" i="84"/>
  <c r="B122" i="84"/>
  <c r="I125" i="60"/>
  <c r="H125" i="60"/>
  <c r="H123" i="78"/>
  <c r="I123" i="78"/>
  <c r="J122" i="81"/>
  <c r="F131" i="31"/>
  <c r="B131" i="31"/>
  <c r="I121" i="92"/>
  <c r="H121" i="92"/>
  <c r="B131" i="32"/>
  <c r="F131" i="32"/>
  <c r="I124" i="66"/>
  <c r="H124" i="66"/>
  <c r="F126" i="63"/>
  <c r="B126" i="63"/>
  <c r="H129" i="20"/>
  <c r="I129" i="20"/>
  <c r="I131" i="29"/>
  <c r="H131" i="29"/>
  <c r="B127" i="46"/>
  <c r="F127" i="46"/>
  <c r="D123" i="91"/>
  <c r="G122" i="91"/>
  <c r="E123" i="91"/>
  <c r="D130" i="73"/>
  <c r="G129" i="73"/>
  <c r="E130" i="73"/>
  <c r="F127" i="72"/>
  <c r="B127" i="72"/>
  <c r="B126" i="64"/>
  <c r="F126" i="64"/>
  <c r="D130" i="41"/>
  <c r="G129" i="41"/>
  <c r="E130" i="41"/>
  <c r="F132" i="27"/>
  <c r="B132" i="27"/>
  <c r="F127" i="53"/>
  <c r="B127" i="53"/>
  <c r="F132" i="30"/>
  <c r="B132" i="30"/>
  <c r="F126" i="60"/>
  <c r="B126" i="60"/>
  <c r="B126" i="61"/>
  <c r="F126" i="61"/>
  <c r="B127" i="58"/>
  <c r="F127" i="58"/>
  <c r="J128" i="41"/>
  <c r="E129" i="45"/>
  <c r="D129" i="45"/>
  <c r="G128" i="45"/>
  <c r="H125" i="65"/>
  <c r="I125" i="65"/>
  <c r="B122" i="92"/>
  <c r="F122" i="92"/>
  <c r="H130" i="32"/>
  <c r="I130" i="32"/>
  <c r="F125" i="66"/>
  <c r="B125" i="66"/>
  <c r="H128" i="39"/>
  <c r="I128" i="39"/>
  <c r="I124" i="68"/>
  <c r="H124" i="68"/>
  <c r="I125" i="63"/>
  <c r="H125" i="63"/>
  <c r="F132" i="29"/>
  <c r="B132" i="29"/>
  <c r="I126" i="59"/>
  <c r="H126" i="59"/>
  <c r="H131" i="23"/>
  <c r="I131" i="23"/>
  <c r="F131" i="18"/>
  <c r="B131" i="18"/>
  <c r="F132" i="23"/>
  <c r="B132" i="23"/>
  <c r="J122" i="83"/>
  <c r="J126" i="55"/>
  <c r="B127" i="59"/>
  <c r="F127" i="59"/>
  <c r="E129" i="56"/>
  <c r="D129" i="56"/>
  <c r="G128" i="56"/>
  <c r="I130" i="18"/>
  <c r="H130" i="18"/>
  <c r="F128" i="57"/>
  <c r="B128" i="57"/>
  <c r="F132" i="71"/>
  <c r="B132" i="71"/>
  <c r="J129" i="21"/>
  <c r="J121" i="25"/>
  <c r="J121" i="93"/>
  <c r="H127" i="57"/>
  <c r="I127" i="57"/>
  <c r="I131" i="71"/>
  <c r="H131" i="71"/>
  <c r="G122" i="93"/>
  <c r="D123" i="93"/>
  <c r="J120" i="33"/>
  <c r="I121" i="87"/>
  <c r="H121" i="87"/>
  <c r="J122" i="80"/>
  <c r="E130" i="42"/>
  <c r="D130" i="42"/>
  <c r="G129" i="42"/>
  <c r="J123" i="76"/>
  <c r="G121" i="33"/>
  <c r="D122" i="33"/>
  <c r="E122" i="33" s="1"/>
  <c r="H124" i="67"/>
  <c r="I124" i="67"/>
  <c r="J123" i="75"/>
  <c r="J123" i="77"/>
  <c r="G127" i="55"/>
  <c r="E128" i="55"/>
  <c r="D128" i="55"/>
  <c r="D125" i="75"/>
  <c r="E125" i="75"/>
  <c r="G124" i="75"/>
  <c r="H129" i="3"/>
  <c r="I129" i="3"/>
  <c r="B123" i="94"/>
  <c r="F123" i="94"/>
  <c r="I122" i="95"/>
  <c r="H122" i="95"/>
  <c r="H132" i="28"/>
  <c r="I132" i="28"/>
  <c r="D131" i="21"/>
  <c r="E131" i="21"/>
  <c r="G130" i="21"/>
  <c r="H149" i="35"/>
  <c r="I149" i="35"/>
  <c r="E124" i="83"/>
  <c r="G123" i="83"/>
  <c r="D124" i="83"/>
  <c r="B125" i="67"/>
  <c r="F125" i="67"/>
  <c r="J126" i="54"/>
  <c r="J148" i="35"/>
  <c r="F130" i="3"/>
  <c r="B130" i="3"/>
  <c r="F123" i="95"/>
  <c r="B123" i="95"/>
  <c r="I122" i="82"/>
  <c r="H122" i="82"/>
  <c r="D122" i="13"/>
  <c r="E122" i="13" s="1"/>
  <c r="G121" i="13"/>
  <c r="J130" i="24"/>
  <c r="G122" i="25"/>
  <c r="D123" i="25"/>
  <c r="E123" i="25" s="1"/>
  <c r="I128" i="44"/>
  <c r="H128" i="44"/>
  <c r="G124" i="76"/>
  <c r="E125" i="76"/>
  <c r="D125" i="76"/>
  <c r="E128" i="54"/>
  <c r="G127" i="54"/>
  <c r="D128" i="54"/>
  <c r="H122" i="94"/>
  <c r="I122" i="94"/>
  <c r="I130" i="17"/>
  <c r="H130" i="17"/>
  <c r="B123" i="82"/>
  <c r="F123" i="82"/>
  <c r="G150" i="35"/>
  <c r="B151" i="35"/>
  <c r="E151" i="35"/>
  <c r="F151" i="35" s="1"/>
  <c r="E125" i="77"/>
  <c r="G124" i="77"/>
  <c r="D125" i="77"/>
  <c r="B122" i="96"/>
  <c r="F122" i="96"/>
  <c r="F122" i="87"/>
  <c r="B122" i="87"/>
  <c r="B129" i="44"/>
  <c r="F129" i="44"/>
  <c r="E132" i="24"/>
  <c r="D132" i="24"/>
  <c r="G131" i="24"/>
  <c r="B131" i="17"/>
  <c r="F131" i="17"/>
  <c r="F133" i="28"/>
  <c r="B133" i="28"/>
  <c r="D124" i="80"/>
  <c r="E124" i="80"/>
  <c r="G123" i="80"/>
  <c r="J128" i="42"/>
  <c r="I121" i="96"/>
  <c r="H121" i="96"/>
  <c r="J121" i="98" l="1"/>
  <c r="H52" i="97"/>
  <c r="H42" i="98"/>
  <c r="I42" i="98" s="1"/>
  <c r="G52" i="97"/>
  <c r="I46" i="99"/>
  <c r="D48" i="99"/>
  <c r="E48" i="99"/>
  <c r="E53" i="97"/>
  <c r="F53" i="97" s="1"/>
  <c r="B53" i="97"/>
  <c r="D43" i="98"/>
  <c r="E43" i="98"/>
  <c r="H47" i="99"/>
  <c r="I47" i="99" s="1"/>
  <c r="I42" i="25"/>
  <c r="H47" i="46"/>
  <c r="I47" i="46" s="1"/>
  <c r="G51" i="24"/>
  <c r="I51" i="24" s="1"/>
  <c r="I121" i="99"/>
  <c r="H121" i="99"/>
  <c r="F122" i="99"/>
  <c r="B122" i="99"/>
  <c r="I46" i="56"/>
  <c r="J121" i="97"/>
  <c r="G122" i="97"/>
  <c r="D123" i="97"/>
  <c r="E123" i="97"/>
  <c r="I122" i="26"/>
  <c r="H122" i="26"/>
  <c r="D123" i="98"/>
  <c r="G122" i="98"/>
  <c r="E123" i="98"/>
  <c r="E123" i="26"/>
  <c r="F123" i="26" s="1"/>
  <c r="B123" i="26"/>
  <c r="I44" i="82"/>
  <c r="H43" i="84"/>
  <c r="I43" i="84" s="1"/>
  <c r="H44" i="80"/>
  <c r="I44" i="80" s="1"/>
  <c r="G46" i="67"/>
  <c r="I46" i="67" s="1"/>
  <c r="E47" i="67"/>
  <c r="D47" i="67"/>
  <c r="H46" i="59"/>
  <c r="I46" i="59" s="1"/>
  <c r="D48" i="46"/>
  <c r="E48" i="46"/>
  <c r="E52" i="24"/>
  <c r="D52" i="24"/>
  <c r="E42" i="93"/>
  <c r="D42" i="93"/>
  <c r="H42" i="94"/>
  <c r="D43" i="94"/>
  <c r="E43" i="94"/>
  <c r="B44" i="86"/>
  <c r="F44" i="86"/>
  <c r="H44" i="86" s="1"/>
  <c r="H41" i="93"/>
  <c r="G41" i="93"/>
  <c r="G42" i="94"/>
  <c r="E45" i="80"/>
  <c r="D45" i="80"/>
  <c r="I43" i="86"/>
  <c r="B45" i="82"/>
  <c r="F45" i="82"/>
  <c r="G45" i="82" s="1"/>
  <c r="E43" i="25"/>
  <c r="F43" i="25" s="1"/>
  <c r="B43" i="25"/>
  <c r="B46" i="65"/>
  <c r="F46" i="65"/>
  <c r="H46" i="65" s="1"/>
  <c r="G47" i="53"/>
  <c r="D48" i="53"/>
  <c r="E48" i="53"/>
  <c r="F50" i="42"/>
  <c r="H50" i="42" s="1"/>
  <c r="B50" i="42"/>
  <c r="B49" i="55"/>
  <c r="F49" i="55"/>
  <c r="H49" i="55" s="1"/>
  <c r="H43" i="91"/>
  <c r="D44" i="91"/>
  <c r="G43" i="91"/>
  <c r="E44" i="91"/>
  <c r="F49" i="58"/>
  <c r="H49" i="58" s="1"/>
  <c r="B49" i="58"/>
  <c r="F45" i="75"/>
  <c r="G45" i="75" s="1"/>
  <c r="B45" i="75"/>
  <c r="D44" i="84"/>
  <c r="E44" i="84"/>
  <c r="H46" i="66"/>
  <c r="I46" i="66" s="1"/>
  <c r="E47" i="66"/>
  <c r="D47" i="66"/>
  <c r="H52" i="23"/>
  <c r="G52" i="23"/>
  <c r="D53" i="23"/>
  <c r="E53" i="23"/>
  <c r="H44" i="77"/>
  <c r="I44" i="77" s="1"/>
  <c r="G44" i="90"/>
  <c r="I44" i="90" s="1"/>
  <c r="E45" i="90"/>
  <c r="D45" i="90"/>
  <c r="H47" i="53"/>
  <c r="I47" i="53" s="1"/>
  <c r="H52" i="27"/>
  <c r="D53" i="27"/>
  <c r="G52" i="27"/>
  <c r="E53" i="27"/>
  <c r="D42" i="96"/>
  <c r="E42" i="96"/>
  <c r="F44" i="85"/>
  <c r="H44" i="85" s="1"/>
  <c r="B44" i="85"/>
  <c r="H41" i="96"/>
  <c r="H43" i="81"/>
  <c r="E44" i="81"/>
  <c r="D44" i="81"/>
  <c r="H50" i="22"/>
  <c r="I50" i="22" s="1"/>
  <c r="E51" i="22"/>
  <c r="D51" i="22"/>
  <c r="G49" i="44"/>
  <c r="I49" i="44" s="1"/>
  <c r="E50" i="44"/>
  <c r="D50" i="44"/>
  <c r="B50" i="39"/>
  <c r="F50" i="39"/>
  <c r="G50" i="39" s="1"/>
  <c r="E47" i="61"/>
  <c r="D47" i="61"/>
  <c r="G51" i="32"/>
  <c r="I51" i="32" s="1"/>
  <c r="F42" i="95"/>
  <c r="H42" i="95" s="1"/>
  <c r="B42" i="95"/>
  <c r="I45" i="62"/>
  <c r="H44" i="78"/>
  <c r="I44" i="78" s="1"/>
  <c r="H46" i="63"/>
  <c r="I46" i="63" s="1"/>
  <c r="G41" i="96"/>
  <c r="G43" i="81"/>
  <c r="I47" i="72"/>
  <c r="H46" i="61"/>
  <c r="I46" i="61" s="1"/>
  <c r="F48" i="72"/>
  <c r="H48" i="72" s="1"/>
  <c r="B48" i="72"/>
  <c r="G44" i="76"/>
  <c r="I44" i="76" s="1"/>
  <c r="E45" i="76"/>
  <c r="D45" i="76"/>
  <c r="I67" i="35"/>
  <c r="B52" i="34"/>
  <c r="F52" i="34"/>
  <c r="H47" i="54"/>
  <c r="E48" i="54"/>
  <c r="D48" i="54"/>
  <c r="G50" i="21"/>
  <c r="D51" i="21"/>
  <c r="E51" i="21"/>
  <c r="G52" i="70"/>
  <c r="D53" i="70"/>
  <c r="E53" i="70"/>
  <c r="D51" i="43"/>
  <c r="E51" i="43"/>
  <c r="E43" i="89"/>
  <c r="D43" i="89"/>
  <c r="G49" i="74"/>
  <c r="E50" i="74"/>
  <c r="D50" i="74"/>
  <c r="F44" i="88"/>
  <c r="G44" i="88" s="1"/>
  <c r="B44" i="88"/>
  <c r="G42" i="92"/>
  <c r="E43" i="92"/>
  <c r="D43" i="92"/>
  <c r="B53" i="31"/>
  <c r="F53" i="31"/>
  <c r="H53" i="31" s="1"/>
  <c r="D51" i="17"/>
  <c r="E51" i="17"/>
  <c r="D48" i="57"/>
  <c r="E48" i="57"/>
  <c r="F47" i="64"/>
  <c r="G47" i="64" s="1"/>
  <c r="B47" i="64"/>
  <c r="F54" i="28"/>
  <c r="H54" i="28" s="1"/>
  <c r="B54" i="28"/>
  <c r="D50" i="73"/>
  <c r="E50" i="73"/>
  <c r="B51" i="19"/>
  <c r="F51" i="19"/>
  <c r="H51" i="19" s="1"/>
  <c r="F46" i="68"/>
  <c r="H46" i="68" s="1"/>
  <c r="B46" i="68"/>
  <c r="I43" i="33"/>
  <c r="H50" i="41"/>
  <c r="I50" i="41" s="1"/>
  <c r="D51" i="41"/>
  <c r="E51" i="41"/>
  <c r="G47" i="54"/>
  <c r="G50" i="17"/>
  <c r="I50" i="17" s="1"/>
  <c r="G47" i="57"/>
  <c r="I47" i="57" s="1"/>
  <c r="H50" i="21"/>
  <c r="B53" i="69"/>
  <c r="F53" i="69"/>
  <c r="H53" i="69" s="1"/>
  <c r="F51" i="3"/>
  <c r="G51" i="3" s="1"/>
  <c r="B51" i="3"/>
  <c r="F43" i="83"/>
  <c r="H43" i="83" s="1"/>
  <c r="B43" i="83"/>
  <c r="G50" i="43"/>
  <c r="G42" i="89"/>
  <c r="I43" i="88"/>
  <c r="H44" i="79"/>
  <c r="I44" i="79" s="1"/>
  <c r="D45" i="79"/>
  <c r="E45" i="79"/>
  <c r="D47" i="63"/>
  <c r="E47" i="63"/>
  <c r="F52" i="30"/>
  <c r="G52" i="30" s="1"/>
  <c r="B52" i="30"/>
  <c r="F49" i="45"/>
  <c r="B49" i="45"/>
  <c r="H46" i="60"/>
  <c r="I46" i="60" s="1"/>
  <c r="E47" i="60"/>
  <c r="D47" i="60"/>
  <c r="D45" i="77"/>
  <c r="E45" i="77"/>
  <c r="F52" i="71"/>
  <c r="H52" i="71" s="1"/>
  <c r="B52" i="71"/>
  <c r="H52" i="70"/>
  <c r="H50" i="43"/>
  <c r="H42" i="89"/>
  <c r="G49" i="73"/>
  <c r="I49" i="73" s="1"/>
  <c r="E45" i="78"/>
  <c r="D45" i="78"/>
  <c r="H49" i="74"/>
  <c r="F47" i="56"/>
  <c r="H47" i="56" s="1"/>
  <c r="B47" i="56"/>
  <c r="G52" i="29"/>
  <c r="I52" i="29" s="1"/>
  <c r="E53" i="29"/>
  <c r="D53" i="29"/>
  <c r="D52" i="32"/>
  <c r="E52" i="32"/>
  <c r="H42" i="92"/>
  <c r="J126" i="53"/>
  <c r="J128" i="43"/>
  <c r="J121" i="86"/>
  <c r="J131" i="69"/>
  <c r="J131" i="70"/>
  <c r="J131" i="30"/>
  <c r="J125" i="64"/>
  <c r="J129" i="19"/>
  <c r="J128" i="39"/>
  <c r="J130" i="32"/>
  <c r="J125" i="65"/>
  <c r="J126" i="72"/>
  <c r="J121" i="90"/>
  <c r="J123" i="78"/>
  <c r="J126" i="46"/>
  <c r="J124" i="66"/>
  <c r="J127" i="57"/>
  <c r="J131" i="29"/>
  <c r="J121" i="92"/>
  <c r="F43" i="87"/>
  <c r="G43" i="87" s="1"/>
  <c r="B43" i="87"/>
  <c r="J131" i="71"/>
  <c r="B46" i="62"/>
  <c r="F46" i="62"/>
  <c r="H46" i="62" s="1"/>
  <c r="I42" i="87"/>
  <c r="G68" i="35"/>
  <c r="H68" i="35"/>
  <c r="E69" i="35"/>
  <c r="F69" i="35" s="1"/>
  <c r="B69" i="35"/>
  <c r="J123" i="79"/>
  <c r="I41" i="13"/>
  <c r="E52" i="18"/>
  <c r="D52" i="18"/>
  <c r="F50" i="20"/>
  <c r="G50" i="20" s="1"/>
  <c r="B50" i="20"/>
  <c r="B44" i="33"/>
  <c r="J127" i="74"/>
  <c r="F43" i="26"/>
  <c r="H43" i="26" s="1"/>
  <c r="B43" i="26"/>
  <c r="H51" i="18"/>
  <c r="I51" i="18" s="1"/>
  <c r="E47" i="59"/>
  <c r="D47" i="59"/>
  <c r="B42" i="13"/>
  <c r="F42" i="13"/>
  <c r="G42" i="13" s="1"/>
  <c r="E44" i="33"/>
  <c r="F44" i="33" s="1"/>
  <c r="G122" i="92"/>
  <c r="D123" i="92"/>
  <c r="E123" i="92"/>
  <c r="I128" i="45"/>
  <c r="H128" i="45"/>
  <c r="G127" i="58"/>
  <c r="E128" i="58"/>
  <c r="D128" i="58"/>
  <c r="I129" i="73"/>
  <c r="H129" i="73"/>
  <c r="F123" i="91"/>
  <c r="B123" i="91"/>
  <c r="D127" i="63"/>
  <c r="E127" i="63"/>
  <c r="G126" i="63"/>
  <c r="G131" i="31"/>
  <c r="E132" i="31"/>
  <c r="D132" i="31"/>
  <c r="I123" i="81"/>
  <c r="H123" i="81"/>
  <c r="B131" i="22"/>
  <c r="F131" i="22"/>
  <c r="E123" i="86"/>
  <c r="D123" i="86"/>
  <c r="G122" i="86"/>
  <c r="D131" i="19"/>
  <c r="E131" i="19"/>
  <c r="G130" i="19"/>
  <c r="D130" i="39"/>
  <c r="G129" i="39"/>
  <c r="E130" i="39"/>
  <c r="G132" i="70"/>
  <c r="E133" i="70"/>
  <c r="D133" i="70"/>
  <c r="G128" i="74"/>
  <c r="D129" i="74"/>
  <c r="E129" i="74"/>
  <c r="D127" i="65"/>
  <c r="G126" i="65"/>
  <c r="E127" i="65"/>
  <c r="J126" i="59"/>
  <c r="E133" i="29"/>
  <c r="G132" i="29"/>
  <c r="D133" i="29"/>
  <c r="J124" i="68"/>
  <c r="D126" i="66"/>
  <c r="E126" i="66"/>
  <c r="G125" i="66"/>
  <c r="B129" i="45"/>
  <c r="F129" i="45"/>
  <c r="D127" i="60"/>
  <c r="E127" i="60"/>
  <c r="G126" i="60"/>
  <c r="G127" i="53"/>
  <c r="E128" i="53"/>
  <c r="D128" i="53"/>
  <c r="I129" i="41"/>
  <c r="H129" i="41"/>
  <c r="F130" i="73"/>
  <c r="B130" i="73"/>
  <c r="G127" i="46"/>
  <c r="D128" i="46"/>
  <c r="E128" i="46"/>
  <c r="J129" i="20"/>
  <c r="J125" i="60"/>
  <c r="J131" i="27"/>
  <c r="H130" i="22"/>
  <c r="I130" i="22"/>
  <c r="J121" i="88"/>
  <c r="B123" i="89"/>
  <c r="F123" i="89"/>
  <c r="E131" i="20"/>
  <c r="G130" i="20"/>
  <c r="D131" i="20"/>
  <c r="E125" i="78"/>
  <c r="D125" i="78"/>
  <c r="G124" i="78"/>
  <c r="D127" i="61"/>
  <c r="E127" i="61"/>
  <c r="G126" i="61"/>
  <c r="B130" i="41"/>
  <c r="F130" i="41"/>
  <c r="E128" i="72"/>
  <c r="G127" i="72"/>
  <c r="D128" i="72"/>
  <c r="G123" i="85"/>
  <c r="E124" i="85"/>
  <c r="D124" i="85"/>
  <c r="B127" i="62"/>
  <c r="F127" i="62"/>
  <c r="E123" i="90"/>
  <c r="D123" i="90"/>
  <c r="G122" i="90"/>
  <c r="J130" i="31"/>
  <c r="J129" i="34"/>
  <c r="E123" i="88"/>
  <c r="D123" i="88"/>
  <c r="G122" i="88"/>
  <c r="D126" i="68"/>
  <c r="G125" i="68"/>
  <c r="E126" i="68"/>
  <c r="D131" i="34"/>
  <c r="G130" i="34"/>
  <c r="E131" i="34"/>
  <c r="J125" i="63"/>
  <c r="G132" i="30"/>
  <c r="E133" i="30"/>
  <c r="D133" i="30"/>
  <c r="E133" i="27"/>
  <c r="G132" i="27"/>
  <c r="D133" i="27"/>
  <c r="D127" i="64"/>
  <c r="G126" i="64"/>
  <c r="E127" i="64"/>
  <c r="H122" i="91"/>
  <c r="I122" i="91"/>
  <c r="D132" i="32"/>
  <c r="E132" i="32"/>
  <c r="G131" i="32"/>
  <c r="E123" i="84"/>
  <c r="G122" i="84"/>
  <c r="D123" i="84"/>
  <c r="B124" i="81"/>
  <c r="F124" i="81"/>
  <c r="H126" i="62"/>
  <c r="I126" i="62"/>
  <c r="J126" i="58"/>
  <c r="H122" i="89"/>
  <c r="I122" i="89"/>
  <c r="J121" i="84"/>
  <c r="G124" i="79"/>
  <c r="D125" i="79"/>
  <c r="E125" i="79"/>
  <c r="J125" i="61"/>
  <c r="J122" i="85"/>
  <c r="D130" i="43"/>
  <c r="G129" i="43"/>
  <c r="E130" i="43"/>
  <c r="E133" i="69"/>
  <c r="G132" i="69"/>
  <c r="D133" i="69"/>
  <c r="G127" i="59"/>
  <c r="E128" i="59"/>
  <c r="D128" i="59"/>
  <c r="J131" i="23"/>
  <c r="H128" i="56"/>
  <c r="I128" i="56"/>
  <c r="J130" i="18"/>
  <c r="F129" i="56"/>
  <c r="B129" i="56"/>
  <c r="J124" i="67"/>
  <c r="G132" i="23"/>
  <c r="D133" i="23"/>
  <c r="E133" i="23"/>
  <c r="E132" i="18"/>
  <c r="D132" i="18"/>
  <c r="G131" i="18"/>
  <c r="J122" i="94"/>
  <c r="J128" i="44"/>
  <c r="J122" i="95"/>
  <c r="J121" i="96"/>
  <c r="J130" i="17"/>
  <c r="G132" i="71"/>
  <c r="D133" i="71"/>
  <c r="E133" i="71"/>
  <c r="E129" i="57"/>
  <c r="D129" i="57"/>
  <c r="G128" i="57"/>
  <c r="F124" i="80"/>
  <c r="B124" i="80"/>
  <c r="G129" i="44"/>
  <c r="D130" i="44"/>
  <c r="E130" i="44"/>
  <c r="D123" i="87"/>
  <c r="G122" i="87"/>
  <c r="E123" i="87"/>
  <c r="G122" i="96"/>
  <c r="D123" i="96"/>
  <c r="H150" i="35"/>
  <c r="I150" i="35"/>
  <c r="B128" i="54"/>
  <c r="F128" i="54"/>
  <c r="B122" i="13"/>
  <c r="F122" i="13"/>
  <c r="F125" i="75"/>
  <c r="B125" i="75"/>
  <c r="H127" i="55"/>
  <c r="I127" i="55"/>
  <c r="I121" i="33"/>
  <c r="H121" i="33"/>
  <c r="F130" i="42"/>
  <c r="B130" i="42"/>
  <c r="J121" i="87"/>
  <c r="G131" i="17"/>
  <c r="E132" i="17"/>
  <c r="D132" i="17"/>
  <c r="I131" i="24"/>
  <c r="H131" i="24"/>
  <c r="I127" i="54"/>
  <c r="H127" i="54"/>
  <c r="I124" i="76"/>
  <c r="H124" i="76"/>
  <c r="F123" i="25"/>
  <c r="B123" i="25"/>
  <c r="D126" i="67"/>
  <c r="G125" i="67"/>
  <c r="E126" i="67"/>
  <c r="J149" i="35"/>
  <c r="F131" i="21"/>
  <c r="B131" i="21"/>
  <c r="J132" i="28"/>
  <c r="J129" i="3"/>
  <c r="B123" i="93"/>
  <c r="I123" i="80"/>
  <c r="H123" i="80"/>
  <c r="D134" i="28"/>
  <c r="G133" i="28"/>
  <c r="E134" i="28"/>
  <c r="F132" i="24"/>
  <c r="B132" i="24"/>
  <c r="B125" i="77"/>
  <c r="F125" i="77"/>
  <c r="G151" i="35"/>
  <c r="B152" i="35"/>
  <c r="E152" i="35"/>
  <c r="F152" i="35" s="1"/>
  <c r="H122" i="25"/>
  <c r="I122" i="25"/>
  <c r="I121" i="13"/>
  <c r="H121" i="13"/>
  <c r="G123" i="95"/>
  <c r="D124" i="95"/>
  <c r="E124" i="95" s="1"/>
  <c r="D131" i="3"/>
  <c r="G130" i="3"/>
  <c r="E131" i="3"/>
  <c r="B124" i="83"/>
  <c r="F124" i="83"/>
  <c r="I124" i="75"/>
  <c r="H124" i="75"/>
  <c r="F128" i="55"/>
  <c r="B128" i="55"/>
  <c r="H122" i="93"/>
  <c r="I122" i="93"/>
  <c r="I124" i="77"/>
  <c r="H124" i="77"/>
  <c r="D124" i="82"/>
  <c r="G123" i="82"/>
  <c r="E124" i="82"/>
  <c r="B125" i="76"/>
  <c r="F125" i="76"/>
  <c r="J122" i="82"/>
  <c r="H123" i="83"/>
  <c r="I123" i="83"/>
  <c r="H130" i="21"/>
  <c r="I130" i="21"/>
  <c r="G123" i="94"/>
  <c r="D124" i="94"/>
  <c r="F122" i="33"/>
  <c r="B122" i="33"/>
  <c r="H129" i="42"/>
  <c r="I129" i="42"/>
  <c r="E123" i="93"/>
  <c r="F123" i="93" s="1"/>
  <c r="I52" i="97" l="1"/>
  <c r="D54" i="97"/>
  <c r="G53" i="97"/>
  <c r="H53" i="97"/>
  <c r="I53" i="97" s="1"/>
  <c r="F48" i="99"/>
  <c r="B48" i="99"/>
  <c r="F43" i="98"/>
  <c r="B43" i="98"/>
  <c r="I42" i="92"/>
  <c r="I52" i="70"/>
  <c r="D123" i="99"/>
  <c r="G122" i="99"/>
  <c r="E123" i="99"/>
  <c r="J121" i="99"/>
  <c r="I42" i="94"/>
  <c r="H45" i="82"/>
  <c r="I45" i="82" s="1"/>
  <c r="I49" i="74"/>
  <c r="J122" i="26"/>
  <c r="H122" i="98"/>
  <c r="I122" i="98"/>
  <c r="B123" i="98"/>
  <c r="F123" i="98"/>
  <c r="F123" i="97"/>
  <c r="B123" i="97"/>
  <c r="D124" i="26"/>
  <c r="B124" i="26" s="1"/>
  <c r="G123" i="26"/>
  <c r="I122" i="97"/>
  <c r="H122" i="97"/>
  <c r="F47" i="67"/>
  <c r="G47" i="67" s="1"/>
  <c r="B47" i="67"/>
  <c r="G49" i="58"/>
  <c r="I49" i="58" s="1"/>
  <c r="B48" i="46"/>
  <c r="F48" i="46"/>
  <c r="B52" i="24"/>
  <c r="F52" i="24"/>
  <c r="G52" i="24" s="1"/>
  <c r="I50" i="21"/>
  <c r="I47" i="54"/>
  <c r="G44" i="85"/>
  <c r="D44" i="25"/>
  <c r="G43" i="25"/>
  <c r="H43" i="25"/>
  <c r="F43" i="94"/>
  <c r="H43" i="94" s="1"/>
  <c r="B43" i="94"/>
  <c r="F45" i="80"/>
  <c r="B45" i="80"/>
  <c r="I41" i="93"/>
  <c r="F42" i="93"/>
  <c r="H42" i="93" s="1"/>
  <c r="B42" i="93"/>
  <c r="H51" i="3"/>
  <c r="I51" i="3" s="1"/>
  <c r="I52" i="23"/>
  <c r="E46" i="82"/>
  <c r="D46" i="82"/>
  <c r="E45" i="86"/>
  <c r="D45" i="86"/>
  <c r="G44" i="86"/>
  <c r="I44" i="86" s="1"/>
  <c r="G42" i="95"/>
  <c r="I42" i="95" s="1"/>
  <c r="I43" i="91"/>
  <c r="G49" i="55"/>
  <c r="I49" i="55" s="1"/>
  <c r="E50" i="55"/>
  <c r="D50" i="55"/>
  <c r="G50" i="42"/>
  <c r="I50" i="42" s="1"/>
  <c r="D51" i="42"/>
  <c r="E51" i="42"/>
  <c r="G53" i="31"/>
  <c r="I53" i="31" s="1"/>
  <c r="F45" i="90"/>
  <c r="H45" i="90" s="1"/>
  <c r="B45" i="90"/>
  <c r="B47" i="66"/>
  <c r="F47" i="66"/>
  <c r="B44" i="84"/>
  <c r="F44" i="84"/>
  <c r="G44" i="84" s="1"/>
  <c r="E46" i="75"/>
  <c r="D46" i="75"/>
  <c r="F44" i="91"/>
  <c r="G44" i="91" s="1"/>
  <c r="B44" i="91"/>
  <c r="G46" i="65"/>
  <c r="I46" i="65" s="1"/>
  <c r="D47" i="65"/>
  <c r="E47" i="65"/>
  <c r="I50" i="43"/>
  <c r="B53" i="23"/>
  <c r="F53" i="23"/>
  <c r="H45" i="75"/>
  <c r="I45" i="75" s="1"/>
  <c r="D50" i="58"/>
  <c r="E50" i="58"/>
  <c r="B48" i="53"/>
  <c r="F48" i="53"/>
  <c r="G48" i="53" s="1"/>
  <c r="F47" i="61"/>
  <c r="G47" i="61" s="1"/>
  <c r="B47" i="61"/>
  <c r="H42" i="13"/>
  <c r="I42" i="13" s="1"/>
  <c r="G46" i="62"/>
  <c r="I46" i="62" s="1"/>
  <c r="D43" i="95"/>
  <c r="E43" i="95"/>
  <c r="B50" i="44"/>
  <c r="F50" i="44"/>
  <c r="H50" i="44" s="1"/>
  <c r="I41" i="96"/>
  <c r="D45" i="85"/>
  <c r="E45" i="85"/>
  <c r="F45" i="76"/>
  <c r="B45" i="76"/>
  <c r="G48" i="72"/>
  <c r="I48" i="72" s="1"/>
  <c r="D49" i="72"/>
  <c r="E49" i="72"/>
  <c r="H50" i="39"/>
  <c r="I50" i="39" s="1"/>
  <c r="D51" i="39"/>
  <c r="E51" i="39"/>
  <c r="F44" i="81"/>
  <c r="H44" i="81" s="1"/>
  <c r="B44" i="81"/>
  <c r="I44" i="85"/>
  <c r="B53" i="27"/>
  <c r="F53" i="27"/>
  <c r="H53" i="27" s="1"/>
  <c r="I43" i="81"/>
  <c r="F51" i="22"/>
  <c r="H51" i="22" s="1"/>
  <c r="B51" i="22"/>
  <c r="B42" i="96"/>
  <c r="F42" i="96"/>
  <c r="H42" i="96" s="1"/>
  <c r="I52" i="27"/>
  <c r="F47" i="60"/>
  <c r="H47" i="60" s="1"/>
  <c r="B47" i="60"/>
  <c r="H52" i="30"/>
  <c r="I52" i="30" s="1"/>
  <c r="E53" i="30"/>
  <c r="D53" i="30"/>
  <c r="B47" i="63"/>
  <c r="F47" i="63"/>
  <c r="H47" i="63" s="1"/>
  <c r="B48" i="57"/>
  <c r="F48" i="57"/>
  <c r="G48" i="57" s="1"/>
  <c r="B43" i="92"/>
  <c r="F43" i="92"/>
  <c r="G43" i="92" s="1"/>
  <c r="D53" i="34"/>
  <c r="E53" i="34"/>
  <c r="H52" i="34"/>
  <c r="G52" i="34"/>
  <c r="H50" i="20"/>
  <c r="I50" i="20" s="1"/>
  <c r="D48" i="56"/>
  <c r="E48" i="56"/>
  <c r="G52" i="71"/>
  <c r="D53" i="71"/>
  <c r="E53" i="71"/>
  <c r="B45" i="77"/>
  <c r="F45" i="77"/>
  <c r="H45" i="77" s="1"/>
  <c r="G49" i="45"/>
  <c r="E50" i="45"/>
  <c r="D50" i="45"/>
  <c r="G53" i="69"/>
  <c r="I53" i="69" s="1"/>
  <c r="D54" i="69"/>
  <c r="E54" i="69"/>
  <c r="F51" i="43"/>
  <c r="H51" i="43" s="1"/>
  <c r="B51" i="43"/>
  <c r="B51" i="21"/>
  <c r="F51" i="21"/>
  <c r="H51" i="21" s="1"/>
  <c r="G47" i="56"/>
  <c r="I47" i="56" s="1"/>
  <c r="H49" i="45"/>
  <c r="I42" i="89"/>
  <c r="E44" i="83"/>
  <c r="D44" i="83"/>
  <c r="E47" i="68"/>
  <c r="D47" i="68"/>
  <c r="G51" i="19"/>
  <c r="I51" i="19" s="1"/>
  <c r="E52" i="19"/>
  <c r="D52" i="19"/>
  <c r="F50" i="73"/>
  <c r="B50" i="73"/>
  <c r="D55" i="28"/>
  <c r="E55" i="28"/>
  <c r="D48" i="64"/>
  <c r="E48" i="64"/>
  <c r="F51" i="17"/>
  <c r="H51" i="17" s="1"/>
  <c r="B51" i="17"/>
  <c r="C60" i="17"/>
  <c r="D54" i="31"/>
  <c r="E54" i="31"/>
  <c r="E45" i="88"/>
  <c r="D45" i="88"/>
  <c r="F53" i="70"/>
  <c r="H53" i="70" s="1"/>
  <c r="B53" i="70"/>
  <c r="B48" i="54"/>
  <c r="F48" i="54"/>
  <c r="H48" i="54" s="1"/>
  <c r="F52" i="32"/>
  <c r="G52" i="32" s="1"/>
  <c r="B52" i="32"/>
  <c r="F53" i="29"/>
  <c r="H53" i="29" s="1"/>
  <c r="B53" i="29"/>
  <c r="F45" i="78"/>
  <c r="G45" i="78" s="1"/>
  <c r="B45" i="78"/>
  <c r="I52" i="71"/>
  <c r="B45" i="79"/>
  <c r="F45" i="79"/>
  <c r="G45" i="79" s="1"/>
  <c r="G43" i="83"/>
  <c r="I43" i="83" s="1"/>
  <c r="E52" i="3"/>
  <c r="D52" i="3"/>
  <c r="F51" i="41"/>
  <c r="H51" i="41" s="1"/>
  <c r="B51" i="41"/>
  <c r="G46" i="68"/>
  <c r="I46" i="68" s="1"/>
  <c r="G54" i="28"/>
  <c r="I54" i="28" s="1"/>
  <c r="H47" i="64"/>
  <c r="I47" i="64" s="1"/>
  <c r="H44" i="88"/>
  <c r="I44" i="88" s="1"/>
  <c r="F50" i="74"/>
  <c r="G50" i="74" s="1"/>
  <c r="B50" i="74"/>
  <c r="F43" i="89"/>
  <c r="G43" i="89" s="1"/>
  <c r="B43" i="89"/>
  <c r="J122" i="91"/>
  <c r="J130" i="22"/>
  <c r="D45" i="33"/>
  <c r="G44" i="33"/>
  <c r="H44" i="33"/>
  <c r="E51" i="20"/>
  <c r="D51" i="20"/>
  <c r="H69" i="35"/>
  <c r="G69" i="35"/>
  <c r="B70" i="35"/>
  <c r="E70" i="35"/>
  <c r="F70" i="35" s="1"/>
  <c r="E44" i="87"/>
  <c r="D44" i="87"/>
  <c r="J126" i="62"/>
  <c r="D43" i="13"/>
  <c r="E43" i="13" s="1"/>
  <c r="I68" i="35"/>
  <c r="E47" i="62"/>
  <c r="D47" i="62"/>
  <c r="H43" i="87"/>
  <c r="I43" i="87" s="1"/>
  <c r="D44" i="26"/>
  <c r="E44" i="26" s="1"/>
  <c r="J128" i="45"/>
  <c r="B47" i="59"/>
  <c r="F47" i="59"/>
  <c r="H47" i="59" s="1"/>
  <c r="G43" i="26"/>
  <c r="I43" i="26" s="1"/>
  <c r="B52" i="18"/>
  <c r="F52" i="18"/>
  <c r="H52" i="18" s="1"/>
  <c r="H132" i="69"/>
  <c r="I132" i="69"/>
  <c r="F130" i="43"/>
  <c r="B130" i="43"/>
  <c r="B125" i="79"/>
  <c r="F125" i="79"/>
  <c r="G124" i="81"/>
  <c r="D125" i="81"/>
  <c r="E125" i="81"/>
  <c r="B127" i="64"/>
  <c r="F127" i="64"/>
  <c r="B133" i="30"/>
  <c r="F133" i="30"/>
  <c r="H125" i="68"/>
  <c r="I125" i="68"/>
  <c r="F123" i="90"/>
  <c r="B123" i="90"/>
  <c r="B124" i="85"/>
  <c r="F124" i="85"/>
  <c r="I127" i="72"/>
  <c r="H127" i="72"/>
  <c r="I126" i="61"/>
  <c r="H126" i="61"/>
  <c r="B125" i="78"/>
  <c r="F125" i="78"/>
  <c r="B128" i="53"/>
  <c r="F128" i="53"/>
  <c r="I125" i="66"/>
  <c r="H125" i="66"/>
  <c r="B133" i="29"/>
  <c r="F133" i="29"/>
  <c r="B129" i="74"/>
  <c r="F129" i="74"/>
  <c r="H132" i="70"/>
  <c r="I132" i="70"/>
  <c r="H130" i="19"/>
  <c r="I130" i="19"/>
  <c r="B123" i="86"/>
  <c r="F123" i="86"/>
  <c r="I131" i="31"/>
  <c r="H131" i="31"/>
  <c r="B128" i="58"/>
  <c r="F128" i="58"/>
  <c r="J130" i="21"/>
  <c r="J123" i="83"/>
  <c r="J128" i="56"/>
  <c r="H124" i="79"/>
  <c r="I124" i="79"/>
  <c r="H131" i="32"/>
  <c r="I131" i="32"/>
  <c r="B133" i="27"/>
  <c r="F133" i="27"/>
  <c r="H130" i="34"/>
  <c r="I130" i="34"/>
  <c r="B126" i="68"/>
  <c r="F126" i="68"/>
  <c r="D124" i="89"/>
  <c r="G123" i="89"/>
  <c r="E124" i="89"/>
  <c r="G130" i="73"/>
  <c r="E131" i="73"/>
  <c r="D131" i="73"/>
  <c r="B127" i="60"/>
  <c r="F127" i="60"/>
  <c r="H132" i="29"/>
  <c r="I132" i="29"/>
  <c r="I126" i="65"/>
  <c r="H126" i="65"/>
  <c r="I128" i="74"/>
  <c r="H128" i="74"/>
  <c r="J123" i="81"/>
  <c r="I126" i="63"/>
  <c r="H126" i="63"/>
  <c r="E124" i="91"/>
  <c r="D124" i="91"/>
  <c r="G123" i="91"/>
  <c r="B123" i="84"/>
  <c r="F123" i="84"/>
  <c r="I132" i="27"/>
  <c r="H132" i="27"/>
  <c r="H132" i="30"/>
  <c r="I132" i="30"/>
  <c r="F131" i="34"/>
  <c r="B131" i="34"/>
  <c r="H122" i="88"/>
  <c r="I122" i="88"/>
  <c r="E128" i="62"/>
  <c r="D128" i="62"/>
  <c r="G127" i="62"/>
  <c r="I123" i="85"/>
  <c r="H123" i="85"/>
  <c r="G130" i="41"/>
  <c r="D131" i="41"/>
  <c r="E131" i="41"/>
  <c r="B127" i="61"/>
  <c r="F127" i="61"/>
  <c r="B131" i="20"/>
  <c r="F131" i="20"/>
  <c r="B128" i="46"/>
  <c r="F128" i="46"/>
  <c r="H127" i="53"/>
  <c r="I127" i="53"/>
  <c r="E130" i="45"/>
  <c r="D130" i="45"/>
  <c r="G129" i="45"/>
  <c r="F126" i="66"/>
  <c r="B126" i="66"/>
  <c r="F127" i="65"/>
  <c r="B127" i="65"/>
  <c r="B133" i="70"/>
  <c r="F133" i="70"/>
  <c r="I129" i="39"/>
  <c r="H129" i="39"/>
  <c r="B131" i="19"/>
  <c r="F131" i="19"/>
  <c r="G131" i="22"/>
  <c r="D132" i="22"/>
  <c r="E132" i="22"/>
  <c r="F132" i="31"/>
  <c r="B132" i="31"/>
  <c r="I127" i="58"/>
  <c r="H127" i="58"/>
  <c r="B123" i="92"/>
  <c r="F123" i="92"/>
  <c r="B133" i="69"/>
  <c r="F133" i="69"/>
  <c r="I129" i="43"/>
  <c r="H129" i="43"/>
  <c r="J122" i="89"/>
  <c r="H122" i="84"/>
  <c r="I122" i="84"/>
  <c r="F132" i="32"/>
  <c r="B132" i="32"/>
  <c r="I126" i="64"/>
  <c r="H126" i="64"/>
  <c r="F123" i="88"/>
  <c r="B123" i="88"/>
  <c r="I122" i="90"/>
  <c r="H122" i="90"/>
  <c r="B128" i="72"/>
  <c r="F128" i="72"/>
  <c r="H124" i="78"/>
  <c r="I124" i="78"/>
  <c r="H130" i="20"/>
  <c r="I130" i="20"/>
  <c r="I127" i="46"/>
  <c r="H127" i="46"/>
  <c r="J129" i="41"/>
  <c r="H126" i="60"/>
  <c r="I126" i="60"/>
  <c r="B130" i="39"/>
  <c r="F130" i="39"/>
  <c r="I122" i="86"/>
  <c r="H122" i="86"/>
  <c r="B127" i="63"/>
  <c r="F127" i="63"/>
  <c r="J129" i="73"/>
  <c r="H122" i="92"/>
  <c r="I122" i="92"/>
  <c r="B132" i="18"/>
  <c r="F132" i="18"/>
  <c r="I132" i="23"/>
  <c r="H132" i="23"/>
  <c r="I127" i="59"/>
  <c r="H127" i="59"/>
  <c r="J127" i="55"/>
  <c r="I131" i="18"/>
  <c r="H131" i="18"/>
  <c r="B133" i="23"/>
  <c r="F133" i="23"/>
  <c r="D130" i="56"/>
  <c r="G129" i="56"/>
  <c r="E130" i="56"/>
  <c r="F128" i="59"/>
  <c r="B128" i="59"/>
  <c r="F129" i="57"/>
  <c r="B129" i="57"/>
  <c r="J129" i="42"/>
  <c r="J121" i="13"/>
  <c r="J150" i="35"/>
  <c r="B133" i="71"/>
  <c r="F133" i="71"/>
  <c r="H128" i="57"/>
  <c r="I128" i="57"/>
  <c r="I132" i="71"/>
  <c r="H132" i="71"/>
  <c r="G123" i="93"/>
  <c r="D124" i="93"/>
  <c r="E124" i="93" s="1"/>
  <c r="B124" i="94"/>
  <c r="J124" i="77"/>
  <c r="H130" i="3"/>
  <c r="I130" i="3"/>
  <c r="B124" i="95"/>
  <c r="F124" i="95"/>
  <c r="G152" i="35"/>
  <c r="B153" i="35"/>
  <c r="E153" i="35"/>
  <c r="F153" i="35" s="1"/>
  <c r="I133" i="28"/>
  <c r="H133" i="28"/>
  <c r="H131" i="17"/>
  <c r="I131" i="17"/>
  <c r="E126" i="75"/>
  <c r="D126" i="75"/>
  <c r="G125" i="75"/>
  <c r="E129" i="54"/>
  <c r="G128" i="54"/>
  <c r="D129" i="54"/>
  <c r="B123" i="96"/>
  <c r="H122" i="87"/>
  <c r="I122" i="87"/>
  <c r="I123" i="94"/>
  <c r="H123" i="94"/>
  <c r="I123" i="82"/>
  <c r="H123" i="82"/>
  <c r="F131" i="3"/>
  <c r="B131" i="3"/>
  <c r="B134" i="28"/>
  <c r="F134" i="28"/>
  <c r="G131" i="21"/>
  <c r="D132" i="21"/>
  <c r="E132" i="21"/>
  <c r="I125" i="67"/>
  <c r="H125" i="67"/>
  <c r="D124" i="25"/>
  <c r="E124" i="25" s="1"/>
  <c r="G123" i="25"/>
  <c r="J127" i="54"/>
  <c r="J131" i="24"/>
  <c r="D131" i="42"/>
  <c r="G130" i="42"/>
  <c r="E131" i="42"/>
  <c r="H122" i="96"/>
  <c r="I122" i="96"/>
  <c r="B123" i="87"/>
  <c r="F123" i="87"/>
  <c r="E125" i="80"/>
  <c r="G124" i="80"/>
  <c r="D125" i="80"/>
  <c r="G122" i="33"/>
  <c r="D123" i="33"/>
  <c r="E123" i="33" s="1"/>
  <c r="D126" i="76"/>
  <c r="E126" i="76"/>
  <c r="G125" i="76"/>
  <c r="F124" i="82"/>
  <c r="B124" i="82"/>
  <c r="D129" i="55"/>
  <c r="E129" i="55"/>
  <c r="G128" i="55"/>
  <c r="J124" i="75"/>
  <c r="E125" i="83"/>
  <c r="D125" i="83"/>
  <c r="G124" i="83"/>
  <c r="H123" i="95"/>
  <c r="I123" i="95"/>
  <c r="I151" i="35"/>
  <c r="H151" i="35"/>
  <c r="D133" i="24"/>
  <c r="G132" i="24"/>
  <c r="E133" i="24"/>
  <c r="B126" i="67"/>
  <c r="F126" i="67"/>
  <c r="B132" i="17"/>
  <c r="F132" i="17"/>
  <c r="E123" i="96"/>
  <c r="F123" i="96" s="1"/>
  <c r="F130" i="44"/>
  <c r="B130" i="44"/>
  <c r="E124" i="94"/>
  <c r="F124" i="94" s="1"/>
  <c r="J122" i="93"/>
  <c r="J122" i="25"/>
  <c r="D126" i="77"/>
  <c r="E126" i="77"/>
  <c r="G125" i="77"/>
  <c r="J123" i="80"/>
  <c r="J124" i="76"/>
  <c r="J121" i="33"/>
  <c r="D123" i="13"/>
  <c r="E123" i="13" s="1"/>
  <c r="G122" i="13"/>
  <c r="H129" i="44"/>
  <c r="I129" i="44"/>
  <c r="H52" i="24" l="1"/>
  <c r="D44" i="98"/>
  <c r="E44" i="98"/>
  <c r="D49" i="99"/>
  <c r="E49" i="99"/>
  <c r="H43" i="98"/>
  <c r="H48" i="99"/>
  <c r="G43" i="98"/>
  <c r="G48" i="99"/>
  <c r="I43" i="25"/>
  <c r="E54" i="97"/>
  <c r="F54" i="97"/>
  <c r="D55" i="97" s="1"/>
  <c r="B54" i="97"/>
  <c r="H122" i="99"/>
  <c r="I122" i="99"/>
  <c r="J122" i="99" s="1"/>
  <c r="B123" i="99"/>
  <c r="F123" i="99"/>
  <c r="J122" i="98"/>
  <c r="G53" i="70"/>
  <c r="H47" i="67"/>
  <c r="I47" i="67" s="1"/>
  <c r="I52" i="24"/>
  <c r="J122" i="97"/>
  <c r="G123" i="97"/>
  <c r="D124" i="97"/>
  <c r="E124" i="97"/>
  <c r="H123" i="26"/>
  <c r="I123" i="26"/>
  <c r="G123" i="98"/>
  <c r="D124" i="98"/>
  <c r="E124" i="98"/>
  <c r="E124" i="26"/>
  <c r="F124" i="26" s="1"/>
  <c r="E48" i="67"/>
  <c r="D48" i="67"/>
  <c r="G47" i="59"/>
  <c r="H48" i="46"/>
  <c r="D49" i="46"/>
  <c r="E49" i="46"/>
  <c r="G48" i="46"/>
  <c r="D53" i="24"/>
  <c r="E53" i="24"/>
  <c r="D43" i="93"/>
  <c r="E43" i="93"/>
  <c r="H45" i="80"/>
  <c r="D46" i="80"/>
  <c r="E46" i="80"/>
  <c r="F46" i="82"/>
  <c r="H46" i="82" s="1"/>
  <c r="B46" i="82"/>
  <c r="G42" i="93"/>
  <c r="I42" i="93" s="1"/>
  <c r="G45" i="80"/>
  <c r="B44" i="25"/>
  <c r="E44" i="25"/>
  <c r="F44" i="25" s="1"/>
  <c r="H48" i="53"/>
  <c r="I48" i="53" s="1"/>
  <c r="B45" i="86"/>
  <c r="F45" i="86"/>
  <c r="G45" i="86" s="1"/>
  <c r="G43" i="94"/>
  <c r="I43" i="94" s="1"/>
  <c r="E44" i="94"/>
  <c r="D44" i="94"/>
  <c r="H53" i="23"/>
  <c r="E54" i="23"/>
  <c r="D54" i="23"/>
  <c r="G53" i="23"/>
  <c r="F51" i="42"/>
  <c r="B51" i="42"/>
  <c r="I69" i="35"/>
  <c r="G51" i="22"/>
  <c r="I51" i="22" s="1"/>
  <c r="F47" i="65"/>
  <c r="H47" i="65" s="1"/>
  <c r="B47" i="65"/>
  <c r="H44" i="91"/>
  <c r="I44" i="91" s="1"/>
  <c r="D45" i="91"/>
  <c r="E45" i="91"/>
  <c r="H44" i="84"/>
  <c r="I44" i="84" s="1"/>
  <c r="E45" i="84"/>
  <c r="D45" i="84"/>
  <c r="H47" i="66"/>
  <c r="E48" i="66"/>
  <c r="D48" i="66"/>
  <c r="I47" i="59"/>
  <c r="G51" i="41"/>
  <c r="I51" i="41" s="1"/>
  <c r="H45" i="78"/>
  <c r="I45" i="78" s="1"/>
  <c r="E49" i="53"/>
  <c r="D49" i="53"/>
  <c r="B50" i="58"/>
  <c r="F50" i="58"/>
  <c r="H50" i="58" s="1"/>
  <c r="F46" i="75"/>
  <c r="H46" i="75" s="1"/>
  <c r="B46" i="75"/>
  <c r="B50" i="55"/>
  <c r="F50" i="55"/>
  <c r="H50" i="55" s="1"/>
  <c r="G45" i="90"/>
  <c r="I45" i="90" s="1"/>
  <c r="D46" i="90"/>
  <c r="E46" i="90"/>
  <c r="G53" i="27"/>
  <c r="I53" i="27" s="1"/>
  <c r="G47" i="66"/>
  <c r="G48" i="54"/>
  <c r="I48" i="54" s="1"/>
  <c r="H43" i="92"/>
  <c r="I43" i="92" s="1"/>
  <c r="B51" i="39"/>
  <c r="F51" i="39"/>
  <c r="G51" i="39" s="1"/>
  <c r="G45" i="76"/>
  <c r="E46" i="76"/>
  <c r="D46" i="76"/>
  <c r="D54" i="27"/>
  <c r="E54" i="27"/>
  <c r="F49" i="72"/>
  <c r="B49" i="72"/>
  <c r="G50" i="44"/>
  <c r="I50" i="44" s="1"/>
  <c r="D51" i="44"/>
  <c r="E51" i="44"/>
  <c r="B43" i="95"/>
  <c r="F43" i="95"/>
  <c r="H43" i="95" s="1"/>
  <c r="E48" i="61"/>
  <c r="D48" i="61"/>
  <c r="B45" i="85"/>
  <c r="F45" i="85"/>
  <c r="G42" i="96"/>
  <c r="I42" i="96" s="1"/>
  <c r="D43" i="96"/>
  <c r="E43" i="96"/>
  <c r="E52" i="22"/>
  <c r="D52" i="22"/>
  <c r="G44" i="81"/>
  <c r="I44" i="81" s="1"/>
  <c r="D45" i="81"/>
  <c r="E45" i="81"/>
  <c r="H45" i="76"/>
  <c r="H47" i="61"/>
  <c r="I47" i="61" s="1"/>
  <c r="I53" i="70"/>
  <c r="I49" i="45"/>
  <c r="G52" i="18"/>
  <c r="I52" i="18" s="1"/>
  <c r="D44" i="89"/>
  <c r="E44" i="89"/>
  <c r="D46" i="79"/>
  <c r="E46" i="79"/>
  <c r="F45" i="88"/>
  <c r="H45" i="88" s="1"/>
  <c r="B45" i="88"/>
  <c r="E52" i="17"/>
  <c r="D52" i="17"/>
  <c r="B55" i="28"/>
  <c r="F55" i="28"/>
  <c r="H55" i="28" s="1"/>
  <c r="B44" i="83"/>
  <c r="F44" i="83"/>
  <c r="H44" i="83" s="1"/>
  <c r="F54" i="69"/>
  <c r="H54" i="69" s="1"/>
  <c r="B54" i="69"/>
  <c r="B48" i="56"/>
  <c r="F48" i="56"/>
  <c r="H48" i="56" s="1"/>
  <c r="B53" i="30"/>
  <c r="F53" i="30"/>
  <c r="H53" i="30" s="1"/>
  <c r="I44" i="33"/>
  <c r="H43" i="89"/>
  <c r="I43" i="89" s="1"/>
  <c r="E52" i="41"/>
  <c r="D52" i="41"/>
  <c r="B52" i="3"/>
  <c r="F52" i="3"/>
  <c r="H52" i="3" s="1"/>
  <c r="H45" i="79"/>
  <c r="I45" i="79" s="1"/>
  <c r="H52" i="32"/>
  <c r="I52" i="32" s="1"/>
  <c r="D53" i="32"/>
  <c r="E53" i="32"/>
  <c r="D54" i="70"/>
  <c r="E54" i="70"/>
  <c r="D52" i="21"/>
  <c r="E52" i="21"/>
  <c r="F53" i="71"/>
  <c r="H53" i="71" s="1"/>
  <c r="B53" i="71"/>
  <c r="I52" i="34"/>
  <c r="E49" i="57"/>
  <c r="D49" i="57"/>
  <c r="D48" i="63"/>
  <c r="E48" i="63"/>
  <c r="G53" i="29"/>
  <c r="I53" i="29" s="1"/>
  <c r="E54" i="29"/>
  <c r="D54" i="29"/>
  <c r="G51" i="17"/>
  <c r="I51" i="17" s="1"/>
  <c r="B48" i="64"/>
  <c r="F48" i="64"/>
  <c r="H48" i="64" s="1"/>
  <c r="E51" i="73"/>
  <c r="H50" i="73"/>
  <c r="D51" i="73"/>
  <c r="G50" i="73"/>
  <c r="F47" i="68"/>
  <c r="H47" i="68" s="1"/>
  <c r="B47" i="68"/>
  <c r="E52" i="43"/>
  <c r="D52" i="43"/>
  <c r="F50" i="45"/>
  <c r="G50" i="45" s="1"/>
  <c r="B50" i="45"/>
  <c r="G45" i="77"/>
  <c r="I45" i="77" s="1"/>
  <c r="E46" i="77"/>
  <c r="D46" i="77"/>
  <c r="D44" i="92"/>
  <c r="E44" i="92"/>
  <c r="G47" i="63"/>
  <c r="I47" i="63" s="1"/>
  <c r="E48" i="60"/>
  <c r="D48" i="60"/>
  <c r="H50" i="74"/>
  <c r="I50" i="74" s="1"/>
  <c r="E51" i="74"/>
  <c r="D51" i="74"/>
  <c r="E46" i="78"/>
  <c r="D46" i="78"/>
  <c r="D49" i="54"/>
  <c r="E49" i="54"/>
  <c r="F54" i="31"/>
  <c r="H54" i="31" s="1"/>
  <c r="B54" i="31"/>
  <c r="B52" i="19"/>
  <c r="F52" i="19"/>
  <c r="G52" i="19" s="1"/>
  <c r="G51" i="21"/>
  <c r="I51" i="21" s="1"/>
  <c r="G51" i="43"/>
  <c r="I51" i="43" s="1"/>
  <c r="B53" i="34"/>
  <c r="F53" i="34"/>
  <c r="H53" i="34" s="1"/>
  <c r="H48" i="57"/>
  <c r="I48" i="57" s="1"/>
  <c r="G47" i="60"/>
  <c r="I47" i="60" s="1"/>
  <c r="J124" i="79"/>
  <c r="J130" i="20"/>
  <c r="J122" i="96"/>
  <c r="J132" i="23"/>
  <c r="B45" i="33"/>
  <c r="J126" i="60"/>
  <c r="J127" i="46"/>
  <c r="J122" i="90"/>
  <c r="J126" i="64"/>
  <c r="J127" i="53"/>
  <c r="J123" i="85"/>
  <c r="J122" i="88"/>
  <c r="J132" i="30"/>
  <c r="J132" i="29"/>
  <c r="J130" i="34"/>
  <c r="J131" i="32"/>
  <c r="J126" i="61"/>
  <c r="J132" i="69"/>
  <c r="D48" i="59"/>
  <c r="E48" i="59"/>
  <c r="H70" i="35"/>
  <c r="E71" i="35"/>
  <c r="F71" i="35" s="1"/>
  <c r="G70" i="35"/>
  <c r="B71" i="35"/>
  <c r="E45" i="33"/>
  <c r="F45" i="33" s="1"/>
  <c r="J129" i="39"/>
  <c r="J126" i="63"/>
  <c r="J131" i="31"/>
  <c r="J125" i="66"/>
  <c r="J127" i="72"/>
  <c r="D53" i="18"/>
  <c r="E53" i="18"/>
  <c r="B44" i="26"/>
  <c r="F44" i="26"/>
  <c r="H44" i="26" s="1"/>
  <c r="F47" i="62"/>
  <c r="H47" i="62" s="1"/>
  <c r="B47" i="62"/>
  <c r="F43" i="13"/>
  <c r="G43" i="13" s="1"/>
  <c r="B43" i="13"/>
  <c r="B44" i="87"/>
  <c r="F44" i="87"/>
  <c r="H44" i="87" s="1"/>
  <c r="F51" i="20"/>
  <c r="H51" i="20" s="1"/>
  <c r="B51" i="20"/>
  <c r="J123" i="82"/>
  <c r="J122" i="87"/>
  <c r="D128" i="63"/>
  <c r="E128" i="63"/>
  <c r="G127" i="63"/>
  <c r="E131" i="39"/>
  <c r="G130" i="39"/>
  <c r="D131" i="39"/>
  <c r="G123" i="88"/>
  <c r="D124" i="88"/>
  <c r="E124" i="88"/>
  <c r="G132" i="32"/>
  <c r="D133" i="32"/>
  <c r="E133" i="32"/>
  <c r="D124" i="92"/>
  <c r="E124" i="92"/>
  <c r="G123" i="92"/>
  <c r="H131" i="22"/>
  <c r="I131" i="22"/>
  <c r="E128" i="65"/>
  <c r="G127" i="65"/>
  <c r="D128" i="65"/>
  <c r="F130" i="45"/>
  <c r="B130" i="45"/>
  <c r="G128" i="46"/>
  <c r="E129" i="46"/>
  <c r="D129" i="46"/>
  <c r="E128" i="61"/>
  <c r="G127" i="61"/>
  <c r="D128" i="61"/>
  <c r="I130" i="41"/>
  <c r="H130" i="41"/>
  <c r="F128" i="62"/>
  <c r="B128" i="62"/>
  <c r="H123" i="91"/>
  <c r="I123" i="91"/>
  <c r="D128" i="60"/>
  <c r="G127" i="60"/>
  <c r="E128" i="60"/>
  <c r="H130" i="73"/>
  <c r="I130" i="73"/>
  <c r="E127" i="68"/>
  <c r="G126" i="68"/>
  <c r="D127" i="68"/>
  <c r="E134" i="27"/>
  <c r="D134" i="27"/>
  <c r="G133" i="27"/>
  <c r="G123" i="90"/>
  <c r="E124" i="90"/>
  <c r="D124" i="90"/>
  <c r="F125" i="81"/>
  <c r="B125" i="81"/>
  <c r="J122" i="92"/>
  <c r="J124" i="78"/>
  <c r="J122" i="84"/>
  <c r="J129" i="43"/>
  <c r="D133" i="31"/>
  <c r="G132" i="31"/>
  <c r="E133" i="31"/>
  <c r="G131" i="19"/>
  <c r="D132" i="19"/>
  <c r="E132" i="19"/>
  <c r="E134" i="70"/>
  <c r="G133" i="70"/>
  <c r="D134" i="70"/>
  <c r="G131" i="34"/>
  <c r="E132" i="34"/>
  <c r="D132" i="34"/>
  <c r="J132" i="27"/>
  <c r="F124" i="91"/>
  <c r="B124" i="91"/>
  <c r="J126" i="65"/>
  <c r="E129" i="58"/>
  <c r="G128" i="58"/>
  <c r="D129" i="58"/>
  <c r="G123" i="86"/>
  <c r="D124" i="86"/>
  <c r="E124" i="86"/>
  <c r="J132" i="70"/>
  <c r="E134" i="29"/>
  <c r="D134" i="29"/>
  <c r="G133" i="29"/>
  <c r="D129" i="53"/>
  <c r="G128" i="53"/>
  <c r="E129" i="53"/>
  <c r="E125" i="85"/>
  <c r="D125" i="85"/>
  <c r="G124" i="85"/>
  <c r="J125" i="68"/>
  <c r="D128" i="64"/>
  <c r="E128" i="64"/>
  <c r="G127" i="64"/>
  <c r="I124" i="81"/>
  <c r="H124" i="81"/>
  <c r="D131" i="43"/>
  <c r="G130" i="43"/>
  <c r="E131" i="43"/>
  <c r="D134" i="69"/>
  <c r="E134" i="69"/>
  <c r="G133" i="69"/>
  <c r="D127" i="66"/>
  <c r="E127" i="66"/>
  <c r="G126" i="66"/>
  <c r="D132" i="20"/>
  <c r="E132" i="20"/>
  <c r="G131" i="20"/>
  <c r="E124" i="84"/>
  <c r="G123" i="84"/>
  <c r="D124" i="84"/>
  <c r="F131" i="73"/>
  <c r="B131" i="73"/>
  <c r="H123" i="89"/>
  <c r="I123" i="89"/>
  <c r="D126" i="79"/>
  <c r="G125" i="79"/>
  <c r="E126" i="79"/>
  <c r="J122" i="86"/>
  <c r="E129" i="72"/>
  <c r="D129" i="72"/>
  <c r="G128" i="72"/>
  <c r="J127" i="58"/>
  <c r="B132" i="22"/>
  <c r="F132" i="22"/>
  <c r="I129" i="45"/>
  <c r="H129" i="45"/>
  <c r="B131" i="41"/>
  <c r="F131" i="41"/>
  <c r="H127" i="62"/>
  <c r="I127" i="62"/>
  <c r="J128" i="74"/>
  <c r="F124" i="89"/>
  <c r="B124" i="89"/>
  <c r="J130" i="19"/>
  <c r="E130" i="74"/>
  <c r="G129" i="74"/>
  <c r="D130" i="74"/>
  <c r="E126" i="78"/>
  <c r="D126" i="78"/>
  <c r="G125" i="78"/>
  <c r="D134" i="30"/>
  <c r="E134" i="30"/>
  <c r="G133" i="30"/>
  <c r="J133" i="28"/>
  <c r="E129" i="59"/>
  <c r="D129" i="59"/>
  <c r="G128" i="59"/>
  <c r="J127" i="59"/>
  <c r="H129" i="56"/>
  <c r="I129" i="56"/>
  <c r="J132" i="71"/>
  <c r="B130" i="56"/>
  <c r="F130" i="56"/>
  <c r="J131" i="18"/>
  <c r="E133" i="18"/>
  <c r="G132" i="18"/>
  <c r="D133" i="18"/>
  <c r="D134" i="23"/>
  <c r="G133" i="23"/>
  <c r="E134" i="23"/>
  <c r="J130" i="3"/>
  <c r="D134" i="71"/>
  <c r="G133" i="71"/>
  <c r="E134" i="71"/>
  <c r="J128" i="57"/>
  <c r="J123" i="95"/>
  <c r="E130" i="57"/>
  <c r="D130" i="57"/>
  <c r="G129" i="57"/>
  <c r="D125" i="94"/>
  <c r="E125" i="94" s="1"/>
  <c r="G124" i="94"/>
  <c r="G123" i="96"/>
  <c r="D124" i="96"/>
  <c r="E124" i="96" s="1"/>
  <c r="J129" i="44"/>
  <c r="H122" i="13"/>
  <c r="I122" i="13"/>
  <c r="B126" i="77"/>
  <c r="F126" i="77"/>
  <c r="D127" i="67"/>
  <c r="G126" i="67"/>
  <c r="E127" i="67"/>
  <c r="B133" i="24"/>
  <c r="F133" i="24"/>
  <c r="I124" i="83"/>
  <c r="H124" i="83"/>
  <c r="F129" i="55"/>
  <c r="B129" i="55"/>
  <c r="I130" i="42"/>
  <c r="H130" i="42"/>
  <c r="I128" i="54"/>
  <c r="H128" i="54"/>
  <c r="F126" i="75"/>
  <c r="B126" i="75"/>
  <c r="J131" i="17"/>
  <c r="I152" i="35"/>
  <c r="H152" i="35"/>
  <c r="D125" i="95"/>
  <c r="E125" i="95" s="1"/>
  <c r="G124" i="95"/>
  <c r="B125" i="83"/>
  <c r="F125" i="83"/>
  <c r="F126" i="76"/>
  <c r="B126" i="76"/>
  <c r="F123" i="33"/>
  <c r="B123" i="33"/>
  <c r="F131" i="42"/>
  <c r="B131" i="42"/>
  <c r="F123" i="13"/>
  <c r="B123" i="13"/>
  <c r="H125" i="77"/>
  <c r="I125" i="77"/>
  <c r="D131" i="44"/>
  <c r="G130" i="44"/>
  <c r="E131" i="44"/>
  <c r="J151" i="35"/>
  <c r="I128" i="55"/>
  <c r="H128" i="55"/>
  <c r="D125" i="82"/>
  <c r="G124" i="82"/>
  <c r="E125" i="82"/>
  <c r="H122" i="33"/>
  <c r="I122" i="33"/>
  <c r="B125" i="80"/>
  <c r="F125" i="80"/>
  <c r="I123" i="25"/>
  <c r="H123" i="25"/>
  <c r="F132" i="21"/>
  <c r="B132" i="21"/>
  <c r="D135" i="28"/>
  <c r="G134" i="28"/>
  <c r="E135" i="28"/>
  <c r="G153" i="35"/>
  <c r="B154" i="35"/>
  <c r="E154" i="35"/>
  <c r="F154" i="35" s="1"/>
  <c r="G154" i="35" s="1"/>
  <c r="F124" i="93"/>
  <c r="B124" i="93"/>
  <c r="G132" i="17"/>
  <c r="D133" i="17"/>
  <c r="E133" i="17"/>
  <c r="I132" i="24"/>
  <c r="H132" i="24"/>
  <c r="H125" i="76"/>
  <c r="I125" i="76"/>
  <c r="I124" i="80"/>
  <c r="H124" i="80"/>
  <c r="D124" i="87"/>
  <c r="G123" i="87"/>
  <c r="E124" i="87"/>
  <c r="F124" i="25"/>
  <c r="B124" i="25"/>
  <c r="J125" i="67"/>
  <c r="H131" i="21"/>
  <c r="I131" i="21"/>
  <c r="G131" i="3"/>
  <c r="D132" i="3"/>
  <c r="E132" i="3"/>
  <c r="J123" i="94"/>
  <c r="B129" i="54"/>
  <c r="F129" i="54"/>
  <c r="I125" i="75"/>
  <c r="H125" i="75"/>
  <c r="I123" i="93"/>
  <c r="H123" i="93"/>
  <c r="E55" i="97" l="1"/>
  <c r="F55" i="97" s="1"/>
  <c r="B55" i="97"/>
  <c r="F49" i="99"/>
  <c r="G49" i="99" s="1"/>
  <c r="B49" i="99"/>
  <c r="G44" i="26"/>
  <c r="I44" i="26" s="1"/>
  <c r="H54" i="97"/>
  <c r="I48" i="99"/>
  <c r="G54" i="97"/>
  <c r="I43" i="98"/>
  <c r="B44" i="98"/>
  <c r="F44" i="98"/>
  <c r="D124" i="99"/>
  <c r="G123" i="99"/>
  <c r="E124" i="99"/>
  <c r="I47" i="66"/>
  <c r="G50" i="58"/>
  <c r="J123" i="26"/>
  <c r="B124" i="98"/>
  <c r="F124" i="98"/>
  <c r="H123" i="98"/>
  <c r="I123" i="98"/>
  <c r="B124" i="97"/>
  <c r="F124" i="97"/>
  <c r="D125" i="26"/>
  <c r="G124" i="26"/>
  <c r="I123" i="97"/>
  <c r="H123" i="97"/>
  <c r="G46" i="82"/>
  <c r="I46" i="82" s="1"/>
  <c r="G46" i="75"/>
  <c r="I46" i="75" s="1"/>
  <c r="G54" i="69"/>
  <c r="I54" i="69" s="1"/>
  <c r="B48" i="67"/>
  <c r="F48" i="67"/>
  <c r="H48" i="67" s="1"/>
  <c r="G48" i="56"/>
  <c r="I48" i="56" s="1"/>
  <c r="G50" i="55"/>
  <c r="I50" i="55" s="1"/>
  <c r="F49" i="46"/>
  <c r="H49" i="46" s="1"/>
  <c r="B49" i="46"/>
  <c r="I48" i="46"/>
  <c r="H51" i="39"/>
  <c r="I51" i="39" s="1"/>
  <c r="G53" i="30"/>
  <c r="F53" i="24"/>
  <c r="G53" i="24" s="1"/>
  <c r="B53" i="24"/>
  <c r="B46" i="80"/>
  <c r="F46" i="80"/>
  <c r="G46" i="80" s="1"/>
  <c r="D45" i="25"/>
  <c r="H44" i="25"/>
  <c r="G44" i="25"/>
  <c r="I45" i="80"/>
  <c r="B44" i="94"/>
  <c r="F44" i="94"/>
  <c r="G44" i="94" s="1"/>
  <c r="H45" i="86"/>
  <c r="I45" i="86" s="1"/>
  <c r="D46" i="86"/>
  <c r="E46" i="86"/>
  <c r="D47" i="82"/>
  <c r="E47" i="82"/>
  <c r="G52" i="3"/>
  <c r="I52" i="3" s="1"/>
  <c r="F43" i="93"/>
  <c r="G43" i="93" s="1"/>
  <c r="B43" i="93"/>
  <c r="D52" i="42"/>
  <c r="E52" i="42"/>
  <c r="I50" i="58"/>
  <c r="B48" i="66"/>
  <c r="F48" i="66"/>
  <c r="H48" i="66" s="1"/>
  <c r="F45" i="84"/>
  <c r="H45" i="84" s="1"/>
  <c r="B45" i="84"/>
  <c r="B45" i="91"/>
  <c r="F45" i="91"/>
  <c r="D48" i="65"/>
  <c r="E48" i="65"/>
  <c r="G51" i="42"/>
  <c r="I53" i="23"/>
  <c r="B49" i="53"/>
  <c r="F49" i="53"/>
  <c r="H49" i="53" s="1"/>
  <c r="G47" i="62"/>
  <c r="I47" i="62" s="1"/>
  <c r="G43" i="95"/>
  <c r="I43" i="95" s="1"/>
  <c r="F46" i="90"/>
  <c r="H46" i="90" s="1"/>
  <c r="B46" i="90"/>
  <c r="D51" i="55"/>
  <c r="E51" i="55"/>
  <c r="E51" i="58"/>
  <c r="D51" i="58"/>
  <c r="H51" i="42"/>
  <c r="I51" i="42" s="1"/>
  <c r="B54" i="23"/>
  <c r="F54" i="23"/>
  <c r="H50" i="45"/>
  <c r="I50" i="45" s="1"/>
  <c r="G48" i="64"/>
  <c r="I48" i="64" s="1"/>
  <c r="D47" i="75"/>
  <c r="E47" i="75"/>
  <c r="G47" i="65"/>
  <c r="I47" i="65" s="1"/>
  <c r="H45" i="85"/>
  <c r="E46" i="85"/>
  <c r="D46" i="85"/>
  <c r="G54" i="31"/>
  <c r="I54" i="31" s="1"/>
  <c r="G45" i="88"/>
  <c r="I45" i="88" s="1"/>
  <c r="B51" i="44"/>
  <c r="F51" i="44"/>
  <c r="H51" i="44" s="1"/>
  <c r="D50" i="72"/>
  <c r="E50" i="72"/>
  <c r="G53" i="71"/>
  <c r="I53" i="71" s="1"/>
  <c r="I45" i="76"/>
  <c r="B52" i="22"/>
  <c r="F52" i="22"/>
  <c r="G52" i="22" s="1"/>
  <c r="F48" i="61"/>
  <c r="B48" i="61"/>
  <c r="E44" i="95"/>
  <c r="D44" i="95"/>
  <c r="H49" i="72"/>
  <c r="F54" i="27"/>
  <c r="B54" i="27"/>
  <c r="F46" i="76"/>
  <c r="G46" i="76" s="1"/>
  <c r="B46" i="76"/>
  <c r="B45" i="81"/>
  <c r="F45" i="81"/>
  <c r="G45" i="81" s="1"/>
  <c r="B43" i="96"/>
  <c r="F43" i="96"/>
  <c r="H43" i="96" s="1"/>
  <c r="H52" i="19"/>
  <c r="I52" i="19" s="1"/>
  <c r="G55" i="28"/>
  <c r="I55" i="28" s="1"/>
  <c r="G45" i="85"/>
  <c r="G49" i="72"/>
  <c r="D52" i="39"/>
  <c r="E52" i="39"/>
  <c r="I50" i="73"/>
  <c r="G51" i="20"/>
  <c r="H43" i="13"/>
  <c r="I43" i="13" s="1"/>
  <c r="G53" i="34"/>
  <c r="I53" i="34" s="1"/>
  <c r="D54" i="34"/>
  <c r="E54" i="34"/>
  <c r="F49" i="54"/>
  <c r="G49" i="54" s="1"/>
  <c r="B49" i="54"/>
  <c r="G47" i="68"/>
  <c r="I47" i="68" s="1"/>
  <c r="D48" i="68"/>
  <c r="E48" i="68"/>
  <c r="B54" i="29"/>
  <c r="F54" i="29"/>
  <c r="G54" i="29" s="1"/>
  <c r="B54" i="70"/>
  <c r="F54" i="70"/>
  <c r="H54" i="70" s="1"/>
  <c r="D53" i="3"/>
  <c r="E53" i="3"/>
  <c r="D54" i="30"/>
  <c r="E54" i="30"/>
  <c r="D53" i="19"/>
  <c r="E53" i="19"/>
  <c r="D55" i="31"/>
  <c r="E55" i="31"/>
  <c r="F44" i="92"/>
  <c r="B44" i="92"/>
  <c r="F52" i="43"/>
  <c r="H52" i="43" s="1"/>
  <c r="B52" i="43"/>
  <c r="E54" i="71"/>
  <c r="D54" i="71"/>
  <c r="I53" i="30"/>
  <c r="E55" i="69"/>
  <c r="D55" i="69"/>
  <c r="G44" i="83"/>
  <c r="I44" i="83" s="1"/>
  <c r="B52" i="17"/>
  <c r="C61" i="17"/>
  <c r="F52" i="17"/>
  <c r="B46" i="79"/>
  <c r="F46" i="79"/>
  <c r="G46" i="79" s="1"/>
  <c r="F46" i="78"/>
  <c r="H46" i="78" s="1"/>
  <c r="B46" i="78"/>
  <c r="B46" i="77"/>
  <c r="F46" i="77"/>
  <c r="G46" i="77" s="1"/>
  <c r="F51" i="73"/>
  <c r="H51" i="73" s="1"/>
  <c r="B51" i="73"/>
  <c r="B48" i="63"/>
  <c r="F48" i="63"/>
  <c r="G48" i="63" s="1"/>
  <c r="F52" i="21"/>
  <c r="G52" i="21" s="1"/>
  <c r="B52" i="21"/>
  <c r="F53" i="32"/>
  <c r="H53" i="32" s="1"/>
  <c r="B53" i="32"/>
  <c r="B52" i="41"/>
  <c r="F52" i="41"/>
  <c r="D56" i="28"/>
  <c r="E56" i="28"/>
  <c r="E46" i="88"/>
  <c r="D46" i="88"/>
  <c r="F51" i="74"/>
  <c r="H51" i="74" s="1"/>
  <c r="B51" i="74"/>
  <c r="F48" i="60"/>
  <c r="B48" i="60"/>
  <c r="D51" i="45"/>
  <c r="E51" i="45"/>
  <c r="E49" i="64"/>
  <c r="D49" i="64"/>
  <c r="B49" i="57"/>
  <c r="F49" i="57"/>
  <c r="G49" i="57" s="1"/>
  <c r="D49" i="56"/>
  <c r="E49" i="56"/>
  <c r="E45" i="83"/>
  <c r="D45" i="83"/>
  <c r="F44" i="89"/>
  <c r="G44" i="89" s="1"/>
  <c r="B44" i="89"/>
  <c r="J127" i="62"/>
  <c r="J123" i="89"/>
  <c r="J122" i="13"/>
  <c r="D46" i="33"/>
  <c r="E46" i="33" s="1"/>
  <c r="G45" i="33"/>
  <c r="H45" i="33"/>
  <c r="I51" i="20"/>
  <c r="E45" i="87"/>
  <c r="D45" i="87"/>
  <c r="J132" i="24"/>
  <c r="J130" i="41"/>
  <c r="J131" i="22"/>
  <c r="E52" i="20"/>
  <c r="D52" i="20"/>
  <c r="E48" i="62"/>
  <c r="D48" i="62"/>
  <c r="D45" i="26"/>
  <c r="E45" i="26" s="1"/>
  <c r="F53" i="18"/>
  <c r="G53" i="18" s="1"/>
  <c r="B53" i="18"/>
  <c r="G71" i="35"/>
  <c r="H71" i="35"/>
  <c r="E72" i="35"/>
  <c r="F72" i="35" s="1"/>
  <c r="B72" i="35"/>
  <c r="G44" i="87"/>
  <c r="I44" i="87" s="1"/>
  <c r="D44" i="13"/>
  <c r="I70" i="35"/>
  <c r="F48" i="59"/>
  <c r="H48" i="59" s="1"/>
  <c r="B48" i="59"/>
  <c r="B134" i="30"/>
  <c r="F134" i="30"/>
  <c r="F130" i="74"/>
  <c r="B130" i="74"/>
  <c r="J129" i="45"/>
  <c r="I128" i="72"/>
  <c r="H128" i="72"/>
  <c r="H123" i="84"/>
  <c r="I123" i="84"/>
  <c r="F132" i="20"/>
  <c r="B132" i="20"/>
  <c r="H133" i="69"/>
  <c r="I133" i="69"/>
  <c r="H130" i="43"/>
  <c r="I130" i="43"/>
  <c r="H127" i="64"/>
  <c r="I127" i="64"/>
  <c r="I124" i="85"/>
  <c r="H124" i="85"/>
  <c r="H128" i="53"/>
  <c r="I128" i="53"/>
  <c r="I123" i="86"/>
  <c r="H123" i="86"/>
  <c r="B132" i="34"/>
  <c r="F132" i="34"/>
  <c r="I133" i="70"/>
  <c r="H133" i="70"/>
  <c r="I131" i="19"/>
  <c r="H131" i="19"/>
  <c r="I123" i="90"/>
  <c r="H123" i="90"/>
  <c r="B127" i="68"/>
  <c r="F127" i="68"/>
  <c r="J123" i="91"/>
  <c r="I132" i="32"/>
  <c r="H132" i="32"/>
  <c r="B131" i="39"/>
  <c r="F131" i="39"/>
  <c r="J130" i="42"/>
  <c r="H125" i="78"/>
  <c r="I125" i="78"/>
  <c r="H129" i="74"/>
  <c r="I129" i="74"/>
  <c r="D125" i="89"/>
  <c r="G124" i="89"/>
  <c r="E125" i="89"/>
  <c r="G131" i="41"/>
  <c r="D132" i="41"/>
  <c r="E132" i="41"/>
  <c r="E133" i="22"/>
  <c r="D133" i="22"/>
  <c r="G132" i="22"/>
  <c r="B129" i="72"/>
  <c r="F129" i="72"/>
  <c r="H125" i="79"/>
  <c r="I125" i="79"/>
  <c r="I126" i="66"/>
  <c r="H126" i="66"/>
  <c r="F131" i="43"/>
  <c r="B131" i="43"/>
  <c r="F125" i="85"/>
  <c r="B125" i="85"/>
  <c r="F129" i="53"/>
  <c r="B129" i="53"/>
  <c r="B129" i="58"/>
  <c r="F129" i="58"/>
  <c r="E126" i="81"/>
  <c r="G125" i="81"/>
  <c r="D126" i="81"/>
  <c r="I133" i="27"/>
  <c r="H133" i="27"/>
  <c r="I126" i="68"/>
  <c r="H126" i="68"/>
  <c r="B129" i="46"/>
  <c r="F129" i="46"/>
  <c r="E131" i="45"/>
  <c r="G130" i="45"/>
  <c r="D131" i="45"/>
  <c r="F124" i="92"/>
  <c r="B124" i="92"/>
  <c r="I130" i="39"/>
  <c r="H130" i="39"/>
  <c r="B128" i="63"/>
  <c r="F128" i="63"/>
  <c r="I133" i="30"/>
  <c r="H133" i="30"/>
  <c r="F126" i="78"/>
  <c r="B126" i="78"/>
  <c r="F126" i="79"/>
  <c r="B126" i="79"/>
  <c r="G131" i="73"/>
  <c r="D132" i="73"/>
  <c r="E132" i="73"/>
  <c r="H131" i="20"/>
  <c r="I131" i="20"/>
  <c r="B134" i="69"/>
  <c r="F134" i="69"/>
  <c r="B128" i="64"/>
  <c r="F128" i="64"/>
  <c r="I133" i="29"/>
  <c r="H133" i="29"/>
  <c r="I128" i="58"/>
  <c r="H128" i="58"/>
  <c r="E125" i="91"/>
  <c r="G124" i="91"/>
  <c r="D125" i="91"/>
  <c r="I131" i="34"/>
  <c r="H131" i="34"/>
  <c r="I132" i="31"/>
  <c r="H132" i="31"/>
  <c r="F124" i="90"/>
  <c r="B124" i="90"/>
  <c r="B134" i="27"/>
  <c r="F134" i="27"/>
  <c r="I127" i="60"/>
  <c r="H127" i="60"/>
  <c r="B128" i="61"/>
  <c r="F128" i="61"/>
  <c r="B128" i="65"/>
  <c r="F128" i="65"/>
  <c r="F124" i="88"/>
  <c r="B124" i="88"/>
  <c r="J128" i="54"/>
  <c r="B124" i="84"/>
  <c r="F124" i="84"/>
  <c r="F127" i="66"/>
  <c r="B127" i="66"/>
  <c r="J124" i="81"/>
  <c r="F134" i="29"/>
  <c r="B134" i="29"/>
  <c r="B124" i="86"/>
  <c r="F124" i="86"/>
  <c r="F134" i="70"/>
  <c r="B134" i="70"/>
  <c r="F132" i="19"/>
  <c r="B132" i="19"/>
  <c r="F133" i="31"/>
  <c r="B133" i="31"/>
  <c r="J130" i="73"/>
  <c r="B128" i="60"/>
  <c r="F128" i="60"/>
  <c r="E129" i="62"/>
  <c r="D129" i="62"/>
  <c r="G128" i="62"/>
  <c r="I127" i="61"/>
  <c r="H127" i="61"/>
  <c r="H128" i="46"/>
  <c r="I128" i="46"/>
  <c r="H127" i="65"/>
  <c r="I127" i="65"/>
  <c r="H123" i="92"/>
  <c r="I123" i="92"/>
  <c r="B133" i="32"/>
  <c r="F133" i="32"/>
  <c r="H123" i="88"/>
  <c r="I123" i="88"/>
  <c r="H127" i="63"/>
  <c r="I127" i="63"/>
  <c r="J125" i="76"/>
  <c r="J152" i="35"/>
  <c r="H133" i="23"/>
  <c r="I133" i="23"/>
  <c r="F133" i="18"/>
  <c r="B133" i="18"/>
  <c r="E131" i="56"/>
  <c r="G130" i="56"/>
  <c r="D131" i="56"/>
  <c r="J129" i="56"/>
  <c r="I128" i="59"/>
  <c r="H128" i="59"/>
  <c r="F134" i="23"/>
  <c r="B134" i="23"/>
  <c r="I132" i="18"/>
  <c r="H132" i="18"/>
  <c r="F129" i="59"/>
  <c r="B129" i="59"/>
  <c r="J123" i="93"/>
  <c r="J125" i="75"/>
  <c r="J124" i="80"/>
  <c r="J123" i="25"/>
  <c r="J128" i="55"/>
  <c r="F130" i="57"/>
  <c r="B130" i="57"/>
  <c r="J131" i="21"/>
  <c r="H133" i="71"/>
  <c r="I133" i="71"/>
  <c r="H129" i="57"/>
  <c r="I129" i="57"/>
  <c r="B134" i="71"/>
  <c r="F134" i="71"/>
  <c r="F124" i="87"/>
  <c r="B124" i="87"/>
  <c r="E133" i="21"/>
  <c r="D133" i="21"/>
  <c r="G132" i="21"/>
  <c r="D126" i="80"/>
  <c r="E126" i="80"/>
  <c r="G125" i="80"/>
  <c r="B125" i="82"/>
  <c r="F125" i="82"/>
  <c r="H130" i="44"/>
  <c r="I130" i="44"/>
  <c r="G123" i="13"/>
  <c r="D124" i="13"/>
  <c r="E124" i="13" s="1"/>
  <c r="G131" i="42"/>
  <c r="D132" i="42"/>
  <c r="E132" i="42"/>
  <c r="G123" i="33"/>
  <c r="D124" i="33"/>
  <c r="E124" i="33" s="1"/>
  <c r="B125" i="95"/>
  <c r="F125" i="95"/>
  <c r="J124" i="83"/>
  <c r="F132" i="3"/>
  <c r="B132" i="3"/>
  <c r="D125" i="25"/>
  <c r="G124" i="25"/>
  <c r="B133" i="17"/>
  <c r="F133" i="17"/>
  <c r="I154" i="35"/>
  <c r="H154" i="35"/>
  <c r="I134" i="28"/>
  <c r="H134" i="28"/>
  <c r="B131" i="44"/>
  <c r="F131" i="44"/>
  <c r="J125" i="77"/>
  <c r="I124" i="94"/>
  <c r="H124" i="94"/>
  <c r="I131" i="3"/>
  <c r="H131" i="3"/>
  <c r="H132" i="17"/>
  <c r="I132" i="17"/>
  <c r="G124" i="93"/>
  <c r="D125" i="93"/>
  <c r="B135" i="28"/>
  <c r="F135" i="28"/>
  <c r="J122" i="33"/>
  <c r="E127" i="76"/>
  <c r="D127" i="76"/>
  <c r="G126" i="76"/>
  <c r="I124" i="95"/>
  <c r="H124" i="95"/>
  <c r="E127" i="75"/>
  <c r="D127" i="75"/>
  <c r="G126" i="75"/>
  <c r="D130" i="55"/>
  <c r="E130" i="55"/>
  <c r="G129" i="55"/>
  <c r="H126" i="67"/>
  <c r="I126" i="67"/>
  <c r="E127" i="77"/>
  <c r="D127" i="77"/>
  <c r="G126" i="77"/>
  <c r="B124" i="96"/>
  <c r="F124" i="96"/>
  <c r="G129" i="54"/>
  <c r="D130" i="54"/>
  <c r="E130" i="54"/>
  <c r="I123" i="87"/>
  <c r="H123" i="87"/>
  <c r="H153" i="35"/>
  <c r="I153" i="35"/>
  <c r="H124" i="82"/>
  <c r="I124" i="82"/>
  <c r="E126" i="83"/>
  <c r="D126" i="83"/>
  <c r="G125" i="83"/>
  <c r="D134" i="24"/>
  <c r="G133" i="24"/>
  <c r="E134" i="24"/>
  <c r="B127" i="67"/>
  <c r="F127" i="67"/>
  <c r="H123" i="96"/>
  <c r="I123" i="96"/>
  <c r="B125" i="94"/>
  <c r="F125" i="94"/>
  <c r="D56" i="97" l="1"/>
  <c r="G55" i="97"/>
  <c r="I54" i="97"/>
  <c r="D45" i="98"/>
  <c r="E45" i="98"/>
  <c r="H44" i="98"/>
  <c r="D50" i="99"/>
  <c r="E50" i="99"/>
  <c r="E56" i="97"/>
  <c r="F56" i="97" s="1"/>
  <c r="D57" i="97" s="1"/>
  <c r="B56" i="97"/>
  <c r="H46" i="80"/>
  <c r="I46" i="80" s="1"/>
  <c r="G44" i="98"/>
  <c r="H49" i="99"/>
  <c r="I49" i="99" s="1"/>
  <c r="H55" i="97"/>
  <c r="I55" i="97" s="1"/>
  <c r="H52" i="22"/>
  <c r="I123" i="99"/>
  <c r="H123" i="99"/>
  <c r="B124" i="99"/>
  <c r="F124" i="99"/>
  <c r="J123" i="98"/>
  <c r="I124" i="26"/>
  <c r="H124" i="26"/>
  <c r="B125" i="26"/>
  <c r="E125" i="26"/>
  <c r="F125" i="26" s="1"/>
  <c r="G124" i="97"/>
  <c r="D125" i="97"/>
  <c r="E125" i="97"/>
  <c r="G124" i="98"/>
  <c r="D125" i="98"/>
  <c r="E125" i="98"/>
  <c r="J123" i="97"/>
  <c r="H44" i="89"/>
  <c r="I44" i="89" s="1"/>
  <c r="G43" i="96"/>
  <c r="H43" i="93"/>
  <c r="I43" i="93" s="1"/>
  <c r="G48" i="67"/>
  <c r="I48" i="67" s="1"/>
  <c r="E49" i="67"/>
  <c r="D49" i="67"/>
  <c r="G49" i="46"/>
  <c r="I49" i="46" s="1"/>
  <c r="E50" i="46"/>
  <c r="D50" i="46"/>
  <c r="H53" i="24"/>
  <c r="I53" i="24" s="1"/>
  <c r="E54" i="24"/>
  <c r="D54" i="24"/>
  <c r="H49" i="57"/>
  <c r="I49" i="57" s="1"/>
  <c r="G49" i="53"/>
  <c r="I49" i="53" s="1"/>
  <c r="F47" i="82"/>
  <c r="B47" i="82"/>
  <c r="H49" i="54"/>
  <c r="I49" i="54" s="1"/>
  <c r="H45" i="81"/>
  <c r="I45" i="81" s="1"/>
  <c r="E44" i="93"/>
  <c r="D44" i="93"/>
  <c r="H44" i="94"/>
  <c r="I44" i="94" s="1"/>
  <c r="D45" i="94"/>
  <c r="E45" i="94"/>
  <c r="I44" i="25"/>
  <c r="D47" i="80"/>
  <c r="E47" i="80"/>
  <c r="B46" i="86"/>
  <c r="F46" i="86"/>
  <c r="E45" i="25"/>
  <c r="F45" i="25" s="1"/>
  <c r="B45" i="25"/>
  <c r="B47" i="75"/>
  <c r="F47" i="75"/>
  <c r="G47" i="75" s="1"/>
  <c r="F51" i="58"/>
  <c r="B51" i="58"/>
  <c r="D50" i="53"/>
  <c r="E50" i="53"/>
  <c r="D46" i="84"/>
  <c r="E46" i="84"/>
  <c r="B51" i="55"/>
  <c r="F51" i="55"/>
  <c r="H51" i="55" s="1"/>
  <c r="E47" i="90"/>
  <c r="D47" i="90"/>
  <c r="E46" i="91"/>
  <c r="D46" i="91"/>
  <c r="G45" i="91"/>
  <c r="I43" i="96"/>
  <c r="H54" i="23"/>
  <c r="E55" i="23"/>
  <c r="G54" i="23"/>
  <c r="D55" i="23"/>
  <c r="G46" i="90"/>
  <c r="I46" i="90" s="1"/>
  <c r="B48" i="65"/>
  <c r="F48" i="65"/>
  <c r="H48" i="65" s="1"/>
  <c r="G45" i="84"/>
  <c r="I45" i="84" s="1"/>
  <c r="H45" i="91"/>
  <c r="G48" i="66"/>
  <c r="I48" i="66" s="1"/>
  <c r="D49" i="66"/>
  <c r="E49" i="66"/>
  <c r="F52" i="42"/>
  <c r="G52" i="42" s="1"/>
  <c r="B52" i="42"/>
  <c r="E49" i="61"/>
  <c r="D49" i="61"/>
  <c r="G46" i="78"/>
  <c r="I45" i="85"/>
  <c r="G48" i="61"/>
  <c r="I52" i="22"/>
  <c r="B50" i="72"/>
  <c r="F50" i="72"/>
  <c r="H50" i="72" s="1"/>
  <c r="G48" i="59"/>
  <c r="I48" i="59" s="1"/>
  <c r="F52" i="39"/>
  <c r="B52" i="39"/>
  <c r="D44" i="96"/>
  <c r="E44" i="96"/>
  <c r="H54" i="27"/>
  <c r="G54" i="27"/>
  <c r="E55" i="27"/>
  <c r="D55" i="27"/>
  <c r="I49" i="72"/>
  <c r="H48" i="61"/>
  <c r="B46" i="85"/>
  <c r="F46" i="85"/>
  <c r="G46" i="85" s="1"/>
  <c r="H46" i="76"/>
  <c r="I46" i="76" s="1"/>
  <c r="E47" i="76"/>
  <c r="D47" i="76"/>
  <c r="E46" i="81"/>
  <c r="D46" i="81"/>
  <c r="B44" i="95"/>
  <c r="F44" i="95"/>
  <c r="G44" i="95" s="1"/>
  <c r="D53" i="22"/>
  <c r="E53" i="22"/>
  <c r="G51" i="44"/>
  <c r="I51" i="44" s="1"/>
  <c r="D52" i="44"/>
  <c r="E52" i="44"/>
  <c r="B45" i="83"/>
  <c r="F45" i="83"/>
  <c r="G45" i="83" s="1"/>
  <c r="F49" i="64"/>
  <c r="G49" i="64" s="1"/>
  <c r="B49" i="64"/>
  <c r="F51" i="45"/>
  <c r="H51" i="45" s="1"/>
  <c r="B51" i="45"/>
  <c r="E49" i="60"/>
  <c r="D49" i="60"/>
  <c r="B46" i="88"/>
  <c r="F46" i="88"/>
  <c r="G46" i="88" s="1"/>
  <c r="E53" i="41"/>
  <c r="D53" i="41"/>
  <c r="G51" i="73"/>
  <c r="I51" i="73" s="1"/>
  <c r="H46" i="77"/>
  <c r="I46" i="77" s="1"/>
  <c r="E45" i="92"/>
  <c r="D45" i="92"/>
  <c r="B54" i="34"/>
  <c r="F54" i="34"/>
  <c r="H54" i="34" s="1"/>
  <c r="F49" i="56"/>
  <c r="H49" i="56" s="1"/>
  <c r="B49" i="56"/>
  <c r="E50" i="57"/>
  <c r="D50" i="57"/>
  <c r="H48" i="60"/>
  <c r="G51" i="74"/>
  <c r="I51" i="74" s="1"/>
  <c r="D52" i="74"/>
  <c r="E52" i="74"/>
  <c r="G53" i="32"/>
  <c r="I53" i="32" s="1"/>
  <c r="D54" i="32"/>
  <c r="E54" i="32"/>
  <c r="D53" i="21"/>
  <c r="E53" i="21"/>
  <c r="H48" i="63"/>
  <c r="I48" i="63" s="1"/>
  <c r="E47" i="78"/>
  <c r="D47" i="78"/>
  <c r="H46" i="79"/>
  <c r="I46" i="79" s="1"/>
  <c r="G52" i="17"/>
  <c r="D53" i="17"/>
  <c r="E53" i="17"/>
  <c r="D53" i="43"/>
  <c r="E53" i="43"/>
  <c r="H44" i="92"/>
  <c r="B53" i="19"/>
  <c r="F53" i="19"/>
  <c r="H53" i="19" s="1"/>
  <c r="F53" i="3"/>
  <c r="H53" i="3" s="1"/>
  <c r="B53" i="3"/>
  <c r="I45" i="33"/>
  <c r="E45" i="89"/>
  <c r="D45" i="89"/>
  <c r="G52" i="41"/>
  <c r="H52" i="21"/>
  <c r="I52" i="21" s="1"/>
  <c r="I46" i="78"/>
  <c r="H52" i="17"/>
  <c r="B54" i="71"/>
  <c r="F54" i="71"/>
  <c r="H54" i="71" s="1"/>
  <c r="G52" i="43"/>
  <c r="I52" i="43" s="1"/>
  <c r="G44" i="92"/>
  <c r="H54" i="29"/>
  <c r="I54" i="29" s="1"/>
  <c r="E55" i="29"/>
  <c r="D55" i="29"/>
  <c r="B48" i="68"/>
  <c r="F48" i="68"/>
  <c r="H48" i="68" s="1"/>
  <c r="D50" i="54"/>
  <c r="E50" i="54"/>
  <c r="G48" i="60"/>
  <c r="F56" i="28"/>
  <c r="B56" i="28"/>
  <c r="H52" i="41"/>
  <c r="E49" i="63"/>
  <c r="D49" i="63"/>
  <c r="D52" i="73"/>
  <c r="E52" i="73"/>
  <c r="D47" i="77"/>
  <c r="E47" i="77"/>
  <c r="D47" i="79"/>
  <c r="E47" i="79"/>
  <c r="B55" i="69"/>
  <c r="F55" i="69"/>
  <c r="H55" i="69" s="1"/>
  <c r="B55" i="31"/>
  <c r="F55" i="31"/>
  <c r="G55" i="31" s="1"/>
  <c r="F54" i="30"/>
  <c r="G54" i="30" s="1"/>
  <c r="B54" i="30"/>
  <c r="G54" i="70"/>
  <c r="I54" i="70" s="1"/>
  <c r="D55" i="70"/>
  <c r="E55" i="70"/>
  <c r="J125" i="78"/>
  <c r="J128" i="53"/>
  <c r="J127" i="64"/>
  <c r="J133" i="69"/>
  <c r="J133" i="30"/>
  <c r="J126" i="66"/>
  <c r="J130" i="39"/>
  <c r="J129" i="74"/>
  <c r="J123" i="88"/>
  <c r="J123" i="92"/>
  <c r="J130" i="43"/>
  <c r="J125" i="79"/>
  <c r="J128" i="59"/>
  <c r="J128" i="46"/>
  <c r="J132" i="31"/>
  <c r="J128" i="58"/>
  <c r="J127" i="63"/>
  <c r="J127" i="65"/>
  <c r="G72" i="35"/>
  <c r="H72" i="35"/>
  <c r="F52" i="20"/>
  <c r="H52" i="20" s="1"/>
  <c r="B52" i="20"/>
  <c r="B45" i="87"/>
  <c r="F45" i="87"/>
  <c r="J123" i="84"/>
  <c r="B44" i="13"/>
  <c r="I71" i="35"/>
  <c r="D54" i="18"/>
  <c r="E54" i="18"/>
  <c r="B45" i="26"/>
  <c r="F45" i="26"/>
  <c r="G45" i="26" s="1"/>
  <c r="B48" i="62"/>
  <c r="F48" i="62"/>
  <c r="H48" i="62" s="1"/>
  <c r="B46" i="33"/>
  <c r="F46" i="33"/>
  <c r="G46" i="33" s="1"/>
  <c r="E44" i="13"/>
  <c r="F44" i="13" s="1"/>
  <c r="H44" i="13" s="1"/>
  <c r="J132" i="32"/>
  <c r="D49" i="59"/>
  <c r="E49" i="59"/>
  <c r="H53" i="18"/>
  <c r="I53" i="18" s="1"/>
  <c r="B129" i="62"/>
  <c r="F129" i="62"/>
  <c r="D133" i="19"/>
  <c r="E133" i="19"/>
  <c r="G132" i="19"/>
  <c r="J127" i="60"/>
  <c r="E125" i="90"/>
  <c r="G124" i="90"/>
  <c r="D125" i="90"/>
  <c r="J131" i="34"/>
  <c r="G128" i="64"/>
  <c r="E129" i="64"/>
  <c r="D129" i="64"/>
  <c r="J131" i="20"/>
  <c r="H131" i="73"/>
  <c r="I131" i="73"/>
  <c r="E127" i="78"/>
  <c r="D127" i="78"/>
  <c r="G126" i="78"/>
  <c r="G124" i="92"/>
  <c r="E125" i="92"/>
  <c r="D125" i="92"/>
  <c r="E130" i="46"/>
  <c r="D130" i="46"/>
  <c r="G129" i="46"/>
  <c r="D130" i="53"/>
  <c r="E130" i="53"/>
  <c r="G129" i="53"/>
  <c r="E132" i="43"/>
  <c r="G131" i="43"/>
  <c r="D132" i="43"/>
  <c r="F133" i="22"/>
  <c r="B133" i="22"/>
  <c r="I131" i="41"/>
  <c r="H131" i="41"/>
  <c r="G130" i="74"/>
  <c r="D131" i="74"/>
  <c r="E131" i="74"/>
  <c r="J134" i="28"/>
  <c r="G133" i="32"/>
  <c r="D134" i="32"/>
  <c r="E134" i="32"/>
  <c r="D128" i="66"/>
  <c r="G127" i="66"/>
  <c r="E128" i="66"/>
  <c r="D129" i="61"/>
  <c r="E129" i="61"/>
  <c r="G128" i="61"/>
  <c r="D135" i="27"/>
  <c r="E135" i="27"/>
  <c r="G134" i="27"/>
  <c r="B125" i="91"/>
  <c r="F125" i="91"/>
  <c r="F131" i="45"/>
  <c r="B131" i="45"/>
  <c r="J133" i="27"/>
  <c r="D130" i="58"/>
  <c r="G129" i="58"/>
  <c r="E130" i="58"/>
  <c r="G129" i="72"/>
  <c r="D130" i="72"/>
  <c r="E130" i="72"/>
  <c r="E132" i="39"/>
  <c r="D132" i="39"/>
  <c r="G131" i="39"/>
  <c r="J123" i="90"/>
  <c r="J133" i="70"/>
  <c r="J123" i="86"/>
  <c r="J124" i="85"/>
  <c r="E133" i="20"/>
  <c r="G132" i="20"/>
  <c r="D133" i="20"/>
  <c r="J128" i="72"/>
  <c r="G134" i="30"/>
  <c r="D135" i="30"/>
  <c r="E135" i="30"/>
  <c r="J132" i="18"/>
  <c r="J127" i="61"/>
  <c r="G128" i="60"/>
  <c r="E129" i="60"/>
  <c r="D129" i="60"/>
  <c r="E134" i="31"/>
  <c r="D134" i="31"/>
  <c r="G133" i="31"/>
  <c r="E135" i="70"/>
  <c r="D135" i="70"/>
  <c r="G134" i="70"/>
  <c r="E135" i="29"/>
  <c r="D135" i="29"/>
  <c r="G134" i="29"/>
  <c r="E125" i="84"/>
  <c r="D125" i="84"/>
  <c r="G124" i="84"/>
  <c r="E125" i="88"/>
  <c r="D125" i="88"/>
  <c r="G124" i="88"/>
  <c r="H124" i="91"/>
  <c r="I124" i="91"/>
  <c r="E135" i="69"/>
  <c r="G134" i="69"/>
  <c r="D135" i="69"/>
  <c r="G126" i="79"/>
  <c r="D127" i="79"/>
  <c r="E127" i="79"/>
  <c r="I130" i="45"/>
  <c r="H130" i="45"/>
  <c r="B126" i="81"/>
  <c r="F126" i="81"/>
  <c r="G125" i="85"/>
  <c r="E126" i="85"/>
  <c r="D126" i="85"/>
  <c r="I124" i="89"/>
  <c r="H124" i="89"/>
  <c r="E128" i="68"/>
  <c r="G127" i="68"/>
  <c r="D128" i="68"/>
  <c r="E133" i="34"/>
  <c r="G132" i="34"/>
  <c r="D133" i="34"/>
  <c r="I128" i="62"/>
  <c r="H128" i="62"/>
  <c r="D125" i="86"/>
  <c r="G124" i="86"/>
  <c r="E125" i="86"/>
  <c r="D129" i="65"/>
  <c r="G128" i="65"/>
  <c r="E129" i="65"/>
  <c r="J133" i="29"/>
  <c r="B132" i="73"/>
  <c r="F132" i="73"/>
  <c r="G128" i="63"/>
  <c r="E129" i="63"/>
  <c r="D129" i="63"/>
  <c r="J126" i="68"/>
  <c r="H125" i="81"/>
  <c r="I125" i="81"/>
  <c r="I132" i="22"/>
  <c r="H132" i="22"/>
  <c r="F132" i="41"/>
  <c r="B132" i="41"/>
  <c r="F125" i="89"/>
  <c r="B125" i="89"/>
  <c r="J131" i="19"/>
  <c r="J124" i="82"/>
  <c r="J154" i="35"/>
  <c r="H130" i="56"/>
  <c r="I130" i="56"/>
  <c r="G133" i="18"/>
  <c r="D134" i="18"/>
  <c r="E134" i="18"/>
  <c r="J133" i="23"/>
  <c r="G129" i="59"/>
  <c r="D130" i="59"/>
  <c r="E130" i="59"/>
  <c r="E135" i="23"/>
  <c r="D135" i="23"/>
  <c r="G134" i="23"/>
  <c r="B131" i="56"/>
  <c r="F131" i="56"/>
  <c r="E135" i="71"/>
  <c r="D135" i="71"/>
  <c r="G134" i="71"/>
  <c r="J129" i="57"/>
  <c r="J133" i="71"/>
  <c r="G130" i="57"/>
  <c r="D131" i="57"/>
  <c r="E131" i="57"/>
  <c r="J132" i="17"/>
  <c r="H125" i="83"/>
  <c r="I125" i="83"/>
  <c r="B130" i="54"/>
  <c r="F130" i="54"/>
  <c r="F130" i="55"/>
  <c r="B130" i="55"/>
  <c r="H126" i="76"/>
  <c r="I126" i="76"/>
  <c r="B125" i="93"/>
  <c r="G131" i="44"/>
  <c r="D132" i="44"/>
  <c r="E132" i="44"/>
  <c r="B132" i="42"/>
  <c r="F132" i="42"/>
  <c r="H123" i="13"/>
  <c r="I123" i="13"/>
  <c r="D126" i="82"/>
  <c r="G125" i="82"/>
  <c r="E126" i="82"/>
  <c r="I125" i="80"/>
  <c r="H125" i="80"/>
  <c r="B133" i="21"/>
  <c r="F133" i="21"/>
  <c r="J123" i="96"/>
  <c r="H133" i="24"/>
  <c r="I133" i="24"/>
  <c r="B126" i="83"/>
  <c r="F126" i="83"/>
  <c r="J153" i="35"/>
  <c r="J155" i="35" s="1"/>
  <c r="J123" i="87"/>
  <c r="I129" i="54"/>
  <c r="H129" i="54"/>
  <c r="G124" i="96"/>
  <c r="D125" i="96"/>
  <c r="J126" i="67"/>
  <c r="H126" i="75"/>
  <c r="I126" i="75"/>
  <c r="J124" i="95"/>
  <c r="B127" i="76"/>
  <c r="F127" i="76"/>
  <c r="H124" i="93"/>
  <c r="I124" i="93"/>
  <c r="J131" i="3"/>
  <c r="G133" i="17"/>
  <c r="D134" i="17"/>
  <c r="E134" i="17"/>
  <c r="I124" i="25"/>
  <c r="H124" i="25"/>
  <c r="B124" i="33"/>
  <c r="F124" i="33"/>
  <c r="H131" i="42"/>
  <c r="I131" i="42"/>
  <c r="J130" i="44"/>
  <c r="G124" i="87"/>
  <c r="D125" i="87"/>
  <c r="E125" i="87"/>
  <c r="G127" i="67"/>
  <c r="D128" i="67"/>
  <c r="E128" i="67"/>
  <c r="B134" i="24"/>
  <c r="F134" i="24"/>
  <c r="I126" i="77"/>
  <c r="H126" i="77"/>
  <c r="H129" i="55"/>
  <c r="I129" i="55"/>
  <c r="F127" i="75"/>
  <c r="B127" i="75"/>
  <c r="B125" i="25"/>
  <c r="G132" i="3"/>
  <c r="D133" i="3"/>
  <c r="E133" i="3"/>
  <c r="D126" i="95"/>
  <c r="E126" i="95" s="1"/>
  <c r="G125" i="95"/>
  <c r="I123" i="33"/>
  <c r="H123" i="33"/>
  <c r="F126" i="80"/>
  <c r="B126" i="80"/>
  <c r="G125" i="94"/>
  <c r="D126" i="94"/>
  <c r="E126" i="94" s="1"/>
  <c r="F127" i="77"/>
  <c r="B127" i="77"/>
  <c r="G135" i="28"/>
  <c r="D136" i="28"/>
  <c r="E136" i="28"/>
  <c r="E125" i="93"/>
  <c r="F125" i="93" s="1"/>
  <c r="J124" i="94"/>
  <c r="E125" i="25"/>
  <c r="F125" i="25" s="1"/>
  <c r="F124" i="13"/>
  <c r="B124" i="13"/>
  <c r="H132" i="21"/>
  <c r="I132" i="21"/>
  <c r="F50" i="99" l="1"/>
  <c r="B50" i="99"/>
  <c r="G50" i="99"/>
  <c r="H50" i="99"/>
  <c r="I50" i="99" s="1"/>
  <c r="E57" i="97"/>
  <c r="F57" i="97" s="1"/>
  <c r="B57" i="97"/>
  <c r="I44" i="98"/>
  <c r="H56" i="97"/>
  <c r="G56" i="97"/>
  <c r="B45" i="98"/>
  <c r="F45" i="98"/>
  <c r="G45" i="98" s="1"/>
  <c r="H45" i="98"/>
  <c r="G124" i="99"/>
  <c r="E125" i="99"/>
  <c r="D125" i="99"/>
  <c r="J123" i="99"/>
  <c r="H124" i="98"/>
  <c r="I124" i="98"/>
  <c r="F125" i="97"/>
  <c r="B125" i="97"/>
  <c r="D126" i="26"/>
  <c r="B126" i="26" s="1"/>
  <c r="G125" i="26"/>
  <c r="B125" i="98"/>
  <c r="F125" i="98"/>
  <c r="I124" i="97"/>
  <c r="H124" i="97"/>
  <c r="J124" i="26"/>
  <c r="B49" i="67"/>
  <c r="F49" i="67"/>
  <c r="G49" i="67" s="1"/>
  <c r="G48" i="65"/>
  <c r="I48" i="65" s="1"/>
  <c r="B50" i="46"/>
  <c r="F50" i="46"/>
  <c r="H50" i="46" s="1"/>
  <c r="B54" i="24"/>
  <c r="F54" i="24"/>
  <c r="H54" i="24" s="1"/>
  <c r="B45" i="94"/>
  <c r="F45" i="94"/>
  <c r="G45" i="94" s="1"/>
  <c r="H47" i="82"/>
  <c r="D48" i="82"/>
  <c r="E48" i="82"/>
  <c r="G53" i="3"/>
  <c r="I53" i="3" s="1"/>
  <c r="G50" i="72"/>
  <c r="I50" i="72" s="1"/>
  <c r="D46" i="25"/>
  <c r="H45" i="25"/>
  <c r="G45" i="25"/>
  <c r="F47" i="80"/>
  <c r="G47" i="80" s="1"/>
  <c r="B47" i="80"/>
  <c r="H47" i="75"/>
  <c r="I47" i="75" s="1"/>
  <c r="H46" i="86"/>
  <c r="D47" i="86"/>
  <c r="G46" i="86"/>
  <c r="E47" i="86"/>
  <c r="F44" i="93"/>
  <c r="B44" i="93"/>
  <c r="G47" i="82"/>
  <c r="B46" i="91"/>
  <c r="F46" i="91"/>
  <c r="H46" i="91" s="1"/>
  <c r="G49" i="56"/>
  <c r="I49" i="56" s="1"/>
  <c r="G51" i="55"/>
  <c r="I51" i="55" s="1"/>
  <c r="E52" i="55"/>
  <c r="D52" i="55"/>
  <c r="F49" i="66"/>
  <c r="B49" i="66"/>
  <c r="G51" i="58"/>
  <c r="H51" i="58"/>
  <c r="D52" i="58"/>
  <c r="E52" i="58"/>
  <c r="I52" i="17"/>
  <c r="H52" i="42"/>
  <c r="I52" i="42" s="1"/>
  <c r="D53" i="42"/>
  <c r="E53" i="42"/>
  <c r="F55" i="23"/>
  <c r="B55" i="23"/>
  <c r="B47" i="90"/>
  <c r="F47" i="90"/>
  <c r="G47" i="90" s="1"/>
  <c r="F50" i="53"/>
  <c r="B50" i="53"/>
  <c r="E48" i="75"/>
  <c r="D48" i="75"/>
  <c r="F46" i="84"/>
  <c r="G46" i="84" s="1"/>
  <c r="B46" i="84"/>
  <c r="H46" i="33"/>
  <c r="I46" i="33" s="1"/>
  <c r="G54" i="71"/>
  <c r="I54" i="71" s="1"/>
  <c r="I54" i="27"/>
  <c r="G46" i="91"/>
  <c r="D49" i="65"/>
  <c r="E49" i="65"/>
  <c r="I54" i="23"/>
  <c r="I45" i="91"/>
  <c r="B53" i="22"/>
  <c r="F53" i="22"/>
  <c r="H53" i="22" s="1"/>
  <c r="H46" i="88"/>
  <c r="I46" i="88" s="1"/>
  <c r="G51" i="45"/>
  <c r="I51" i="45" s="1"/>
  <c r="H45" i="83"/>
  <c r="I45" i="83" s="1"/>
  <c r="B46" i="81"/>
  <c r="F46" i="81"/>
  <c r="H46" i="81" s="1"/>
  <c r="H46" i="85"/>
  <c r="I46" i="85" s="1"/>
  <c r="D47" i="85"/>
  <c r="E47" i="85"/>
  <c r="E53" i="39"/>
  <c r="D53" i="39"/>
  <c r="B49" i="61"/>
  <c r="F49" i="61"/>
  <c r="H54" i="30"/>
  <c r="I54" i="30" s="1"/>
  <c r="B52" i="44"/>
  <c r="F52" i="44"/>
  <c r="G52" i="44" s="1"/>
  <c r="H44" i="95"/>
  <c r="I44" i="95" s="1"/>
  <c r="E45" i="95"/>
  <c r="D45" i="95"/>
  <c r="B55" i="27"/>
  <c r="F55" i="27"/>
  <c r="G52" i="39"/>
  <c r="F47" i="76"/>
  <c r="H47" i="76" s="1"/>
  <c r="B47" i="76"/>
  <c r="F44" i="96"/>
  <c r="G44" i="96" s="1"/>
  <c r="B44" i="96"/>
  <c r="H52" i="39"/>
  <c r="E51" i="72"/>
  <c r="D51" i="72"/>
  <c r="I48" i="61"/>
  <c r="I52" i="41"/>
  <c r="B47" i="79"/>
  <c r="F47" i="79"/>
  <c r="F52" i="73"/>
  <c r="G52" i="73" s="1"/>
  <c r="B52" i="73"/>
  <c r="D57" i="28"/>
  <c r="E57" i="28"/>
  <c r="G53" i="19"/>
  <c r="I53" i="19" s="1"/>
  <c r="D54" i="19"/>
  <c r="E54" i="19"/>
  <c r="F50" i="57"/>
  <c r="H50" i="57" s="1"/>
  <c r="B50" i="57"/>
  <c r="B49" i="60"/>
  <c r="F49" i="60"/>
  <c r="H49" i="60" s="1"/>
  <c r="E50" i="64"/>
  <c r="D50" i="64"/>
  <c r="H55" i="31"/>
  <c r="I55" i="31" s="1"/>
  <c r="D56" i="31"/>
  <c r="E56" i="31"/>
  <c r="G55" i="69"/>
  <c r="I55" i="69" s="1"/>
  <c r="F49" i="63"/>
  <c r="B49" i="63"/>
  <c r="H56" i="28"/>
  <c r="F50" i="54"/>
  <c r="B50" i="54"/>
  <c r="F55" i="29"/>
  <c r="G55" i="29" s="1"/>
  <c r="B55" i="29"/>
  <c r="I44" i="92"/>
  <c r="D55" i="71"/>
  <c r="E55" i="71"/>
  <c r="B45" i="89"/>
  <c r="F45" i="89"/>
  <c r="D54" i="3"/>
  <c r="E54" i="3"/>
  <c r="B53" i="43"/>
  <c r="F53" i="43"/>
  <c r="H53" i="43" s="1"/>
  <c r="F54" i="32"/>
  <c r="B54" i="32"/>
  <c r="I48" i="60"/>
  <c r="D50" i="56"/>
  <c r="E50" i="56"/>
  <c r="D47" i="88"/>
  <c r="E47" i="88"/>
  <c r="D52" i="45"/>
  <c r="E52" i="45"/>
  <c r="H49" i="64"/>
  <c r="I49" i="64" s="1"/>
  <c r="B55" i="70"/>
  <c r="F55" i="70"/>
  <c r="H55" i="70" s="1"/>
  <c r="F47" i="77"/>
  <c r="H47" i="77" s="1"/>
  <c r="B47" i="77"/>
  <c r="G56" i="28"/>
  <c r="B53" i="41"/>
  <c r="F53" i="41"/>
  <c r="G53" i="41" s="1"/>
  <c r="D46" i="83"/>
  <c r="E46" i="83"/>
  <c r="E55" i="30"/>
  <c r="D55" i="30"/>
  <c r="E56" i="69"/>
  <c r="D56" i="69"/>
  <c r="G48" i="68"/>
  <c r="I48" i="68" s="1"/>
  <c r="E49" i="68"/>
  <c r="D49" i="68"/>
  <c r="F53" i="17"/>
  <c r="B53" i="17"/>
  <c r="C62" i="17"/>
  <c r="F47" i="78"/>
  <c r="H47" i="78" s="1"/>
  <c r="B47" i="78"/>
  <c r="B53" i="21"/>
  <c r="F53" i="21"/>
  <c r="H53" i="21" s="1"/>
  <c r="B52" i="74"/>
  <c r="F52" i="74"/>
  <c r="H52" i="74" s="1"/>
  <c r="D55" i="34"/>
  <c r="E55" i="34"/>
  <c r="G54" i="34"/>
  <c r="I54" i="34" s="1"/>
  <c r="B45" i="92"/>
  <c r="F45" i="92"/>
  <c r="H45" i="92" s="1"/>
  <c r="J132" i="22"/>
  <c r="J131" i="41"/>
  <c r="J130" i="45"/>
  <c r="J126" i="77"/>
  <c r="E46" i="87"/>
  <c r="D46" i="87"/>
  <c r="E53" i="20"/>
  <c r="D53" i="20"/>
  <c r="E49" i="62"/>
  <c r="D49" i="62"/>
  <c r="D46" i="26"/>
  <c r="E46" i="26" s="1"/>
  <c r="B54" i="18"/>
  <c r="F54" i="18"/>
  <c r="H54" i="18" s="1"/>
  <c r="D45" i="13"/>
  <c r="E45" i="13" s="1"/>
  <c r="B49" i="59"/>
  <c r="F49" i="59"/>
  <c r="H49" i="59" s="1"/>
  <c r="G48" i="62"/>
  <c r="I48" i="62" s="1"/>
  <c r="H45" i="26"/>
  <c r="I45" i="26" s="1"/>
  <c r="G45" i="87"/>
  <c r="D47" i="33"/>
  <c r="E47" i="33" s="1"/>
  <c r="G44" i="13"/>
  <c r="I44" i="13" s="1"/>
  <c r="H45" i="87"/>
  <c r="G52" i="20"/>
  <c r="I52" i="20" s="1"/>
  <c r="I72" i="35"/>
  <c r="I73" i="35" s="1"/>
  <c r="J132" i="21"/>
  <c r="J125" i="81"/>
  <c r="J128" i="62"/>
  <c r="B128" i="68"/>
  <c r="F128" i="68"/>
  <c r="J124" i="89"/>
  <c r="G126" i="81"/>
  <c r="E127" i="81"/>
  <c r="D127" i="81"/>
  <c r="H134" i="69"/>
  <c r="I134" i="69"/>
  <c r="I124" i="88"/>
  <c r="H124" i="88"/>
  <c r="B125" i="84"/>
  <c r="F125" i="84"/>
  <c r="H133" i="31"/>
  <c r="I133" i="31"/>
  <c r="B133" i="20"/>
  <c r="F133" i="20"/>
  <c r="B132" i="39"/>
  <c r="F132" i="39"/>
  <c r="H129" i="72"/>
  <c r="I129" i="72"/>
  <c r="I128" i="61"/>
  <c r="H128" i="61"/>
  <c r="I127" i="66"/>
  <c r="H127" i="66"/>
  <c r="H133" i="32"/>
  <c r="I133" i="32"/>
  <c r="I130" i="74"/>
  <c r="H130" i="74"/>
  <c r="D134" i="22"/>
  <c r="E134" i="22"/>
  <c r="G133" i="22"/>
  <c r="H129" i="53"/>
  <c r="I129" i="53"/>
  <c r="B130" i="46"/>
  <c r="F130" i="46"/>
  <c r="I124" i="92"/>
  <c r="H124" i="92"/>
  <c r="J131" i="73"/>
  <c r="I124" i="90"/>
  <c r="H124" i="90"/>
  <c r="E133" i="41"/>
  <c r="G132" i="41"/>
  <c r="D133" i="41"/>
  <c r="I128" i="63"/>
  <c r="H128" i="63"/>
  <c r="H124" i="86"/>
  <c r="I124" i="86"/>
  <c r="B133" i="34"/>
  <c r="F133" i="34"/>
  <c r="I127" i="68"/>
  <c r="H127" i="68"/>
  <c r="F126" i="85"/>
  <c r="B126" i="85"/>
  <c r="F127" i="79"/>
  <c r="B127" i="79"/>
  <c r="B125" i="88"/>
  <c r="F125" i="88"/>
  <c r="I134" i="70"/>
  <c r="H134" i="70"/>
  <c r="B134" i="31"/>
  <c r="F134" i="31"/>
  <c r="I128" i="60"/>
  <c r="H128" i="60"/>
  <c r="F135" i="30"/>
  <c r="B135" i="30"/>
  <c r="H132" i="20"/>
  <c r="I132" i="20"/>
  <c r="I134" i="27"/>
  <c r="H134" i="27"/>
  <c r="F128" i="66"/>
  <c r="B128" i="66"/>
  <c r="B132" i="43"/>
  <c r="F132" i="43"/>
  <c r="I126" i="78"/>
  <c r="H126" i="78"/>
  <c r="H128" i="64"/>
  <c r="I128" i="64"/>
  <c r="B133" i="19"/>
  <c r="F133" i="19"/>
  <c r="E133" i="73"/>
  <c r="G132" i="73"/>
  <c r="D133" i="73"/>
  <c r="H128" i="65"/>
  <c r="I128" i="65"/>
  <c r="F125" i="86"/>
  <c r="B125" i="86"/>
  <c r="H132" i="34"/>
  <c r="I132" i="34"/>
  <c r="H126" i="79"/>
  <c r="I126" i="79"/>
  <c r="J124" i="91"/>
  <c r="H134" i="29"/>
  <c r="I134" i="29"/>
  <c r="F135" i="70"/>
  <c r="B135" i="70"/>
  <c r="H134" i="30"/>
  <c r="I134" i="30"/>
  <c r="H129" i="58"/>
  <c r="I129" i="58"/>
  <c r="D132" i="45"/>
  <c r="G131" i="45"/>
  <c r="E132" i="45"/>
  <c r="B129" i="61"/>
  <c r="F129" i="61"/>
  <c r="I131" i="43"/>
  <c r="H131" i="43"/>
  <c r="F130" i="53"/>
  <c r="B130" i="53"/>
  <c r="F125" i="92"/>
  <c r="B125" i="92"/>
  <c r="F127" i="78"/>
  <c r="B127" i="78"/>
  <c r="G129" i="62"/>
  <c r="E130" i="62"/>
  <c r="D130" i="62"/>
  <c r="D126" i="89"/>
  <c r="E126" i="89"/>
  <c r="G125" i="89"/>
  <c r="B129" i="63"/>
  <c r="F129" i="63"/>
  <c r="B129" i="65"/>
  <c r="F129" i="65"/>
  <c r="H125" i="85"/>
  <c r="I125" i="85"/>
  <c r="F135" i="69"/>
  <c r="B135" i="69"/>
  <c r="I124" i="84"/>
  <c r="H124" i="84"/>
  <c r="F135" i="29"/>
  <c r="B135" i="29"/>
  <c r="F129" i="60"/>
  <c r="B129" i="60"/>
  <c r="H131" i="39"/>
  <c r="I131" i="39"/>
  <c r="B130" i="72"/>
  <c r="F130" i="72"/>
  <c r="F130" i="58"/>
  <c r="B130" i="58"/>
  <c r="D126" i="91"/>
  <c r="G125" i="91"/>
  <c r="E126" i="91"/>
  <c r="B135" i="27"/>
  <c r="F135" i="27"/>
  <c r="F134" i="32"/>
  <c r="B134" i="32"/>
  <c r="B131" i="74"/>
  <c r="F131" i="74"/>
  <c r="I129" i="46"/>
  <c r="H129" i="46"/>
  <c r="F129" i="64"/>
  <c r="B129" i="64"/>
  <c r="F125" i="90"/>
  <c r="B125" i="90"/>
  <c r="H132" i="19"/>
  <c r="I132" i="19"/>
  <c r="J129" i="55"/>
  <c r="E132" i="56"/>
  <c r="G131" i="56"/>
  <c r="D132" i="56"/>
  <c r="B134" i="18"/>
  <c r="F134" i="18"/>
  <c r="F130" i="59"/>
  <c r="B130" i="59"/>
  <c r="I133" i="18"/>
  <c r="H133" i="18"/>
  <c r="J126" i="75"/>
  <c r="I134" i="23"/>
  <c r="H134" i="23"/>
  <c r="H129" i="59"/>
  <c r="I129" i="59"/>
  <c r="J130" i="56"/>
  <c r="F135" i="23"/>
  <c r="B135" i="23"/>
  <c r="H130" i="57"/>
  <c r="I130" i="57"/>
  <c r="J125" i="80"/>
  <c r="H134" i="71"/>
  <c r="I134" i="71"/>
  <c r="F135" i="71"/>
  <c r="B135" i="71"/>
  <c r="J124" i="93"/>
  <c r="J133" i="24"/>
  <c r="J123" i="13"/>
  <c r="F131" i="57"/>
  <c r="B131" i="57"/>
  <c r="G125" i="25"/>
  <c r="D126" i="25"/>
  <c r="E126" i="25" s="1"/>
  <c r="D126" i="93"/>
  <c r="E126" i="93" s="1"/>
  <c r="G125" i="93"/>
  <c r="H135" i="28"/>
  <c r="I135" i="28"/>
  <c r="F126" i="94"/>
  <c r="B126" i="94"/>
  <c r="E128" i="75"/>
  <c r="G127" i="75"/>
  <c r="D128" i="75"/>
  <c r="H133" i="17"/>
  <c r="I133" i="17"/>
  <c r="B125" i="96"/>
  <c r="E133" i="42"/>
  <c r="G132" i="42"/>
  <c r="D133" i="42"/>
  <c r="B132" i="44"/>
  <c r="F132" i="44"/>
  <c r="D131" i="55"/>
  <c r="G130" i="55"/>
  <c r="E131" i="55"/>
  <c r="G124" i="13"/>
  <c r="D125" i="13"/>
  <c r="E125" i="13" s="1"/>
  <c r="E128" i="77"/>
  <c r="D128" i="77"/>
  <c r="G127" i="77"/>
  <c r="I125" i="94"/>
  <c r="H125" i="94"/>
  <c r="F133" i="3"/>
  <c r="B133" i="3"/>
  <c r="B128" i="67"/>
  <c r="F128" i="67"/>
  <c r="G124" i="33"/>
  <c r="D125" i="33"/>
  <c r="E125" i="33" s="1"/>
  <c r="J124" i="25"/>
  <c r="E128" i="76"/>
  <c r="D128" i="76"/>
  <c r="G127" i="76"/>
  <c r="H124" i="96"/>
  <c r="I124" i="96"/>
  <c r="E134" i="21"/>
  <c r="G133" i="21"/>
  <c r="D134" i="21"/>
  <c r="H131" i="44"/>
  <c r="I131" i="44"/>
  <c r="J126" i="76"/>
  <c r="E131" i="54"/>
  <c r="D131" i="54"/>
  <c r="G130" i="54"/>
  <c r="J125" i="83"/>
  <c r="G126" i="80"/>
  <c r="E127" i="80"/>
  <c r="D127" i="80"/>
  <c r="H125" i="95"/>
  <c r="I125" i="95"/>
  <c r="I132" i="3"/>
  <c r="H132" i="3"/>
  <c r="G134" i="24"/>
  <c r="E135" i="24"/>
  <c r="D135" i="24"/>
  <c r="H127" i="67"/>
  <c r="I127" i="67"/>
  <c r="F125" i="87"/>
  <c r="B125" i="87"/>
  <c r="E127" i="83"/>
  <c r="G126" i="83"/>
  <c r="D127" i="83"/>
  <c r="H125" i="82"/>
  <c r="I125" i="82"/>
  <c r="B136" i="28"/>
  <c r="F136" i="28"/>
  <c r="J123" i="33"/>
  <c r="F126" i="95"/>
  <c r="B126" i="95"/>
  <c r="H124" i="87"/>
  <c r="I124" i="87"/>
  <c r="J131" i="42"/>
  <c r="F134" i="17"/>
  <c r="B134" i="17"/>
  <c r="E125" i="96"/>
  <c r="F125" i="96" s="1"/>
  <c r="J129" i="54"/>
  <c r="F126" i="82"/>
  <c r="B126" i="82"/>
  <c r="I45" i="25" l="1"/>
  <c r="D58" i="97"/>
  <c r="H57" i="97"/>
  <c r="G57" i="97"/>
  <c r="I45" i="98"/>
  <c r="I56" i="97"/>
  <c r="H45" i="94"/>
  <c r="I45" i="94" s="1"/>
  <c r="D46" i="98"/>
  <c r="E46" i="98"/>
  <c r="D51" i="99"/>
  <c r="E51" i="99"/>
  <c r="F125" i="99"/>
  <c r="B125" i="99"/>
  <c r="H124" i="99"/>
  <c r="I124" i="99"/>
  <c r="E126" i="26"/>
  <c r="F126" i="26" s="1"/>
  <c r="G54" i="24"/>
  <c r="I54" i="24" s="1"/>
  <c r="J124" i="98"/>
  <c r="G125" i="97"/>
  <c r="D126" i="97"/>
  <c r="E126" i="97"/>
  <c r="J124" i="97"/>
  <c r="H125" i="26"/>
  <c r="I125" i="26"/>
  <c r="D126" i="98"/>
  <c r="G125" i="98"/>
  <c r="E126" i="98"/>
  <c r="H46" i="84"/>
  <c r="I46" i="84" s="1"/>
  <c r="I46" i="86"/>
  <c r="G55" i="70"/>
  <c r="I55" i="70" s="1"/>
  <c r="H49" i="67"/>
  <c r="I49" i="67" s="1"/>
  <c r="D50" i="67"/>
  <c r="E50" i="67"/>
  <c r="G50" i="46"/>
  <c r="I50" i="46" s="1"/>
  <c r="E51" i="46"/>
  <c r="D51" i="46"/>
  <c r="E55" i="24"/>
  <c r="D55" i="24"/>
  <c r="I47" i="82"/>
  <c r="G47" i="76"/>
  <c r="I47" i="76" s="1"/>
  <c r="E45" i="93"/>
  <c r="D45" i="93"/>
  <c r="B47" i="86"/>
  <c r="F47" i="86"/>
  <c r="G44" i="93"/>
  <c r="B46" i="25"/>
  <c r="E46" i="25"/>
  <c r="F46" i="25" s="1"/>
  <c r="D48" i="80"/>
  <c r="E48" i="80"/>
  <c r="F48" i="82"/>
  <c r="B48" i="82"/>
  <c r="E46" i="94"/>
  <c r="D46" i="94"/>
  <c r="I51" i="58"/>
  <c r="H44" i="93"/>
  <c r="H47" i="80"/>
  <c r="I47" i="80" s="1"/>
  <c r="F48" i="75"/>
  <c r="G48" i="75" s="1"/>
  <c r="B48" i="75"/>
  <c r="G50" i="53"/>
  <c r="D51" i="53"/>
  <c r="E51" i="53"/>
  <c r="H49" i="66"/>
  <c r="D50" i="66"/>
  <c r="E50" i="66"/>
  <c r="G53" i="43"/>
  <c r="I53" i="43" s="1"/>
  <c r="G49" i="60"/>
  <c r="I49" i="60" s="1"/>
  <c r="E56" i="23"/>
  <c r="H55" i="23"/>
  <c r="G55" i="23"/>
  <c r="D56" i="23"/>
  <c r="I52" i="39"/>
  <c r="F49" i="65"/>
  <c r="G49" i="65" s="1"/>
  <c r="B49" i="65"/>
  <c r="H50" i="53"/>
  <c r="H47" i="90"/>
  <c r="I47" i="90" s="1"/>
  <c r="E48" i="90"/>
  <c r="D48" i="90"/>
  <c r="G49" i="66"/>
  <c r="I49" i="66" s="1"/>
  <c r="B52" i="55"/>
  <c r="F52" i="55"/>
  <c r="H52" i="55" s="1"/>
  <c r="E47" i="91"/>
  <c r="D47" i="91"/>
  <c r="G50" i="57"/>
  <c r="I50" i="57" s="1"/>
  <c r="G53" i="22"/>
  <c r="D47" i="84"/>
  <c r="E47" i="84"/>
  <c r="B53" i="42"/>
  <c r="F53" i="42"/>
  <c r="H53" i="42" s="1"/>
  <c r="B52" i="58"/>
  <c r="F52" i="58"/>
  <c r="I46" i="91"/>
  <c r="I53" i="22"/>
  <c r="B45" i="95"/>
  <c r="F45" i="95"/>
  <c r="G45" i="95" s="1"/>
  <c r="H52" i="44"/>
  <c r="I52" i="44" s="1"/>
  <c r="E53" i="44"/>
  <c r="D53" i="44"/>
  <c r="G47" i="77"/>
  <c r="I47" i="77" s="1"/>
  <c r="B51" i="72"/>
  <c r="F51" i="72"/>
  <c r="H51" i="72" s="1"/>
  <c r="E48" i="76"/>
  <c r="D48" i="76"/>
  <c r="G46" i="81"/>
  <c r="I46" i="81" s="1"/>
  <c r="E47" i="81"/>
  <c r="D47" i="81"/>
  <c r="D54" i="22"/>
  <c r="E54" i="22"/>
  <c r="H55" i="27"/>
  <c r="D56" i="27"/>
  <c r="E56" i="27"/>
  <c r="G55" i="27"/>
  <c r="G49" i="61"/>
  <c r="E50" i="61"/>
  <c r="D50" i="61"/>
  <c r="I45" i="87"/>
  <c r="G45" i="92"/>
  <c r="I45" i="92" s="1"/>
  <c r="H53" i="41"/>
  <c r="I53" i="41" s="1"/>
  <c r="H44" i="96"/>
  <c r="I44" i="96" s="1"/>
  <c r="D45" i="96"/>
  <c r="E45" i="96"/>
  <c r="H49" i="61"/>
  <c r="B53" i="39"/>
  <c r="F53" i="39"/>
  <c r="H53" i="39" s="1"/>
  <c r="B47" i="85"/>
  <c r="F47" i="85"/>
  <c r="G47" i="85" s="1"/>
  <c r="F55" i="34"/>
  <c r="G55" i="34" s="1"/>
  <c r="B55" i="34"/>
  <c r="E53" i="74"/>
  <c r="D53" i="74"/>
  <c r="D48" i="78"/>
  <c r="E48" i="78"/>
  <c r="E54" i="17"/>
  <c r="D54" i="17"/>
  <c r="B52" i="45"/>
  <c r="F52" i="45"/>
  <c r="H52" i="45" s="1"/>
  <c r="F50" i="56"/>
  <c r="H50" i="56" s="1"/>
  <c r="B50" i="56"/>
  <c r="G45" i="89"/>
  <c r="E46" i="89"/>
  <c r="D46" i="89"/>
  <c r="B55" i="71"/>
  <c r="F55" i="71"/>
  <c r="H55" i="71" s="1"/>
  <c r="D48" i="79"/>
  <c r="E48" i="79"/>
  <c r="G47" i="78"/>
  <c r="I47" i="78" s="1"/>
  <c r="G53" i="17"/>
  <c r="H53" i="17"/>
  <c r="B56" i="69"/>
  <c r="F56" i="69"/>
  <c r="H56" i="69" s="1"/>
  <c r="G54" i="32"/>
  <c r="E55" i="32"/>
  <c r="D55" i="32"/>
  <c r="D56" i="29"/>
  <c r="E56" i="29"/>
  <c r="D51" i="54"/>
  <c r="E51" i="54"/>
  <c r="I56" i="28"/>
  <c r="D50" i="63"/>
  <c r="E50" i="63"/>
  <c r="F56" i="31"/>
  <c r="G56" i="31" s="1"/>
  <c r="B56" i="31"/>
  <c r="B50" i="64"/>
  <c r="F50" i="64"/>
  <c r="G50" i="64" s="1"/>
  <c r="B54" i="19"/>
  <c r="F54" i="19"/>
  <c r="H54" i="19" s="1"/>
  <c r="G52" i="74"/>
  <c r="I52" i="74" s="1"/>
  <c r="B49" i="68"/>
  <c r="F49" i="68"/>
  <c r="H49" i="68" s="1"/>
  <c r="F46" i="83"/>
  <c r="H46" i="83" s="1"/>
  <c r="B46" i="83"/>
  <c r="E54" i="41"/>
  <c r="D54" i="41"/>
  <c r="D56" i="70"/>
  <c r="E56" i="70"/>
  <c r="F47" i="88"/>
  <c r="H47" i="88" s="1"/>
  <c r="B47" i="88"/>
  <c r="D54" i="43"/>
  <c r="E54" i="43"/>
  <c r="H45" i="89"/>
  <c r="G50" i="54"/>
  <c r="G49" i="63"/>
  <c r="D51" i="57"/>
  <c r="E51" i="57"/>
  <c r="H52" i="73"/>
  <c r="I52" i="73" s="1"/>
  <c r="D53" i="73"/>
  <c r="E53" i="73"/>
  <c r="G47" i="79"/>
  <c r="E46" i="92"/>
  <c r="D46" i="92"/>
  <c r="G53" i="21"/>
  <c r="I53" i="21" s="1"/>
  <c r="D54" i="21"/>
  <c r="E54" i="21"/>
  <c r="B55" i="30"/>
  <c r="F55" i="30"/>
  <c r="G55" i="30" s="1"/>
  <c r="D48" i="77"/>
  <c r="E48" i="77"/>
  <c r="H54" i="32"/>
  <c r="B54" i="3"/>
  <c r="F54" i="3"/>
  <c r="G54" i="3" s="1"/>
  <c r="H55" i="29"/>
  <c r="I55" i="29" s="1"/>
  <c r="H50" i="54"/>
  <c r="H49" i="63"/>
  <c r="D50" i="60"/>
  <c r="E50" i="60"/>
  <c r="F57" i="28"/>
  <c r="G57" i="28" s="1"/>
  <c r="B57" i="28"/>
  <c r="H47" i="79"/>
  <c r="J130" i="57"/>
  <c r="J132" i="19"/>
  <c r="J124" i="84"/>
  <c r="J132" i="20"/>
  <c r="J124" i="86"/>
  <c r="J129" i="58"/>
  <c r="J134" i="30"/>
  <c r="J134" i="29"/>
  <c r="J128" i="64"/>
  <c r="J129" i="53"/>
  <c r="J134" i="69"/>
  <c r="J131" i="43"/>
  <c r="J128" i="61"/>
  <c r="J124" i="88"/>
  <c r="J129" i="46"/>
  <c r="J124" i="87"/>
  <c r="J124" i="96"/>
  <c r="B47" i="33"/>
  <c r="F47" i="33"/>
  <c r="D50" i="59"/>
  <c r="E50" i="59"/>
  <c r="D55" i="18"/>
  <c r="E55" i="18"/>
  <c r="F46" i="26"/>
  <c r="G46" i="26" s="1"/>
  <c r="B46" i="26"/>
  <c r="B53" i="20"/>
  <c r="F53" i="20"/>
  <c r="H53" i="20" s="1"/>
  <c r="G49" i="59"/>
  <c r="I49" i="59" s="1"/>
  <c r="G54" i="18"/>
  <c r="I54" i="18" s="1"/>
  <c r="B49" i="62"/>
  <c r="F49" i="62"/>
  <c r="H49" i="62" s="1"/>
  <c r="J124" i="90"/>
  <c r="J130" i="74"/>
  <c r="J127" i="66"/>
  <c r="B45" i="13"/>
  <c r="F45" i="13"/>
  <c r="H45" i="13" s="1"/>
  <c r="F46" i="87"/>
  <c r="G46" i="87" s="1"/>
  <c r="B46" i="87"/>
  <c r="D131" i="58"/>
  <c r="E131" i="58"/>
  <c r="G130" i="58"/>
  <c r="E136" i="29"/>
  <c r="D136" i="29"/>
  <c r="G135" i="29"/>
  <c r="G135" i="69"/>
  <c r="E136" i="69"/>
  <c r="D136" i="69"/>
  <c r="I129" i="62"/>
  <c r="H129" i="62"/>
  <c r="D126" i="92"/>
  <c r="G125" i="92"/>
  <c r="E126" i="92"/>
  <c r="I131" i="45"/>
  <c r="H131" i="45"/>
  <c r="G125" i="86"/>
  <c r="E126" i="86"/>
  <c r="D126" i="86"/>
  <c r="H132" i="73"/>
  <c r="I132" i="73"/>
  <c r="E133" i="43"/>
  <c r="D133" i="43"/>
  <c r="G132" i="43"/>
  <c r="G134" i="31"/>
  <c r="D135" i="31"/>
  <c r="E135" i="31"/>
  <c r="D126" i="88"/>
  <c r="G125" i="88"/>
  <c r="E126" i="88"/>
  <c r="D134" i="34"/>
  <c r="G133" i="34"/>
  <c r="E134" i="34"/>
  <c r="B134" i="22"/>
  <c r="F134" i="22"/>
  <c r="E126" i="90"/>
  <c r="D126" i="90"/>
  <c r="G125" i="90"/>
  <c r="D135" i="32"/>
  <c r="E135" i="32"/>
  <c r="G134" i="32"/>
  <c r="I125" i="91"/>
  <c r="H125" i="91"/>
  <c r="E131" i="72"/>
  <c r="G130" i="72"/>
  <c r="D131" i="72"/>
  <c r="J125" i="85"/>
  <c r="D130" i="63"/>
  <c r="G129" i="63"/>
  <c r="E130" i="63"/>
  <c r="F126" i="89"/>
  <c r="B126" i="89"/>
  <c r="G129" i="61"/>
  <c r="D130" i="61"/>
  <c r="E130" i="61"/>
  <c r="B132" i="45"/>
  <c r="F132" i="45"/>
  <c r="J132" i="34"/>
  <c r="J128" i="65"/>
  <c r="J134" i="27"/>
  <c r="E136" i="30"/>
  <c r="G135" i="30"/>
  <c r="D136" i="30"/>
  <c r="E127" i="85"/>
  <c r="D127" i="85"/>
  <c r="G126" i="85"/>
  <c r="J128" i="63"/>
  <c r="J124" i="92"/>
  <c r="J129" i="72"/>
  <c r="D134" i="20"/>
  <c r="E134" i="20"/>
  <c r="G133" i="20"/>
  <c r="D126" i="84"/>
  <c r="E126" i="84"/>
  <c r="G125" i="84"/>
  <c r="H126" i="81"/>
  <c r="I126" i="81"/>
  <c r="G131" i="74"/>
  <c r="D132" i="74"/>
  <c r="E132" i="74"/>
  <c r="E136" i="27"/>
  <c r="G135" i="27"/>
  <c r="D136" i="27"/>
  <c r="B126" i="91"/>
  <c r="F126" i="91"/>
  <c r="G129" i="60"/>
  <c r="D130" i="60"/>
  <c r="E130" i="60"/>
  <c r="B130" i="62"/>
  <c r="F130" i="62"/>
  <c r="E128" i="78"/>
  <c r="G127" i="78"/>
  <c r="D128" i="78"/>
  <c r="G130" i="53"/>
  <c r="D131" i="53"/>
  <c r="E131" i="53"/>
  <c r="G133" i="19"/>
  <c r="E134" i="19"/>
  <c r="D134" i="19"/>
  <c r="B133" i="41"/>
  <c r="F133" i="41"/>
  <c r="G130" i="46"/>
  <c r="E131" i="46"/>
  <c r="D131" i="46"/>
  <c r="H133" i="22"/>
  <c r="I133" i="22"/>
  <c r="J134" i="23"/>
  <c r="E130" i="64"/>
  <c r="G129" i="64"/>
  <c r="D130" i="64"/>
  <c r="J131" i="39"/>
  <c r="G129" i="65"/>
  <c r="D130" i="65"/>
  <c r="E130" i="65"/>
  <c r="I125" i="89"/>
  <c r="H125" i="89"/>
  <c r="D136" i="70"/>
  <c r="E136" i="70"/>
  <c r="G135" i="70"/>
  <c r="J126" i="79"/>
  <c r="F133" i="73"/>
  <c r="B133" i="73"/>
  <c r="J126" i="78"/>
  <c r="G128" i="66"/>
  <c r="D129" i="66"/>
  <c r="E129" i="66"/>
  <c r="J128" i="60"/>
  <c r="J134" i="70"/>
  <c r="D128" i="79"/>
  <c r="G127" i="79"/>
  <c r="E128" i="79"/>
  <c r="J127" i="68"/>
  <c r="I132" i="41"/>
  <c r="H132" i="41"/>
  <c r="J133" i="32"/>
  <c r="E133" i="39"/>
  <c r="G132" i="39"/>
  <c r="D133" i="39"/>
  <c r="J133" i="31"/>
  <c r="F127" i="81"/>
  <c r="B127" i="81"/>
  <c r="E129" i="68"/>
  <c r="G128" i="68"/>
  <c r="D129" i="68"/>
  <c r="J131" i="44"/>
  <c r="J134" i="71"/>
  <c r="G130" i="59"/>
  <c r="D131" i="59"/>
  <c r="E131" i="59"/>
  <c r="H131" i="56"/>
  <c r="I131" i="56"/>
  <c r="D136" i="23"/>
  <c r="G135" i="23"/>
  <c r="E136" i="23"/>
  <c r="J129" i="59"/>
  <c r="J133" i="18"/>
  <c r="E135" i="18"/>
  <c r="G134" i="18"/>
  <c r="D135" i="18"/>
  <c r="F132" i="56"/>
  <c r="B132" i="56"/>
  <c r="J125" i="94"/>
  <c r="E132" i="57"/>
  <c r="G131" i="57"/>
  <c r="D132" i="57"/>
  <c r="J127" i="67"/>
  <c r="J132" i="3"/>
  <c r="D136" i="71"/>
  <c r="G135" i="71"/>
  <c r="E136" i="71"/>
  <c r="J125" i="82"/>
  <c r="J125" i="95"/>
  <c r="J135" i="28"/>
  <c r="G125" i="96"/>
  <c r="D126" i="96"/>
  <c r="E126" i="96" s="1"/>
  <c r="E135" i="17"/>
  <c r="D135" i="17"/>
  <c r="G134" i="17"/>
  <c r="F127" i="80"/>
  <c r="B127" i="80"/>
  <c r="H133" i="21"/>
  <c r="I133" i="21"/>
  <c r="H127" i="77"/>
  <c r="I127" i="77"/>
  <c r="F133" i="42"/>
  <c r="B133" i="42"/>
  <c r="F128" i="75"/>
  <c r="B128" i="75"/>
  <c r="G126" i="94"/>
  <c r="D127" i="94"/>
  <c r="E127" i="94" s="1"/>
  <c r="F126" i="93"/>
  <c r="B126" i="93"/>
  <c r="D127" i="82"/>
  <c r="G126" i="82"/>
  <c r="E127" i="82"/>
  <c r="I126" i="83"/>
  <c r="H126" i="83"/>
  <c r="G126" i="95"/>
  <c r="D127" i="95"/>
  <c r="E127" i="95" s="1"/>
  <c r="B135" i="24"/>
  <c r="F135" i="24"/>
  <c r="I130" i="54"/>
  <c r="H130" i="54"/>
  <c r="G128" i="67"/>
  <c r="D129" i="67"/>
  <c r="E129" i="67"/>
  <c r="B128" i="77"/>
  <c r="F128" i="77"/>
  <c r="F125" i="13"/>
  <c r="B125" i="13"/>
  <c r="I130" i="55"/>
  <c r="H130" i="55"/>
  <c r="G132" i="44"/>
  <c r="D133" i="44"/>
  <c r="E133" i="44"/>
  <c r="I132" i="42"/>
  <c r="H132" i="42"/>
  <c r="H127" i="75"/>
  <c r="I127" i="75"/>
  <c r="B126" i="25"/>
  <c r="F126" i="25"/>
  <c r="D137" i="28"/>
  <c r="G136" i="28"/>
  <c r="E137" i="28"/>
  <c r="F127" i="83"/>
  <c r="B127" i="83"/>
  <c r="G125" i="87"/>
  <c r="D126" i="87"/>
  <c r="E126" i="87"/>
  <c r="H126" i="80"/>
  <c r="I126" i="80"/>
  <c r="F131" i="54"/>
  <c r="B131" i="54"/>
  <c r="H127" i="76"/>
  <c r="I127" i="76"/>
  <c r="B125" i="33"/>
  <c r="F125" i="33"/>
  <c r="F131" i="55"/>
  <c r="B131" i="55"/>
  <c r="J133" i="17"/>
  <c r="H125" i="93"/>
  <c r="I125" i="93"/>
  <c r="I125" i="25"/>
  <c r="H125" i="25"/>
  <c r="I134" i="24"/>
  <c r="H134" i="24"/>
  <c r="F134" i="21"/>
  <c r="B134" i="21"/>
  <c r="B128" i="76"/>
  <c r="F128" i="76"/>
  <c r="H124" i="33"/>
  <c r="I124" i="33"/>
  <c r="D134" i="3"/>
  <c r="G133" i="3"/>
  <c r="E134" i="3"/>
  <c r="H124" i="13"/>
  <c r="I124" i="13"/>
  <c r="I49" i="61" l="1"/>
  <c r="J124" i="99"/>
  <c r="B46" i="98"/>
  <c r="F46" i="98"/>
  <c r="G46" i="98" s="1"/>
  <c r="I57" i="97"/>
  <c r="B51" i="99"/>
  <c r="F51" i="99"/>
  <c r="G51" i="99" s="1"/>
  <c r="E58" i="97"/>
  <c r="F58" i="97" s="1"/>
  <c r="D59" i="97" s="1"/>
  <c r="B58" i="97"/>
  <c r="D126" i="99"/>
  <c r="G125" i="99"/>
  <c r="E126" i="99"/>
  <c r="J125" i="26"/>
  <c r="G126" i="26"/>
  <c r="D127" i="26"/>
  <c r="G49" i="68"/>
  <c r="I49" i="68" s="1"/>
  <c r="G50" i="56"/>
  <c r="I50" i="56" s="1"/>
  <c r="I50" i="54"/>
  <c r="I54" i="32"/>
  <c r="I55" i="23"/>
  <c r="H125" i="98"/>
  <c r="I125" i="98"/>
  <c r="F126" i="98"/>
  <c r="B126" i="98"/>
  <c r="B126" i="97"/>
  <c r="F126" i="97"/>
  <c r="H125" i="97"/>
  <c r="I125" i="97"/>
  <c r="H45" i="95"/>
  <c r="I45" i="89"/>
  <c r="F50" i="67"/>
  <c r="G50" i="67" s="1"/>
  <c r="B50" i="67"/>
  <c r="F51" i="46"/>
  <c r="G51" i="46" s="1"/>
  <c r="B51" i="46"/>
  <c r="F55" i="24"/>
  <c r="H55" i="24" s="1"/>
  <c r="B55" i="24"/>
  <c r="H50" i="64"/>
  <c r="I50" i="64" s="1"/>
  <c r="D47" i="25"/>
  <c r="G46" i="25"/>
  <c r="H46" i="25"/>
  <c r="F46" i="94"/>
  <c r="H46" i="94" s="1"/>
  <c r="B46" i="94"/>
  <c r="H48" i="82"/>
  <c r="D49" i="82"/>
  <c r="E49" i="82"/>
  <c r="F45" i="93"/>
  <c r="H45" i="93" s="1"/>
  <c r="B45" i="93"/>
  <c r="G53" i="42"/>
  <c r="I53" i="42" s="1"/>
  <c r="H48" i="75"/>
  <c r="I48" i="75" s="1"/>
  <c r="I44" i="93"/>
  <c r="G49" i="62"/>
  <c r="I49" i="62" s="1"/>
  <c r="I55" i="27"/>
  <c r="I50" i="53"/>
  <c r="G48" i="82"/>
  <c r="B48" i="80"/>
  <c r="F48" i="80"/>
  <c r="G47" i="86"/>
  <c r="H47" i="86"/>
  <c r="D48" i="86"/>
  <c r="E48" i="86"/>
  <c r="G52" i="55"/>
  <c r="I52" i="55" s="1"/>
  <c r="E53" i="55"/>
  <c r="D53" i="55"/>
  <c r="F47" i="91"/>
  <c r="G47" i="91" s="1"/>
  <c r="B47" i="91"/>
  <c r="H49" i="65"/>
  <c r="I49" i="65" s="1"/>
  <c r="D50" i="65"/>
  <c r="E50" i="65"/>
  <c r="I47" i="79"/>
  <c r="F47" i="84"/>
  <c r="B47" i="84"/>
  <c r="B51" i="53"/>
  <c r="F51" i="53"/>
  <c r="H51" i="53" s="1"/>
  <c r="G52" i="58"/>
  <c r="D53" i="58"/>
  <c r="H52" i="58"/>
  <c r="E53" i="58"/>
  <c r="E54" i="42"/>
  <c r="D54" i="42"/>
  <c r="F48" i="90"/>
  <c r="H48" i="90" s="1"/>
  <c r="B48" i="90"/>
  <c r="B56" i="23"/>
  <c r="F56" i="23"/>
  <c r="B50" i="66"/>
  <c r="F50" i="66"/>
  <c r="H50" i="66" s="1"/>
  <c r="E49" i="75"/>
  <c r="D49" i="75"/>
  <c r="B54" i="22"/>
  <c r="F54" i="22"/>
  <c r="G54" i="22" s="1"/>
  <c r="I53" i="17"/>
  <c r="G53" i="39"/>
  <c r="I53" i="39" s="1"/>
  <c r="E54" i="39"/>
  <c r="D54" i="39"/>
  <c r="F45" i="96"/>
  <c r="B45" i="96"/>
  <c r="B56" i="27"/>
  <c r="F56" i="27"/>
  <c r="F47" i="81"/>
  <c r="H47" i="81" s="1"/>
  <c r="B47" i="81"/>
  <c r="G51" i="72"/>
  <c r="I51" i="72" s="1"/>
  <c r="E52" i="72"/>
  <c r="D52" i="72"/>
  <c r="F53" i="44"/>
  <c r="G53" i="44" s="1"/>
  <c r="B53" i="44"/>
  <c r="I45" i="95"/>
  <c r="F50" i="61"/>
  <c r="H50" i="61" s="1"/>
  <c r="B50" i="61"/>
  <c r="G54" i="19"/>
  <c r="I54" i="19" s="1"/>
  <c r="G55" i="71"/>
  <c r="I55" i="71" s="1"/>
  <c r="H47" i="85"/>
  <c r="I47" i="85" s="1"/>
  <c r="D48" i="85"/>
  <c r="E48" i="85"/>
  <c r="D46" i="95"/>
  <c r="E46" i="95"/>
  <c r="B48" i="76"/>
  <c r="F48" i="76"/>
  <c r="H48" i="76" s="1"/>
  <c r="I49" i="63"/>
  <c r="G53" i="20"/>
  <c r="I53" i="20" s="1"/>
  <c r="H46" i="26"/>
  <c r="I46" i="26" s="1"/>
  <c r="B46" i="92"/>
  <c r="F46" i="92"/>
  <c r="H46" i="92" s="1"/>
  <c r="G47" i="88"/>
  <c r="I47" i="88" s="1"/>
  <c r="F54" i="41"/>
  <c r="B54" i="41"/>
  <c r="G46" i="83"/>
  <c r="I46" i="83" s="1"/>
  <c r="D47" i="83"/>
  <c r="E47" i="83"/>
  <c r="D51" i="64"/>
  <c r="E51" i="64"/>
  <c r="F56" i="29"/>
  <c r="H56" i="29" s="1"/>
  <c r="B56" i="29"/>
  <c r="E51" i="56"/>
  <c r="D51" i="56"/>
  <c r="E55" i="19"/>
  <c r="D55" i="19"/>
  <c r="H56" i="31"/>
  <c r="I56" i="31" s="1"/>
  <c r="D57" i="31"/>
  <c r="E57" i="31"/>
  <c r="F55" i="32"/>
  <c r="G55" i="32" s="1"/>
  <c r="B55" i="32"/>
  <c r="D56" i="71"/>
  <c r="E56" i="71"/>
  <c r="B46" i="89"/>
  <c r="F46" i="89"/>
  <c r="H46" i="89" s="1"/>
  <c r="F48" i="78"/>
  <c r="B48" i="78"/>
  <c r="E56" i="30"/>
  <c r="D56" i="30"/>
  <c r="H57" i="28"/>
  <c r="I57" i="28" s="1"/>
  <c r="E58" i="28"/>
  <c r="D58" i="28"/>
  <c r="H54" i="3"/>
  <c r="I54" i="3" s="1"/>
  <c r="D55" i="3"/>
  <c r="E55" i="3"/>
  <c r="F48" i="77"/>
  <c r="G48" i="77" s="1"/>
  <c r="B48" i="77"/>
  <c r="B53" i="73"/>
  <c r="F53" i="73"/>
  <c r="H53" i="73" s="1"/>
  <c r="F51" i="57"/>
  <c r="G51" i="57" s="1"/>
  <c r="B51" i="57"/>
  <c r="F51" i="54"/>
  <c r="G51" i="54" s="1"/>
  <c r="B51" i="54"/>
  <c r="D57" i="69"/>
  <c r="E57" i="69"/>
  <c r="F48" i="79"/>
  <c r="B48" i="79"/>
  <c r="G52" i="45"/>
  <c r="I52" i="45" s="1"/>
  <c r="D53" i="45"/>
  <c r="E53" i="45"/>
  <c r="C63" i="17"/>
  <c r="F54" i="17"/>
  <c r="G54" i="17" s="1"/>
  <c r="B54" i="17"/>
  <c r="B53" i="74"/>
  <c r="F53" i="74"/>
  <c r="G53" i="74" s="1"/>
  <c r="H55" i="34"/>
  <c r="I55" i="34" s="1"/>
  <c r="E56" i="34"/>
  <c r="D56" i="34"/>
  <c r="B50" i="60"/>
  <c r="F50" i="60"/>
  <c r="H50" i="60" s="1"/>
  <c r="F54" i="21"/>
  <c r="G54" i="21" s="1"/>
  <c r="B54" i="21"/>
  <c r="B56" i="70"/>
  <c r="F56" i="70"/>
  <c r="H55" i="30"/>
  <c r="I55" i="30" s="1"/>
  <c r="B54" i="43"/>
  <c r="F54" i="43"/>
  <c r="D48" i="88"/>
  <c r="E48" i="88"/>
  <c r="E50" i="68"/>
  <c r="D50" i="68"/>
  <c r="B50" i="63"/>
  <c r="F50" i="63"/>
  <c r="H50" i="63" s="1"/>
  <c r="G56" i="69"/>
  <c r="I56" i="69" s="1"/>
  <c r="J130" i="55"/>
  <c r="J125" i="89"/>
  <c r="J132" i="41"/>
  <c r="J131" i="56"/>
  <c r="J126" i="81"/>
  <c r="J132" i="73"/>
  <c r="H46" i="87"/>
  <c r="I46" i="87" s="1"/>
  <c r="D46" i="13"/>
  <c r="E46" i="13" s="1"/>
  <c r="D48" i="33"/>
  <c r="J133" i="21"/>
  <c r="G45" i="13"/>
  <c r="I45" i="13" s="1"/>
  <c r="D54" i="20"/>
  <c r="E54" i="20"/>
  <c r="D47" i="26"/>
  <c r="E47" i="26" s="1"/>
  <c r="D47" i="87"/>
  <c r="E47" i="87"/>
  <c r="B50" i="59"/>
  <c r="F50" i="59"/>
  <c r="G50" i="59" s="1"/>
  <c r="H47" i="33"/>
  <c r="J127" i="77"/>
  <c r="D50" i="62"/>
  <c r="E50" i="62"/>
  <c r="B55" i="18"/>
  <c r="F55" i="18"/>
  <c r="H55" i="18" s="1"/>
  <c r="G47" i="33"/>
  <c r="J127" i="76"/>
  <c r="F129" i="68"/>
  <c r="B129" i="68"/>
  <c r="G127" i="81"/>
  <c r="E128" i="81"/>
  <c r="D128" i="81"/>
  <c r="I128" i="66"/>
  <c r="H128" i="66"/>
  <c r="I129" i="65"/>
  <c r="H129" i="65"/>
  <c r="F131" i="46"/>
  <c r="B131" i="46"/>
  <c r="H127" i="78"/>
  <c r="I127" i="78"/>
  <c r="H133" i="20"/>
  <c r="I133" i="20"/>
  <c r="F130" i="63"/>
  <c r="B130" i="63"/>
  <c r="H133" i="34"/>
  <c r="I133" i="34"/>
  <c r="B126" i="88"/>
  <c r="F126" i="88"/>
  <c r="H132" i="43"/>
  <c r="I132" i="43"/>
  <c r="F126" i="92"/>
  <c r="B126" i="92"/>
  <c r="H128" i="68"/>
  <c r="I128" i="68"/>
  <c r="I135" i="70"/>
  <c r="H135" i="70"/>
  <c r="B134" i="19"/>
  <c r="F134" i="19"/>
  <c r="B131" i="53"/>
  <c r="F131" i="53"/>
  <c r="F130" i="60"/>
  <c r="B130" i="60"/>
  <c r="B136" i="27"/>
  <c r="F136" i="27"/>
  <c r="B132" i="74"/>
  <c r="F132" i="74"/>
  <c r="H125" i="84"/>
  <c r="I125" i="84"/>
  <c r="F136" i="30"/>
  <c r="B136" i="30"/>
  <c r="G126" i="89"/>
  <c r="D127" i="89"/>
  <c r="E127" i="89"/>
  <c r="B135" i="32"/>
  <c r="F135" i="32"/>
  <c r="G134" i="22"/>
  <c r="E135" i="22"/>
  <c r="D135" i="22"/>
  <c r="F134" i="34"/>
  <c r="B134" i="34"/>
  <c r="B133" i="43"/>
  <c r="F133" i="43"/>
  <c r="F126" i="86"/>
  <c r="B126" i="86"/>
  <c r="J131" i="45"/>
  <c r="I135" i="69"/>
  <c r="H135" i="69"/>
  <c r="H130" i="58"/>
  <c r="I130" i="58"/>
  <c r="F133" i="39"/>
  <c r="B133" i="39"/>
  <c r="I127" i="79"/>
  <c r="H127" i="79"/>
  <c r="F130" i="64"/>
  <c r="B130" i="64"/>
  <c r="J133" i="22"/>
  <c r="I130" i="46"/>
  <c r="H130" i="46"/>
  <c r="H130" i="53"/>
  <c r="I130" i="53"/>
  <c r="G130" i="62"/>
  <c r="E131" i="62"/>
  <c r="D131" i="62"/>
  <c r="H129" i="60"/>
  <c r="I129" i="60"/>
  <c r="H135" i="27"/>
  <c r="I135" i="27"/>
  <c r="H131" i="74"/>
  <c r="I131" i="74"/>
  <c r="B134" i="20"/>
  <c r="F134" i="20"/>
  <c r="H126" i="85"/>
  <c r="I126" i="85"/>
  <c r="H135" i="30"/>
  <c r="I135" i="30"/>
  <c r="F130" i="61"/>
  <c r="B130" i="61"/>
  <c r="F131" i="72"/>
  <c r="B131" i="72"/>
  <c r="J125" i="91"/>
  <c r="H125" i="90"/>
  <c r="I125" i="90"/>
  <c r="B135" i="31"/>
  <c r="F135" i="31"/>
  <c r="J129" i="62"/>
  <c r="H135" i="29"/>
  <c r="I135" i="29"/>
  <c r="H132" i="39"/>
  <c r="I132" i="39"/>
  <c r="B128" i="79"/>
  <c r="F128" i="79"/>
  <c r="B129" i="66"/>
  <c r="F129" i="66"/>
  <c r="E134" i="73"/>
  <c r="D134" i="73"/>
  <c r="G133" i="73"/>
  <c r="F136" i="70"/>
  <c r="B136" i="70"/>
  <c r="B130" i="65"/>
  <c r="F130" i="65"/>
  <c r="H129" i="64"/>
  <c r="I129" i="64"/>
  <c r="D134" i="41"/>
  <c r="G133" i="41"/>
  <c r="E134" i="41"/>
  <c r="I133" i="19"/>
  <c r="H133" i="19"/>
  <c r="B128" i="78"/>
  <c r="F128" i="78"/>
  <c r="G126" i="91"/>
  <c r="E127" i="91"/>
  <c r="D127" i="91"/>
  <c r="B126" i="84"/>
  <c r="F126" i="84"/>
  <c r="B127" i="85"/>
  <c r="F127" i="85"/>
  <c r="E133" i="45"/>
  <c r="D133" i="45"/>
  <c r="G132" i="45"/>
  <c r="H129" i="61"/>
  <c r="I129" i="61"/>
  <c r="H129" i="63"/>
  <c r="I129" i="63"/>
  <c r="I130" i="72"/>
  <c r="H130" i="72"/>
  <c r="I134" i="32"/>
  <c r="H134" i="32"/>
  <c r="B126" i="90"/>
  <c r="F126" i="90"/>
  <c r="I125" i="88"/>
  <c r="H125" i="88"/>
  <c r="I134" i="31"/>
  <c r="H134" i="31"/>
  <c r="H125" i="86"/>
  <c r="I125" i="86"/>
  <c r="H125" i="92"/>
  <c r="I125" i="92"/>
  <c r="B136" i="69"/>
  <c r="F136" i="69"/>
  <c r="F136" i="29"/>
  <c r="B136" i="29"/>
  <c r="F131" i="58"/>
  <c r="B131" i="58"/>
  <c r="J127" i="75"/>
  <c r="D133" i="56"/>
  <c r="G132" i="56"/>
  <c r="E133" i="56"/>
  <c r="H134" i="18"/>
  <c r="I134" i="18"/>
  <c r="I135" i="23"/>
  <c r="H135" i="23"/>
  <c r="F131" i="59"/>
  <c r="B131" i="59"/>
  <c r="J125" i="25"/>
  <c r="B135" i="18"/>
  <c r="F135" i="18"/>
  <c r="B136" i="23"/>
  <c r="F136" i="23"/>
  <c r="H130" i="59"/>
  <c r="I130" i="59"/>
  <c r="B132" i="57"/>
  <c r="F132" i="57"/>
  <c r="H131" i="57"/>
  <c r="I131" i="57"/>
  <c r="J126" i="83"/>
  <c r="H135" i="71"/>
  <c r="I135" i="71"/>
  <c r="J124" i="13"/>
  <c r="J125" i="93"/>
  <c r="J126" i="80"/>
  <c r="B136" i="71"/>
  <c r="F136" i="71"/>
  <c r="J134" i="24"/>
  <c r="D128" i="83"/>
  <c r="G127" i="83"/>
  <c r="E128" i="83"/>
  <c r="H132" i="44"/>
  <c r="I132" i="44"/>
  <c r="D126" i="13"/>
  <c r="E126" i="13" s="1"/>
  <c r="G125" i="13"/>
  <c r="F129" i="67"/>
  <c r="B129" i="67"/>
  <c r="H126" i="95"/>
  <c r="I126" i="95"/>
  <c r="G128" i="75"/>
  <c r="E129" i="75"/>
  <c r="D129" i="75"/>
  <c r="I133" i="3"/>
  <c r="H133" i="3"/>
  <c r="J124" i="33"/>
  <c r="I136" i="28"/>
  <c r="H136" i="28"/>
  <c r="G126" i="25"/>
  <c r="D127" i="25"/>
  <c r="E127" i="25" s="1"/>
  <c r="I128" i="67"/>
  <c r="H128" i="67"/>
  <c r="I126" i="82"/>
  <c r="H126" i="82"/>
  <c r="B127" i="94"/>
  <c r="F127" i="94"/>
  <c r="D134" i="42"/>
  <c r="G133" i="42"/>
  <c r="E134" i="42"/>
  <c r="F134" i="3"/>
  <c r="B134" i="3"/>
  <c r="G131" i="55"/>
  <c r="E132" i="55"/>
  <c r="D132" i="55"/>
  <c r="G125" i="33"/>
  <c r="D126" i="33"/>
  <c r="E126" i="33" s="1"/>
  <c r="E132" i="54"/>
  <c r="D132" i="54"/>
  <c r="G131" i="54"/>
  <c r="B126" i="87"/>
  <c r="F126" i="87"/>
  <c r="B137" i="28"/>
  <c r="F137" i="28"/>
  <c r="F127" i="82"/>
  <c r="B127" i="82"/>
  <c r="G126" i="93"/>
  <c r="D127" i="93"/>
  <c r="E127" i="93" s="1"/>
  <c r="I126" i="94"/>
  <c r="H126" i="94"/>
  <c r="G127" i="80"/>
  <c r="E128" i="80"/>
  <c r="D128" i="80"/>
  <c r="I134" i="17"/>
  <c r="H134" i="17"/>
  <c r="B126" i="96"/>
  <c r="F126" i="96"/>
  <c r="G128" i="76"/>
  <c r="E129" i="76"/>
  <c r="D129" i="76"/>
  <c r="G134" i="21"/>
  <c r="D135" i="21"/>
  <c r="E135" i="21"/>
  <c r="H125" i="87"/>
  <c r="I125" i="87"/>
  <c r="J132" i="42"/>
  <c r="B133" i="44"/>
  <c r="F133" i="44"/>
  <c r="G128" i="77"/>
  <c r="D129" i="77"/>
  <c r="E129" i="77"/>
  <c r="J130" i="54"/>
  <c r="E136" i="24"/>
  <c r="G135" i="24"/>
  <c r="D136" i="24"/>
  <c r="F127" i="95"/>
  <c r="B127" i="95"/>
  <c r="B135" i="17"/>
  <c r="F135" i="17"/>
  <c r="H125" i="96"/>
  <c r="I125" i="96"/>
  <c r="H46" i="98" l="1"/>
  <c r="I46" i="98" s="1"/>
  <c r="E59" i="97"/>
  <c r="B59" i="97"/>
  <c r="F59" i="97"/>
  <c r="D60" i="97" s="1"/>
  <c r="D52" i="99"/>
  <c r="E52" i="99"/>
  <c r="H58" i="97"/>
  <c r="D47" i="98"/>
  <c r="E47" i="98"/>
  <c r="G58" i="97"/>
  <c r="H51" i="99"/>
  <c r="I51" i="99" s="1"/>
  <c r="I47" i="86"/>
  <c r="H125" i="99"/>
  <c r="I125" i="99"/>
  <c r="F126" i="99"/>
  <c r="B126" i="99"/>
  <c r="B127" i="26"/>
  <c r="E127" i="26"/>
  <c r="F127" i="26" s="1"/>
  <c r="J125" i="98"/>
  <c r="I126" i="26"/>
  <c r="H126" i="26"/>
  <c r="J125" i="97"/>
  <c r="H51" i="46"/>
  <c r="I51" i="46" s="1"/>
  <c r="D127" i="98"/>
  <c r="G126" i="98"/>
  <c r="E127" i="98"/>
  <c r="G126" i="97"/>
  <c r="D127" i="97"/>
  <c r="E127" i="97"/>
  <c r="G45" i="93"/>
  <c r="I45" i="93" s="1"/>
  <c r="H50" i="67"/>
  <c r="I50" i="67" s="1"/>
  <c r="E51" i="67"/>
  <c r="D51" i="67"/>
  <c r="E52" i="46"/>
  <c r="D52" i="46"/>
  <c r="G55" i="24"/>
  <c r="I55" i="24" s="1"/>
  <c r="D56" i="24"/>
  <c r="E56" i="24"/>
  <c r="I48" i="82"/>
  <c r="B48" i="86"/>
  <c r="F48" i="86"/>
  <c r="G48" i="80"/>
  <c r="D49" i="80"/>
  <c r="E49" i="80"/>
  <c r="D46" i="93"/>
  <c r="E46" i="93"/>
  <c r="E47" i="25"/>
  <c r="F47" i="25" s="1"/>
  <c r="B47" i="25"/>
  <c r="F49" i="82"/>
  <c r="B49" i="82"/>
  <c r="G46" i="94"/>
  <c r="I46" i="94" s="1"/>
  <c r="D47" i="94"/>
  <c r="E47" i="94"/>
  <c r="H48" i="80"/>
  <c r="I46" i="25"/>
  <c r="G56" i="29"/>
  <c r="I56" i="29" s="1"/>
  <c r="G48" i="76"/>
  <c r="I48" i="76" s="1"/>
  <c r="G56" i="23"/>
  <c r="E57" i="23"/>
  <c r="H56" i="23"/>
  <c r="D57" i="23"/>
  <c r="B54" i="42"/>
  <c r="F54" i="42"/>
  <c r="H54" i="42" s="1"/>
  <c r="F53" i="58"/>
  <c r="B53" i="58"/>
  <c r="B50" i="65"/>
  <c r="F50" i="65"/>
  <c r="G47" i="84"/>
  <c r="D48" i="84"/>
  <c r="E48" i="84"/>
  <c r="F53" i="55"/>
  <c r="H53" i="55" s="1"/>
  <c r="B53" i="55"/>
  <c r="G47" i="81"/>
  <c r="I47" i="81" s="1"/>
  <c r="G50" i="66"/>
  <c r="I50" i="66" s="1"/>
  <c r="D51" i="66"/>
  <c r="E51" i="66"/>
  <c r="G48" i="90"/>
  <c r="I48" i="90" s="1"/>
  <c r="D49" i="90"/>
  <c r="E49" i="90"/>
  <c r="F49" i="75"/>
  <c r="H49" i="75" s="1"/>
  <c r="B49" i="75"/>
  <c r="I52" i="58"/>
  <c r="G51" i="53"/>
  <c r="I51" i="53" s="1"/>
  <c r="D52" i="53"/>
  <c r="E52" i="53"/>
  <c r="H47" i="84"/>
  <c r="H47" i="91"/>
  <c r="I47" i="91" s="1"/>
  <c r="E48" i="91"/>
  <c r="D48" i="91"/>
  <c r="F48" i="85"/>
  <c r="G48" i="85" s="1"/>
  <c r="B48" i="85"/>
  <c r="G56" i="27"/>
  <c r="E57" i="27"/>
  <c r="D57" i="27"/>
  <c r="F52" i="72"/>
  <c r="G52" i="72" s="1"/>
  <c r="B52" i="72"/>
  <c r="H45" i="96"/>
  <c r="E46" i="96"/>
  <c r="D46" i="96"/>
  <c r="G50" i="63"/>
  <c r="I50" i="63" s="1"/>
  <c r="G50" i="60"/>
  <c r="I50" i="60" s="1"/>
  <c r="D49" i="76"/>
  <c r="E49" i="76"/>
  <c r="F46" i="95"/>
  <c r="H46" i="95" s="1"/>
  <c r="B46" i="95"/>
  <c r="H56" i="27"/>
  <c r="H54" i="22"/>
  <c r="I54" i="22" s="1"/>
  <c r="E55" i="22"/>
  <c r="D55" i="22"/>
  <c r="H54" i="17"/>
  <c r="I54" i="17" s="1"/>
  <c r="H51" i="57"/>
  <c r="I51" i="57" s="1"/>
  <c r="G50" i="61"/>
  <c r="I50" i="61" s="1"/>
  <c r="E51" i="61"/>
  <c r="D51" i="61"/>
  <c r="H53" i="44"/>
  <c r="I53" i="44" s="1"/>
  <c r="D54" i="44"/>
  <c r="E54" i="44"/>
  <c r="D48" i="81"/>
  <c r="E48" i="81"/>
  <c r="G45" i="96"/>
  <c r="B54" i="39"/>
  <c r="F54" i="39"/>
  <c r="H54" i="39" s="1"/>
  <c r="D55" i="43"/>
  <c r="E55" i="43"/>
  <c r="E57" i="70"/>
  <c r="D57" i="70"/>
  <c r="D49" i="79"/>
  <c r="E49" i="79"/>
  <c r="F56" i="30"/>
  <c r="B56" i="30"/>
  <c r="E49" i="78"/>
  <c r="D49" i="78"/>
  <c r="F57" i="31"/>
  <c r="B57" i="31"/>
  <c r="E55" i="41"/>
  <c r="D55" i="41"/>
  <c r="G55" i="18"/>
  <c r="I55" i="18" s="1"/>
  <c r="H53" i="74"/>
  <c r="I53" i="74" s="1"/>
  <c r="H48" i="79"/>
  <c r="B57" i="69"/>
  <c r="F57" i="69"/>
  <c r="E52" i="54"/>
  <c r="D52" i="54"/>
  <c r="G53" i="73"/>
  <c r="I53" i="73" s="1"/>
  <c r="D54" i="73"/>
  <c r="E54" i="73"/>
  <c r="E49" i="77"/>
  <c r="D49" i="77"/>
  <c r="B58" i="28"/>
  <c r="F58" i="28"/>
  <c r="G48" i="78"/>
  <c r="E47" i="89"/>
  <c r="D47" i="89"/>
  <c r="F51" i="64"/>
  <c r="H51" i="64" s="1"/>
  <c r="B51" i="64"/>
  <c r="G54" i="41"/>
  <c r="B56" i="71"/>
  <c r="F56" i="71"/>
  <c r="H56" i="71" s="1"/>
  <c r="H50" i="59"/>
  <c r="D51" i="63"/>
  <c r="E51" i="63"/>
  <c r="F50" i="68"/>
  <c r="H50" i="68" s="1"/>
  <c r="B50" i="68"/>
  <c r="F48" i="88"/>
  <c r="G48" i="88" s="1"/>
  <c r="B48" i="88"/>
  <c r="G54" i="43"/>
  <c r="G56" i="70"/>
  <c r="D51" i="60"/>
  <c r="E51" i="60"/>
  <c r="F56" i="34"/>
  <c r="G56" i="34" s="1"/>
  <c r="B56" i="34"/>
  <c r="H51" i="54"/>
  <c r="I51" i="54" s="1"/>
  <c r="H48" i="77"/>
  <c r="I48" i="77" s="1"/>
  <c r="H48" i="78"/>
  <c r="H55" i="32"/>
  <c r="I55" i="32" s="1"/>
  <c r="D56" i="32"/>
  <c r="E56" i="32"/>
  <c r="F55" i="19"/>
  <c r="G55" i="19" s="1"/>
  <c r="B55" i="19"/>
  <c r="H54" i="41"/>
  <c r="H54" i="21"/>
  <c r="I54" i="21" s="1"/>
  <c r="E55" i="21"/>
  <c r="D55" i="21"/>
  <c r="H54" i="43"/>
  <c r="H56" i="70"/>
  <c r="E54" i="74"/>
  <c r="D54" i="74"/>
  <c r="E55" i="17"/>
  <c r="D55" i="17"/>
  <c r="B53" i="45"/>
  <c r="F53" i="45"/>
  <c r="H53" i="45" s="1"/>
  <c r="G48" i="79"/>
  <c r="E52" i="57"/>
  <c r="D52" i="57"/>
  <c r="F55" i="3"/>
  <c r="H55" i="3" s="1"/>
  <c r="B55" i="3"/>
  <c r="G46" i="89"/>
  <c r="I46" i="89" s="1"/>
  <c r="F51" i="56"/>
  <c r="G51" i="56" s="1"/>
  <c r="B51" i="56"/>
  <c r="D57" i="29"/>
  <c r="E57" i="29"/>
  <c r="B47" i="83"/>
  <c r="F47" i="83"/>
  <c r="G46" i="92"/>
  <c r="I46" i="92" s="1"/>
  <c r="D47" i="92"/>
  <c r="E47" i="92"/>
  <c r="J134" i="31"/>
  <c r="J130" i="72"/>
  <c r="J135" i="69"/>
  <c r="J130" i="53"/>
  <c r="J127" i="79"/>
  <c r="J127" i="78"/>
  <c r="J129" i="64"/>
  <c r="J125" i="90"/>
  <c r="J125" i="84"/>
  <c r="J125" i="88"/>
  <c r="J134" i="32"/>
  <c r="J133" i="19"/>
  <c r="J128" i="68"/>
  <c r="J132" i="43"/>
  <c r="J133" i="34"/>
  <c r="J133" i="20"/>
  <c r="D56" i="18"/>
  <c r="E56" i="18"/>
  <c r="D51" i="59"/>
  <c r="E51" i="59"/>
  <c r="B47" i="26"/>
  <c r="F47" i="26"/>
  <c r="G47" i="26" s="1"/>
  <c r="B54" i="20"/>
  <c r="F54" i="20"/>
  <c r="H54" i="20" s="1"/>
  <c r="B48" i="33"/>
  <c r="J130" i="59"/>
  <c r="J134" i="18"/>
  <c r="J132" i="39"/>
  <c r="J126" i="85"/>
  <c r="J131" i="74"/>
  <c r="J129" i="60"/>
  <c r="J130" i="58"/>
  <c r="J128" i="66"/>
  <c r="B50" i="62"/>
  <c r="F50" i="62"/>
  <c r="H50" i="62" s="1"/>
  <c r="I47" i="33"/>
  <c r="I50" i="59"/>
  <c r="F46" i="13"/>
  <c r="G46" i="13" s="1"/>
  <c r="B46" i="13"/>
  <c r="B47" i="87"/>
  <c r="F47" i="87"/>
  <c r="G47" i="87" s="1"/>
  <c r="E48" i="33"/>
  <c r="F48" i="33" s="1"/>
  <c r="G131" i="58"/>
  <c r="D132" i="58"/>
  <c r="E132" i="58"/>
  <c r="B133" i="45"/>
  <c r="F133" i="45"/>
  <c r="G126" i="84"/>
  <c r="E127" i="84"/>
  <c r="D127" i="84"/>
  <c r="I126" i="91"/>
  <c r="H126" i="91"/>
  <c r="E132" i="72"/>
  <c r="D132" i="72"/>
  <c r="G131" i="72"/>
  <c r="G130" i="64"/>
  <c r="E131" i="64"/>
  <c r="D131" i="64"/>
  <c r="E134" i="39"/>
  <c r="G133" i="39"/>
  <c r="D134" i="39"/>
  <c r="E134" i="43"/>
  <c r="G133" i="43"/>
  <c r="D134" i="43"/>
  <c r="F135" i="22"/>
  <c r="B135" i="22"/>
  <c r="E133" i="74"/>
  <c r="D133" i="74"/>
  <c r="G132" i="74"/>
  <c r="D135" i="19"/>
  <c r="E135" i="19"/>
  <c r="G134" i="19"/>
  <c r="I127" i="81"/>
  <c r="H127" i="81"/>
  <c r="J128" i="67"/>
  <c r="J125" i="92"/>
  <c r="D127" i="90"/>
  <c r="E127" i="90"/>
  <c r="G126" i="90"/>
  <c r="J129" i="61"/>
  <c r="D129" i="78"/>
  <c r="E129" i="78"/>
  <c r="G128" i="78"/>
  <c r="D137" i="70"/>
  <c r="E137" i="70"/>
  <c r="G136" i="70"/>
  <c r="E130" i="66"/>
  <c r="D130" i="66"/>
  <c r="G129" i="66"/>
  <c r="H130" i="62"/>
  <c r="I130" i="62"/>
  <c r="J130" i="46"/>
  <c r="D137" i="30"/>
  <c r="G136" i="30"/>
  <c r="E137" i="30"/>
  <c r="E131" i="60"/>
  <c r="G130" i="60"/>
  <c r="D131" i="60"/>
  <c r="G131" i="46"/>
  <c r="D132" i="46"/>
  <c r="E132" i="46"/>
  <c r="G136" i="29"/>
  <c r="E137" i="29"/>
  <c r="D137" i="29"/>
  <c r="E128" i="85"/>
  <c r="G127" i="85"/>
  <c r="D128" i="85"/>
  <c r="B127" i="91"/>
  <c r="F127" i="91"/>
  <c r="H133" i="41"/>
  <c r="I133" i="41"/>
  <c r="D131" i="65"/>
  <c r="E131" i="65"/>
  <c r="G130" i="65"/>
  <c r="I133" i="73"/>
  <c r="H133" i="73"/>
  <c r="G135" i="31"/>
  <c r="E136" i="31"/>
  <c r="D136" i="31"/>
  <c r="G130" i="61"/>
  <c r="E131" i="61"/>
  <c r="D131" i="61"/>
  <c r="I134" i="22"/>
  <c r="H134" i="22"/>
  <c r="F127" i="89"/>
  <c r="B127" i="89"/>
  <c r="E137" i="27"/>
  <c r="G136" i="27"/>
  <c r="D137" i="27"/>
  <c r="G131" i="53"/>
  <c r="D132" i="53"/>
  <c r="E132" i="53"/>
  <c r="D127" i="88"/>
  <c r="G126" i="88"/>
  <c r="E127" i="88"/>
  <c r="F128" i="81"/>
  <c r="B128" i="81"/>
  <c r="G129" i="68"/>
  <c r="D130" i="68"/>
  <c r="E130" i="68"/>
  <c r="G136" i="69"/>
  <c r="D137" i="69"/>
  <c r="E137" i="69"/>
  <c r="J125" i="86"/>
  <c r="J129" i="63"/>
  <c r="I132" i="45"/>
  <c r="H132" i="45"/>
  <c r="B134" i="41"/>
  <c r="F134" i="41"/>
  <c r="F134" i="73"/>
  <c r="B134" i="73"/>
  <c r="E129" i="79"/>
  <c r="G128" i="79"/>
  <c r="D129" i="79"/>
  <c r="J135" i="29"/>
  <c r="J135" i="30"/>
  <c r="D135" i="20"/>
  <c r="E135" i="20"/>
  <c r="G134" i="20"/>
  <c r="J135" i="27"/>
  <c r="F131" i="62"/>
  <c r="B131" i="62"/>
  <c r="D127" i="86"/>
  <c r="G126" i="86"/>
  <c r="E127" i="86"/>
  <c r="G134" i="34"/>
  <c r="D135" i="34"/>
  <c r="E135" i="34"/>
  <c r="D136" i="32"/>
  <c r="E136" i="32"/>
  <c r="G135" i="32"/>
  <c r="H126" i="89"/>
  <c r="I126" i="89"/>
  <c r="J135" i="70"/>
  <c r="G126" i="92"/>
  <c r="E127" i="92"/>
  <c r="D127" i="92"/>
  <c r="E131" i="63"/>
  <c r="G130" i="63"/>
  <c r="D131" i="63"/>
  <c r="J129" i="65"/>
  <c r="J135" i="71"/>
  <c r="J131" i="57"/>
  <c r="E136" i="18"/>
  <c r="G135" i="18"/>
  <c r="D136" i="18"/>
  <c r="G131" i="59"/>
  <c r="E132" i="59"/>
  <c r="D132" i="59"/>
  <c r="J135" i="23"/>
  <c r="I132" i="56"/>
  <c r="H132" i="56"/>
  <c r="D137" i="23"/>
  <c r="E137" i="23"/>
  <c r="G136" i="23"/>
  <c r="F133" i="56"/>
  <c r="B133" i="56"/>
  <c r="J125" i="96"/>
  <c r="J125" i="87"/>
  <c r="J126" i="95"/>
  <c r="G132" i="57"/>
  <c r="D133" i="57"/>
  <c r="E133" i="57"/>
  <c r="J136" i="28"/>
  <c r="J133" i="3"/>
  <c r="G136" i="71"/>
  <c r="D137" i="71"/>
  <c r="E137" i="71"/>
  <c r="J134" i="17"/>
  <c r="J126" i="94"/>
  <c r="G135" i="17"/>
  <c r="D136" i="17"/>
  <c r="E136" i="17"/>
  <c r="I135" i="24"/>
  <c r="H135" i="24"/>
  <c r="I128" i="77"/>
  <c r="H128" i="77"/>
  <c r="I134" i="21"/>
  <c r="H134" i="21"/>
  <c r="D127" i="96"/>
  <c r="E127" i="96" s="1"/>
  <c r="G126" i="96"/>
  <c r="I131" i="54"/>
  <c r="H131" i="54"/>
  <c r="B126" i="33"/>
  <c r="F126" i="33"/>
  <c r="I131" i="55"/>
  <c r="H131" i="55"/>
  <c r="H126" i="25"/>
  <c r="I126" i="25"/>
  <c r="H128" i="75"/>
  <c r="I128" i="75"/>
  <c r="D130" i="67"/>
  <c r="G129" i="67"/>
  <c r="E130" i="67"/>
  <c r="J132" i="44"/>
  <c r="D134" i="44"/>
  <c r="G133" i="44"/>
  <c r="E134" i="44"/>
  <c r="H128" i="76"/>
  <c r="I128" i="76"/>
  <c r="H127" i="80"/>
  <c r="I127" i="80"/>
  <c r="D138" i="28"/>
  <c r="G137" i="28"/>
  <c r="E138" i="28"/>
  <c r="B132" i="54"/>
  <c r="F132" i="54"/>
  <c r="H125" i="33"/>
  <c r="I125" i="33"/>
  <c r="D135" i="3"/>
  <c r="G134" i="3"/>
  <c r="E135" i="3"/>
  <c r="H133" i="42"/>
  <c r="I133" i="42"/>
  <c r="G127" i="94"/>
  <c r="D128" i="94"/>
  <c r="E128" i="94" s="1"/>
  <c r="I125" i="13"/>
  <c r="H125" i="13"/>
  <c r="G127" i="95"/>
  <c r="D128" i="95"/>
  <c r="E128" i="95" s="1"/>
  <c r="F127" i="93"/>
  <c r="B127" i="93"/>
  <c r="G127" i="82"/>
  <c r="D128" i="82"/>
  <c r="E128" i="82"/>
  <c r="F132" i="55"/>
  <c r="B132" i="55"/>
  <c r="B134" i="42"/>
  <c r="F134" i="42"/>
  <c r="J126" i="82"/>
  <c r="B129" i="75"/>
  <c r="F129" i="75"/>
  <c r="I127" i="83"/>
  <c r="H127" i="83"/>
  <c r="B136" i="24"/>
  <c r="F136" i="24"/>
  <c r="F129" i="77"/>
  <c r="B129" i="77"/>
  <c r="B135" i="21"/>
  <c r="F135" i="21"/>
  <c r="F129" i="76"/>
  <c r="B129" i="76"/>
  <c r="B128" i="80"/>
  <c r="F128" i="80"/>
  <c r="H126" i="93"/>
  <c r="I126" i="93"/>
  <c r="D127" i="87"/>
  <c r="G126" i="87"/>
  <c r="E127" i="87"/>
  <c r="B127" i="25"/>
  <c r="F127" i="25"/>
  <c r="B126" i="13"/>
  <c r="F126" i="13"/>
  <c r="F128" i="83"/>
  <c r="B128" i="83"/>
  <c r="I58" i="97" l="1"/>
  <c r="G59" i="97"/>
  <c r="J125" i="99"/>
  <c r="H46" i="13"/>
  <c r="E60" i="97"/>
  <c r="B60" i="97"/>
  <c r="F60" i="97"/>
  <c r="D61" i="97" s="1"/>
  <c r="F52" i="99"/>
  <c r="G52" i="99" s="1"/>
  <c r="B52" i="99"/>
  <c r="F47" i="98"/>
  <c r="G47" i="98" s="1"/>
  <c r="B47" i="98"/>
  <c r="H59" i="97"/>
  <c r="I59" i="97" s="1"/>
  <c r="J126" i="26"/>
  <c r="I48" i="78"/>
  <c r="G56" i="71"/>
  <c r="I56" i="71" s="1"/>
  <c r="D127" i="99"/>
  <c r="G126" i="99"/>
  <c r="E127" i="99"/>
  <c r="G127" i="26"/>
  <c r="D128" i="26"/>
  <c r="B128" i="26" s="1"/>
  <c r="I56" i="27"/>
  <c r="I126" i="97"/>
  <c r="H126" i="97"/>
  <c r="H126" i="98"/>
  <c r="I126" i="98"/>
  <c r="F127" i="97"/>
  <c r="B127" i="97"/>
  <c r="F127" i="98"/>
  <c r="B127" i="98"/>
  <c r="H48" i="85"/>
  <c r="I45" i="96"/>
  <c r="I47" i="84"/>
  <c r="I48" i="80"/>
  <c r="B51" i="67"/>
  <c r="F51" i="67"/>
  <c r="H51" i="67" s="1"/>
  <c r="F52" i="46"/>
  <c r="G52" i="46" s="1"/>
  <c r="B52" i="46"/>
  <c r="G54" i="39"/>
  <c r="I54" i="39" s="1"/>
  <c r="F56" i="24"/>
  <c r="G56" i="24" s="1"/>
  <c r="B56" i="24"/>
  <c r="G50" i="62"/>
  <c r="I50" i="62" s="1"/>
  <c r="F47" i="94"/>
  <c r="H47" i="94" s="1"/>
  <c r="B47" i="94"/>
  <c r="H49" i="82"/>
  <c r="D50" i="82"/>
  <c r="E50" i="82"/>
  <c r="B49" i="80"/>
  <c r="F49" i="80"/>
  <c r="G47" i="25"/>
  <c r="H47" i="25"/>
  <c r="D48" i="25"/>
  <c r="H48" i="88"/>
  <c r="I48" i="88" s="1"/>
  <c r="F46" i="93"/>
  <c r="G46" i="93" s="1"/>
  <c r="B46" i="93"/>
  <c r="G48" i="86"/>
  <c r="H48" i="86"/>
  <c r="D49" i="86"/>
  <c r="E49" i="86"/>
  <c r="I48" i="85"/>
  <c r="I56" i="23"/>
  <c r="G49" i="82"/>
  <c r="F52" i="53"/>
  <c r="G52" i="53" s="1"/>
  <c r="B52" i="53"/>
  <c r="B51" i="66"/>
  <c r="F51" i="66"/>
  <c r="B48" i="84"/>
  <c r="F48" i="84"/>
  <c r="H48" i="84" s="1"/>
  <c r="E51" i="65"/>
  <c r="D51" i="65"/>
  <c r="B57" i="23"/>
  <c r="F57" i="23"/>
  <c r="H47" i="26"/>
  <c r="I54" i="43"/>
  <c r="B49" i="90"/>
  <c r="F49" i="90"/>
  <c r="H49" i="90" s="1"/>
  <c r="G54" i="42"/>
  <c r="I54" i="42" s="1"/>
  <c r="E55" i="42"/>
  <c r="D55" i="42"/>
  <c r="G54" i="20"/>
  <c r="E50" i="75"/>
  <c r="D50" i="75"/>
  <c r="D54" i="55"/>
  <c r="E54" i="55"/>
  <c r="G50" i="65"/>
  <c r="B48" i="91"/>
  <c r="F48" i="91"/>
  <c r="G48" i="91" s="1"/>
  <c r="G49" i="75"/>
  <c r="I49" i="75" s="1"/>
  <c r="G53" i="55"/>
  <c r="I53" i="55" s="1"/>
  <c r="H50" i="65"/>
  <c r="H53" i="58"/>
  <c r="E54" i="58"/>
  <c r="D54" i="58"/>
  <c r="G53" i="58"/>
  <c r="B55" i="22"/>
  <c r="F55" i="22"/>
  <c r="H55" i="22" s="1"/>
  <c r="B49" i="76"/>
  <c r="F49" i="76"/>
  <c r="H49" i="76" s="1"/>
  <c r="H55" i="19"/>
  <c r="I55" i="19" s="1"/>
  <c r="B54" i="44"/>
  <c r="F54" i="44"/>
  <c r="G54" i="44" s="1"/>
  <c r="B46" i="96"/>
  <c r="F46" i="96"/>
  <c r="H46" i="96" s="1"/>
  <c r="B57" i="27"/>
  <c r="F57" i="27"/>
  <c r="D47" i="95"/>
  <c r="E47" i="95"/>
  <c r="H47" i="87"/>
  <c r="I47" i="87" s="1"/>
  <c r="D55" i="39"/>
  <c r="E55" i="39"/>
  <c r="F48" i="81"/>
  <c r="G48" i="81" s="1"/>
  <c r="B48" i="81"/>
  <c r="F51" i="61"/>
  <c r="G51" i="61" s="1"/>
  <c r="B51" i="61"/>
  <c r="G46" i="95"/>
  <c r="I46" i="95" s="1"/>
  <c r="H52" i="72"/>
  <c r="I52" i="72" s="1"/>
  <c r="D53" i="72"/>
  <c r="E53" i="72"/>
  <c r="D49" i="85"/>
  <c r="E49" i="85"/>
  <c r="G58" i="28"/>
  <c r="D59" i="28"/>
  <c r="E59" i="28"/>
  <c r="E58" i="69"/>
  <c r="D58" i="69"/>
  <c r="D58" i="31"/>
  <c r="E58" i="31"/>
  <c r="B47" i="92"/>
  <c r="F47" i="92"/>
  <c r="G47" i="92" s="1"/>
  <c r="F55" i="17"/>
  <c r="C64" i="17"/>
  <c r="B55" i="17"/>
  <c r="B51" i="60"/>
  <c r="F51" i="60"/>
  <c r="G51" i="60" s="1"/>
  <c r="B51" i="63"/>
  <c r="F51" i="63"/>
  <c r="H51" i="63" s="1"/>
  <c r="E57" i="71"/>
  <c r="D57" i="71"/>
  <c r="H57" i="31"/>
  <c r="F49" i="78"/>
  <c r="B49" i="78"/>
  <c r="E57" i="30"/>
  <c r="D57" i="30"/>
  <c r="F57" i="70"/>
  <c r="G57" i="70" s="1"/>
  <c r="B57" i="70"/>
  <c r="G47" i="83"/>
  <c r="D48" i="83"/>
  <c r="E48" i="83"/>
  <c r="D52" i="64"/>
  <c r="E52" i="64"/>
  <c r="B52" i="54"/>
  <c r="F52" i="54"/>
  <c r="H52" i="54" s="1"/>
  <c r="F49" i="79"/>
  <c r="B49" i="79"/>
  <c r="H51" i="56"/>
  <c r="I51" i="56" s="1"/>
  <c r="D52" i="56"/>
  <c r="E52" i="56"/>
  <c r="D56" i="3"/>
  <c r="E56" i="3"/>
  <c r="B55" i="21"/>
  <c r="F55" i="21"/>
  <c r="H55" i="21" s="1"/>
  <c r="F56" i="32"/>
  <c r="H56" i="32" s="1"/>
  <c r="B56" i="32"/>
  <c r="D57" i="34"/>
  <c r="E57" i="34"/>
  <c r="I56" i="70"/>
  <c r="G51" i="64"/>
  <c r="I51" i="64" s="1"/>
  <c r="B49" i="77"/>
  <c r="F49" i="77"/>
  <c r="G49" i="77" s="1"/>
  <c r="B54" i="73"/>
  <c r="F54" i="73"/>
  <c r="H57" i="69"/>
  <c r="I48" i="79"/>
  <c r="H56" i="30"/>
  <c r="F47" i="89"/>
  <c r="H47" i="89" s="1"/>
  <c r="B47" i="89"/>
  <c r="F55" i="43"/>
  <c r="G55" i="43" s="1"/>
  <c r="B55" i="43"/>
  <c r="H47" i="83"/>
  <c r="B57" i="29"/>
  <c r="F57" i="29"/>
  <c r="H57" i="29" s="1"/>
  <c r="G55" i="3"/>
  <c r="I55" i="3" s="1"/>
  <c r="B52" i="57"/>
  <c r="F52" i="57"/>
  <c r="G52" i="57" s="1"/>
  <c r="G53" i="45"/>
  <c r="I53" i="45" s="1"/>
  <c r="D54" i="45"/>
  <c r="E54" i="45"/>
  <c r="F54" i="74"/>
  <c r="G54" i="74" s="1"/>
  <c r="B54" i="74"/>
  <c r="I54" i="41"/>
  <c r="E56" i="19"/>
  <c r="D56" i="19"/>
  <c r="H56" i="34"/>
  <c r="I56" i="34" s="1"/>
  <c r="D49" i="88"/>
  <c r="E49" i="88"/>
  <c r="G50" i="68"/>
  <c r="I50" i="68" s="1"/>
  <c r="D51" i="68"/>
  <c r="E51" i="68"/>
  <c r="H58" i="28"/>
  <c r="G57" i="69"/>
  <c r="B55" i="41"/>
  <c r="F55" i="41"/>
  <c r="G57" i="31"/>
  <c r="G56" i="30"/>
  <c r="J131" i="55"/>
  <c r="J132" i="45"/>
  <c r="J126" i="89"/>
  <c r="J131" i="54"/>
  <c r="D49" i="33"/>
  <c r="E49" i="33" s="1"/>
  <c r="G48" i="33"/>
  <c r="H48" i="33"/>
  <c r="I47" i="26"/>
  <c r="B51" i="59"/>
  <c r="F51" i="59"/>
  <c r="H51" i="59" s="1"/>
  <c r="J125" i="33"/>
  <c r="I46" i="13"/>
  <c r="E55" i="20"/>
  <c r="D55" i="20"/>
  <c r="D48" i="26"/>
  <c r="E48" i="26" s="1"/>
  <c r="D48" i="87"/>
  <c r="E48" i="87"/>
  <c r="F56" i="18"/>
  <c r="G56" i="18" s="1"/>
  <c r="B56" i="18"/>
  <c r="D47" i="13"/>
  <c r="E47" i="13" s="1"/>
  <c r="D51" i="62"/>
  <c r="E51" i="62"/>
  <c r="I54" i="20"/>
  <c r="I134" i="34"/>
  <c r="H134" i="34"/>
  <c r="F129" i="79"/>
  <c r="B129" i="79"/>
  <c r="E135" i="73"/>
  <c r="D135" i="73"/>
  <c r="G134" i="73"/>
  <c r="F137" i="69"/>
  <c r="B137" i="69"/>
  <c r="H129" i="68"/>
  <c r="I129" i="68"/>
  <c r="H126" i="88"/>
  <c r="I126" i="88"/>
  <c r="I131" i="53"/>
  <c r="H131" i="53"/>
  <c r="B131" i="61"/>
  <c r="F131" i="61"/>
  <c r="I130" i="65"/>
  <c r="H130" i="65"/>
  <c r="H127" i="85"/>
  <c r="I127" i="85"/>
  <c r="I136" i="29"/>
  <c r="H136" i="29"/>
  <c r="F131" i="60"/>
  <c r="B131" i="60"/>
  <c r="I136" i="30"/>
  <c r="H136" i="30"/>
  <c r="I136" i="70"/>
  <c r="H136" i="70"/>
  <c r="B135" i="19"/>
  <c r="F135" i="19"/>
  <c r="B131" i="64"/>
  <c r="F131" i="64"/>
  <c r="F132" i="72"/>
  <c r="B132" i="72"/>
  <c r="F127" i="84"/>
  <c r="B127" i="84"/>
  <c r="J128" i="77"/>
  <c r="F127" i="92"/>
  <c r="B127" i="92"/>
  <c r="B136" i="32"/>
  <c r="F136" i="32"/>
  <c r="D132" i="62"/>
  <c r="E132" i="62"/>
  <c r="G131" i="62"/>
  <c r="B135" i="20"/>
  <c r="F135" i="20"/>
  <c r="H128" i="79"/>
  <c r="I128" i="79"/>
  <c r="G134" i="41"/>
  <c r="E135" i="41"/>
  <c r="D135" i="41"/>
  <c r="I136" i="69"/>
  <c r="H136" i="69"/>
  <c r="F127" i="88"/>
  <c r="B127" i="88"/>
  <c r="F137" i="27"/>
  <c r="B137" i="27"/>
  <c r="E128" i="89"/>
  <c r="G127" i="89"/>
  <c r="D128" i="89"/>
  <c r="H135" i="31"/>
  <c r="I135" i="31"/>
  <c r="G127" i="91"/>
  <c r="E128" i="91"/>
  <c r="D128" i="91"/>
  <c r="H130" i="60"/>
  <c r="I130" i="60"/>
  <c r="B137" i="30"/>
  <c r="F137" i="30"/>
  <c r="I129" i="66"/>
  <c r="H129" i="66"/>
  <c r="B129" i="78"/>
  <c r="F129" i="78"/>
  <c r="F127" i="90"/>
  <c r="B127" i="90"/>
  <c r="J127" i="81"/>
  <c r="I132" i="74"/>
  <c r="H132" i="74"/>
  <c r="E136" i="22"/>
  <c r="G135" i="22"/>
  <c r="D136" i="22"/>
  <c r="F134" i="39"/>
  <c r="B134" i="39"/>
  <c r="J132" i="56"/>
  <c r="B131" i="63"/>
  <c r="F131" i="63"/>
  <c r="H126" i="86"/>
  <c r="I126" i="86"/>
  <c r="E129" i="81"/>
  <c r="D129" i="81"/>
  <c r="G128" i="81"/>
  <c r="H136" i="27"/>
  <c r="I136" i="27"/>
  <c r="I130" i="61"/>
  <c r="H130" i="61"/>
  <c r="B131" i="65"/>
  <c r="F131" i="65"/>
  <c r="F137" i="29"/>
  <c r="B137" i="29"/>
  <c r="F132" i="46"/>
  <c r="B132" i="46"/>
  <c r="B130" i="66"/>
  <c r="F130" i="66"/>
  <c r="F137" i="70"/>
  <c r="B137" i="70"/>
  <c r="H134" i="19"/>
  <c r="I134" i="19"/>
  <c r="F133" i="74"/>
  <c r="B133" i="74"/>
  <c r="F134" i="43"/>
  <c r="B134" i="43"/>
  <c r="H133" i="39"/>
  <c r="I133" i="39"/>
  <c r="H130" i="64"/>
  <c r="I130" i="64"/>
  <c r="I126" i="84"/>
  <c r="H126" i="84"/>
  <c r="B132" i="58"/>
  <c r="F132" i="58"/>
  <c r="J135" i="24"/>
  <c r="H130" i="63"/>
  <c r="I130" i="63"/>
  <c r="I126" i="92"/>
  <c r="H126" i="92"/>
  <c r="I135" i="32"/>
  <c r="H135" i="32"/>
  <c r="B135" i="34"/>
  <c r="F135" i="34"/>
  <c r="B127" i="86"/>
  <c r="F127" i="86"/>
  <c r="H134" i="20"/>
  <c r="I134" i="20"/>
  <c r="B130" i="68"/>
  <c r="F130" i="68"/>
  <c r="B132" i="53"/>
  <c r="F132" i="53"/>
  <c r="J134" i="22"/>
  <c r="F136" i="31"/>
  <c r="B136" i="31"/>
  <c r="J133" i="73"/>
  <c r="J133" i="41"/>
  <c r="B128" i="85"/>
  <c r="F128" i="85"/>
  <c r="I131" i="46"/>
  <c r="H131" i="46"/>
  <c r="J130" i="62"/>
  <c r="I128" i="78"/>
  <c r="H128" i="78"/>
  <c r="H126" i="90"/>
  <c r="I126" i="90"/>
  <c r="I133" i="43"/>
  <c r="H133" i="43"/>
  <c r="I131" i="72"/>
  <c r="H131" i="72"/>
  <c r="J126" i="91"/>
  <c r="E134" i="45"/>
  <c r="D134" i="45"/>
  <c r="G133" i="45"/>
  <c r="H131" i="58"/>
  <c r="I131" i="58"/>
  <c r="J133" i="42"/>
  <c r="J127" i="80"/>
  <c r="J128" i="75"/>
  <c r="H136" i="23"/>
  <c r="I136" i="23"/>
  <c r="H131" i="59"/>
  <c r="I131" i="59"/>
  <c r="E134" i="56"/>
  <c r="D134" i="56"/>
  <c r="G133" i="56"/>
  <c r="F136" i="18"/>
  <c r="B136" i="18"/>
  <c r="F137" i="23"/>
  <c r="B137" i="23"/>
  <c r="B132" i="59"/>
  <c r="F132" i="59"/>
  <c r="H135" i="18"/>
  <c r="I135" i="18"/>
  <c r="B137" i="71"/>
  <c r="F137" i="71"/>
  <c r="I136" i="71"/>
  <c r="H136" i="71"/>
  <c r="J126" i="93"/>
  <c r="B133" i="57"/>
  <c r="F133" i="57"/>
  <c r="J125" i="13"/>
  <c r="I132" i="57"/>
  <c r="H132" i="57"/>
  <c r="G128" i="83"/>
  <c r="E129" i="83"/>
  <c r="D129" i="83"/>
  <c r="D128" i="25"/>
  <c r="G127" i="25"/>
  <c r="H126" i="87"/>
  <c r="I126" i="87"/>
  <c r="D130" i="75"/>
  <c r="E130" i="75"/>
  <c r="G129" i="75"/>
  <c r="E135" i="42"/>
  <c r="D135" i="42"/>
  <c r="G134" i="42"/>
  <c r="H137" i="28"/>
  <c r="I137" i="28"/>
  <c r="I133" i="44"/>
  <c r="H133" i="44"/>
  <c r="B130" i="67"/>
  <c r="F130" i="67"/>
  <c r="J126" i="25"/>
  <c r="I126" i="96"/>
  <c r="H126" i="96"/>
  <c r="B127" i="87"/>
  <c r="F127" i="87"/>
  <c r="G128" i="80"/>
  <c r="E129" i="80"/>
  <c r="D129" i="80"/>
  <c r="G129" i="76"/>
  <c r="D130" i="76"/>
  <c r="E130" i="76"/>
  <c r="G129" i="77"/>
  <c r="D130" i="77"/>
  <c r="E130" i="77"/>
  <c r="G127" i="93"/>
  <c r="D128" i="93"/>
  <c r="E128" i="93" s="1"/>
  <c r="F128" i="94"/>
  <c r="B128" i="94"/>
  <c r="B138" i="28"/>
  <c r="F138" i="28"/>
  <c r="F134" i="44"/>
  <c r="B134" i="44"/>
  <c r="E136" i="21"/>
  <c r="G135" i="21"/>
  <c r="D136" i="21"/>
  <c r="D137" i="24"/>
  <c r="E137" i="24"/>
  <c r="G136" i="24"/>
  <c r="J127" i="83"/>
  <c r="D133" i="55"/>
  <c r="G132" i="55"/>
  <c r="E133" i="55"/>
  <c r="B128" i="82"/>
  <c r="F128" i="82"/>
  <c r="F128" i="95"/>
  <c r="B128" i="95"/>
  <c r="I127" i="94"/>
  <c r="H127" i="94"/>
  <c r="H134" i="3"/>
  <c r="I134" i="3"/>
  <c r="J128" i="76"/>
  <c r="G126" i="33"/>
  <c r="D127" i="33"/>
  <c r="E127" i="33" s="1"/>
  <c r="B127" i="96"/>
  <c r="F127" i="96"/>
  <c r="J134" i="21"/>
  <c r="F136" i="17"/>
  <c r="G126" i="13"/>
  <c r="D127" i="13"/>
  <c r="E127" i="13" s="1"/>
  <c r="I127" i="82"/>
  <c r="H127" i="82"/>
  <c r="I127" i="95"/>
  <c r="H127" i="95"/>
  <c r="F135" i="3"/>
  <c r="B135" i="3"/>
  <c r="D133" i="54"/>
  <c r="E133" i="54"/>
  <c r="G132" i="54"/>
  <c r="H129" i="67"/>
  <c r="I129" i="67"/>
  <c r="H135" i="17"/>
  <c r="I135" i="17"/>
  <c r="G60" i="97" l="1"/>
  <c r="E61" i="97"/>
  <c r="F61" i="97" s="1"/>
  <c r="G61" i="97" s="1"/>
  <c r="B61" i="97"/>
  <c r="D48" i="98"/>
  <c r="E48" i="98"/>
  <c r="D53" i="99"/>
  <c r="E53" i="99"/>
  <c r="H47" i="98"/>
  <c r="I47" i="98" s="1"/>
  <c r="H52" i="99"/>
  <c r="I52" i="99" s="1"/>
  <c r="H60" i="97"/>
  <c r="I60" i="97" s="1"/>
  <c r="I47" i="83"/>
  <c r="I50" i="65"/>
  <c r="I56" i="30"/>
  <c r="I58" i="28"/>
  <c r="E128" i="26"/>
  <c r="F128" i="26" s="1"/>
  <c r="G128" i="26" s="1"/>
  <c r="H128" i="26" s="1"/>
  <c r="H126" i="99"/>
  <c r="I126" i="99"/>
  <c r="B127" i="99"/>
  <c r="F127" i="99"/>
  <c r="H127" i="26"/>
  <c r="I127" i="26"/>
  <c r="J126" i="98"/>
  <c r="H56" i="24"/>
  <c r="I56" i="24" s="1"/>
  <c r="G55" i="21"/>
  <c r="G127" i="98"/>
  <c r="D128" i="98"/>
  <c r="E128" i="98"/>
  <c r="G127" i="97"/>
  <c r="D128" i="97"/>
  <c r="E128" i="97"/>
  <c r="J126" i="97"/>
  <c r="G49" i="76"/>
  <c r="I49" i="76" s="1"/>
  <c r="G51" i="67"/>
  <c r="I51" i="67" s="1"/>
  <c r="E52" i="67"/>
  <c r="D52" i="67"/>
  <c r="H52" i="46"/>
  <c r="I52" i="46" s="1"/>
  <c r="E53" i="46"/>
  <c r="D53" i="46"/>
  <c r="G57" i="29"/>
  <c r="I57" i="29" s="1"/>
  <c r="E57" i="24"/>
  <c r="D57" i="24"/>
  <c r="G51" i="59"/>
  <c r="I51" i="59" s="1"/>
  <c r="H47" i="92"/>
  <c r="I47" i="92" s="1"/>
  <c r="G48" i="84"/>
  <c r="I48" i="84" s="1"/>
  <c r="I48" i="86"/>
  <c r="H46" i="93"/>
  <c r="I46" i="93" s="1"/>
  <c r="E47" i="93"/>
  <c r="D47" i="93"/>
  <c r="H49" i="80"/>
  <c r="D50" i="80"/>
  <c r="E50" i="80"/>
  <c r="B50" i="82"/>
  <c r="F50" i="82"/>
  <c r="H50" i="82" s="1"/>
  <c r="H52" i="57"/>
  <c r="I52" i="57" s="1"/>
  <c r="E48" i="25"/>
  <c r="F48" i="25" s="1"/>
  <c r="B48" i="25"/>
  <c r="I49" i="82"/>
  <c r="E48" i="94"/>
  <c r="D48" i="94"/>
  <c r="I48" i="33"/>
  <c r="F49" i="86"/>
  <c r="B49" i="86"/>
  <c r="I47" i="25"/>
  <c r="G49" i="80"/>
  <c r="G47" i="94"/>
  <c r="I47" i="94" s="1"/>
  <c r="F54" i="58"/>
  <c r="B54" i="58"/>
  <c r="B50" i="75"/>
  <c r="F50" i="75"/>
  <c r="G50" i="75" s="1"/>
  <c r="D49" i="91"/>
  <c r="E49" i="91"/>
  <c r="H48" i="91"/>
  <c r="I48" i="91" s="1"/>
  <c r="G51" i="66"/>
  <c r="E52" i="66"/>
  <c r="D52" i="66"/>
  <c r="H51" i="61"/>
  <c r="I51" i="61" s="1"/>
  <c r="F51" i="65"/>
  <c r="G51" i="65" s="1"/>
  <c r="B51" i="65"/>
  <c r="D49" i="84"/>
  <c r="E49" i="84"/>
  <c r="D53" i="53"/>
  <c r="E53" i="53"/>
  <c r="I53" i="58"/>
  <c r="B54" i="55"/>
  <c r="F54" i="55"/>
  <c r="B55" i="42"/>
  <c r="F55" i="42"/>
  <c r="G49" i="90"/>
  <c r="I49" i="90" s="1"/>
  <c r="E50" i="90"/>
  <c r="D50" i="90"/>
  <c r="H57" i="23"/>
  <c r="G57" i="23"/>
  <c r="D58" i="23"/>
  <c r="H51" i="66"/>
  <c r="H52" i="53"/>
  <c r="I52" i="53" s="1"/>
  <c r="F55" i="39"/>
  <c r="H55" i="39" s="1"/>
  <c r="B55" i="39"/>
  <c r="E55" i="44"/>
  <c r="D55" i="44"/>
  <c r="F53" i="72"/>
  <c r="G53" i="72" s="1"/>
  <c r="B53" i="72"/>
  <c r="H49" i="77"/>
  <c r="I49" i="77" s="1"/>
  <c r="D52" i="61"/>
  <c r="E52" i="61"/>
  <c r="H48" i="81"/>
  <c r="I48" i="81" s="1"/>
  <c r="E49" i="81"/>
  <c r="D49" i="81"/>
  <c r="F47" i="95"/>
  <c r="B47" i="95"/>
  <c r="G57" i="27"/>
  <c r="E58" i="27"/>
  <c r="H57" i="27"/>
  <c r="D58" i="27"/>
  <c r="G46" i="96"/>
  <c r="I46" i="96" s="1"/>
  <c r="E47" i="96"/>
  <c r="D47" i="96"/>
  <c r="H54" i="44"/>
  <c r="I54" i="44" s="1"/>
  <c r="D50" i="76"/>
  <c r="E50" i="76"/>
  <c r="B49" i="85"/>
  <c r="F49" i="85"/>
  <c r="G49" i="85" s="1"/>
  <c r="G55" i="22"/>
  <c r="I55" i="22" s="1"/>
  <c r="E56" i="22"/>
  <c r="D56" i="22"/>
  <c r="D56" i="41"/>
  <c r="E56" i="41"/>
  <c r="E50" i="79"/>
  <c r="D50" i="79"/>
  <c r="H56" i="18"/>
  <c r="I56" i="18" s="1"/>
  <c r="B49" i="88"/>
  <c r="F49" i="88"/>
  <c r="H49" i="88" s="1"/>
  <c r="B56" i="19"/>
  <c r="F56" i="19"/>
  <c r="H56" i="19" s="1"/>
  <c r="G56" i="32"/>
  <c r="I56" i="32" s="1"/>
  <c r="G49" i="79"/>
  <c r="F52" i="64"/>
  <c r="B52" i="64"/>
  <c r="B57" i="30"/>
  <c r="F57" i="30"/>
  <c r="H57" i="30" s="1"/>
  <c r="G49" i="78"/>
  <c r="E50" i="78"/>
  <c r="D50" i="78"/>
  <c r="G51" i="63"/>
  <c r="I51" i="63" s="1"/>
  <c r="D52" i="63"/>
  <c r="E52" i="63"/>
  <c r="F58" i="69"/>
  <c r="G58" i="69" s="1"/>
  <c r="B58" i="69"/>
  <c r="F54" i="45"/>
  <c r="G54" i="45" s="1"/>
  <c r="B54" i="45"/>
  <c r="D56" i="43"/>
  <c r="E56" i="43"/>
  <c r="H54" i="73"/>
  <c r="G54" i="73"/>
  <c r="D55" i="73"/>
  <c r="E55" i="73"/>
  <c r="D56" i="17"/>
  <c r="E56" i="17"/>
  <c r="H55" i="41"/>
  <c r="F51" i="68"/>
  <c r="B51" i="68"/>
  <c r="H54" i="74"/>
  <c r="I54" i="74" s="1"/>
  <c r="D55" i="74"/>
  <c r="E55" i="74"/>
  <c r="D58" i="29"/>
  <c r="E58" i="29"/>
  <c r="I55" i="21"/>
  <c r="B56" i="3"/>
  <c r="F56" i="3"/>
  <c r="H56" i="3" s="1"/>
  <c r="B52" i="56"/>
  <c r="F52" i="56"/>
  <c r="H52" i="56" s="1"/>
  <c r="H49" i="79"/>
  <c r="I49" i="79" s="1"/>
  <c r="G52" i="54"/>
  <c r="I52" i="54" s="1"/>
  <c r="D53" i="54"/>
  <c r="E53" i="54"/>
  <c r="I57" i="31"/>
  <c r="B57" i="71"/>
  <c r="F57" i="71"/>
  <c r="H57" i="71" s="1"/>
  <c r="H55" i="17"/>
  <c r="B58" i="31"/>
  <c r="F58" i="31"/>
  <c r="H58" i="31" s="1"/>
  <c r="D57" i="32"/>
  <c r="E57" i="32"/>
  <c r="B48" i="83"/>
  <c r="F48" i="83"/>
  <c r="G48" i="83" s="1"/>
  <c r="B59" i="28"/>
  <c r="F59" i="28"/>
  <c r="G59" i="28" s="1"/>
  <c r="G55" i="41"/>
  <c r="D53" i="57"/>
  <c r="E53" i="57"/>
  <c r="H55" i="43"/>
  <c r="I55" i="43" s="1"/>
  <c r="G47" i="89"/>
  <c r="I47" i="89" s="1"/>
  <c r="D48" i="89"/>
  <c r="E48" i="89"/>
  <c r="I57" i="69"/>
  <c r="E50" i="77"/>
  <c r="D50" i="77"/>
  <c r="B57" i="34"/>
  <c r="F57" i="34"/>
  <c r="G57" i="34" s="1"/>
  <c r="D56" i="21"/>
  <c r="E56" i="21"/>
  <c r="H57" i="70"/>
  <c r="I57" i="70" s="1"/>
  <c r="D58" i="70"/>
  <c r="E58" i="70" s="1"/>
  <c r="H49" i="78"/>
  <c r="H51" i="60"/>
  <c r="I51" i="60" s="1"/>
  <c r="D52" i="60"/>
  <c r="E52" i="60"/>
  <c r="G55" i="17"/>
  <c r="D48" i="92"/>
  <c r="E48" i="92"/>
  <c r="J133" i="43"/>
  <c r="J128" i="78"/>
  <c r="J126" i="92"/>
  <c r="J135" i="31"/>
  <c r="J133" i="39"/>
  <c r="J136" i="27"/>
  <c r="J136" i="69"/>
  <c r="J130" i="64"/>
  <c r="B48" i="87"/>
  <c r="F48" i="87"/>
  <c r="G48" i="87" s="1"/>
  <c r="B55" i="20"/>
  <c r="F55" i="20"/>
  <c r="H55" i="20" s="1"/>
  <c r="D52" i="59"/>
  <c r="E52" i="59"/>
  <c r="J134" i="19"/>
  <c r="J130" i="60"/>
  <c r="J136" i="70"/>
  <c r="F51" i="62"/>
  <c r="H51" i="62" s="1"/>
  <c r="B51" i="62"/>
  <c r="B47" i="13"/>
  <c r="F47" i="13"/>
  <c r="H47" i="13" s="1"/>
  <c r="J131" i="72"/>
  <c r="J135" i="32"/>
  <c r="J132" i="74"/>
  <c r="J136" i="30"/>
  <c r="J136" i="29"/>
  <c r="J130" i="65"/>
  <c r="J131" i="53"/>
  <c r="D57" i="18"/>
  <c r="E57" i="18"/>
  <c r="F48" i="26"/>
  <c r="H48" i="26" s="1"/>
  <c r="B48" i="26"/>
  <c r="B49" i="33"/>
  <c r="F49" i="33"/>
  <c r="G128" i="85"/>
  <c r="E129" i="85"/>
  <c r="D129" i="85"/>
  <c r="D133" i="58"/>
  <c r="E133" i="58"/>
  <c r="G132" i="58"/>
  <c r="E131" i="66"/>
  <c r="D131" i="66"/>
  <c r="G130" i="66"/>
  <c r="H128" i="81"/>
  <c r="I128" i="81"/>
  <c r="I127" i="91"/>
  <c r="H127" i="91"/>
  <c r="H127" i="89"/>
  <c r="I127" i="89"/>
  <c r="B135" i="41"/>
  <c r="F135" i="41"/>
  <c r="G127" i="84"/>
  <c r="E128" i="84"/>
  <c r="D128" i="84"/>
  <c r="D132" i="60"/>
  <c r="G131" i="60"/>
  <c r="E132" i="60"/>
  <c r="E138" i="69"/>
  <c r="G137" i="69"/>
  <c r="D138" i="69"/>
  <c r="J136" i="71"/>
  <c r="J135" i="18"/>
  <c r="J136" i="23"/>
  <c r="H133" i="45"/>
  <c r="I133" i="45"/>
  <c r="J126" i="90"/>
  <c r="G136" i="31"/>
  <c r="E137" i="31"/>
  <c r="D137" i="31"/>
  <c r="D131" i="68"/>
  <c r="E131" i="68"/>
  <c r="G130" i="68"/>
  <c r="E128" i="86"/>
  <c r="G127" i="86"/>
  <c r="D128" i="86"/>
  <c r="J130" i="63"/>
  <c r="G134" i="43"/>
  <c r="D135" i="43"/>
  <c r="E135" i="43"/>
  <c r="D138" i="29"/>
  <c r="E138" i="29"/>
  <c r="G137" i="29"/>
  <c r="J130" i="61"/>
  <c r="F129" i="81"/>
  <c r="B129" i="81"/>
  <c r="E132" i="63"/>
  <c r="G131" i="63"/>
  <c r="D132" i="63"/>
  <c r="D135" i="39"/>
  <c r="G134" i="39"/>
  <c r="E135" i="39"/>
  <c r="G127" i="90"/>
  <c r="E128" i="90"/>
  <c r="D128" i="90"/>
  <c r="J129" i="66"/>
  <c r="E128" i="88"/>
  <c r="D128" i="88"/>
  <c r="G127" i="88"/>
  <c r="G135" i="20"/>
  <c r="E136" i="20"/>
  <c r="D136" i="20"/>
  <c r="B132" i="62"/>
  <c r="F132" i="62"/>
  <c r="D128" i="92"/>
  <c r="G127" i="92"/>
  <c r="E128" i="92"/>
  <c r="E136" i="19"/>
  <c r="D136" i="19"/>
  <c r="G135" i="19"/>
  <c r="J129" i="68"/>
  <c r="H134" i="73"/>
  <c r="I134" i="73"/>
  <c r="D130" i="79"/>
  <c r="E130" i="79"/>
  <c r="G129" i="79"/>
  <c r="B134" i="45"/>
  <c r="F134" i="45"/>
  <c r="D132" i="65"/>
  <c r="G131" i="65"/>
  <c r="E132" i="65"/>
  <c r="B136" i="22"/>
  <c r="F136" i="22"/>
  <c r="D130" i="78"/>
  <c r="E130" i="78"/>
  <c r="G129" i="78"/>
  <c r="E138" i="30"/>
  <c r="G137" i="30"/>
  <c r="D138" i="30"/>
  <c r="B128" i="91"/>
  <c r="F128" i="91"/>
  <c r="H134" i="41"/>
  <c r="I134" i="41"/>
  <c r="G136" i="32"/>
  <c r="D137" i="32"/>
  <c r="E137" i="32"/>
  <c r="E133" i="72"/>
  <c r="D133" i="72"/>
  <c r="G132" i="72"/>
  <c r="B135" i="73"/>
  <c r="F135" i="73"/>
  <c r="J127" i="95"/>
  <c r="J133" i="44"/>
  <c r="J131" i="58"/>
  <c r="J131" i="46"/>
  <c r="E133" i="53"/>
  <c r="D133" i="53"/>
  <c r="G132" i="53"/>
  <c r="J134" i="20"/>
  <c r="D136" i="34"/>
  <c r="G135" i="34"/>
  <c r="E136" i="34"/>
  <c r="J126" i="84"/>
  <c r="G133" i="74"/>
  <c r="E134" i="74"/>
  <c r="D134" i="74"/>
  <c r="E138" i="70"/>
  <c r="D138" i="70"/>
  <c r="G137" i="70"/>
  <c r="G132" i="46"/>
  <c r="D133" i="46"/>
  <c r="E133" i="46"/>
  <c r="J126" i="86"/>
  <c r="I135" i="22"/>
  <c r="H135" i="22"/>
  <c r="F128" i="89"/>
  <c r="B128" i="89"/>
  <c r="E138" i="27"/>
  <c r="G137" i="27"/>
  <c r="D138" i="27"/>
  <c r="J128" i="79"/>
  <c r="I131" i="62"/>
  <c r="H131" i="62"/>
  <c r="D132" i="64"/>
  <c r="E132" i="64"/>
  <c r="G131" i="64"/>
  <c r="J127" i="85"/>
  <c r="E132" i="61"/>
  <c r="G131" i="61"/>
  <c r="D132" i="61"/>
  <c r="J126" i="88"/>
  <c r="J134" i="34"/>
  <c r="J135" i="17"/>
  <c r="E133" i="59"/>
  <c r="G132" i="59"/>
  <c r="D133" i="59"/>
  <c r="J131" i="59"/>
  <c r="E137" i="18"/>
  <c r="D137" i="18"/>
  <c r="G136" i="18"/>
  <c r="H133" i="56"/>
  <c r="I133" i="56"/>
  <c r="J132" i="57"/>
  <c r="E138" i="23"/>
  <c r="D138" i="23"/>
  <c r="G137" i="23"/>
  <c r="F134" i="56"/>
  <c r="B134" i="56"/>
  <c r="D134" i="57"/>
  <c r="G133" i="57"/>
  <c r="E134" i="57"/>
  <c r="E138" i="71"/>
  <c r="G137" i="71"/>
  <c r="D138" i="71"/>
  <c r="J126" i="87"/>
  <c r="J129" i="67"/>
  <c r="B133" i="54"/>
  <c r="F133" i="54"/>
  <c r="D136" i="3"/>
  <c r="G135" i="3"/>
  <c r="E136" i="3"/>
  <c r="J127" i="94"/>
  <c r="G128" i="82"/>
  <c r="D129" i="82"/>
  <c r="E129" i="82"/>
  <c r="H132" i="55"/>
  <c r="I132" i="55"/>
  <c r="I136" i="24"/>
  <c r="H136" i="24"/>
  <c r="H135" i="21"/>
  <c r="I135" i="21"/>
  <c r="G134" i="44"/>
  <c r="D135" i="44"/>
  <c r="E135" i="44"/>
  <c r="F130" i="76"/>
  <c r="B130" i="76"/>
  <c r="H128" i="80"/>
  <c r="I128" i="80"/>
  <c r="J126" i="96"/>
  <c r="D131" i="67"/>
  <c r="G130" i="67"/>
  <c r="E131" i="67"/>
  <c r="I129" i="75"/>
  <c r="H129" i="75"/>
  <c r="F129" i="83"/>
  <c r="B129" i="83"/>
  <c r="F127" i="13"/>
  <c r="B127" i="13"/>
  <c r="D128" i="96"/>
  <c r="G127" i="96"/>
  <c r="F127" i="33"/>
  <c r="B127" i="33"/>
  <c r="J134" i="3"/>
  <c r="G128" i="95"/>
  <c r="D129" i="95"/>
  <c r="E129" i="95" s="1"/>
  <c r="F133" i="55"/>
  <c r="B133" i="55"/>
  <c r="F130" i="77"/>
  <c r="B130" i="77"/>
  <c r="H129" i="76"/>
  <c r="I129" i="76"/>
  <c r="D128" i="87"/>
  <c r="G127" i="87"/>
  <c r="E128" i="87"/>
  <c r="J137" i="28"/>
  <c r="H127" i="25"/>
  <c r="I127" i="25"/>
  <c r="H132" i="54"/>
  <c r="I132" i="54"/>
  <c r="H126" i="13"/>
  <c r="I126" i="13"/>
  <c r="H126" i="33"/>
  <c r="I126" i="33"/>
  <c r="B137" i="24"/>
  <c r="F137" i="24"/>
  <c r="G128" i="94"/>
  <c r="D129" i="94"/>
  <c r="B128" i="93"/>
  <c r="F128" i="93"/>
  <c r="I129" i="77"/>
  <c r="H129" i="77"/>
  <c r="B129" i="80"/>
  <c r="F129" i="80"/>
  <c r="H134" i="42"/>
  <c r="I134" i="42"/>
  <c r="B130" i="75"/>
  <c r="F130" i="75"/>
  <c r="B128" i="25"/>
  <c r="I128" i="83"/>
  <c r="H128" i="83"/>
  <c r="J127" i="82"/>
  <c r="D137" i="17"/>
  <c r="G136" i="17"/>
  <c r="E137" i="17"/>
  <c r="B136" i="21"/>
  <c r="F136" i="21"/>
  <c r="G138" i="28"/>
  <c r="D139" i="28"/>
  <c r="E139" i="28"/>
  <c r="H127" i="93"/>
  <c r="I127" i="93"/>
  <c r="F135" i="42"/>
  <c r="B135" i="42"/>
  <c r="E128" i="25"/>
  <c r="F128" i="25" s="1"/>
  <c r="I128" i="26" l="1"/>
  <c r="F53" i="99"/>
  <c r="D54" i="99" s="1"/>
  <c r="B53" i="99"/>
  <c r="G53" i="99"/>
  <c r="D62" i="97"/>
  <c r="E62" i="97" s="1"/>
  <c r="B48" i="98"/>
  <c r="F48" i="98"/>
  <c r="H61" i="97"/>
  <c r="I61" i="97" s="1"/>
  <c r="J126" i="99"/>
  <c r="D129" i="26"/>
  <c r="D128" i="99"/>
  <c r="G127" i="99"/>
  <c r="E128" i="99"/>
  <c r="J127" i="26"/>
  <c r="B128" i="98"/>
  <c r="F128" i="98"/>
  <c r="H127" i="97"/>
  <c r="I127" i="97"/>
  <c r="B128" i="97"/>
  <c r="F128" i="97"/>
  <c r="H127" i="98"/>
  <c r="I127" i="98"/>
  <c r="B52" i="67"/>
  <c r="F52" i="67"/>
  <c r="G52" i="67" s="1"/>
  <c r="I51" i="66"/>
  <c r="H51" i="65"/>
  <c r="I51" i="65" s="1"/>
  <c r="B53" i="46"/>
  <c r="F53" i="46"/>
  <c r="G53" i="46" s="1"/>
  <c r="G58" i="31"/>
  <c r="H59" i="28"/>
  <c r="I59" i="28" s="1"/>
  <c r="F57" i="24"/>
  <c r="H57" i="24" s="1"/>
  <c r="B57" i="24"/>
  <c r="G57" i="30"/>
  <c r="I57" i="30" s="1"/>
  <c r="G49" i="86"/>
  <c r="H49" i="86"/>
  <c r="E50" i="86"/>
  <c r="D50" i="86"/>
  <c r="B50" i="80"/>
  <c r="F50" i="80"/>
  <c r="G50" i="80" s="1"/>
  <c r="B47" i="93"/>
  <c r="F47" i="93"/>
  <c r="H47" i="93" s="1"/>
  <c r="G56" i="3"/>
  <c r="I56" i="3" s="1"/>
  <c r="I57" i="27"/>
  <c r="B48" i="94"/>
  <c r="F48" i="94"/>
  <c r="H48" i="94" s="1"/>
  <c r="D49" i="25"/>
  <c r="H48" i="25"/>
  <c r="G48" i="25"/>
  <c r="G50" i="82"/>
  <c r="I50" i="82" s="1"/>
  <c r="D51" i="82"/>
  <c r="E51" i="82"/>
  <c r="I49" i="80"/>
  <c r="B50" i="90"/>
  <c r="F50" i="90"/>
  <c r="G50" i="90" s="1"/>
  <c r="E56" i="42"/>
  <c r="D56" i="42"/>
  <c r="G54" i="55"/>
  <c r="D55" i="55"/>
  <c r="E55" i="55"/>
  <c r="F53" i="53"/>
  <c r="H53" i="53" s="1"/>
  <c r="B53" i="53"/>
  <c r="E58" i="23"/>
  <c r="F58" i="23" s="1"/>
  <c r="B58" i="23"/>
  <c r="G55" i="42"/>
  <c r="E51" i="75"/>
  <c r="D51" i="75"/>
  <c r="E55" i="58"/>
  <c r="H54" i="58"/>
  <c r="D55" i="58"/>
  <c r="G54" i="58"/>
  <c r="H49" i="85"/>
  <c r="I49" i="85" s="1"/>
  <c r="I57" i="23"/>
  <c r="B49" i="84"/>
  <c r="F49" i="84"/>
  <c r="E52" i="65"/>
  <c r="D52" i="65"/>
  <c r="B52" i="66"/>
  <c r="F52" i="66"/>
  <c r="G52" i="66" s="1"/>
  <c r="H50" i="75"/>
  <c r="I50" i="75" s="1"/>
  <c r="H54" i="45"/>
  <c r="I54" i="45" s="1"/>
  <c r="H55" i="42"/>
  <c r="H54" i="55"/>
  <c r="B49" i="91"/>
  <c r="F49" i="91"/>
  <c r="B50" i="76"/>
  <c r="F50" i="76"/>
  <c r="H50" i="76" s="1"/>
  <c r="I49" i="78"/>
  <c r="I58" i="31"/>
  <c r="H47" i="95"/>
  <c r="E48" i="95"/>
  <c r="D48" i="95"/>
  <c r="B49" i="81"/>
  <c r="F49" i="81"/>
  <c r="H49" i="81" s="1"/>
  <c r="F52" i="61"/>
  <c r="H52" i="61" s="1"/>
  <c r="B52" i="61"/>
  <c r="D54" i="72"/>
  <c r="E54" i="72"/>
  <c r="D56" i="39"/>
  <c r="E56" i="39"/>
  <c r="F56" i="22"/>
  <c r="G56" i="22" s="1"/>
  <c r="B56" i="22"/>
  <c r="F47" i="96"/>
  <c r="B47" i="96"/>
  <c r="G49" i="88"/>
  <c r="I49" i="88" s="1"/>
  <c r="E50" i="85"/>
  <c r="D50" i="85"/>
  <c r="B58" i="27"/>
  <c r="F58" i="27"/>
  <c r="G47" i="95"/>
  <c r="H53" i="72"/>
  <c r="I53" i="72" s="1"/>
  <c r="F55" i="44"/>
  <c r="H55" i="44" s="1"/>
  <c r="B55" i="44"/>
  <c r="G55" i="39"/>
  <c r="I55" i="39" s="1"/>
  <c r="I55" i="17"/>
  <c r="B48" i="92"/>
  <c r="F48" i="92"/>
  <c r="H48" i="92" s="1"/>
  <c r="F48" i="89"/>
  <c r="G48" i="89" s="1"/>
  <c r="B48" i="89"/>
  <c r="F55" i="74"/>
  <c r="G55" i="74" s="1"/>
  <c r="B55" i="74"/>
  <c r="E52" i="68"/>
  <c r="D52" i="68"/>
  <c r="B56" i="43"/>
  <c r="F56" i="43"/>
  <c r="G56" i="43" s="1"/>
  <c r="D53" i="64"/>
  <c r="E53" i="64"/>
  <c r="B52" i="60"/>
  <c r="F52" i="60"/>
  <c r="G52" i="60" s="1"/>
  <c r="D58" i="34"/>
  <c r="E58" i="34" s="1"/>
  <c r="B57" i="32"/>
  <c r="F57" i="32"/>
  <c r="G57" i="32" s="1"/>
  <c r="D58" i="71"/>
  <c r="E58" i="71" s="1"/>
  <c r="G51" i="68"/>
  <c r="C65" i="17"/>
  <c r="F56" i="17"/>
  <c r="B56" i="17"/>
  <c r="I54" i="73"/>
  <c r="G52" i="64"/>
  <c r="B56" i="41"/>
  <c r="F56" i="41"/>
  <c r="G56" i="41" s="1"/>
  <c r="B53" i="57"/>
  <c r="F53" i="57"/>
  <c r="H53" i="57" s="1"/>
  <c r="B58" i="70"/>
  <c r="F58" i="70"/>
  <c r="H58" i="70" s="1"/>
  <c r="F56" i="21"/>
  <c r="G56" i="21" s="1"/>
  <c r="B56" i="21"/>
  <c r="H48" i="83"/>
  <c r="I48" i="83" s="1"/>
  <c r="D49" i="83"/>
  <c r="E49" i="83"/>
  <c r="D59" i="31"/>
  <c r="E59" i="31" s="1"/>
  <c r="D53" i="56"/>
  <c r="E53" i="56"/>
  <c r="F58" i="29"/>
  <c r="B58" i="29"/>
  <c r="B50" i="78"/>
  <c r="F50" i="78"/>
  <c r="H50" i="78" s="1"/>
  <c r="G56" i="19"/>
  <c r="I56" i="19" s="1"/>
  <c r="E57" i="19"/>
  <c r="D57" i="19"/>
  <c r="E50" i="88"/>
  <c r="D50" i="88"/>
  <c r="F50" i="79"/>
  <c r="G50" i="79" s="1"/>
  <c r="B50" i="79"/>
  <c r="B50" i="77"/>
  <c r="F50" i="77"/>
  <c r="G50" i="77" s="1"/>
  <c r="F55" i="73"/>
  <c r="B55" i="73"/>
  <c r="D59" i="69"/>
  <c r="E59" i="69" s="1"/>
  <c r="H57" i="34"/>
  <c r="I57" i="34" s="1"/>
  <c r="D60" i="28"/>
  <c r="E60" i="28" s="1"/>
  <c r="G57" i="71"/>
  <c r="I57" i="71" s="1"/>
  <c r="B53" i="54"/>
  <c r="F53" i="54"/>
  <c r="G52" i="56"/>
  <c r="I52" i="56" s="1"/>
  <c r="E57" i="3"/>
  <c r="D57" i="3"/>
  <c r="H51" i="68"/>
  <c r="I55" i="41"/>
  <c r="E55" i="45"/>
  <c r="D55" i="45"/>
  <c r="H58" i="69"/>
  <c r="I58" i="69" s="1"/>
  <c r="F52" i="63"/>
  <c r="G52" i="63" s="1"/>
  <c r="B52" i="63"/>
  <c r="D58" i="30"/>
  <c r="E58" i="30" s="1"/>
  <c r="H52" i="64"/>
  <c r="J133" i="45"/>
  <c r="J127" i="89"/>
  <c r="J127" i="93"/>
  <c r="J127" i="91"/>
  <c r="J128" i="81"/>
  <c r="J128" i="26"/>
  <c r="D48" i="13"/>
  <c r="E48" i="13" s="1"/>
  <c r="D50" i="33"/>
  <c r="F57" i="18"/>
  <c r="G57" i="18" s="1"/>
  <c r="B57" i="18"/>
  <c r="D52" i="62"/>
  <c r="E52" i="62"/>
  <c r="D56" i="20"/>
  <c r="E56" i="20"/>
  <c r="E49" i="87"/>
  <c r="D49" i="87"/>
  <c r="H49" i="33"/>
  <c r="D49" i="26"/>
  <c r="E49" i="26" s="1"/>
  <c r="G51" i="62"/>
  <c r="I51" i="62" s="1"/>
  <c r="B52" i="59"/>
  <c r="F52" i="59"/>
  <c r="H52" i="59" s="1"/>
  <c r="J134" i="41"/>
  <c r="J134" i="73"/>
  <c r="G49" i="33"/>
  <c r="G48" i="26"/>
  <c r="I48" i="26" s="1"/>
  <c r="G47" i="13"/>
  <c r="I47" i="13" s="1"/>
  <c r="G55" i="20"/>
  <c r="I55" i="20" s="1"/>
  <c r="H48" i="87"/>
  <c r="I48" i="87" s="1"/>
  <c r="B132" i="64"/>
  <c r="F132" i="64"/>
  <c r="B138" i="27"/>
  <c r="F138" i="27"/>
  <c r="D129" i="89"/>
  <c r="E129" i="89"/>
  <c r="G128" i="89"/>
  <c r="F138" i="70"/>
  <c r="B138" i="70"/>
  <c r="H133" i="74"/>
  <c r="I133" i="74"/>
  <c r="F136" i="34"/>
  <c r="B136" i="34"/>
  <c r="F133" i="72"/>
  <c r="B133" i="72"/>
  <c r="I136" i="32"/>
  <c r="H136" i="32"/>
  <c r="H129" i="78"/>
  <c r="I129" i="78"/>
  <c r="E135" i="45"/>
  <c r="G134" i="45"/>
  <c r="D135" i="45"/>
  <c r="B130" i="79"/>
  <c r="F130" i="79"/>
  <c r="H135" i="19"/>
  <c r="I135" i="19"/>
  <c r="I127" i="92"/>
  <c r="H127" i="92"/>
  <c r="B136" i="20"/>
  <c r="F136" i="20"/>
  <c r="F128" i="88"/>
  <c r="B128" i="88"/>
  <c r="F135" i="39"/>
  <c r="B135" i="39"/>
  <c r="I134" i="43"/>
  <c r="H134" i="43"/>
  <c r="B137" i="31"/>
  <c r="F137" i="31"/>
  <c r="F128" i="84"/>
  <c r="B128" i="84"/>
  <c r="F131" i="66"/>
  <c r="B131" i="66"/>
  <c r="F133" i="58"/>
  <c r="B133" i="58"/>
  <c r="I137" i="27"/>
  <c r="H137" i="27"/>
  <c r="F133" i="46"/>
  <c r="B133" i="46"/>
  <c r="E136" i="73"/>
  <c r="G135" i="73"/>
  <c r="D136" i="73"/>
  <c r="B138" i="30"/>
  <c r="F138" i="30"/>
  <c r="B136" i="19"/>
  <c r="F136" i="19"/>
  <c r="F128" i="92"/>
  <c r="B128" i="92"/>
  <c r="H127" i="90"/>
  <c r="I127" i="90"/>
  <c r="B132" i="63"/>
  <c r="F132" i="63"/>
  <c r="E130" i="81"/>
  <c r="G129" i="81"/>
  <c r="D130" i="81"/>
  <c r="F138" i="29"/>
  <c r="B138" i="29"/>
  <c r="H130" i="68"/>
  <c r="I130" i="68"/>
  <c r="B129" i="85"/>
  <c r="F129" i="85"/>
  <c r="B132" i="61"/>
  <c r="F132" i="61"/>
  <c r="I131" i="64"/>
  <c r="H131" i="64"/>
  <c r="J131" i="62"/>
  <c r="J135" i="22"/>
  <c r="I132" i="46"/>
  <c r="H132" i="46"/>
  <c r="B134" i="74"/>
  <c r="F134" i="74"/>
  <c r="H132" i="53"/>
  <c r="I132" i="53"/>
  <c r="H137" i="30"/>
  <c r="I137" i="30"/>
  <c r="F130" i="78"/>
  <c r="B130" i="78"/>
  <c r="H131" i="65"/>
  <c r="I131" i="65"/>
  <c r="H129" i="79"/>
  <c r="I129" i="79"/>
  <c r="E133" i="62"/>
  <c r="D133" i="62"/>
  <c r="G132" i="62"/>
  <c r="H135" i="20"/>
  <c r="I135" i="20"/>
  <c r="H131" i="63"/>
  <c r="I131" i="63"/>
  <c r="B128" i="86"/>
  <c r="F128" i="86"/>
  <c r="I136" i="31"/>
  <c r="H136" i="31"/>
  <c r="F138" i="69"/>
  <c r="B138" i="69"/>
  <c r="I131" i="60"/>
  <c r="H131" i="60"/>
  <c r="I127" i="84"/>
  <c r="H127" i="84"/>
  <c r="H132" i="58"/>
  <c r="I132" i="58"/>
  <c r="J127" i="25"/>
  <c r="J133" i="56"/>
  <c r="H131" i="61"/>
  <c r="I131" i="61"/>
  <c r="H137" i="70"/>
  <c r="I137" i="70"/>
  <c r="H135" i="34"/>
  <c r="I135" i="34"/>
  <c r="B133" i="53"/>
  <c r="F133" i="53"/>
  <c r="H132" i="72"/>
  <c r="I132" i="72"/>
  <c r="B137" i="32"/>
  <c r="F137" i="32"/>
  <c r="D129" i="91"/>
  <c r="G128" i="91"/>
  <c r="E129" i="91"/>
  <c r="D137" i="22"/>
  <c r="G136" i="22"/>
  <c r="E137" i="22"/>
  <c r="B132" i="65"/>
  <c r="F132" i="65"/>
  <c r="I127" i="88"/>
  <c r="H127" i="88"/>
  <c r="B128" i="90"/>
  <c r="F128" i="90"/>
  <c r="I134" i="39"/>
  <c r="H134" i="39"/>
  <c r="H137" i="29"/>
  <c r="I137" i="29"/>
  <c r="B135" i="43"/>
  <c r="F135" i="43"/>
  <c r="I127" i="86"/>
  <c r="H127" i="86"/>
  <c r="F131" i="68"/>
  <c r="B131" i="68"/>
  <c r="I137" i="69"/>
  <c r="H137" i="69"/>
  <c r="F132" i="60"/>
  <c r="B132" i="60"/>
  <c r="G135" i="41"/>
  <c r="E136" i="41"/>
  <c r="D136" i="41"/>
  <c r="H130" i="66"/>
  <c r="I130" i="66"/>
  <c r="H128" i="85"/>
  <c r="I128" i="85"/>
  <c r="J129" i="76"/>
  <c r="J128" i="80"/>
  <c r="F138" i="23"/>
  <c r="B138" i="23"/>
  <c r="J135" i="21"/>
  <c r="J132" i="55"/>
  <c r="E135" i="56"/>
  <c r="G134" i="56"/>
  <c r="D135" i="56"/>
  <c r="H136" i="18"/>
  <c r="I136" i="18"/>
  <c r="F133" i="59"/>
  <c r="B133" i="59"/>
  <c r="I137" i="23"/>
  <c r="H137" i="23"/>
  <c r="B137" i="18"/>
  <c r="F137" i="18"/>
  <c r="I132" i="59"/>
  <c r="H132" i="59"/>
  <c r="J129" i="77"/>
  <c r="F138" i="71"/>
  <c r="B138" i="71"/>
  <c r="I133" i="57"/>
  <c r="H133" i="57"/>
  <c r="J134" i="42"/>
  <c r="J136" i="24"/>
  <c r="I137" i="71"/>
  <c r="H137" i="71"/>
  <c r="B134" i="57"/>
  <c r="F134" i="57"/>
  <c r="G128" i="25"/>
  <c r="D129" i="25"/>
  <c r="E129" i="25" s="1"/>
  <c r="H138" i="28"/>
  <c r="I138" i="28"/>
  <c r="G130" i="75"/>
  <c r="D131" i="75"/>
  <c r="E131" i="75"/>
  <c r="B129" i="94"/>
  <c r="J126" i="33"/>
  <c r="J126" i="13"/>
  <c r="F128" i="87"/>
  <c r="B128" i="87"/>
  <c r="E131" i="77"/>
  <c r="G130" i="77"/>
  <c r="D131" i="77"/>
  <c r="B128" i="96"/>
  <c r="B131" i="67"/>
  <c r="F131" i="67"/>
  <c r="D131" i="76"/>
  <c r="E131" i="76"/>
  <c r="G130" i="76"/>
  <c r="F129" i="82"/>
  <c r="B129" i="82"/>
  <c r="E134" i="54"/>
  <c r="D134" i="54"/>
  <c r="G133" i="54"/>
  <c r="G136" i="21"/>
  <c r="D137" i="21"/>
  <c r="E137" i="21"/>
  <c r="J128" i="83"/>
  <c r="E130" i="80"/>
  <c r="D130" i="80"/>
  <c r="G129" i="80"/>
  <c r="G128" i="93"/>
  <c r="D129" i="93"/>
  <c r="E129" i="93" s="1"/>
  <c r="H128" i="94"/>
  <c r="I128" i="94"/>
  <c r="F129" i="95"/>
  <c r="B129" i="95"/>
  <c r="J129" i="75"/>
  <c r="H128" i="82"/>
  <c r="I128" i="82"/>
  <c r="H136" i="17"/>
  <c r="I136" i="17"/>
  <c r="H128" i="95"/>
  <c r="I128" i="95"/>
  <c r="E128" i="96"/>
  <c r="F128" i="96" s="1"/>
  <c r="G127" i="13"/>
  <c r="D128" i="13"/>
  <c r="E128" i="13" s="1"/>
  <c r="G129" i="83"/>
  <c r="D130" i="83"/>
  <c r="E130" i="83"/>
  <c r="F135" i="44"/>
  <c r="B135" i="44"/>
  <c r="I135" i="3"/>
  <c r="H135" i="3"/>
  <c r="E136" i="42"/>
  <c r="D136" i="42"/>
  <c r="G135" i="42"/>
  <c r="F139" i="28"/>
  <c r="B139" i="28"/>
  <c r="B137" i="17"/>
  <c r="F137" i="17"/>
  <c r="E129" i="94"/>
  <c r="F129" i="94" s="1"/>
  <c r="D138" i="24"/>
  <c r="G137" i="24"/>
  <c r="E138" i="24"/>
  <c r="J132" i="54"/>
  <c r="H127" i="87"/>
  <c r="I127" i="87"/>
  <c r="D134" i="55"/>
  <c r="E134" i="55"/>
  <c r="G133" i="55"/>
  <c r="G127" i="33"/>
  <c r="D128" i="33"/>
  <c r="E128" i="33" s="1"/>
  <c r="H127" i="96"/>
  <c r="I127" i="96"/>
  <c r="H130" i="67"/>
  <c r="I130" i="67"/>
  <c r="H134" i="44"/>
  <c r="I134" i="44"/>
  <c r="B136" i="3"/>
  <c r="F136" i="3"/>
  <c r="H53" i="99" l="1"/>
  <c r="I53" i="99" s="1"/>
  <c r="H52" i="67"/>
  <c r="I52" i="67" s="1"/>
  <c r="D49" i="98"/>
  <c r="E49" i="98"/>
  <c r="H48" i="98"/>
  <c r="F62" i="97"/>
  <c r="H62" i="97" s="1"/>
  <c r="G48" i="98"/>
  <c r="B62" i="97"/>
  <c r="E54" i="99"/>
  <c r="F54" i="99"/>
  <c r="D55" i="99" s="1"/>
  <c r="B54" i="99"/>
  <c r="G48" i="94"/>
  <c r="I48" i="94" s="1"/>
  <c r="B129" i="26"/>
  <c r="E129" i="26"/>
  <c r="F129" i="26" s="1"/>
  <c r="H127" i="99"/>
  <c r="I127" i="99"/>
  <c r="F128" i="99"/>
  <c r="B128" i="99"/>
  <c r="J127" i="98"/>
  <c r="J127" i="97"/>
  <c r="I55" i="42"/>
  <c r="G128" i="97"/>
  <c r="D129" i="97"/>
  <c r="E129" i="97"/>
  <c r="G128" i="98"/>
  <c r="D129" i="98"/>
  <c r="E129" i="98"/>
  <c r="I49" i="86"/>
  <c r="E53" i="67"/>
  <c r="D53" i="67"/>
  <c r="G52" i="59"/>
  <c r="I52" i="59" s="1"/>
  <c r="I54" i="55"/>
  <c r="H53" i="46"/>
  <c r="I53" i="46" s="1"/>
  <c r="D54" i="46"/>
  <c r="E54" i="46"/>
  <c r="G57" i="24"/>
  <c r="I57" i="24" s="1"/>
  <c r="E58" i="24"/>
  <c r="D58" i="24"/>
  <c r="D48" i="93"/>
  <c r="E48" i="93"/>
  <c r="G49" i="81"/>
  <c r="I49" i="81" s="1"/>
  <c r="I48" i="25"/>
  <c r="E49" i="94"/>
  <c r="D49" i="94"/>
  <c r="G47" i="93"/>
  <c r="I47" i="93" s="1"/>
  <c r="H50" i="80"/>
  <c r="I50" i="80" s="1"/>
  <c r="D51" i="80"/>
  <c r="E51" i="80"/>
  <c r="B50" i="86"/>
  <c r="F50" i="86"/>
  <c r="B51" i="82"/>
  <c r="F51" i="82"/>
  <c r="H51" i="82" s="1"/>
  <c r="E49" i="25"/>
  <c r="F49" i="25" s="1"/>
  <c r="B49" i="25"/>
  <c r="H50" i="77"/>
  <c r="G49" i="84"/>
  <c r="E50" i="84"/>
  <c r="D50" i="84"/>
  <c r="B51" i="75"/>
  <c r="F51" i="75"/>
  <c r="G51" i="75" s="1"/>
  <c r="G50" i="78"/>
  <c r="I50" i="78" s="1"/>
  <c r="F52" i="65"/>
  <c r="H52" i="65" s="1"/>
  <c r="B52" i="65"/>
  <c r="F55" i="58"/>
  <c r="G55" i="58" s="1"/>
  <c r="B55" i="58"/>
  <c r="G58" i="23"/>
  <c r="H58" i="23"/>
  <c r="D59" i="23"/>
  <c r="F55" i="55"/>
  <c r="G55" i="55" s="1"/>
  <c r="B55" i="55"/>
  <c r="H57" i="18"/>
  <c r="I57" i="18" s="1"/>
  <c r="H56" i="41"/>
  <c r="I56" i="41" s="1"/>
  <c r="E50" i="91"/>
  <c r="G49" i="91"/>
  <c r="H49" i="91"/>
  <c r="D50" i="91"/>
  <c r="I54" i="58"/>
  <c r="H50" i="90"/>
  <c r="I50" i="90" s="1"/>
  <c r="D51" i="90"/>
  <c r="E51" i="90"/>
  <c r="H52" i="63"/>
  <c r="I52" i="63" s="1"/>
  <c r="H52" i="66"/>
  <c r="I52" i="66" s="1"/>
  <c r="D53" i="66"/>
  <c r="E53" i="66"/>
  <c r="H49" i="84"/>
  <c r="G53" i="53"/>
  <c r="I53" i="53" s="1"/>
  <c r="D54" i="53"/>
  <c r="E54" i="53"/>
  <c r="B56" i="42"/>
  <c r="F56" i="42"/>
  <c r="G56" i="42" s="1"/>
  <c r="H47" i="96"/>
  <c r="E48" i="96"/>
  <c r="D48" i="96"/>
  <c r="F48" i="95"/>
  <c r="H48" i="95" s="1"/>
  <c r="B48" i="95"/>
  <c r="H56" i="21"/>
  <c r="I56" i="21" s="1"/>
  <c r="H57" i="32"/>
  <c r="I57" i="32" s="1"/>
  <c r="B50" i="85"/>
  <c r="F50" i="85"/>
  <c r="G50" i="76"/>
  <c r="I50" i="76" s="1"/>
  <c r="D51" i="76"/>
  <c r="E51" i="76"/>
  <c r="G58" i="27"/>
  <c r="D59" i="27"/>
  <c r="E59" i="27"/>
  <c r="H58" i="27"/>
  <c r="G47" i="96"/>
  <c r="D50" i="81"/>
  <c r="E50" i="81"/>
  <c r="I47" i="95"/>
  <c r="I50" i="77"/>
  <c r="B54" i="72"/>
  <c r="F54" i="72"/>
  <c r="G54" i="72" s="1"/>
  <c r="G58" i="70"/>
  <c r="I58" i="70" s="1"/>
  <c r="G53" i="57"/>
  <c r="G55" i="44"/>
  <c r="I55" i="44" s="1"/>
  <c r="D56" i="44"/>
  <c r="E56" i="44"/>
  <c r="H56" i="22"/>
  <c r="I56" i="22" s="1"/>
  <c r="D57" i="22"/>
  <c r="E57" i="22"/>
  <c r="B56" i="39"/>
  <c r="F56" i="39"/>
  <c r="G56" i="39" s="1"/>
  <c r="G52" i="61"/>
  <c r="I52" i="61" s="1"/>
  <c r="E53" i="61"/>
  <c r="D53" i="61"/>
  <c r="I53" i="57"/>
  <c r="B57" i="3"/>
  <c r="F57" i="3"/>
  <c r="G57" i="3" s="1"/>
  <c r="G53" i="54"/>
  <c r="E54" i="54"/>
  <c r="D54" i="54"/>
  <c r="B50" i="88"/>
  <c r="F50" i="88"/>
  <c r="G50" i="88" s="1"/>
  <c r="D59" i="29"/>
  <c r="E59" i="29" s="1"/>
  <c r="G55" i="73"/>
  <c r="E56" i="73"/>
  <c r="D56" i="73"/>
  <c r="H50" i="79"/>
  <c r="I50" i="79" s="1"/>
  <c r="G58" i="29"/>
  <c r="D57" i="17"/>
  <c r="E57" i="17" s="1"/>
  <c r="F58" i="34"/>
  <c r="G58" i="34" s="1"/>
  <c r="B58" i="34"/>
  <c r="B53" i="64"/>
  <c r="F53" i="64"/>
  <c r="H53" i="64" s="1"/>
  <c r="B52" i="68"/>
  <c r="F52" i="68"/>
  <c r="H52" i="68" s="1"/>
  <c r="D49" i="92"/>
  <c r="E49" i="92"/>
  <c r="B55" i="45"/>
  <c r="F55" i="45"/>
  <c r="G55" i="45" s="1"/>
  <c r="F59" i="31"/>
  <c r="D60" i="31" s="1"/>
  <c r="B59" i="31"/>
  <c r="F58" i="30"/>
  <c r="G58" i="30" s="1"/>
  <c r="B58" i="30"/>
  <c r="E53" i="63"/>
  <c r="D53" i="63"/>
  <c r="B59" i="69"/>
  <c r="F59" i="69"/>
  <c r="G59" i="69" s="1"/>
  <c r="E51" i="77"/>
  <c r="D51" i="77"/>
  <c r="F57" i="19"/>
  <c r="H57" i="19" s="1"/>
  <c r="B57" i="19"/>
  <c r="E51" i="78"/>
  <c r="D51" i="78"/>
  <c r="H58" i="29"/>
  <c r="F53" i="56"/>
  <c r="H53" i="56" s="1"/>
  <c r="B53" i="56"/>
  <c r="E57" i="21"/>
  <c r="D57" i="21"/>
  <c r="H56" i="17"/>
  <c r="D58" i="32"/>
  <c r="E58" i="32" s="1"/>
  <c r="D56" i="74"/>
  <c r="E56" i="74"/>
  <c r="E49" i="89"/>
  <c r="D49" i="89"/>
  <c r="F60" i="28"/>
  <c r="D61" i="28" s="1"/>
  <c r="B60" i="28"/>
  <c r="D51" i="79"/>
  <c r="E51" i="79"/>
  <c r="F49" i="83"/>
  <c r="H49" i="83" s="1"/>
  <c r="B49" i="83"/>
  <c r="I52" i="64"/>
  <c r="I51" i="68"/>
  <c r="H53" i="54"/>
  <c r="D59" i="70"/>
  <c r="E59" i="70" s="1"/>
  <c r="E54" i="57"/>
  <c r="D54" i="57"/>
  <c r="D57" i="41"/>
  <c r="E57" i="41"/>
  <c r="G56" i="17"/>
  <c r="F58" i="71"/>
  <c r="D59" i="71" s="1"/>
  <c r="B58" i="71"/>
  <c r="H52" i="60"/>
  <c r="I52" i="60" s="1"/>
  <c r="D53" i="60"/>
  <c r="E53" i="60"/>
  <c r="H56" i="43"/>
  <c r="I56" i="43" s="1"/>
  <c r="E57" i="43"/>
  <c r="D57" i="43"/>
  <c r="H55" i="74"/>
  <c r="I55" i="74" s="1"/>
  <c r="H48" i="89"/>
  <c r="I48" i="89" s="1"/>
  <c r="G48" i="92"/>
  <c r="I48" i="92" s="1"/>
  <c r="H55" i="73"/>
  <c r="J128" i="85"/>
  <c r="J127" i="84"/>
  <c r="J137" i="69"/>
  <c r="B50" i="33"/>
  <c r="J137" i="29"/>
  <c r="J134" i="43"/>
  <c r="J127" i="92"/>
  <c r="J129" i="78"/>
  <c r="J133" i="74"/>
  <c r="E53" i="59"/>
  <c r="D53" i="59"/>
  <c r="J130" i="66"/>
  <c r="J129" i="79"/>
  <c r="J132" i="53"/>
  <c r="J135" i="19"/>
  <c r="B49" i="26"/>
  <c r="F49" i="26"/>
  <c r="H49" i="26" s="1"/>
  <c r="B52" i="62"/>
  <c r="F52" i="62"/>
  <c r="H52" i="62" s="1"/>
  <c r="F48" i="13"/>
  <c r="H48" i="13" s="1"/>
  <c r="B48" i="13"/>
  <c r="J132" i="59"/>
  <c r="J137" i="23"/>
  <c r="J134" i="39"/>
  <c r="J127" i="88"/>
  <c r="J131" i="60"/>
  <c r="J136" i="31"/>
  <c r="I49" i="33"/>
  <c r="B49" i="87"/>
  <c r="F49" i="87"/>
  <c r="G49" i="87" s="1"/>
  <c r="B56" i="20"/>
  <c r="F56" i="20"/>
  <c r="H56" i="20" s="1"/>
  <c r="E58" i="18"/>
  <c r="D58" i="18"/>
  <c r="E50" i="33"/>
  <c r="F50" i="33" s="1"/>
  <c r="B136" i="41"/>
  <c r="F136" i="41"/>
  <c r="D133" i="60"/>
  <c r="E133" i="60"/>
  <c r="G132" i="60"/>
  <c r="G131" i="68"/>
  <c r="D132" i="68"/>
  <c r="E132" i="68"/>
  <c r="H136" i="22"/>
  <c r="I136" i="22"/>
  <c r="B129" i="91"/>
  <c r="F129" i="91"/>
  <c r="B133" i="62"/>
  <c r="F133" i="62"/>
  <c r="J131" i="65"/>
  <c r="J137" i="30"/>
  <c r="G134" i="74"/>
  <c r="E135" i="74"/>
  <c r="D135" i="74"/>
  <c r="D133" i="61"/>
  <c r="G132" i="61"/>
  <c r="E133" i="61"/>
  <c r="J130" i="68"/>
  <c r="B130" i="81"/>
  <c r="F130" i="81"/>
  <c r="G128" i="92"/>
  <c r="D129" i="92"/>
  <c r="E129" i="92"/>
  <c r="G130" i="79"/>
  <c r="E131" i="79"/>
  <c r="D131" i="79"/>
  <c r="J136" i="32"/>
  <c r="G136" i="34"/>
  <c r="E137" i="34"/>
  <c r="D137" i="34"/>
  <c r="D139" i="70"/>
  <c r="E139" i="70"/>
  <c r="G138" i="70"/>
  <c r="E139" i="27"/>
  <c r="G138" i="27"/>
  <c r="D139" i="27"/>
  <c r="G128" i="90"/>
  <c r="D129" i="90"/>
  <c r="E129" i="90"/>
  <c r="E133" i="65"/>
  <c r="G132" i="65"/>
  <c r="D133" i="65"/>
  <c r="F137" i="22"/>
  <c r="B137" i="22"/>
  <c r="D138" i="32"/>
  <c r="G137" i="32"/>
  <c r="E138" i="32"/>
  <c r="D134" i="53"/>
  <c r="E134" i="53"/>
  <c r="G133" i="53"/>
  <c r="J137" i="70"/>
  <c r="G128" i="86"/>
  <c r="E129" i="86"/>
  <c r="D129" i="86"/>
  <c r="J135" i="20"/>
  <c r="I129" i="81"/>
  <c r="H129" i="81"/>
  <c r="J127" i="90"/>
  <c r="E137" i="19"/>
  <c r="G136" i="19"/>
  <c r="D137" i="19"/>
  <c r="F136" i="73"/>
  <c r="B136" i="73"/>
  <c r="D134" i="46"/>
  <c r="E134" i="46"/>
  <c r="G133" i="46"/>
  <c r="E134" i="58"/>
  <c r="G133" i="58"/>
  <c r="D134" i="58"/>
  <c r="E129" i="84"/>
  <c r="D129" i="84"/>
  <c r="G128" i="84"/>
  <c r="E129" i="88"/>
  <c r="D129" i="88"/>
  <c r="G128" i="88"/>
  <c r="I128" i="89"/>
  <c r="H128" i="89"/>
  <c r="I135" i="41"/>
  <c r="H135" i="41"/>
  <c r="J127" i="86"/>
  <c r="G138" i="69"/>
  <c r="D139" i="69"/>
  <c r="E139" i="69"/>
  <c r="G129" i="85"/>
  <c r="D130" i="85"/>
  <c r="E130" i="85"/>
  <c r="I135" i="73"/>
  <c r="H135" i="73"/>
  <c r="E138" i="31"/>
  <c r="G137" i="31"/>
  <c r="D138" i="31"/>
  <c r="G136" i="20"/>
  <c r="D137" i="20"/>
  <c r="E137" i="20"/>
  <c r="F135" i="45"/>
  <c r="B135" i="45"/>
  <c r="D134" i="72"/>
  <c r="G133" i="72"/>
  <c r="E134" i="72"/>
  <c r="E133" i="64"/>
  <c r="D133" i="64"/>
  <c r="G132" i="64"/>
  <c r="E136" i="43"/>
  <c r="D136" i="43"/>
  <c r="G135" i="43"/>
  <c r="I128" i="91"/>
  <c r="H128" i="91"/>
  <c r="J132" i="72"/>
  <c r="J135" i="34"/>
  <c r="J131" i="61"/>
  <c r="J132" i="58"/>
  <c r="J131" i="63"/>
  <c r="I132" i="62"/>
  <c r="H132" i="62"/>
  <c r="D131" i="78"/>
  <c r="E131" i="78"/>
  <c r="G130" i="78"/>
  <c r="J132" i="46"/>
  <c r="J131" i="64"/>
  <c r="D139" i="29"/>
  <c r="G138" i="29"/>
  <c r="E139" i="29"/>
  <c r="G132" i="63"/>
  <c r="E133" i="63"/>
  <c r="D133" i="63"/>
  <c r="G138" i="30"/>
  <c r="E139" i="30"/>
  <c r="D139" i="30"/>
  <c r="J137" i="27"/>
  <c r="D132" i="66"/>
  <c r="E132" i="66"/>
  <c r="G131" i="66"/>
  <c r="G135" i="39"/>
  <c r="E136" i="39"/>
  <c r="D136" i="39"/>
  <c r="H134" i="45"/>
  <c r="I134" i="45"/>
  <c r="B129" i="89"/>
  <c r="F129" i="89"/>
  <c r="J133" i="57"/>
  <c r="J136" i="18"/>
  <c r="H134" i="56"/>
  <c r="I134" i="56"/>
  <c r="J128" i="95"/>
  <c r="E138" i="18"/>
  <c r="D138" i="18"/>
  <c r="G137" i="18"/>
  <c r="G133" i="59"/>
  <c r="E134" i="59"/>
  <c r="D134" i="59"/>
  <c r="F135" i="56"/>
  <c r="B135" i="56"/>
  <c r="G138" i="23"/>
  <c r="D139" i="23"/>
  <c r="E139" i="23"/>
  <c r="J127" i="87"/>
  <c r="E135" i="57"/>
  <c r="D135" i="57"/>
  <c r="G134" i="57"/>
  <c r="E139" i="71"/>
  <c r="G138" i="71"/>
  <c r="D139" i="71"/>
  <c r="J134" i="44"/>
  <c r="J137" i="71"/>
  <c r="G128" i="96"/>
  <c r="D129" i="96"/>
  <c r="E129" i="96" s="1"/>
  <c r="D130" i="94"/>
  <c r="E130" i="94" s="1"/>
  <c r="G129" i="94"/>
  <c r="J127" i="96"/>
  <c r="H127" i="33"/>
  <c r="I127" i="33"/>
  <c r="I137" i="24"/>
  <c r="H137" i="24"/>
  <c r="I129" i="83"/>
  <c r="H129" i="83"/>
  <c r="J136" i="17"/>
  <c r="J128" i="82"/>
  <c r="I128" i="93"/>
  <c r="H128" i="93"/>
  <c r="F134" i="54"/>
  <c r="B134" i="54"/>
  <c r="F131" i="76"/>
  <c r="B131" i="76"/>
  <c r="I130" i="77"/>
  <c r="H130" i="77"/>
  <c r="B131" i="75"/>
  <c r="F131" i="75"/>
  <c r="G136" i="3"/>
  <c r="D137" i="3"/>
  <c r="E137" i="3"/>
  <c r="J130" i="67"/>
  <c r="I133" i="55"/>
  <c r="H133" i="55"/>
  <c r="B138" i="24"/>
  <c r="F138" i="24"/>
  <c r="G139" i="28"/>
  <c r="D140" i="28"/>
  <c r="E140" i="28"/>
  <c r="B128" i="13"/>
  <c r="F128" i="13"/>
  <c r="J128" i="94"/>
  <c r="G129" i="82"/>
  <c r="D130" i="82"/>
  <c r="E130" i="82"/>
  <c r="I130" i="75"/>
  <c r="H130" i="75"/>
  <c r="E138" i="17"/>
  <c r="G137" i="17"/>
  <c r="D138" i="17"/>
  <c r="H135" i="42"/>
  <c r="I135" i="42"/>
  <c r="I127" i="13"/>
  <c r="H127" i="13"/>
  <c r="I129" i="80"/>
  <c r="H129" i="80"/>
  <c r="F137" i="21"/>
  <c r="B137" i="21"/>
  <c r="I130" i="76"/>
  <c r="H130" i="76"/>
  <c r="F129" i="25"/>
  <c r="B129" i="25"/>
  <c r="F128" i="33"/>
  <c r="B128" i="33"/>
  <c r="B134" i="55"/>
  <c r="F134" i="55"/>
  <c r="B136" i="42"/>
  <c r="F136" i="42"/>
  <c r="J135" i="3"/>
  <c r="G135" i="44"/>
  <c r="D136" i="44"/>
  <c r="E136" i="44"/>
  <c r="F130" i="83"/>
  <c r="B130" i="83"/>
  <c r="D130" i="95"/>
  <c r="E130" i="95" s="1"/>
  <c r="G129" i="95"/>
  <c r="F129" i="93"/>
  <c r="B129" i="93"/>
  <c r="B130" i="80"/>
  <c r="F130" i="80"/>
  <c r="H136" i="21"/>
  <c r="I136" i="21"/>
  <c r="H133" i="54"/>
  <c r="I133" i="54"/>
  <c r="D132" i="67"/>
  <c r="G131" i="67"/>
  <c r="E132" i="67"/>
  <c r="B131" i="77"/>
  <c r="F131" i="77"/>
  <c r="D129" i="87"/>
  <c r="G128" i="87"/>
  <c r="E129" i="87"/>
  <c r="J138" i="28"/>
  <c r="H128" i="25"/>
  <c r="I128" i="25"/>
  <c r="G48" i="13" l="1"/>
  <c r="G54" i="99"/>
  <c r="I48" i="98"/>
  <c r="I49" i="91"/>
  <c r="D63" i="97"/>
  <c r="E63" i="97" s="1"/>
  <c r="G62" i="97"/>
  <c r="I62" i="97" s="1"/>
  <c r="E55" i="99"/>
  <c r="F55" i="99"/>
  <c r="D56" i="99" s="1"/>
  <c r="B55" i="99"/>
  <c r="H54" i="99"/>
  <c r="I54" i="99" s="1"/>
  <c r="B49" i="98"/>
  <c r="F49" i="98"/>
  <c r="H49" i="98" s="1"/>
  <c r="I53" i="54"/>
  <c r="I49" i="84"/>
  <c r="J127" i="99"/>
  <c r="G53" i="56"/>
  <c r="I53" i="56" s="1"/>
  <c r="D130" i="26"/>
  <c r="G129" i="26"/>
  <c r="D129" i="99"/>
  <c r="G128" i="99"/>
  <c r="E129" i="99"/>
  <c r="H58" i="71"/>
  <c r="H128" i="98"/>
  <c r="I128" i="98"/>
  <c r="F129" i="97"/>
  <c r="B129" i="97"/>
  <c r="B129" i="98"/>
  <c r="F129" i="98"/>
  <c r="I128" i="97"/>
  <c r="H128" i="97"/>
  <c r="G52" i="68"/>
  <c r="I52" i="68" s="1"/>
  <c r="F53" i="67"/>
  <c r="G53" i="67" s="1"/>
  <c r="B53" i="67"/>
  <c r="H55" i="58"/>
  <c r="I55" i="58" s="1"/>
  <c r="F54" i="46"/>
  <c r="H54" i="46" s="1"/>
  <c r="B54" i="46"/>
  <c r="I58" i="29"/>
  <c r="I58" i="27"/>
  <c r="F58" i="24"/>
  <c r="G58" i="24" s="1"/>
  <c r="B58" i="24"/>
  <c r="H59" i="31"/>
  <c r="G53" i="64"/>
  <c r="I53" i="64" s="1"/>
  <c r="G51" i="82"/>
  <c r="I51" i="82" s="1"/>
  <c r="E52" i="82"/>
  <c r="D52" i="82"/>
  <c r="B49" i="94"/>
  <c r="F49" i="94"/>
  <c r="H49" i="94" s="1"/>
  <c r="H49" i="25"/>
  <c r="G49" i="25"/>
  <c r="D50" i="25"/>
  <c r="F51" i="80"/>
  <c r="G51" i="80" s="1"/>
  <c r="B51" i="80"/>
  <c r="B48" i="93"/>
  <c r="F48" i="93"/>
  <c r="H48" i="93" s="1"/>
  <c r="I47" i="96"/>
  <c r="E51" i="86"/>
  <c r="G50" i="86"/>
  <c r="D51" i="86"/>
  <c r="H50" i="86"/>
  <c r="G58" i="71"/>
  <c r="I58" i="71" s="1"/>
  <c r="H58" i="30"/>
  <c r="I58" i="30" s="1"/>
  <c r="H56" i="39"/>
  <c r="I56" i="39" s="1"/>
  <c r="F50" i="91"/>
  <c r="B50" i="91"/>
  <c r="I58" i="23"/>
  <c r="G52" i="65"/>
  <c r="I52" i="65" s="1"/>
  <c r="E53" i="65"/>
  <c r="D53" i="65"/>
  <c r="D52" i="75"/>
  <c r="E52" i="75"/>
  <c r="D57" i="42"/>
  <c r="E57" i="42"/>
  <c r="B54" i="53"/>
  <c r="F54" i="53"/>
  <c r="H54" i="53" s="1"/>
  <c r="B53" i="66"/>
  <c r="F53" i="66"/>
  <c r="B51" i="90"/>
  <c r="F51" i="90"/>
  <c r="G51" i="90" s="1"/>
  <c r="H55" i="55"/>
  <c r="I55" i="55" s="1"/>
  <c r="E56" i="55"/>
  <c r="D56" i="55"/>
  <c r="G48" i="95"/>
  <c r="I48" i="95" s="1"/>
  <c r="F50" i="84"/>
  <c r="B50" i="84"/>
  <c r="H56" i="42"/>
  <c r="I56" i="42" s="1"/>
  <c r="E59" i="23"/>
  <c r="F59" i="23" s="1"/>
  <c r="B59" i="23"/>
  <c r="E56" i="58"/>
  <c r="D56" i="58"/>
  <c r="H51" i="75"/>
  <c r="I51" i="75" s="1"/>
  <c r="G50" i="85"/>
  <c r="D51" i="85"/>
  <c r="E51" i="85"/>
  <c r="B48" i="96"/>
  <c r="F48" i="96"/>
  <c r="H48" i="96" s="1"/>
  <c r="G49" i="83"/>
  <c r="I49" i="83" s="1"/>
  <c r="B56" i="44"/>
  <c r="F56" i="44"/>
  <c r="H56" i="44" s="1"/>
  <c r="E55" i="72"/>
  <c r="D55" i="72"/>
  <c r="B51" i="76"/>
  <c r="F51" i="76"/>
  <c r="G51" i="76" s="1"/>
  <c r="F53" i="61"/>
  <c r="B53" i="61"/>
  <c r="B57" i="22"/>
  <c r="F57" i="22"/>
  <c r="H54" i="72"/>
  <c r="I54" i="72" s="1"/>
  <c r="B59" i="27"/>
  <c r="F59" i="27"/>
  <c r="H59" i="27" s="1"/>
  <c r="H50" i="85"/>
  <c r="D49" i="95"/>
  <c r="E49" i="95"/>
  <c r="H60" i="28"/>
  <c r="D57" i="39"/>
  <c r="E57" i="39"/>
  <c r="F50" i="81"/>
  <c r="G50" i="81" s="1"/>
  <c r="B50" i="81"/>
  <c r="I48" i="13"/>
  <c r="I55" i="73"/>
  <c r="B57" i="41"/>
  <c r="F57" i="41"/>
  <c r="H57" i="41" s="1"/>
  <c r="F57" i="21"/>
  <c r="G57" i="21" s="1"/>
  <c r="B57" i="21"/>
  <c r="B53" i="63"/>
  <c r="F53" i="63"/>
  <c r="G52" i="62"/>
  <c r="I52" i="62" s="1"/>
  <c r="E59" i="71"/>
  <c r="F59" i="71" s="1"/>
  <c r="B59" i="71"/>
  <c r="F54" i="57"/>
  <c r="H54" i="57" s="1"/>
  <c r="B54" i="57"/>
  <c r="F59" i="70"/>
  <c r="D60" i="70" s="1"/>
  <c r="B59" i="70"/>
  <c r="E50" i="83"/>
  <c r="D50" i="83"/>
  <c r="B58" i="32"/>
  <c r="F58" i="32"/>
  <c r="B51" i="78"/>
  <c r="F51" i="78"/>
  <c r="D59" i="30"/>
  <c r="E59" i="30" s="1"/>
  <c r="H58" i="34"/>
  <c r="I58" i="34" s="1"/>
  <c r="D59" i="34"/>
  <c r="E59" i="34" s="1"/>
  <c r="D58" i="3"/>
  <c r="E58" i="3"/>
  <c r="B56" i="73"/>
  <c r="F56" i="73"/>
  <c r="G56" i="73" s="1"/>
  <c r="B57" i="43"/>
  <c r="F57" i="43"/>
  <c r="G57" i="43" s="1"/>
  <c r="F53" i="60"/>
  <c r="B53" i="60"/>
  <c r="E61" i="28"/>
  <c r="F61" i="28" s="1"/>
  <c r="B61" i="28"/>
  <c r="D58" i="19"/>
  <c r="E58" i="19" s="1"/>
  <c r="H59" i="69"/>
  <c r="I59" i="69" s="1"/>
  <c r="D60" i="69"/>
  <c r="E60" i="69" s="1"/>
  <c r="F60" i="69" s="1"/>
  <c r="E60" i="31"/>
  <c r="F60" i="31" s="1"/>
  <c r="G60" i="31" s="1"/>
  <c r="B60" i="31"/>
  <c r="D56" i="45"/>
  <c r="E56" i="45"/>
  <c r="B49" i="92"/>
  <c r="F49" i="92"/>
  <c r="F57" i="17"/>
  <c r="H57" i="17" s="1"/>
  <c r="C66" i="17"/>
  <c r="B57" i="17"/>
  <c r="H50" i="88"/>
  <c r="I50" i="88" s="1"/>
  <c r="E51" i="88"/>
  <c r="D51" i="88"/>
  <c r="F49" i="89"/>
  <c r="G49" i="89" s="1"/>
  <c r="B49" i="89"/>
  <c r="B54" i="54"/>
  <c r="F54" i="54"/>
  <c r="F51" i="79"/>
  <c r="B51" i="79"/>
  <c r="G60" i="28"/>
  <c r="F56" i="74"/>
  <c r="B56" i="74"/>
  <c r="I56" i="17"/>
  <c r="D54" i="56"/>
  <c r="E54" i="56"/>
  <c r="G57" i="19"/>
  <c r="I57" i="19" s="1"/>
  <c r="B51" i="77"/>
  <c r="F51" i="77"/>
  <c r="H51" i="77" s="1"/>
  <c r="G59" i="31"/>
  <c r="H55" i="45"/>
  <c r="I55" i="45" s="1"/>
  <c r="E53" i="68"/>
  <c r="D53" i="68"/>
  <c r="D54" i="64"/>
  <c r="E54" i="64"/>
  <c r="B59" i="29"/>
  <c r="F59" i="29"/>
  <c r="D60" i="29" s="1"/>
  <c r="H57" i="3"/>
  <c r="I57" i="3" s="1"/>
  <c r="J135" i="73"/>
  <c r="J129" i="80"/>
  <c r="J128" i="93"/>
  <c r="J129" i="83"/>
  <c r="J134" i="45"/>
  <c r="J134" i="56"/>
  <c r="D51" i="33"/>
  <c r="E51" i="33" s="1"/>
  <c r="G50" i="33"/>
  <c r="H50" i="33"/>
  <c r="J136" i="22"/>
  <c r="B58" i="18"/>
  <c r="F58" i="18"/>
  <c r="G56" i="20"/>
  <c r="I56" i="20" s="1"/>
  <c r="D49" i="13"/>
  <c r="E49" i="13" s="1"/>
  <c r="D53" i="62"/>
  <c r="E53" i="62"/>
  <c r="D50" i="87"/>
  <c r="E50" i="87"/>
  <c r="D50" i="26"/>
  <c r="E50" i="26" s="1"/>
  <c r="F53" i="59"/>
  <c r="G53" i="59" s="1"/>
  <c r="B53" i="59"/>
  <c r="E57" i="20"/>
  <c r="D57" i="20"/>
  <c r="J128" i="91"/>
  <c r="J135" i="41"/>
  <c r="H49" i="87"/>
  <c r="I49" i="87" s="1"/>
  <c r="G49" i="26"/>
  <c r="I49" i="26" s="1"/>
  <c r="J130" i="76"/>
  <c r="D130" i="89"/>
  <c r="G129" i="89"/>
  <c r="E130" i="89"/>
  <c r="F136" i="39"/>
  <c r="B136" i="39"/>
  <c r="H132" i="63"/>
  <c r="I132" i="63"/>
  <c r="F131" i="78"/>
  <c r="B131" i="78"/>
  <c r="D136" i="45"/>
  <c r="G135" i="45"/>
  <c r="E136" i="45"/>
  <c r="F138" i="31"/>
  <c r="B138" i="31"/>
  <c r="H128" i="88"/>
  <c r="I128" i="88"/>
  <c r="B129" i="84"/>
  <c r="F129" i="84"/>
  <c r="D138" i="22"/>
  <c r="E138" i="22"/>
  <c r="G137" i="22"/>
  <c r="I138" i="27"/>
  <c r="H138" i="27"/>
  <c r="F139" i="70"/>
  <c r="B139" i="70"/>
  <c r="B133" i="61"/>
  <c r="F133" i="61"/>
  <c r="E130" i="91"/>
  <c r="G129" i="91"/>
  <c r="D130" i="91"/>
  <c r="B132" i="66"/>
  <c r="F132" i="66"/>
  <c r="H138" i="30"/>
  <c r="I138" i="30"/>
  <c r="I132" i="64"/>
  <c r="H132" i="64"/>
  <c r="H133" i="72"/>
  <c r="I133" i="72"/>
  <c r="H137" i="31"/>
  <c r="I137" i="31"/>
  <c r="B139" i="69"/>
  <c r="F139" i="69"/>
  <c r="F129" i="88"/>
  <c r="B129" i="88"/>
  <c r="H133" i="46"/>
  <c r="I133" i="46"/>
  <c r="E137" i="73"/>
  <c r="D137" i="73"/>
  <c r="G136" i="73"/>
  <c r="B129" i="86"/>
  <c r="F129" i="86"/>
  <c r="H133" i="53"/>
  <c r="I133" i="53"/>
  <c r="I137" i="32"/>
  <c r="H137" i="32"/>
  <c r="B133" i="65"/>
  <c r="F133" i="65"/>
  <c r="B129" i="90"/>
  <c r="F129" i="90"/>
  <c r="F137" i="34"/>
  <c r="B137" i="34"/>
  <c r="B131" i="79"/>
  <c r="F131" i="79"/>
  <c r="B129" i="92"/>
  <c r="F129" i="92"/>
  <c r="B135" i="74"/>
  <c r="F135" i="74"/>
  <c r="F132" i="68"/>
  <c r="B132" i="68"/>
  <c r="B133" i="60"/>
  <c r="F133" i="60"/>
  <c r="I135" i="39"/>
  <c r="H135" i="39"/>
  <c r="F133" i="63"/>
  <c r="B133" i="63"/>
  <c r="H138" i="29"/>
  <c r="I138" i="29"/>
  <c r="I130" i="78"/>
  <c r="H130" i="78"/>
  <c r="J132" i="62"/>
  <c r="H135" i="43"/>
  <c r="I135" i="43"/>
  <c r="B133" i="64"/>
  <c r="F133" i="64"/>
  <c r="B134" i="72"/>
  <c r="F134" i="72"/>
  <c r="F137" i="20"/>
  <c r="B137" i="20"/>
  <c r="B130" i="85"/>
  <c r="F130" i="85"/>
  <c r="I138" i="69"/>
  <c r="H138" i="69"/>
  <c r="F134" i="58"/>
  <c r="B134" i="58"/>
  <c r="F137" i="19"/>
  <c r="B137" i="19"/>
  <c r="B138" i="32"/>
  <c r="F138" i="32"/>
  <c r="I132" i="65"/>
  <c r="H132" i="65"/>
  <c r="I128" i="90"/>
  <c r="H128" i="90"/>
  <c r="H138" i="70"/>
  <c r="I138" i="70"/>
  <c r="H128" i="92"/>
  <c r="I128" i="92"/>
  <c r="G133" i="62"/>
  <c r="E134" i="62"/>
  <c r="D134" i="62"/>
  <c r="I131" i="68"/>
  <c r="H131" i="68"/>
  <c r="E137" i="41"/>
  <c r="G136" i="41"/>
  <c r="D137" i="41"/>
  <c r="H131" i="66"/>
  <c r="I131" i="66"/>
  <c r="B139" i="30"/>
  <c r="F139" i="30"/>
  <c r="B139" i="29"/>
  <c r="F139" i="29"/>
  <c r="B136" i="43"/>
  <c r="F136" i="43"/>
  <c r="H136" i="20"/>
  <c r="I136" i="20"/>
  <c r="I129" i="85"/>
  <c r="H129" i="85"/>
  <c r="J128" i="89"/>
  <c r="I128" i="84"/>
  <c r="H128" i="84"/>
  <c r="I133" i="58"/>
  <c r="H133" i="58"/>
  <c r="F134" i="46"/>
  <c r="B134" i="46"/>
  <c r="I136" i="19"/>
  <c r="H136" i="19"/>
  <c r="J129" i="81"/>
  <c r="H128" i="86"/>
  <c r="I128" i="86"/>
  <c r="F134" i="53"/>
  <c r="B134" i="53"/>
  <c r="B139" i="27"/>
  <c r="F139" i="27"/>
  <c r="I136" i="34"/>
  <c r="H136" i="34"/>
  <c r="H130" i="79"/>
  <c r="I130" i="79"/>
  <c r="E131" i="81"/>
  <c r="G130" i="81"/>
  <c r="D131" i="81"/>
  <c r="H132" i="61"/>
  <c r="I132" i="61"/>
  <c r="H134" i="74"/>
  <c r="I134" i="74"/>
  <c r="H132" i="60"/>
  <c r="I132" i="60"/>
  <c r="J133" i="55"/>
  <c r="H138" i="23"/>
  <c r="I138" i="23"/>
  <c r="H133" i="59"/>
  <c r="I133" i="59"/>
  <c r="G135" i="56"/>
  <c r="D136" i="56"/>
  <c r="E136" i="56"/>
  <c r="H137" i="18"/>
  <c r="I137" i="18"/>
  <c r="F134" i="59"/>
  <c r="B134" i="59"/>
  <c r="B138" i="18"/>
  <c r="F138" i="18"/>
  <c r="F139" i="23"/>
  <c r="B139" i="23"/>
  <c r="J127" i="33"/>
  <c r="F139" i="71"/>
  <c r="B139" i="71"/>
  <c r="J128" i="25"/>
  <c r="I138" i="71"/>
  <c r="H138" i="71"/>
  <c r="I134" i="57"/>
  <c r="H134" i="57"/>
  <c r="J130" i="77"/>
  <c r="J137" i="24"/>
  <c r="F135" i="57"/>
  <c r="B135" i="57"/>
  <c r="I128" i="87"/>
  <c r="H128" i="87"/>
  <c r="F132" i="67"/>
  <c r="B132" i="67"/>
  <c r="G129" i="93"/>
  <c r="D130" i="93"/>
  <c r="E130" i="93" s="1"/>
  <c r="B136" i="44"/>
  <c r="F136" i="44"/>
  <c r="D135" i="55"/>
  <c r="E135" i="55"/>
  <c r="G134" i="55"/>
  <c r="J127" i="13"/>
  <c r="H137" i="17"/>
  <c r="I137" i="17"/>
  <c r="H139" i="28"/>
  <c r="I139" i="28"/>
  <c r="B137" i="3"/>
  <c r="F137" i="3"/>
  <c r="E132" i="76"/>
  <c r="G131" i="76"/>
  <c r="D132" i="76"/>
  <c r="G134" i="54"/>
  <c r="E135" i="54"/>
  <c r="D135" i="54"/>
  <c r="B130" i="94"/>
  <c r="F130" i="94"/>
  <c r="H131" i="67"/>
  <c r="I131" i="67"/>
  <c r="B129" i="87"/>
  <c r="F129" i="87"/>
  <c r="J136" i="21"/>
  <c r="G130" i="80"/>
  <c r="D131" i="80"/>
  <c r="E131" i="80"/>
  <c r="I129" i="95"/>
  <c r="H129" i="95"/>
  <c r="H135" i="44"/>
  <c r="I135" i="44"/>
  <c r="J135" i="42"/>
  <c r="J130" i="75"/>
  <c r="F130" i="82"/>
  <c r="B130" i="82"/>
  <c r="D139" i="24"/>
  <c r="E139" i="24"/>
  <c r="G138" i="24"/>
  <c r="H136" i="3"/>
  <c r="I136" i="3"/>
  <c r="E132" i="75"/>
  <c r="D132" i="75"/>
  <c r="G131" i="75"/>
  <c r="F129" i="96"/>
  <c r="B129" i="96"/>
  <c r="D132" i="77"/>
  <c r="E132" i="77"/>
  <c r="G131" i="77"/>
  <c r="J133" i="54"/>
  <c r="G130" i="83"/>
  <c r="D131" i="83"/>
  <c r="E131" i="83"/>
  <c r="G137" i="21"/>
  <c r="E138" i="21"/>
  <c r="D138" i="21"/>
  <c r="H129" i="82"/>
  <c r="I129" i="82"/>
  <c r="H129" i="94"/>
  <c r="I129" i="94"/>
  <c r="I128" i="96"/>
  <c r="H128" i="96"/>
  <c r="B130" i="95"/>
  <c r="F130" i="95"/>
  <c r="G136" i="42"/>
  <c r="D137" i="42"/>
  <c r="E137" i="42"/>
  <c r="D129" i="33"/>
  <c r="E129" i="33" s="1"/>
  <c r="G128" i="33"/>
  <c r="D130" i="25"/>
  <c r="E130" i="25" s="1"/>
  <c r="G129" i="25"/>
  <c r="F138" i="17"/>
  <c r="B138" i="17"/>
  <c r="D129" i="13"/>
  <c r="E129" i="13" s="1"/>
  <c r="G128" i="13"/>
  <c r="B140" i="28"/>
  <c r="F140" i="28"/>
  <c r="I59" i="31" l="1"/>
  <c r="G49" i="98"/>
  <c r="I49" i="98" s="1"/>
  <c r="E56" i="99"/>
  <c r="F56" i="99" s="1"/>
  <c r="D57" i="99" s="1"/>
  <c r="B56" i="99"/>
  <c r="B63" i="97"/>
  <c r="F63" i="97"/>
  <c r="D64" i="97" s="1"/>
  <c r="H55" i="99"/>
  <c r="D50" i="98"/>
  <c r="E50" i="98"/>
  <c r="G55" i="99"/>
  <c r="G49" i="94"/>
  <c r="G54" i="46"/>
  <c r="I54" i="46" s="1"/>
  <c r="I129" i="26"/>
  <c r="H129" i="26"/>
  <c r="E130" i="26"/>
  <c r="F130" i="26" s="1"/>
  <c r="B130" i="26"/>
  <c r="H128" i="99"/>
  <c r="I128" i="99"/>
  <c r="F129" i="99"/>
  <c r="B129" i="99"/>
  <c r="J128" i="98"/>
  <c r="I60" i="28"/>
  <c r="I49" i="25"/>
  <c r="I50" i="85"/>
  <c r="H57" i="21"/>
  <c r="I57" i="21" s="1"/>
  <c r="J128" i="97"/>
  <c r="G129" i="97"/>
  <c r="D130" i="97"/>
  <c r="E130" i="97"/>
  <c r="D130" i="98"/>
  <c r="G129" i="98"/>
  <c r="E130" i="98"/>
  <c r="H51" i="80"/>
  <c r="I51" i="80" s="1"/>
  <c r="H51" i="76"/>
  <c r="I51" i="76" s="1"/>
  <c r="H53" i="67"/>
  <c r="I53" i="67" s="1"/>
  <c r="D54" i="67"/>
  <c r="E54" i="67"/>
  <c r="D55" i="46"/>
  <c r="E55" i="46"/>
  <c r="H58" i="24"/>
  <c r="I58" i="24" s="1"/>
  <c r="D59" i="24"/>
  <c r="E50" i="25"/>
  <c r="F50" i="25" s="1"/>
  <c r="B50" i="25"/>
  <c r="F52" i="82"/>
  <c r="B52" i="82"/>
  <c r="D49" i="93"/>
  <c r="E49" i="93"/>
  <c r="I49" i="94"/>
  <c r="I50" i="86"/>
  <c r="D50" i="94"/>
  <c r="E50" i="94"/>
  <c r="B51" i="86"/>
  <c r="F51" i="86"/>
  <c r="G48" i="93"/>
  <c r="I48" i="93" s="1"/>
  <c r="D52" i="80"/>
  <c r="E52" i="80"/>
  <c r="G59" i="23"/>
  <c r="D60" i="23"/>
  <c r="B60" i="23" s="1"/>
  <c r="H59" i="23"/>
  <c r="G57" i="17"/>
  <c r="F56" i="58"/>
  <c r="B56" i="58"/>
  <c r="B56" i="55"/>
  <c r="F56" i="55"/>
  <c r="H56" i="55" s="1"/>
  <c r="G53" i="66"/>
  <c r="D54" i="66"/>
  <c r="E54" i="66"/>
  <c r="B52" i="75"/>
  <c r="F52" i="75"/>
  <c r="G52" i="75" s="1"/>
  <c r="H50" i="84"/>
  <c r="D51" i="84"/>
  <c r="E51" i="84"/>
  <c r="D52" i="90"/>
  <c r="E52" i="90"/>
  <c r="F53" i="65"/>
  <c r="B53" i="65"/>
  <c r="B57" i="42"/>
  <c r="F57" i="42"/>
  <c r="G50" i="91"/>
  <c r="D51" i="91"/>
  <c r="E51" i="91"/>
  <c r="H50" i="91"/>
  <c r="G50" i="84"/>
  <c r="H51" i="90"/>
  <c r="I51" i="90" s="1"/>
  <c r="H53" i="66"/>
  <c r="I53" i="66" s="1"/>
  <c r="G54" i="53"/>
  <c r="I54" i="53" s="1"/>
  <c r="D55" i="53"/>
  <c r="E55" i="53"/>
  <c r="D58" i="22"/>
  <c r="D54" i="61"/>
  <c r="E54" i="61"/>
  <c r="H59" i="29"/>
  <c r="F49" i="95"/>
  <c r="B49" i="95"/>
  <c r="H57" i="22"/>
  <c r="G53" i="61"/>
  <c r="F55" i="72"/>
  <c r="G55" i="72" s="1"/>
  <c r="B55" i="72"/>
  <c r="D57" i="44"/>
  <c r="E57" i="44"/>
  <c r="F57" i="39"/>
  <c r="G57" i="39" s="1"/>
  <c r="B57" i="39"/>
  <c r="G57" i="22"/>
  <c r="E49" i="96"/>
  <c r="D49" i="96"/>
  <c r="F51" i="85"/>
  <c r="B51" i="85"/>
  <c r="H53" i="59"/>
  <c r="I53" i="59" s="1"/>
  <c r="H50" i="81"/>
  <c r="I50" i="81" s="1"/>
  <c r="E51" i="81"/>
  <c r="D51" i="81"/>
  <c r="D60" i="27"/>
  <c r="E60" i="27" s="1"/>
  <c r="G59" i="27"/>
  <c r="I59" i="27" s="1"/>
  <c r="H53" i="61"/>
  <c r="D52" i="76"/>
  <c r="E52" i="76"/>
  <c r="G56" i="44"/>
  <c r="I56" i="44" s="1"/>
  <c r="G48" i="96"/>
  <c r="I48" i="96" s="1"/>
  <c r="D62" i="28"/>
  <c r="H61" i="28"/>
  <c r="G61" i="28"/>
  <c r="H59" i="71"/>
  <c r="D60" i="71"/>
  <c r="E60" i="71" s="1"/>
  <c r="F60" i="71" s="1"/>
  <c r="G59" i="71"/>
  <c r="D55" i="54"/>
  <c r="E55" i="54"/>
  <c r="D50" i="92"/>
  <c r="E50" i="92"/>
  <c r="D54" i="60"/>
  <c r="E54" i="60"/>
  <c r="G51" i="78"/>
  <c r="D52" i="78"/>
  <c r="E52" i="78"/>
  <c r="G58" i="32"/>
  <c r="D59" i="32"/>
  <c r="E59" i="32" s="1"/>
  <c r="F59" i="32" s="1"/>
  <c r="D60" i="32" s="1"/>
  <c r="D52" i="77"/>
  <c r="E52" i="77"/>
  <c r="F54" i="56"/>
  <c r="G54" i="56" s="1"/>
  <c r="B54" i="56"/>
  <c r="H56" i="74"/>
  <c r="E57" i="74"/>
  <c r="D57" i="74"/>
  <c r="H51" i="79"/>
  <c r="D52" i="79"/>
  <c r="E52" i="79"/>
  <c r="D58" i="17"/>
  <c r="E58" i="17" s="1"/>
  <c r="F58" i="17" s="1"/>
  <c r="D59" i="17" s="1"/>
  <c r="B60" i="69"/>
  <c r="G60" i="69"/>
  <c r="H60" i="69"/>
  <c r="H53" i="60"/>
  <c r="E57" i="73"/>
  <c r="D57" i="73"/>
  <c r="B58" i="3"/>
  <c r="F58" i="3"/>
  <c r="D59" i="3" s="1"/>
  <c r="H51" i="78"/>
  <c r="E60" i="70"/>
  <c r="F60" i="70" s="1"/>
  <c r="B60" i="70"/>
  <c r="H53" i="63"/>
  <c r="E54" i="63"/>
  <c r="D54" i="63"/>
  <c r="D58" i="41"/>
  <c r="E58" i="41" s="1"/>
  <c r="D61" i="69"/>
  <c r="E61" i="69" s="1"/>
  <c r="G59" i="29"/>
  <c r="I59" i="29" s="1"/>
  <c r="F54" i="64"/>
  <c r="G54" i="64" s="1"/>
  <c r="B54" i="64"/>
  <c r="H54" i="54"/>
  <c r="H49" i="89"/>
  <c r="I49" i="89" s="1"/>
  <c r="D50" i="89"/>
  <c r="E50" i="89"/>
  <c r="F51" i="88"/>
  <c r="H51" i="88" s="1"/>
  <c r="B51" i="88"/>
  <c r="H49" i="92"/>
  <c r="G53" i="60"/>
  <c r="H57" i="43"/>
  <c r="I57" i="43" s="1"/>
  <c r="D58" i="43"/>
  <c r="E58" i="43" s="1"/>
  <c r="H56" i="73"/>
  <c r="I56" i="73" s="1"/>
  <c r="B50" i="83"/>
  <c r="F50" i="83"/>
  <c r="G59" i="70"/>
  <c r="G54" i="57"/>
  <c r="I54" i="57" s="1"/>
  <c r="D55" i="57"/>
  <c r="E55" i="57"/>
  <c r="G53" i="63"/>
  <c r="H60" i="31"/>
  <c r="I60" i="31" s="1"/>
  <c r="D61" i="31"/>
  <c r="E60" i="29"/>
  <c r="F60" i="29" s="1"/>
  <c r="B60" i="29"/>
  <c r="F53" i="68"/>
  <c r="B53" i="68"/>
  <c r="G51" i="77"/>
  <c r="I51" i="77" s="1"/>
  <c r="G56" i="74"/>
  <c r="G51" i="79"/>
  <c r="G54" i="54"/>
  <c r="I57" i="17"/>
  <c r="G49" i="92"/>
  <c r="F56" i="45"/>
  <c r="G56" i="45" s="1"/>
  <c r="B56" i="45"/>
  <c r="B58" i="19"/>
  <c r="F58" i="19"/>
  <c r="H58" i="19" s="1"/>
  <c r="B59" i="34"/>
  <c r="F59" i="34"/>
  <c r="B59" i="30"/>
  <c r="F59" i="30"/>
  <c r="D60" i="30" s="1"/>
  <c r="H58" i="32"/>
  <c r="H59" i="70"/>
  <c r="E58" i="21"/>
  <c r="D58" i="21"/>
  <c r="G57" i="41"/>
  <c r="I57" i="41" s="1"/>
  <c r="J136" i="20"/>
  <c r="J138" i="70"/>
  <c r="J136" i="19"/>
  <c r="J132" i="64"/>
  <c r="J131" i="68"/>
  <c r="J130" i="78"/>
  <c r="J129" i="82"/>
  <c r="J134" i="74"/>
  <c r="J138" i="29"/>
  <c r="J133" i="53"/>
  <c r="J133" i="58"/>
  <c r="J137" i="32"/>
  <c r="J131" i="66"/>
  <c r="J132" i="63"/>
  <c r="J129" i="85"/>
  <c r="B57" i="20"/>
  <c r="F57" i="20"/>
  <c r="G57" i="20" s="1"/>
  <c r="B53" i="62"/>
  <c r="F53" i="62"/>
  <c r="H53" i="62" s="1"/>
  <c r="D59" i="18"/>
  <c r="E59" i="18" s="1"/>
  <c r="J128" i="96"/>
  <c r="J129" i="95"/>
  <c r="J134" i="57"/>
  <c r="D54" i="59"/>
  <c r="E54" i="59"/>
  <c r="B50" i="26"/>
  <c r="F50" i="26"/>
  <c r="G50" i="26" s="1"/>
  <c r="J137" i="17"/>
  <c r="F50" i="87"/>
  <c r="G50" i="87" s="1"/>
  <c r="B50" i="87"/>
  <c r="H58" i="18"/>
  <c r="F51" i="33"/>
  <c r="H51" i="33" s="1"/>
  <c r="B51" i="33"/>
  <c r="J138" i="23"/>
  <c r="J128" i="86"/>
  <c r="J128" i="92"/>
  <c r="J135" i="43"/>
  <c r="J133" i="46"/>
  <c r="J133" i="72"/>
  <c r="J138" i="30"/>
  <c r="B49" i="13"/>
  <c r="F49" i="13"/>
  <c r="G49" i="13" s="1"/>
  <c r="G58" i="18"/>
  <c r="I50" i="33"/>
  <c r="J132" i="60"/>
  <c r="J132" i="61"/>
  <c r="J136" i="34"/>
  <c r="G134" i="53"/>
  <c r="D135" i="53"/>
  <c r="E135" i="53"/>
  <c r="I133" i="62"/>
  <c r="H133" i="62"/>
  <c r="J132" i="65"/>
  <c r="G137" i="19"/>
  <c r="E138" i="19"/>
  <c r="D138" i="19"/>
  <c r="J138" i="69"/>
  <c r="E138" i="20"/>
  <c r="D138" i="20"/>
  <c r="G137" i="20"/>
  <c r="E134" i="60"/>
  <c r="G133" i="60"/>
  <c r="D134" i="60"/>
  <c r="D136" i="74"/>
  <c r="G135" i="74"/>
  <c r="E136" i="74"/>
  <c r="E132" i="79"/>
  <c r="D132" i="79"/>
  <c r="G131" i="79"/>
  <c r="G129" i="90"/>
  <c r="D130" i="90"/>
  <c r="E130" i="90"/>
  <c r="D130" i="86"/>
  <c r="G129" i="86"/>
  <c r="E130" i="86"/>
  <c r="G129" i="88"/>
  <c r="D130" i="88"/>
  <c r="E130" i="88"/>
  <c r="E134" i="61"/>
  <c r="D134" i="61"/>
  <c r="G133" i="61"/>
  <c r="F138" i="22"/>
  <c r="B138" i="22"/>
  <c r="H135" i="45"/>
  <c r="I135" i="45"/>
  <c r="J131" i="67"/>
  <c r="J137" i="18"/>
  <c r="J130" i="79"/>
  <c r="G139" i="27"/>
  <c r="D140" i="27"/>
  <c r="E140" i="27"/>
  <c r="D137" i="43"/>
  <c r="E137" i="43"/>
  <c r="G136" i="43"/>
  <c r="D140" i="30"/>
  <c r="G139" i="30"/>
  <c r="E140" i="30"/>
  <c r="F137" i="41"/>
  <c r="B137" i="41"/>
  <c r="G138" i="32"/>
  <c r="E139" i="32"/>
  <c r="D139" i="32"/>
  <c r="D131" i="85"/>
  <c r="E131" i="85"/>
  <c r="G130" i="85"/>
  <c r="E135" i="72"/>
  <c r="D135" i="72"/>
  <c r="G134" i="72"/>
  <c r="G133" i="63"/>
  <c r="E134" i="63"/>
  <c r="D134" i="63"/>
  <c r="G139" i="69"/>
  <c r="D140" i="69"/>
  <c r="E140" i="69"/>
  <c r="B130" i="91"/>
  <c r="F130" i="91"/>
  <c r="J138" i="27"/>
  <c r="D130" i="84"/>
  <c r="G129" i="84"/>
  <c r="E130" i="84"/>
  <c r="B136" i="45"/>
  <c r="F136" i="45"/>
  <c r="H129" i="89"/>
  <c r="I129" i="89"/>
  <c r="F131" i="81"/>
  <c r="B131" i="81"/>
  <c r="I136" i="41"/>
  <c r="H136" i="41"/>
  <c r="F134" i="62"/>
  <c r="B134" i="62"/>
  <c r="J128" i="90"/>
  <c r="E135" i="58"/>
  <c r="G134" i="58"/>
  <c r="D135" i="58"/>
  <c r="E130" i="92"/>
  <c r="G129" i="92"/>
  <c r="D130" i="92"/>
  <c r="G133" i="65"/>
  <c r="E134" i="65"/>
  <c r="D134" i="65"/>
  <c r="I136" i="73"/>
  <c r="H136" i="73"/>
  <c r="H129" i="91"/>
  <c r="I129" i="91"/>
  <c r="H137" i="22"/>
  <c r="I137" i="22"/>
  <c r="E139" i="31"/>
  <c r="D139" i="31"/>
  <c r="G138" i="31"/>
  <c r="B130" i="89"/>
  <c r="F130" i="89"/>
  <c r="I130" i="81"/>
  <c r="H130" i="81"/>
  <c r="D135" i="46"/>
  <c r="G134" i="46"/>
  <c r="E135" i="46"/>
  <c r="J128" i="84"/>
  <c r="G139" i="29"/>
  <c r="D140" i="29"/>
  <c r="E140" i="29"/>
  <c r="D134" i="64"/>
  <c r="G133" i="64"/>
  <c r="E134" i="64"/>
  <c r="J135" i="39"/>
  <c r="D133" i="68"/>
  <c r="E133" i="68"/>
  <c r="G132" i="68"/>
  <c r="E138" i="34"/>
  <c r="D138" i="34"/>
  <c r="G137" i="34"/>
  <c r="F137" i="73"/>
  <c r="B137" i="73"/>
  <c r="J137" i="31"/>
  <c r="G132" i="66"/>
  <c r="D133" i="66"/>
  <c r="E133" i="66"/>
  <c r="G139" i="70"/>
  <c r="D140" i="70"/>
  <c r="E140" i="70"/>
  <c r="J128" i="88"/>
  <c r="D132" i="78"/>
  <c r="E132" i="78"/>
  <c r="G131" i="78"/>
  <c r="E137" i="39"/>
  <c r="G136" i="39"/>
  <c r="D137" i="39"/>
  <c r="J135" i="44"/>
  <c r="E140" i="23"/>
  <c r="G139" i="23"/>
  <c r="D140" i="23"/>
  <c r="F136" i="56"/>
  <c r="B136" i="56"/>
  <c r="J133" i="59"/>
  <c r="I135" i="56"/>
  <c r="H135" i="56"/>
  <c r="J138" i="71"/>
  <c r="D135" i="59"/>
  <c r="G134" i="59"/>
  <c r="E135" i="59"/>
  <c r="J136" i="3"/>
  <c r="E139" i="18"/>
  <c r="D139" i="18"/>
  <c r="G138" i="18"/>
  <c r="J129" i="94"/>
  <c r="G135" i="57"/>
  <c r="D136" i="57"/>
  <c r="E136" i="57"/>
  <c r="J139" i="28"/>
  <c r="E140" i="71"/>
  <c r="D140" i="71"/>
  <c r="G139" i="71"/>
  <c r="H136" i="42"/>
  <c r="I136" i="42"/>
  <c r="F138" i="21"/>
  <c r="B138" i="21"/>
  <c r="F131" i="83"/>
  <c r="B131" i="83"/>
  <c r="D138" i="3"/>
  <c r="G137" i="3"/>
  <c r="E138" i="3"/>
  <c r="F135" i="55"/>
  <c r="B135" i="55"/>
  <c r="B130" i="93"/>
  <c r="F130" i="93"/>
  <c r="J128" i="87"/>
  <c r="H128" i="13"/>
  <c r="I128" i="13"/>
  <c r="I129" i="25"/>
  <c r="H129" i="25"/>
  <c r="I128" i="33"/>
  <c r="H128" i="33"/>
  <c r="G130" i="95"/>
  <c r="D131" i="95"/>
  <c r="E131" i="95" s="1"/>
  <c r="H130" i="83"/>
  <c r="I130" i="83"/>
  <c r="F132" i="77"/>
  <c r="B132" i="77"/>
  <c r="I131" i="75"/>
  <c r="H131" i="75"/>
  <c r="I138" i="24"/>
  <c r="H138" i="24"/>
  <c r="G130" i="82"/>
  <c r="D131" i="82"/>
  <c r="E131" i="82"/>
  <c r="B131" i="80"/>
  <c r="F131" i="80"/>
  <c r="H134" i="54"/>
  <c r="I134" i="54"/>
  <c r="D137" i="44"/>
  <c r="G136" i="44"/>
  <c r="E137" i="44"/>
  <c r="H129" i="93"/>
  <c r="I129" i="93"/>
  <c r="B130" i="25"/>
  <c r="F130" i="25"/>
  <c r="H137" i="21"/>
  <c r="I137" i="21"/>
  <c r="B132" i="75"/>
  <c r="F132" i="75"/>
  <c r="I130" i="80"/>
  <c r="H130" i="80"/>
  <c r="D130" i="87"/>
  <c r="G129" i="87"/>
  <c r="E130" i="87"/>
  <c r="D131" i="94"/>
  <c r="G130" i="94"/>
  <c r="F132" i="76"/>
  <c r="B132" i="76"/>
  <c r="I134" i="55"/>
  <c r="H134" i="55"/>
  <c r="D141" i="28"/>
  <c r="G140" i="28"/>
  <c r="E141" i="28"/>
  <c r="B129" i="13"/>
  <c r="F129" i="13"/>
  <c r="E139" i="17"/>
  <c r="D139" i="17"/>
  <c r="G138" i="17"/>
  <c r="B129" i="33"/>
  <c r="F129" i="33"/>
  <c r="F137" i="42"/>
  <c r="B137" i="42"/>
  <c r="H131" i="77"/>
  <c r="I131" i="77"/>
  <c r="D130" i="96"/>
  <c r="E130" i="96" s="1"/>
  <c r="G129" i="96"/>
  <c r="B139" i="24"/>
  <c r="F139" i="24"/>
  <c r="F135" i="54"/>
  <c r="B135" i="54"/>
  <c r="H131" i="76"/>
  <c r="I131" i="76"/>
  <c r="D133" i="67"/>
  <c r="G132" i="67"/>
  <c r="E133" i="67"/>
  <c r="H54" i="56" l="1"/>
  <c r="J128" i="99"/>
  <c r="G63" i="97"/>
  <c r="G56" i="99"/>
  <c r="I55" i="99"/>
  <c r="H56" i="99"/>
  <c r="I51" i="78"/>
  <c r="B50" i="98"/>
  <c r="F50" i="98"/>
  <c r="G50" i="98" s="1"/>
  <c r="E64" i="97"/>
  <c r="F64" i="97" s="1"/>
  <c r="B64" i="97"/>
  <c r="E57" i="99"/>
  <c r="F57" i="99" s="1"/>
  <c r="D58" i="99" s="1"/>
  <c r="B57" i="99"/>
  <c r="H63" i="97"/>
  <c r="I50" i="91"/>
  <c r="G130" i="26"/>
  <c r="D131" i="26"/>
  <c r="J129" i="26"/>
  <c r="G129" i="99"/>
  <c r="E130" i="99"/>
  <c r="D130" i="99"/>
  <c r="I56" i="74"/>
  <c r="I50" i="84"/>
  <c r="I59" i="23"/>
  <c r="G58" i="19"/>
  <c r="B130" i="97"/>
  <c r="F130" i="97"/>
  <c r="H129" i="98"/>
  <c r="I129" i="98"/>
  <c r="H129" i="97"/>
  <c r="I129" i="97"/>
  <c r="F130" i="98"/>
  <c r="B130" i="98"/>
  <c r="I59" i="70"/>
  <c r="I60" i="69"/>
  <c r="B54" i="67"/>
  <c r="F54" i="67"/>
  <c r="H54" i="67" s="1"/>
  <c r="F55" i="46"/>
  <c r="G55" i="46" s="1"/>
  <c r="B55" i="46"/>
  <c r="E59" i="24"/>
  <c r="F59" i="24" s="1"/>
  <c r="G59" i="24" s="1"/>
  <c r="B59" i="24"/>
  <c r="G50" i="25"/>
  <c r="H50" i="25"/>
  <c r="D51" i="25"/>
  <c r="B51" i="25" s="1"/>
  <c r="I57" i="22"/>
  <c r="E53" i="82"/>
  <c r="D53" i="82"/>
  <c r="B52" i="80"/>
  <c r="F52" i="80"/>
  <c r="H52" i="82"/>
  <c r="B50" i="94"/>
  <c r="F50" i="94"/>
  <c r="H50" i="94" s="1"/>
  <c r="B49" i="93"/>
  <c r="F49" i="93"/>
  <c r="G49" i="93" s="1"/>
  <c r="G52" i="82"/>
  <c r="H51" i="86"/>
  <c r="G51" i="86"/>
  <c r="E52" i="86"/>
  <c r="D52" i="86"/>
  <c r="B51" i="91"/>
  <c r="F51" i="91"/>
  <c r="H51" i="91" s="1"/>
  <c r="D58" i="42"/>
  <c r="E58" i="42" s="1"/>
  <c r="F54" i="66"/>
  <c r="G54" i="66" s="1"/>
  <c r="B54" i="66"/>
  <c r="E60" i="23"/>
  <c r="F60" i="23" s="1"/>
  <c r="B55" i="53"/>
  <c r="F55" i="53"/>
  <c r="G55" i="53" s="1"/>
  <c r="G53" i="65"/>
  <c r="E54" i="65"/>
  <c r="D54" i="65"/>
  <c r="B51" i="84"/>
  <c r="F51" i="84"/>
  <c r="G51" i="84" s="1"/>
  <c r="D53" i="75"/>
  <c r="E53" i="75"/>
  <c r="H57" i="42"/>
  <c r="H56" i="58"/>
  <c r="D57" i="58"/>
  <c r="E57" i="58"/>
  <c r="G56" i="58"/>
  <c r="H50" i="87"/>
  <c r="I50" i="87" s="1"/>
  <c r="G53" i="62"/>
  <c r="I53" i="62" s="1"/>
  <c r="H54" i="64"/>
  <c r="G57" i="42"/>
  <c r="H53" i="65"/>
  <c r="B52" i="90"/>
  <c r="F52" i="90"/>
  <c r="H52" i="90" s="1"/>
  <c r="H52" i="75"/>
  <c r="I52" i="75" s="1"/>
  <c r="G56" i="55"/>
  <c r="I56" i="55" s="1"/>
  <c r="D57" i="55"/>
  <c r="E57" i="55"/>
  <c r="F52" i="76"/>
  <c r="G52" i="76" s="1"/>
  <c r="B52" i="76"/>
  <c r="D50" i="95"/>
  <c r="E50" i="95"/>
  <c r="I51" i="79"/>
  <c r="B60" i="27"/>
  <c r="F60" i="27"/>
  <c r="H51" i="85"/>
  <c r="D52" i="85"/>
  <c r="E52" i="85"/>
  <c r="H57" i="39"/>
  <c r="I57" i="39" s="1"/>
  <c r="B57" i="44"/>
  <c r="F57" i="44"/>
  <c r="G57" i="44" s="1"/>
  <c r="D56" i="72"/>
  <c r="E56" i="72"/>
  <c r="G49" i="95"/>
  <c r="F54" i="61"/>
  <c r="H54" i="61" s="1"/>
  <c r="B54" i="61"/>
  <c r="I54" i="56"/>
  <c r="B51" i="81"/>
  <c r="F51" i="81"/>
  <c r="G51" i="81" s="1"/>
  <c r="B49" i="96"/>
  <c r="F49" i="96"/>
  <c r="G49" i="96" s="1"/>
  <c r="H49" i="95"/>
  <c r="B58" i="22"/>
  <c r="D58" i="39"/>
  <c r="E58" i="39" s="1"/>
  <c r="G59" i="30"/>
  <c r="G51" i="85"/>
  <c r="H55" i="72"/>
  <c r="I55" i="72" s="1"/>
  <c r="I53" i="61"/>
  <c r="E58" i="22"/>
  <c r="F58" i="22" s="1"/>
  <c r="D61" i="71"/>
  <c r="E61" i="71" s="1"/>
  <c r="F61" i="71" s="1"/>
  <c r="D62" i="71" s="1"/>
  <c r="G60" i="70"/>
  <c r="D61" i="70"/>
  <c r="H60" i="70"/>
  <c r="E60" i="32"/>
  <c r="F60" i="32" s="1"/>
  <c r="H60" i="32" s="1"/>
  <c r="B60" i="32"/>
  <c r="H60" i="29"/>
  <c r="D61" i="29"/>
  <c r="G60" i="29"/>
  <c r="D60" i="34"/>
  <c r="B55" i="57"/>
  <c r="F55" i="57"/>
  <c r="H55" i="57" s="1"/>
  <c r="D51" i="83"/>
  <c r="E51" i="83"/>
  <c r="I54" i="64"/>
  <c r="E59" i="17"/>
  <c r="F59" i="17" s="1"/>
  <c r="B59" i="17"/>
  <c r="E60" i="30"/>
  <c r="F60" i="30" s="1"/>
  <c r="B60" i="30"/>
  <c r="D59" i="19"/>
  <c r="E59" i="19" s="1"/>
  <c r="H56" i="45"/>
  <c r="I56" i="45" s="1"/>
  <c r="E57" i="45"/>
  <c r="D57" i="45"/>
  <c r="B61" i="31"/>
  <c r="I49" i="92"/>
  <c r="B54" i="63"/>
  <c r="F54" i="63"/>
  <c r="G54" i="63" s="1"/>
  <c r="I53" i="60"/>
  <c r="C67" i="17"/>
  <c r="C68" i="17" s="1"/>
  <c r="B58" i="17"/>
  <c r="H58" i="17"/>
  <c r="G58" i="17"/>
  <c r="B52" i="79"/>
  <c r="F52" i="79"/>
  <c r="G52" i="79" s="1"/>
  <c r="E55" i="56"/>
  <c r="D55" i="56"/>
  <c r="B54" i="60"/>
  <c r="F54" i="60"/>
  <c r="G54" i="60" s="1"/>
  <c r="F55" i="54"/>
  <c r="G55" i="54" s="1"/>
  <c r="B55" i="54"/>
  <c r="I59" i="71"/>
  <c r="H53" i="68"/>
  <c r="D54" i="68"/>
  <c r="E54" i="68"/>
  <c r="F58" i="43"/>
  <c r="B58" i="43"/>
  <c r="B58" i="41"/>
  <c r="F58" i="41"/>
  <c r="G58" i="41" s="1"/>
  <c r="H57" i="20"/>
  <c r="I57" i="20" s="1"/>
  <c r="I58" i="32"/>
  <c r="H59" i="34"/>
  <c r="E61" i="31"/>
  <c r="F61" i="31" s="1"/>
  <c r="H61" i="31" s="1"/>
  <c r="H50" i="83"/>
  <c r="G51" i="88"/>
  <c r="I51" i="88" s="1"/>
  <c r="D52" i="88"/>
  <c r="E52" i="88"/>
  <c r="I54" i="54"/>
  <c r="B61" i="69"/>
  <c r="F61" i="69"/>
  <c r="G61" i="69" s="1"/>
  <c r="H58" i="3"/>
  <c r="F57" i="73"/>
  <c r="B57" i="73"/>
  <c r="F52" i="78"/>
  <c r="H52" i="78" s="1"/>
  <c r="B52" i="78"/>
  <c r="I61" i="28"/>
  <c r="B50" i="89"/>
  <c r="F50" i="89"/>
  <c r="G50" i="89" s="1"/>
  <c r="E59" i="3"/>
  <c r="F59" i="3" s="1"/>
  <c r="B59" i="3"/>
  <c r="B58" i="21"/>
  <c r="F58" i="21"/>
  <c r="G58" i="21" s="1"/>
  <c r="H59" i="30"/>
  <c r="G59" i="34"/>
  <c r="I58" i="19"/>
  <c r="G53" i="68"/>
  <c r="G50" i="83"/>
  <c r="D55" i="64"/>
  <c r="E55" i="64"/>
  <c r="I53" i="63"/>
  <c r="G58" i="3"/>
  <c r="F57" i="74"/>
  <c r="G57" i="74" s="1"/>
  <c r="B57" i="74"/>
  <c r="F52" i="77"/>
  <c r="G52" i="77" s="1"/>
  <c r="B52" i="77"/>
  <c r="B59" i="32"/>
  <c r="G59" i="32"/>
  <c r="H59" i="32"/>
  <c r="B50" i="92"/>
  <c r="F50" i="92"/>
  <c r="B60" i="71"/>
  <c r="G60" i="71"/>
  <c r="H60" i="71"/>
  <c r="E62" i="28"/>
  <c r="F62" i="28" s="1"/>
  <c r="D63" i="28" s="1"/>
  <c r="B62" i="28"/>
  <c r="J136" i="41"/>
  <c r="J137" i="21"/>
  <c r="J131" i="75"/>
  <c r="J136" i="73"/>
  <c r="J131" i="77"/>
  <c r="D50" i="13"/>
  <c r="G51" i="33"/>
  <c r="I51" i="33" s="1"/>
  <c r="I58" i="18"/>
  <c r="D51" i="87"/>
  <c r="E51" i="87"/>
  <c r="H50" i="26"/>
  <c r="I50" i="26" s="1"/>
  <c r="D58" i="20"/>
  <c r="E58" i="20"/>
  <c r="F54" i="59"/>
  <c r="H54" i="59" s="1"/>
  <c r="B54" i="59"/>
  <c r="J130" i="81"/>
  <c r="J155" i="81" s="1"/>
  <c r="H49" i="13"/>
  <c r="I49" i="13" s="1"/>
  <c r="E54" i="62"/>
  <c r="D54" i="62"/>
  <c r="D52" i="33"/>
  <c r="E52" i="33" s="1"/>
  <c r="D51" i="26"/>
  <c r="E51" i="26" s="1"/>
  <c r="B59" i="18"/>
  <c r="F59" i="18"/>
  <c r="H59" i="18" s="1"/>
  <c r="F139" i="31"/>
  <c r="B139" i="31"/>
  <c r="J129" i="91"/>
  <c r="B134" i="65"/>
  <c r="F134" i="65"/>
  <c r="H129" i="92"/>
  <c r="I129" i="92"/>
  <c r="J129" i="89"/>
  <c r="D131" i="91"/>
  <c r="G130" i="91"/>
  <c r="E131" i="91"/>
  <c r="I139" i="69"/>
  <c r="H139" i="69"/>
  <c r="H134" i="72"/>
  <c r="I134" i="72"/>
  <c r="H138" i="32"/>
  <c r="I138" i="32"/>
  <c r="I139" i="30"/>
  <c r="H139" i="30"/>
  <c r="B137" i="43"/>
  <c r="F137" i="43"/>
  <c r="B134" i="61"/>
  <c r="F134" i="61"/>
  <c r="I129" i="88"/>
  <c r="H129" i="88"/>
  <c r="B132" i="79"/>
  <c r="F132" i="79"/>
  <c r="B136" i="74"/>
  <c r="F136" i="74"/>
  <c r="H137" i="20"/>
  <c r="I137" i="20"/>
  <c r="F138" i="19"/>
  <c r="B138" i="19"/>
  <c r="I134" i="53"/>
  <c r="H134" i="53"/>
  <c r="I131" i="78"/>
  <c r="H131" i="78"/>
  <c r="B133" i="66"/>
  <c r="F133" i="66"/>
  <c r="G137" i="73"/>
  <c r="E138" i="73"/>
  <c r="D138" i="73"/>
  <c r="I132" i="68"/>
  <c r="H132" i="68"/>
  <c r="F140" i="29"/>
  <c r="B140" i="29"/>
  <c r="H134" i="46"/>
  <c r="I134" i="46"/>
  <c r="G130" i="89"/>
  <c r="E131" i="89"/>
  <c r="D131" i="89"/>
  <c r="I129" i="84"/>
  <c r="H129" i="84"/>
  <c r="B134" i="63"/>
  <c r="F134" i="63"/>
  <c r="F135" i="72"/>
  <c r="B135" i="72"/>
  <c r="B131" i="85"/>
  <c r="F131" i="85"/>
  <c r="B140" i="30"/>
  <c r="F140" i="30"/>
  <c r="F130" i="90"/>
  <c r="B130" i="90"/>
  <c r="B134" i="60"/>
  <c r="F134" i="60"/>
  <c r="B138" i="20"/>
  <c r="F138" i="20"/>
  <c r="J133" i="62"/>
  <c r="J135" i="56"/>
  <c r="F137" i="39"/>
  <c r="B137" i="39"/>
  <c r="B140" i="70"/>
  <c r="F140" i="70"/>
  <c r="H132" i="66"/>
  <c r="I132" i="66"/>
  <c r="H137" i="34"/>
  <c r="I137" i="34"/>
  <c r="H133" i="64"/>
  <c r="I133" i="64"/>
  <c r="I139" i="29"/>
  <c r="H139" i="29"/>
  <c r="B135" i="46"/>
  <c r="F135" i="46"/>
  <c r="J137" i="22"/>
  <c r="I133" i="65"/>
  <c r="H133" i="65"/>
  <c r="F135" i="58"/>
  <c r="B135" i="58"/>
  <c r="E137" i="45"/>
  <c r="G136" i="45"/>
  <c r="D137" i="45"/>
  <c r="F130" i="84"/>
  <c r="B130" i="84"/>
  <c r="F139" i="32"/>
  <c r="B139" i="32"/>
  <c r="D138" i="41"/>
  <c r="G137" i="41"/>
  <c r="E138" i="41"/>
  <c r="I136" i="43"/>
  <c r="H136" i="43"/>
  <c r="F140" i="27"/>
  <c r="B140" i="27"/>
  <c r="D139" i="22"/>
  <c r="E139" i="22"/>
  <c r="G138" i="22"/>
  <c r="I129" i="86"/>
  <c r="H129" i="86"/>
  <c r="H129" i="90"/>
  <c r="I129" i="90"/>
  <c r="I133" i="60"/>
  <c r="H133" i="60"/>
  <c r="H137" i="19"/>
  <c r="I137" i="19"/>
  <c r="J128" i="13"/>
  <c r="H136" i="39"/>
  <c r="I136" i="39"/>
  <c r="F132" i="78"/>
  <c r="B132" i="78"/>
  <c r="H139" i="70"/>
  <c r="I139" i="70"/>
  <c r="F138" i="34"/>
  <c r="B138" i="34"/>
  <c r="F133" i="68"/>
  <c r="B133" i="68"/>
  <c r="F134" i="64"/>
  <c r="B134" i="64"/>
  <c r="H138" i="31"/>
  <c r="I138" i="31"/>
  <c r="F130" i="92"/>
  <c r="B130" i="92"/>
  <c r="H134" i="58"/>
  <c r="I134" i="58"/>
  <c r="D135" i="62"/>
  <c r="G134" i="62"/>
  <c r="E135" i="62"/>
  <c r="D132" i="81"/>
  <c r="E132" i="81"/>
  <c r="G131" i="81"/>
  <c r="F140" i="69"/>
  <c r="B140" i="69"/>
  <c r="I133" i="63"/>
  <c r="H133" i="63"/>
  <c r="H130" i="85"/>
  <c r="I130" i="85"/>
  <c r="I139" i="27"/>
  <c r="H139" i="27"/>
  <c r="J135" i="45"/>
  <c r="H133" i="61"/>
  <c r="I133" i="61"/>
  <c r="F130" i="88"/>
  <c r="B130" i="88"/>
  <c r="B130" i="86"/>
  <c r="F130" i="86"/>
  <c r="I131" i="79"/>
  <c r="H131" i="79"/>
  <c r="H135" i="74"/>
  <c r="I135" i="74"/>
  <c r="B135" i="53"/>
  <c r="F135" i="53"/>
  <c r="J136" i="42"/>
  <c r="H134" i="59"/>
  <c r="I134" i="59"/>
  <c r="J129" i="25"/>
  <c r="H138" i="18"/>
  <c r="I138" i="18"/>
  <c r="F135" i="59"/>
  <c r="B135" i="59"/>
  <c r="D137" i="56"/>
  <c r="E137" i="56"/>
  <c r="G136" i="56"/>
  <c r="J131" i="76"/>
  <c r="B139" i="18"/>
  <c r="F139" i="18"/>
  <c r="F140" i="23"/>
  <c r="B140" i="23"/>
  <c r="H139" i="23"/>
  <c r="I139" i="23"/>
  <c r="I139" i="71"/>
  <c r="H139" i="71"/>
  <c r="F140" i="71"/>
  <c r="B140" i="71"/>
  <c r="B136" i="57"/>
  <c r="F136" i="57"/>
  <c r="H135" i="57"/>
  <c r="I135" i="57"/>
  <c r="H129" i="96"/>
  <c r="I129" i="96"/>
  <c r="B131" i="94"/>
  <c r="B137" i="44"/>
  <c r="F137" i="44"/>
  <c r="I137" i="3"/>
  <c r="H137" i="3"/>
  <c r="G131" i="83"/>
  <c r="D132" i="83"/>
  <c r="E132" i="83"/>
  <c r="H132" i="67"/>
  <c r="I132" i="67"/>
  <c r="J130" i="80"/>
  <c r="J155" i="80" s="1"/>
  <c r="D131" i="25"/>
  <c r="E131" i="25" s="1"/>
  <c r="G130" i="25"/>
  <c r="J138" i="24"/>
  <c r="E133" i="77"/>
  <c r="D133" i="77"/>
  <c r="G132" i="77"/>
  <c r="F131" i="95"/>
  <c r="B131" i="95"/>
  <c r="J128" i="33"/>
  <c r="F138" i="3"/>
  <c r="B138" i="3"/>
  <c r="F133" i="67"/>
  <c r="B133" i="67"/>
  <c r="E140" i="24"/>
  <c r="G139" i="24"/>
  <c r="D140" i="24"/>
  <c r="F130" i="96"/>
  <c r="B130" i="96"/>
  <c r="G137" i="42"/>
  <c r="D138" i="42"/>
  <c r="E138" i="42"/>
  <c r="I138" i="17"/>
  <c r="H138" i="17"/>
  <c r="I140" i="28"/>
  <c r="H140" i="28"/>
  <c r="J134" i="55"/>
  <c r="I130" i="94"/>
  <c r="H130" i="94"/>
  <c r="I129" i="87"/>
  <c r="H129" i="87"/>
  <c r="J129" i="93"/>
  <c r="J134" i="54"/>
  <c r="G131" i="80"/>
  <c r="D132" i="80"/>
  <c r="E132" i="80"/>
  <c r="B131" i="82"/>
  <c r="F131" i="82"/>
  <c r="J130" i="83"/>
  <c r="J155" i="83" s="1"/>
  <c r="H130" i="95"/>
  <c r="I130" i="95"/>
  <c r="D131" i="93"/>
  <c r="E131" i="93" s="1"/>
  <c r="G130" i="93"/>
  <c r="E136" i="54"/>
  <c r="D136" i="54"/>
  <c r="G135" i="54"/>
  <c r="G129" i="33"/>
  <c r="D130" i="33"/>
  <c r="E130" i="33" s="1"/>
  <c r="F139" i="17"/>
  <c r="B139" i="17"/>
  <c r="G129" i="13"/>
  <c r="D130" i="13"/>
  <c r="E130" i="13" s="1"/>
  <c r="B141" i="28"/>
  <c r="F141" i="28"/>
  <c r="G132" i="76"/>
  <c r="D133" i="76"/>
  <c r="E133" i="76"/>
  <c r="E131" i="94"/>
  <c r="F131" i="94" s="1"/>
  <c r="F130" i="87"/>
  <c r="B130" i="87"/>
  <c r="G132" i="75"/>
  <c r="D133" i="75"/>
  <c r="E133" i="75"/>
  <c r="H136" i="44"/>
  <c r="I136" i="44"/>
  <c r="H130" i="82"/>
  <c r="I130" i="82"/>
  <c r="E136" i="55"/>
  <c r="D136" i="55"/>
  <c r="G135" i="55"/>
  <c r="D139" i="21"/>
  <c r="E139" i="21"/>
  <c r="G138" i="21"/>
  <c r="J129" i="98" l="1"/>
  <c r="I63" i="97"/>
  <c r="I56" i="99"/>
  <c r="D65" i="97"/>
  <c r="G64" i="97"/>
  <c r="H64" i="97"/>
  <c r="E58" i="99"/>
  <c r="F58" i="99" s="1"/>
  <c r="B58" i="99"/>
  <c r="H57" i="99"/>
  <c r="D51" i="98"/>
  <c r="E51" i="98"/>
  <c r="G57" i="99"/>
  <c r="H49" i="93"/>
  <c r="H50" i="98"/>
  <c r="I50" i="98" s="1"/>
  <c r="I50" i="25"/>
  <c r="H61" i="69"/>
  <c r="I61" i="69" s="1"/>
  <c r="H55" i="53"/>
  <c r="I55" i="53" s="1"/>
  <c r="B131" i="26"/>
  <c r="E131" i="26"/>
  <c r="F131" i="26" s="1"/>
  <c r="H130" i="26"/>
  <c r="I130" i="26"/>
  <c r="B130" i="99"/>
  <c r="F130" i="99"/>
  <c r="H129" i="99"/>
  <c r="I129" i="99"/>
  <c r="I53" i="65"/>
  <c r="D131" i="98"/>
  <c r="G130" i="98"/>
  <c r="E131" i="98"/>
  <c r="J129" i="97"/>
  <c r="G130" i="97"/>
  <c r="D131" i="97"/>
  <c r="E131" i="97"/>
  <c r="H51" i="84"/>
  <c r="I51" i="84" s="1"/>
  <c r="I51" i="86"/>
  <c r="G54" i="67"/>
  <c r="I54" i="67" s="1"/>
  <c r="E55" i="67"/>
  <c r="D55" i="67"/>
  <c r="H55" i="46"/>
  <c r="I55" i="46" s="1"/>
  <c r="E56" i="46"/>
  <c r="D56" i="46"/>
  <c r="H57" i="44"/>
  <c r="I57" i="44" s="1"/>
  <c r="I59" i="30"/>
  <c r="H59" i="24"/>
  <c r="I59" i="24" s="1"/>
  <c r="D60" i="24"/>
  <c r="I56" i="58"/>
  <c r="B52" i="86"/>
  <c r="F52" i="86"/>
  <c r="I49" i="93"/>
  <c r="I52" i="82"/>
  <c r="E51" i="25"/>
  <c r="F51" i="25" s="1"/>
  <c r="I57" i="42"/>
  <c r="D53" i="80"/>
  <c r="E53" i="80"/>
  <c r="B53" i="82"/>
  <c r="F53" i="82"/>
  <c r="G53" i="82" s="1"/>
  <c r="I60" i="29"/>
  <c r="D50" i="93"/>
  <c r="E50" i="93"/>
  <c r="G50" i="94"/>
  <c r="I50" i="94" s="1"/>
  <c r="E51" i="94"/>
  <c r="D51" i="94"/>
  <c r="H52" i="80"/>
  <c r="G52" i="80"/>
  <c r="F57" i="58"/>
  <c r="G57" i="58" s="1"/>
  <c r="B57" i="58"/>
  <c r="D61" i="23"/>
  <c r="H60" i="23"/>
  <c r="G60" i="23"/>
  <c r="H57" i="74"/>
  <c r="I57" i="74" s="1"/>
  <c r="H50" i="89"/>
  <c r="I50" i="89" s="1"/>
  <c r="G55" i="57"/>
  <c r="I55" i="57" s="1"/>
  <c r="I51" i="85"/>
  <c r="B57" i="55"/>
  <c r="F57" i="55"/>
  <c r="G57" i="55" s="1"/>
  <c r="G52" i="90"/>
  <c r="I52" i="90" s="1"/>
  <c r="D53" i="90"/>
  <c r="E53" i="90"/>
  <c r="D52" i="84"/>
  <c r="E52" i="84"/>
  <c r="F58" i="42"/>
  <c r="G58" i="42" s="1"/>
  <c r="B58" i="42"/>
  <c r="H58" i="21"/>
  <c r="I58" i="21" s="1"/>
  <c r="G54" i="61"/>
  <c r="I54" i="61" s="1"/>
  <c r="B53" i="75"/>
  <c r="F53" i="75"/>
  <c r="E56" i="53"/>
  <c r="D56" i="53"/>
  <c r="G51" i="91"/>
  <c r="I51" i="91" s="1"/>
  <c r="D52" i="91"/>
  <c r="E52" i="91"/>
  <c r="F54" i="65"/>
  <c r="G54" i="65" s="1"/>
  <c r="B54" i="65"/>
  <c r="H54" i="66"/>
  <c r="I54" i="66" s="1"/>
  <c r="D55" i="66"/>
  <c r="E55" i="66"/>
  <c r="H58" i="22"/>
  <c r="D59" i="22"/>
  <c r="G58" i="22"/>
  <c r="I49" i="95"/>
  <c r="B58" i="39"/>
  <c r="F58" i="39"/>
  <c r="H58" i="39" s="1"/>
  <c r="H51" i="81"/>
  <c r="I51" i="81" s="1"/>
  <c r="E52" i="81"/>
  <c r="D52" i="81"/>
  <c r="E58" i="44"/>
  <c r="D58" i="44"/>
  <c r="G60" i="27"/>
  <c r="D61" i="27"/>
  <c r="E61" i="27" s="1"/>
  <c r="H60" i="27"/>
  <c r="H49" i="96"/>
  <c r="I49" i="96" s="1"/>
  <c r="E50" i="96"/>
  <c r="D50" i="96"/>
  <c r="F56" i="72"/>
  <c r="H56" i="72" s="1"/>
  <c r="B56" i="72"/>
  <c r="B50" i="95"/>
  <c r="F50" i="95"/>
  <c r="G50" i="95" s="1"/>
  <c r="D55" i="61"/>
  <c r="E55" i="61"/>
  <c r="B52" i="85"/>
  <c r="F52" i="85"/>
  <c r="H52" i="85" s="1"/>
  <c r="H52" i="76"/>
  <c r="I52" i="76" s="1"/>
  <c r="D53" i="76"/>
  <c r="E53" i="76"/>
  <c r="I58" i="17"/>
  <c r="D60" i="3"/>
  <c r="G59" i="3"/>
  <c r="H59" i="3"/>
  <c r="D60" i="17"/>
  <c r="G59" i="17"/>
  <c r="H59" i="17"/>
  <c r="H60" i="30"/>
  <c r="D61" i="30"/>
  <c r="G60" i="30"/>
  <c r="H50" i="92"/>
  <c r="E51" i="92"/>
  <c r="D51" i="92"/>
  <c r="D58" i="73"/>
  <c r="E58" i="73" s="1"/>
  <c r="H57" i="73"/>
  <c r="G57" i="73"/>
  <c r="B60" i="34"/>
  <c r="G62" i="28"/>
  <c r="G50" i="92"/>
  <c r="H52" i="77"/>
  <c r="I52" i="77" s="1"/>
  <c r="E53" i="77"/>
  <c r="D53" i="77"/>
  <c r="E58" i="74"/>
  <c r="D58" i="74"/>
  <c r="D59" i="21"/>
  <c r="E59" i="21"/>
  <c r="I58" i="3"/>
  <c r="D62" i="69"/>
  <c r="E62" i="69" s="1"/>
  <c r="F62" i="69" s="1"/>
  <c r="I50" i="83"/>
  <c r="E56" i="54"/>
  <c r="D56" i="54"/>
  <c r="F55" i="56"/>
  <c r="G55" i="56" s="1"/>
  <c r="B55" i="56"/>
  <c r="H54" i="63"/>
  <c r="I54" i="63" s="1"/>
  <c r="E60" i="34"/>
  <c r="F60" i="34" s="1"/>
  <c r="E62" i="71"/>
  <c r="F62" i="71" s="1"/>
  <c r="B62" i="71"/>
  <c r="E63" i="28"/>
  <c r="F63" i="28" s="1"/>
  <c r="B63" i="28"/>
  <c r="H58" i="43"/>
  <c r="D59" i="43"/>
  <c r="D62" i="31"/>
  <c r="B61" i="29"/>
  <c r="G54" i="59"/>
  <c r="I54" i="59" s="1"/>
  <c r="H62" i="28"/>
  <c r="I60" i="71"/>
  <c r="B55" i="64"/>
  <c r="F55" i="64"/>
  <c r="G55" i="64" s="1"/>
  <c r="E51" i="89"/>
  <c r="D51" i="89"/>
  <c r="G52" i="78"/>
  <c r="I52" i="78" s="1"/>
  <c r="D53" i="78"/>
  <c r="E53" i="78"/>
  <c r="G58" i="43"/>
  <c r="B54" i="68"/>
  <c r="F54" i="68"/>
  <c r="G54" i="68" s="1"/>
  <c r="H55" i="54"/>
  <c r="I55" i="54" s="1"/>
  <c r="B59" i="19"/>
  <c r="F59" i="19"/>
  <c r="H59" i="19" s="1"/>
  <c r="E56" i="57"/>
  <c r="D56" i="57"/>
  <c r="I60" i="70"/>
  <c r="B61" i="71"/>
  <c r="H61" i="71"/>
  <c r="G61" i="71"/>
  <c r="B52" i="88"/>
  <c r="F52" i="88"/>
  <c r="G52" i="88" s="1"/>
  <c r="I59" i="32"/>
  <c r="I59" i="34"/>
  <c r="H58" i="41"/>
  <c r="I58" i="41" s="1"/>
  <c r="D59" i="41"/>
  <c r="E59" i="41" s="1"/>
  <c r="I53" i="68"/>
  <c r="H54" i="60"/>
  <c r="I54" i="60" s="1"/>
  <c r="D55" i="60"/>
  <c r="E55" i="60"/>
  <c r="H52" i="79"/>
  <c r="I52" i="79" s="1"/>
  <c r="D53" i="79"/>
  <c r="E53" i="79"/>
  <c r="D55" i="63"/>
  <c r="E55" i="63"/>
  <c r="G61" i="31"/>
  <c r="I61" i="31" s="1"/>
  <c r="B57" i="45"/>
  <c r="F57" i="45"/>
  <c r="G57" i="45" s="1"/>
  <c r="B51" i="83"/>
  <c r="F51" i="83"/>
  <c r="E61" i="29"/>
  <c r="F61" i="29" s="1"/>
  <c r="D62" i="29" s="1"/>
  <c r="G60" i="32"/>
  <c r="I60" i="32" s="1"/>
  <c r="D61" i="32"/>
  <c r="E61" i="70"/>
  <c r="F61" i="70" s="1"/>
  <c r="B61" i="70"/>
  <c r="J140" i="28"/>
  <c r="J137" i="20"/>
  <c r="J134" i="59"/>
  <c r="J137" i="34"/>
  <c r="J129" i="84"/>
  <c r="J134" i="72"/>
  <c r="J129" i="92"/>
  <c r="J131" i="78"/>
  <c r="J134" i="46"/>
  <c r="J136" i="43"/>
  <c r="J133" i="64"/>
  <c r="J129" i="88"/>
  <c r="J137" i="19"/>
  <c r="J132" i="66"/>
  <c r="J139" i="69"/>
  <c r="J138" i="18"/>
  <c r="J129" i="90"/>
  <c r="B51" i="26"/>
  <c r="F51" i="26"/>
  <c r="G51" i="26" s="1"/>
  <c r="B58" i="20"/>
  <c r="F58" i="20"/>
  <c r="G58" i="20" s="1"/>
  <c r="B50" i="13"/>
  <c r="J130" i="82"/>
  <c r="J155" i="82" s="1"/>
  <c r="D60" i="18"/>
  <c r="E60" i="18" s="1"/>
  <c r="B51" i="87"/>
  <c r="F51" i="87"/>
  <c r="G51" i="87" s="1"/>
  <c r="J135" i="74"/>
  <c r="J133" i="61"/>
  <c r="J139" i="27"/>
  <c r="J133" i="63"/>
  <c r="G59" i="18"/>
  <c r="I59" i="18" s="1"/>
  <c r="B52" i="33"/>
  <c r="F52" i="33"/>
  <c r="H52" i="33" s="1"/>
  <c r="F54" i="62"/>
  <c r="G54" i="62" s="1"/>
  <c r="B54" i="62"/>
  <c r="E55" i="59"/>
  <c r="D55" i="59"/>
  <c r="E50" i="13"/>
  <c r="F50" i="13" s="1"/>
  <c r="G135" i="53"/>
  <c r="E136" i="53"/>
  <c r="D136" i="53"/>
  <c r="G140" i="69"/>
  <c r="E141" i="69"/>
  <c r="D141" i="69"/>
  <c r="E134" i="68"/>
  <c r="D134" i="68"/>
  <c r="G133" i="68"/>
  <c r="F139" i="22"/>
  <c r="B139" i="22"/>
  <c r="F137" i="45"/>
  <c r="B137" i="45"/>
  <c r="E136" i="58"/>
  <c r="D136" i="58"/>
  <c r="G135" i="58"/>
  <c r="E136" i="46"/>
  <c r="D136" i="46"/>
  <c r="G135" i="46"/>
  <c r="D136" i="72"/>
  <c r="E136" i="72"/>
  <c r="G135" i="72"/>
  <c r="H137" i="73"/>
  <c r="I137" i="73"/>
  <c r="D139" i="19"/>
  <c r="E139" i="19"/>
  <c r="G138" i="19"/>
  <c r="J139" i="23"/>
  <c r="J131" i="79"/>
  <c r="D131" i="88"/>
  <c r="E131" i="88"/>
  <c r="G130" i="88"/>
  <c r="I131" i="81"/>
  <c r="H131" i="81"/>
  <c r="I134" i="62"/>
  <c r="H134" i="62"/>
  <c r="J133" i="60"/>
  <c r="J129" i="86"/>
  <c r="E140" i="32"/>
  <c r="D140" i="32"/>
  <c r="G139" i="32"/>
  <c r="H136" i="45"/>
  <c r="I136" i="45"/>
  <c r="E138" i="39"/>
  <c r="G137" i="39"/>
  <c r="D138" i="39"/>
  <c r="E139" i="20"/>
  <c r="G138" i="20"/>
  <c r="D139" i="20"/>
  <c r="G131" i="85"/>
  <c r="D132" i="85"/>
  <c r="E132" i="85"/>
  <c r="E135" i="63"/>
  <c r="D135" i="63"/>
  <c r="G134" i="63"/>
  <c r="B131" i="89"/>
  <c r="F131" i="89"/>
  <c r="J132" i="68"/>
  <c r="E134" i="66"/>
  <c r="D134" i="66"/>
  <c r="G133" i="66"/>
  <c r="E133" i="79"/>
  <c r="G132" i="79"/>
  <c r="D133" i="79"/>
  <c r="G134" i="61"/>
  <c r="D135" i="61"/>
  <c r="E135" i="61"/>
  <c r="D131" i="86"/>
  <c r="G130" i="86"/>
  <c r="E131" i="86"/>
  <c r="B135" i="62"/>
  <c r="F135" i="62"/>
  <c r="D131" i="92"/>
  <c r="G130" i="92"/>
  <c r="E131" i="92"/>
  <c r="E135" i="64"/>
  <c r="D135" i="64"/>
  <c r="G134" i="64"/>
  <c r="E139" i="34"/>
  <c r="D139" i="34"/>
  <c r="G138" i="34"/>
  <c r="G132" i="78"/>
  <c r="E133" i="78"/>
  <c r="D133" i="78"/>
  <c r="H138" i="22"/>
  <c r="I138" i="22"/>
  <c r="G140" i="27"/>
  <c r="D141" i="27"/>
  <c r="E141" i="27"/>
  <c r="I137" i="41"/>
  <c r="H137" i="41"/>
  <c r="J133" i="65"/>
  <c r="G140" i="70"/>
  <c r="E141" i="70"/>
  <c r="D141" i="70"/>
  <c r="E131" i="90"/>
  <c r="D131" i="90"/>
  <c r="G130" i="90"/>
  <c r="F138" i="73"/>
  <c r="B138" i="73"/>
  <c r="J134" i="53"/>
  <c r="J139" i="30"/>
  <c r="H130" i="91"/>
  <c r="I130" i="91"/>
  <c r="J130" i="85"/>
  <c r="J155" i="85" s="1"/>
  <c r="F132" i="81"/>
  <c r="B132" i="81"/>
  <c r="J134" i="58"/>
  <c r="J138" i="31"/>
  <c r="J139" i="70"/>
  <c r="J136" i="39"/>
  <c r="F138" i="41"/>
  <c r="B138" i="41"/>
  <c r="D131" i="84"/>
  <c r="E131" i="84"/>
  <c r="G130" i="84"/>
  <c r="J139" i="29"/>
  <c r="D135" i="60"/>
  <c r="E135" i="60"/>
  <c r="G134" i="60"/>
  <c r="D141" i="30"/>
  <c r="E141" i="30" s="1"/>
  <c r="G140" i="30"/>
  <c r="H130" i="89"/>
  <c r="I130" i="89"/>
  <c r="D141" i="29"/>
  <c r="E141" i="29"/>
  <c r="G140" i="29"/>
  <c r="G136" i="74"/>
  <c r="E137" i="74"/>
  <c r="D137" i="74"/>
  <c r="G137" i="43"/>
  <c r="E138" i="43"/>
  <c r="D138" i="43"/>
  <c r="J138" i="32"/>
  <c r="F131" i="91"/>
  <c r="B131" i="91"/>
  <c r="G134" i="65"/>
  <c r="D135" i="65"/>
  <c r="E135" i="65"/>
  <c r="E140" i="31"/>
  <c r="G139" i="31"/>
  <c r="D140" i="31"/>
  <c r="H136" i="56"/>
  <c r="I136" i="56"/>
  <c r="D141" i="23"/>
  <c r="E141" i="23" s="1"/>
  <c r="G140" i="23"/>
  <c r="G139" i="18"/>
  <c r="D140" i="18"/>
  <c r="E140" i="18"/>
  <c r="J137" i="3"/>
  <c r="F137" i="56"/>
  <c r="B137" i="56"/>
  <c r="E136" i="59"/>
  <c r="D136" i="59"/>
  <c r="G135" i="59"/>
  <c r="J136" i="44"/>
  <c r="J138" i="17"/>
  <c r="E141" i="71"/>
  <c r="G140" i="71"/>
  <c r="D141" i="71"/>
  <c r="J135" i="57"/>
  <c r="J139" i="71"/>
  <c r="J129" i="87"/>
  <c r="D137" i="57"/>
  <c r="G136" i="57"/>
  <c r="E137" i="57"/>
  <c r="G131" i="94"/>
  <c r="D132" i="94"/>
  <c r="I135" i="55"/>
  <c r="H135" i="55"/>
  <c r="H132" i="75"/>
  <c r="I132" i="75"/>
  <c r="B133" i="76"/>
  <c r="F133" i="76"/>
  <c r="F131" i="93"/>
  <c r="B131" i="93"/>
  <c r="B132" i="80"/>
  <c r="F132" i="80"/>
  <c r="J130" i="94"/>
  <c r="J155" i="94" s="1"/>
  <c r="G130" i="96"/>
  <c r="D131" i="96"/>
  <c r="E131" i="96" s="1"/>
  <c r="G138" i="3"/>
  <c r="D139" i="3"/>
  <c r="E139" i="3"/>
  <c r="G131" i="95"/>
  <c r="D132" i="95"/>
  <c r="E132" i="95" s="1"/>
  <c r="H132" i="77"/>
  <c r="I132" i="77"/>
  <c r="B132" i="83"/>
  <c r="F132" i="83"/>
  <c r="J129" i="96"/>
  <c r="B130" i="13"/>
  <c r="F130" i="13"/>
  <c r="B136" i="55"/>
  <c r="F136" i="55"/>
  <c r="H138" i="21"/>
  <c r="I138" i="21"/>
  <c r="D131" i="87"/>
  <c r="G130" i="87"/>
  <c r="E131" i="87"/>
  <c r="I132" i="76"/>
  <c r="H132" i="76"/>
  <c r="D142" i="28"/>
  <c r="G141" i="28"/>
  <c r="E142" i="28"/>
  <c r="I129" i="13"/>
  <c r="H129" i="13"/>
  <c r="F130" i="33"/>
  <c r="B130" i="33"/>
  <c r="J130" i="95"/>
  <c r="J155" i="95" s="1"/>
  <c r="G131" i="82"/>
  <c r="D132" i="82"/>
  <c r="E132" i="82"/>
  <c r="I131" i="80"/>
  <c r="H131" i="80"/>
  <c r="F138" i="42"/>
  <c r="B138" i="42"/>
  <c r="F140" i="24"/>
  <c r="B140" i="24"/>
  <c r="F133" i="77"/>
  <c r="B133" i="77"/>
  <c r="I130" i="25"/>
  <c r="H130" i="25"/>
  <c r="H131" i="83"/>
  <c r="I131" i="83"/>
  <c r="F133" i="75"/>
  <c r="B133" i="75"/>
  <c r="I129" i="33"/>
  <c r="H129" i="33"/>
  <c r="I135" i="54"/>
  <c r="H135" i="54"/>
  <c r="H130" i="93"/>
  <c r="I130" i="93"/>
  <c r="H137" i="42"/>
  <c r="I137" i="42"/>
  <c r="I139" i="24"/>
  <c r="H139" i="24"/>
  <c r="D138" i="44"/>
  <c r="G137" i="44"/>
  <c r="E138" i="44"/>
  <c r="F139" i="21"/>
  <c r="B139" i="21"/>
  <c r="G139" i="17"/>
  <c r="D140" i="17"/>
  <c r="E140" i="17" s="1"/>
  <c r="F136" i="54"/>
  <c r="B136" i="54"/>
  <c r="G133" i="67"/>
  <c r="D134" i="67"/>
  <c r="E134" i="67"/>
  <c r="F131" i="25"/>
  <c r="B131" i="25"/>
  <c r="J132" i="67"/>
  <c r="I64" i="97" l="1"/>
  <c r="J129" i="99"/>
  <c r="J130" i="26"/>
  <c r="D59" i="99"/>
  <c r="G58" i="99"/>
  <c r="H58" i="99"/>
  <c r="F51" i="98"/>
  <c r="B51" i="98"/>
  <c r="I57" i="99"/>
  <c r="E65" i="97"/>
  <c r="F65" i="97" s="1"/>
  <c r="B65" i="97"/>
  <c r="G131" i="26"/>
  <c r="D132" i="26"/>
  <c r="D131" i="99"/>
  <c r="G130" i="99"/>
  <c r="E131" i="99"/>
  <c r="I58" i="43"/>
  <c r="B131" i="97"/>
  <c r="F131" i="97"/>
  <c r="H130" i="98"/>
  <c r="I130" i="98"/>
  <c r="H130" i="97"/>
  <c r="I130" i="97"/>
  <c r="B131" i="98"/>
  <c r="F131" i="98"/>
  <c r="B55" i="67"/>
  <c r="F55" i="67"/>
  <c r="H55" i="67" s="1"/>
  <c r="F56" i="46"/>
  <c r="G56" i="46" s="1"/>
  <c r="B56" i="46"/>
  <c r="E60" i="24"/>
  <c r="F60" i="24" s="1"/>
  <c r="G60" i="24" s="1"/>
  <c r="B60" i="24"/>
  <c r="G52" i="33"/>
  <c r="G58" i="39"/>
  <c r="I58" i="39" s="1"/>
  <c r="B53" i="80"/>
  <c r="F53" i="80"/>
  <c r="G53" i="80" s="1"/>
  <c r="I60" i="23"/>
  <c r="I52" i="80"/>
  <c r="H53" i="82"/>
  <c r="I53" i="82" s="1"/>
  <c r="E54" i="82"/>
  <c r="D54" i="82"/>
  <c r="B51" i="94"/>
  <c r="F51" i="94"/>
  <c r="H51" i="94" s="1"/>
  <c r="B50" i="93"/>
  <c r="F50" i="93"/>
  <c r="G50" i="93" s="1"/>
  <c r="G52" i="86"/>
  <c r="D53" i="86"/>
  <c r="H52" i="86"/>
  <c r="E53" i="86"/>
  <c r="D52" i="25"/>
  <c r="G51" i="25"/>
  <c r="H51" i="25"/>
  <c r="B52" i="84"/>
  <c r="F52" i="84"/>
  <c r="H52" i="84" s="1"/>
  <c r="G56" i="72"/>
  <c r="I56" i="72" s="1"/>
  <c r="B56" i="53"/>
  <c r="F56" i="53"/>
  <c r="H57" i="55"/>
  <c r="I57" i="55" s="1"/>
  <c r="D58" i="55"/>
  <c r="E58" i="55" s="1"/>
  <c r="E61" i="23"/>
  <c r="F61" i="23" s="1"/>
  <c r="H61" i="23" s="1"/>
  <c r="B61" i="23"/>
  <c r="H57" i="58"/>
  <c r="I57" i="58" s="1"/>
  <c r="D58" i="58"/>
  <c r="E58" i="58"/>
  <c r="D55" i="65"/>
  <c r="E55" i="65"/>
  <c r="H54" i="65"/>
  <c r="I54" i="65" s="1"/>
  <c r="H58" i="42"/>
  <c r="I58" i="42" s="1"/>
  <c r="D59" i="42"/>
  <c r="E59" i="42" s="1"/>
  <c r="F59" i="42" s="1"/>
  <c r="B53" i="90"/>
  <c r="F53" i="90"/>
  <c r="G53" i="75"/>
  <c r="E54" i="75"/>
  <c r="D54" i="75"/>
  <c r="I58" i="22"/>
  <c r="B55" i="66"/>
  <c r="F55" i="66"/>
  <c r="G55" i="66" s="1"/>
  <c r="F52" i="91"/>
  <c r="B52" i="91"/>
  <c r="H53" i="75"/>
  <c r="H62" i="71"/>
  <c r="G62" i="71"/>
  <c r="H54" i="68"/>
  <c r="I54" i="68" s="1"/>
  <c r="F50" i="96"/>
  <c r="G50" i="96" s="1"/>
  <c r="B50" i="96"/>
  <c r="F58" i="44"/>
  <c r="H58" i="44" s="1"/>
  <c r="B58" i="44"/>
  <c r="H58" i="20"/>
  <c r="I58" i="20" s="1"/>
  <c r="H55" i="64"/>
  <c r="I55" i="64" s="1"/>
  <c r="H61" i="29"/>
  <c r="F53" i="76"/>
  <c r="H53" i="76" s="1"/>
  <c r="B53" i="76"/>
  <c r="G52" i="85"/>
  <c r="I52" i="85" s="1"/>
  <c r="D53" i="85"/>
  <c r="E53" i="85"/>
  <c r="F55" i="61"/>
  <c r="G55" i="61" s="1"/>
  <c r="B55" i="61"/>
  <c r="I60" i="27"/>
  <c r="B52" i="81"/>
  <c r="F52" i="81"/>
  <c r="H52" i="81" s="1"/>
  <c r="E59" i="22"/>
  <c r="F59" i="22" s="1"/>
  <c r="H59" i="22" s="1"/>
  <c r="B59" i="22"/>
  <c r="H50" i="95"/>
  <c r="I50" i="95" s="1"/>
  <c r="D51" i="95"/>
  <c r="E51" i="95"/>
  <c r="D57" i="72"/>
  <c r="E57" i="72"/>
  <c r="F61" i="27"/>
  <c r="G61" i="27" s="1"/>
  <c r="B61" i="27"/>
  <c r="D59" i="39"/>
  <c r="I50" i="92"/>
  <c r="I60" i="30"/>
  <c r="I52" i="33"/>
  <c r="I59" i="17"/>
  <c r="I59" i="3"/>
  <c r="I62" i="28"/>
  <c r="G60" i="34"/>
  <c r="D61" i="34"/>
  <c r="E61" i="34" s="1"/>
  <c r="H60" i="34"/>
  <c r="H61" i="70"/>
  <c r="D62" i="70"/>
  <c r="G61" i="70"/>
  <c r="D52" i="83"/>
  <c r="E52" i="83"/>
  <c r="B62" i="31"/>
  <c r="B59" i="21"/>
  <c r="F59" i="21"/>
  <c r="G59" i="21" s="1"/>
  <c r="B61" i="30"/>
  <c r="E61" i="32"/>
  <c r="F61" i="32" s="1"/>
  <c r="B61" i="32"/>
  <c r="H57" i="45"/>
  <c r="I57" i="45" s="1"/>
  <c r="D58" i="45"/>
  <c r="E58" i="45"/>
  <c r="F55" i="63"/>
  <c r="G55" i="63" s="1"/>
  <c r="B55" i="63"/>
  <c r="B53" i="78"/>
  <c r="F53" i="78"/>
  <c r="G53" i="78" s="1"/>
  <c r="G61" i="29"/>
  <c r="B59" i="43"/>
  <c r="G63" i="28"/>
  <c r="D64" i="28"/>
  <c r="F58" i="74"/>
  <c r="G58" i="74" s="1"/>
  <c r="B58" i="74"/>
  <c r="I57" i="73"/>
  <c r="G51" i="83"/>
  <c r="B55" i="60"/>
  <c r="F55" i="60"/>
  <c r="G55" i="60" s="1"/>
  <c r="B59" i="41"/>
  <c r="F59" i="41"/>
  <c r="H59" i="41" s="1"/>
  <c r="H52" i="88"/>
  <c r="I52" i="88" s="1"/>
  <c r="D53" i="88"/>
  <c r="E53" i="88"/>
  <c r="B56" i="57"/>
  <c r="F56" i="57"/>
  <c r="G56" i="57" s="1"/>
  <c r="D60" i="19"/>
  <c r="E60" i="19" s="1"/>
  <c r="D56" i="64"/>
  <c r="E56" i="64"/>
  <c r="E59" i="43"/>
  <c r="F59" i="43" s="1"/>
  <c r="E56" i="56"/>
  <c r="D56" i="56"/>
  <c r="D63" i="69"/>
  <c r="E63" i="69" s="1"/>
  <c r="F58" i="73"/>
  <c r="D59" i="73" s="1"/>
  <c r="E59" i="73" s="1"/>
  <c r="B58" i="73"/>
  <c r="F51" i="92"/>
  <c r="G51" i="92" s="1"/>
  <c r="B51" i="92"/>
  <c r="E60" i="17"/>
  <c r="F60" i="17" s="1"/>
  <c r="C69" i="17"/>
  <c r="B60" i="17"/>
  <c r="F56" i="54"/>
  <c r="B56" i="54"/>
  <c r="E62" i="29"/>
  <c r="F62" i="29" s="1"/>
  <c r="D63" i="29" s="1"/>
  <c r="B62" i="29"/>
  <c r="H51" i="83"/>
  <c r="B53" i="79"/>
  <c r="F53" i="79"/>
  <c r="H53" i="79" s="1"/>
  <c r="I61" i="71"/>
  <c r="G59" i="19"/>
  <c r="I59" i="19" s="1"/>
  <c r="D55" i="68"/>
  <c r="E55" i="68"/>
  <c r="B51" i="89"/>
  <c r="F51" i="89"/>
  <c r="E62" i="31"/>
  <c r="F62" i="31" s="1"/>
  <c r="G62" i="31" s="1"/>
  <c r="H63" i="28"/>
  <c r="D63" i="71"/>
  <c r="E63" i="71" s="1"/>
  <c r="H55" i="56"/>
  <c r="I55" i="56" s="1"/>
  <c r="B62" i="69"/>
  <c r="G62" i="69"/>
  <c r="H62" i="69"/>
  <c r="B53" i="77"/>
  <c r="F53" i="77"/>
  <c r="H53" i="77" s="1"/>
  <c r="E61" i="30"/>
  <c r="F61" i="30" s="1"/>
  <c r="E60" i="3"/>
  <c r="F60" i="3" s="1"/>
  <c r="B60" i="3"/>
  <c r="J130" i="91"/>
  <c r="J155" i="91" s="1"/>
  <c r="J136" i="45"/>
  <c r="J137" i="73"/>
  <c r="D51" i="13"/>
  <c r="H50" i="13"/>
  <c r="G50" i="13"/>
  <c r="D52" i="26"/>
  <c r="H54" i="62"/>
  <c r="I54" i="62" s="1"/>
  <c r="F55" i="59"/>
  <c r="H55" i="59" s="1"/>
  <c r="B55" i="59"/>
  <c r="B60" i="18"/>
  <c r="F60" i="18"/>
  <c r="G60" i="18" s="1"/>
  <c r="D59" i="20"/>
  <c r="H51" i="26"/>
  <c r="I51" i="26" s="1"/>
  <c r="E55" i="62"/>
  <c r="D55" i="62"/>
  <c r="D52" i="87"/>
  <c r="E52" i="87"/>
  <c r="F59" i="73"/>
  <c r="H59" i="73" s="1"/>
  <c r="J137" i="41"/>
  <c r="J138" i="22"/>
  <c r="D53" i="33"/>
  <c r="E53" i="33" s="1"/>
  <c r="H51" i="87"/>
  <c r="I51" i="87" s="1"/>
  <c r="G131" i="91"/>
  <c r="E132" i="91"/>
  <c r="D132" i="91"/>
  <c r="I137" i="43"/>
  <c r="H137" i="43"/>
  <c r="I140" i="29"/>
  <c r="H140" i="29"/>
  <c r="H134" i="60"/>
  <c r="I134" i="60"/>
  <c r="H130" i="84"/>
  <c r="I130" i="84"/>
  <c r="D139" i="41"/>
  <c r="E139" i="41"/>
  <c r="G138" i="41"/>
  <c r="F141" i="27"/>
  <c r="B141" i="27"/>
  <c r="F133" i="78"/>
  <c r="B133" i="78"/>
  <c r="B139" i="34"/>
  <c r="F139" i="34"/>
  <c r="E136" i="62"/>
  <c r="D136" i="62"/>
  <c r="G135" i="62"/>
  <c r="B131" i="86"/>
  <c r="F131" i="86"/>
  <c r="B133" i="79"/>
  <c r="F133" i="79"/>
  <c r="B134" i="66"/>
  <c r="F134" i="66"/>
  <c r="I138" i="20"/>
  <c r="H138" i="20"/>
  <c r="F140" i="32"/>
  <c r="B140" i="32"/>
  <c r="H130" i="88"/>
  <c r="I130" i="88"/>
  <c r="F136" i="72"/>
  <c r="B136" i="72"/>
  <c r="I135" i="58"/>
  <c r="H135" i="58"/>
  <c r="G137" i="45"/>
  <c r="D138" i="45"/>
  <c r="E138" i="45"/>
  <c r="F134" i="68"/>
  <c r="B134" i="68"/>
  <c r="I140" i="69"/>
  <c r="H140" i="69"/>
  <c r="J135" i="55"/>
  <c r="J136" i="56"/>
  <c r="F140" i="31"/>
  <c r="B140" i="31"/>
  <c r="F135" i="65"/>
  <c r="B135" i="65"/>
  <c r="B137" i="74"/>
  <c r="F137" i="74"/>
  <c r="I140" i="30"/>
  <c r="H140" i="30"/>
  <c r="D139" i="73"/>
  <c r="E139" i="73"/>
  <c r="G138" i="73"/>
  <c r="F141" i="70"/>
  <c r="B141" i="70"/>
  <c r="I140" i="27"/>
  <c r="H140" i="27"/>
  <c r="H132" i="79"/>
  <c r="I132" i="79"/>
  <c r="H134" i="63"/>
  <c r="I134" i="63"/>
  <c r="B132" i="85"/>
  <c r="F132" i="85"/>
  <c r="J134" i="62"/>
  <c r="I138" i="19"/>
  <c r="H138" i="19"/>
  <c r="I135" i="46"/>
  <c r="H135" i="46"/>
  <c r="F136" i="58"/>
  <c r="B136" i="58"/>
  <c r="B136" i="53"/>
  <c r="F136" i="53"/>
  <c r="H139" i="31"/>
  <c r="I139" i="31"/>
  <c r="I134" i="65"/>
  <c r="H134" i="65"/>
  <c r="B138" i="43"/>
  <c r="F138" i="43"/>
  <c r="B141" i="29"/>
  <c r="F141" i="29"/>
  <c r="F135" i="60"/>
  <c r="B135" i="60"/>
  <c r="B131" i="84"/>
  <c r="F131" i="84"/>
  <c r="D133" i="81"/>
  <c r="E133" i="81"/>
  <c r="G132" i="81"/>
  <c r="I130" i="90"/>
  <c r="H130" i="90"/>
  <c r="I132" i="78"/>
  <c r="H132" i="78"/>
  <c r="I134" i="64"/>
  <c r="H134" i="64"/>
  <c r="I130" i="92"/>
  <c r="H130" i="92"/>
  <c r="F135" i="61"/>
  <c r="B135" i="61"/>
  <c r="F135" i="63"/>
  <c r="B135" i="63"/>
  <c r="H131" i="85"/>
  <c r="I131" i="85"/>
  <c r="B138" i="39"/>
  <c r="F138" i="39"/>
  <c r="F131" i="88"/>
  <c r="B131" i="88"/>
  <c r="I135" i="72"/>
  <c r="H135" i="72"/>
  <c r="F136" i="46"/>
  <c r="B136" i="46"/>
  <c r="E140" i="22"/>
  <c r="D140" i="22"/>
  <c r="G139" i="22"/>
  <c r="F141" i="69"/>
  <c r="B141" i="69"/>
  <c r="I136" i="74"/>
  <c r="H136" i="74"/>
  <c r="J130" i="89"/>
  <c r="J155" i="89" s="1"/>
  <c r="B141" i="30"/>
  <c r="F141" i="30"/>
  <c r="B131" i="90"/>
  <c r="F131" i="90"/>
  <c r="H140" i="70"/>
  <c r="I140" i="70"/>
  <c r="I138" i="34"/>
  <c r="H138" i="34"/>
  <c r="F135" i="64"/>
  <c r="B135" i="64"/>
  <c r="B131" i="92"/>
  <c r="F131" i="92"/>
  <c r="I130" i="86"/>
  <c r="H130" i="86"/>
  <c r="H134" i="61"/>
  <c r="I134" i="61"/>
  <c r="I133" i="66"/>
  <c r="H133" i="66"/>
  <c r="G131" i="89"/>
  <c r="D132" i="89"/>
  <c r="E132" i="89"/>
  <c r="B139" i="20"/>
  <c r="F139" i="20"/>
  <c r="H137" i="39"/>
  <c r="I137" i="39"/>
  <c r="H139" i="32"/>
  <c r="I139" i="32"/>
  <c r="B139" i="19"/>
  <c r="F139" i="19"/>
  <c r="H133" i="68"/>
  <c r="I133" i="68"/>
  <c r="I135" i="53"/>
  <c r="H135" i="53"/>
  <c r="J137" i="42"/>
  <c r="G137" i="56"/>
  <c r="E138" i="56"/>
  <c r="D138" i="56"/>
  <c r="J132" i="77"/>
  <c r="H140" i="23"/>
  <c r="I140" i="23"/>
  <c r="I135" i="59"/>
  <c r="H135" i="59"/>
  <c r="F140" i="18"/>
  <c r="B140" i="18"/>
  <c r="B141" i="23"/>
  <c r="F141" i="23"/>
  <c r="J129" i="13"/>
  <c r="F136" i="59"/>
  <c r="B136" i="59"/>
  <c r="I139" i="18"/>
  <c r="H139" i="18"/>
  <c r="B141" i="71"/>
  <c r="F141" i="71"/>
  <c r="J139" i="24"/>
  <c r="J135" i="54"/>
  <c r="J132" i="76"/>
  <c r="I140" i="71"/>
  <c r="H140" i="71"/>
  <c r="I136" i="57"/>
  <c r="H136" i="57"/>
  <c r="B137" i="57"/>
  <c r="F137" i="57"/>
  <c r="F140" i="17"/>
  <c r="B140" i="17"/>
  <c r="E140" i="21"/>
  <c r="G139" i="21"/>
  <c r="D140" i="21"/>
  <c r="I137" i="44"/>
  <c r="H137" i="44"/>
  <c r="G133" i="75"/>
  <c r="E134" i="75"/>
  <c r="D134" i="75"/>
  <c r="E139" i="42"/>
  <c r="D139" i="42"/>
  <c r="G138" i="42"/>
  <c r="F131" i="87"/>
  <c r="B131" i="87"/>
  <c r="B132" i="95"/>
  <c r="F132" i="95"/>
  <c r="I130" i="96"/>
  <c r="H130" i="96"/>
  <c r="F134" i="67"/>
  <c r="B134" i="67"/>
  <c r="F138" i="44"/>
  <c r="B138" i="44"/>
  <c r="E137" i="55"/>
  <c r="G136" i="55"/>
  <c r="D137" i="55"/>
  <c r="D133" i="83"/>
  <c r="G132" i="83"/>
  <c r="E133" i="83"/>
  <c r="H131" i="95"/>
  <c r="I131" i="95"/>
  <c r="B139" i="3"/>
  <c r="F139" i="3"/>
  <c r="G132" i="80"/>
  <c r="D133" i="80"/>
  <c r="E133" i="80"/>
  <c r="G131" i="93"/>
  <c r="D132" i="93"/>
  <c r="B132" i="94"/>
  <c r="H133" i="67"/>
  <c r="I133" i="67"/>
  <c r="I139" i="17"/>
  <c r="H139" i="17"/>
  <c r="J129" i="33"/>
  <c r="G133" i="77"/>
  <c r="E134" i="77"/>
  <c r="D134" i="77"/>
  <c r="D141" i="24"/>
  <c r="E141" i="24" s="1"/>
  <c r="G140" i="24"/>
  <c r="F132" i="82"/>
  <c r="B132" i="82"/>
  <c r="G130" i="33"/>
  <c r="D131" i="33"/>
  <c r="E131" i="33" s="1"/>
  <c r="H141" i="28"/>
  <c r="I141" i="28"/>
  <c r="I138" i="3"/>
  <c r="H138" i="3"/>
  <c r="G133" i="76"/>
  <c r="E134" i="76"/>
  <c r="D134" i="76"/>
  <c r="J132" i="75"/>
  <c r="H131" i="94"/>
  <c r="I131" i="94"/>
  <c r="G131" i="25"/>
  <c r="D132" i="25"/>
  <c r="D137" i="54"/>
  <c r="G136" i="54"/>
  <c r="E137" i="54"/>
  <c r="J130" i="93"/>
  <c r="J155" i="93" s="1"/>
  <c r="J130" i="25"/>
  <c r="H131" i="82"/>
  <c r="I131" i="82"/>
  <c r="B142" i="28"/>
  <c r="F142" i="28"/>
  <c r="I130" i="87"/>
  <c r="H130" i="87"/>
  <c r="J138" i="21"/>
  <c r="G130" i="13"/>
  <c r="D131" i="13"/>
  <c r="E131" i="13" s="1"/>
  <c r="F131" i="96"/>
  <c r="B131" i="96"/>
  <c r="E132" i="94"/>
  <c r="F132" i="94" s="1"/>
  <c r="B59" i="73" l="1"/>
  <c r="H51" i="92"/>
  <c r="I58" i="99"/>
  <c r="D66" i="97"/>
  <c r="E66" i="97" s="1"/>
  <c r="H65" i="97"/>
  <c r="G65" i="97"/>
  <c r="I62" i="71"/>
  <c r="D52" i="98"/>
  <c r="E52" i="98"/>
  <c r="H51" i="98"/>
  <c r="G51" i="98"/>
  <c r="E59" i="99"/>
  <c r="F59" i="99" s="1"/>
  <c r="B59" i="99"/>
  <c r="H50" i="93"/>
  <c r="I50" i="93" s="1"/>
  <c r="J130" i="98"/>
  <c r="J155" i="98" s="1"/>
  <c r="B132" i="26"/>
  <c r="E132" i="26"/>
  <c r="F132" i="26" s="1"/>
  <c r="I131" i="26"/>
  <c r="H131" i="26"/>
  <c r="H130" i="99"/>
  <c r="I130" i="99"/>
  <c r="B131" i="99"/>
  <c r="F131" i="99"/>
  <c r="H53" i="80"/>
  <c r="I53" i="80" s="1"/>
  <c r="I53" i="75"/>
  <c r="I61" i="29"/>
  <c r="I63" i="28"/>
  <c r="J130" i="97"/>
  <c r="J155" i="97" s="1"/>
  <c r="D132" i="98"/>
  <c r="G131" i="98"/>
  <c r="E132" i="98"/>
  <c r="D132" i="97"/>
  <c r="G131" i="97"/>
  <c r="E132" i="97"/>
  <c r="J134" i="61"/>
  <c r="I51" i="83"/>
  <c r="G55" i="67"/>
  <c r="I55" i="67" s="1"/>
  <c r="D56" i="67"/>
  <c r="E56" i="67"/>
  <c r="H56" i="46"/>
  <c r="I56" i="46" s="1"/>
  <c r="D57" i="46"/>
  <c r="E57" i="46"/>
  <c r="H60" i="24"/>
  <c r="I60" i="24" s="1"/>
  <c r="D61" i="24"/>
  <c r="E52" i="25"/>
  <c r="F52" i="25" s="1"/>
  <c r="G52" i="25" s="1"/>
  <c r="B52" i="25"/>
  <c r="B54" i="82"/>
  <c r="F54" i="82"/>
  <c r="G54" i="82" s="1"/>
  <c r="G53" i="79"/>
  <c r="I53" i="79" s="1"/>
  <c r="I51" i="25"/>
  <c r="I52" i="86"/>
  <c r="E51" i="93"/>
  <c r="D51" i="93"/>
  <c r="G51" i="94"/>
  <c r="I51" i="94" s="1"/>
  <c r="E52" i="94"/>
  <c r="D52" i="94"/>
  <c r="E54" i="80"/>
  <c r="D54" i="80"/>
  <c r="H55" i="61"/>
  <c r="I55" i="61" s="1"/>
  <c r="B53" i="86"/>
  <c r="F53" i="86"/>
  <c r="G53" i="86" s="1"/>
  <c r="D60" i="42"/>
  <c r="E60" i="42" s="1"/>
  <c r="F60" i="42" s="1"/>
  <c r="H56" i="53"/>
  <c r="D57" i="53"/>
  <c r="E57" i="53"/>
  <c r="G52" i="91"/>
  <c r="E53" i="91"/>
  <c r="D53" i="91"/>
  <c r="D56" i="66"/>
  <c r="E56" i="66"/>
  <c r="F54" i="75"/>
  <c r="G54" i="75" s="1"/>
  <c r="B54" i="75"/>
  <c r="B59" i="42"/>
  <c r="G59" i="42"/>
  <c r="H59" i="42"/>
  <c r="E54" i="90"/>
  <c r="D54" i="90"/>
  <c r="D53" i="84"/>
  <c r="E53" i="84"/>
  <c r="I62" i="69"/>
  <c r="H52" i="91"/>
  <c r="G53" i="90"/>
  <c r="G61" i="23"/>
  <c r="I61" i="23" s="1"/>
  <c r="D62" i="23"/>
  <c r="B58" i="55"/>
  <c r="F58" i="55"/>
  <c r="D59" i="55" s="1"/>
  <c r="H55" i="66"/>
  <c r="I55" i="66" s="1"/>
  <c r="H53" i="90"/>
  <c r="F55" i="65"/>
  <c r="G55" i="65" s="1"/>
  <c r="B55" i="65"/>
  <c r="B58" i="58"/>
  <c r="F58" i="58"/>
  <c r="G58" i="58" s="1"/>
  <c r="G56" i="53"/>
  <c r="G52" i="84"/>
  <c r="I52" i="84" s="1"/>
  <c r="B59" i="39"/>
  <c r="G59" i="73"/>
  <c r="I59" i="73" s="1"/>
  <c r="G59" i="22"/>
  <c r="I59" i="22" s="1"/>
  <c r="D59" i="44"/>
  <c r="E59" i="44" s="1"/>
  <c r="H62" i="31"/>
  <c r="I62" i="31" s="1"/>
  <c r="F57" i="72"/>
  <c r="H57" i="72" s="1"/>
  <c r="B57" i="72"/>
  <c r="G52" i="81"/>
  <c r="I52" i="81" s="1"/>
  <c r="D53" i="81"/>
  <c r="E53" i="81"/>
  <c r="F51" i="95"/>
  <c r="H51" i="95" s="1"/>
  <c r="B51" i="95"/>
  <c r="D60" i="22"/>
  <c r="E60" i="22" s="1"/>
  <c r="F60" i="22" s="1"/>
  <c r="D54" i="76"/>
  <c r="E54" i="76"/>
  <c r="G58" i="73"/>
  <c r="E59" i="39"/>
  <c r="F59" i="39" s="1"/>
  <c r="D60" i="39" s="1"/>
  <c r="H61" i="27"/>
  <c r="I61" i="27" s="1"/>
  <c r="D62" i="27"/>
  <c r="D56" i="61"/>
  <c r="E56" i="61"/>
  <c r="F53" i="85"/>
  <c r="G53" i="85" s="1"/>
  <c r="B53" i="85"/>
  <c r="G53" i="76"/>
  <c r="I53" i="76" s="1"/>
  <c r="G58" i="44"/>
  <c r="I58" i="44" s="1"/>
  <c r="H50" i="96"/>
  <c r="I50" i="96" s="1"/>
  <c r="D51" i="96"/>
  <c r="E51" i="96"/>
  <c r="I60" i="34"/>
  <c r="G59" i="43"/>
  <c r="D60" i="43"/>
  <c r="E60" i="43" s="1"/>
  <c r="F60" i="43" s="1"/>
  <c r="H59" i="43"/>
  <c r="H60" i="3"/>
  <c r="D61" i="3"/>
  <c r="E61" i="3" s="1"/>
  <c r="F61" i="3" s="1"/>
  <c r="G60" i="3"/>
  <c r="D61" i="17"/>
  <c r="G60" i="17"/>
  <c r="H60" i="17"/>
  <c r="G61" i="32"/>
  <c r="D62" i="32"/>
  <c r="H61" i="32"/>
  <c r="H56" i="54"/>
  <c r="E57" i="54"/>
  <c r="D57" i="54"/>
  <c r="H60" i="18"/>
  <c r="I60" i="18" s="1"/>
  <c r="D62" i="30"/>
  <c r="E62" i="30" s="1"/>
  <c r="F55" i="68"/>
  <c r="B55" i="68"/>
  <c r="E63" i="29"/>
  <c r="F63" i="29" s="1"/>
  <c r="B63" i="29"/>
  <c r="B63" i="69"/>
  <c r="F63" i="69"/>
  <c r="G63" i="69" s="1"/>
  <c r="E57" i="57"/>
  <c r="D57" i="57"/>
  <c r="B53" i="88"/>
  <c r="F53" i="88"/>
  <c r="D56" i="63"/>
  <c r="E56" i="63"/>
  <c r="F52" i="83"/>
  <c r="H52" i="83" s="1"/>
  <c r="B52" i="83"/>
  <c r="D52" i="89"/>
  <c r="E52" i="89"/>
  <c r="H58" i="74"/>
  <c r="I58" i="74" s="1"/>
  <c r="D59" i="74"/>
  <c r="E59" i="74" s="1"/>
  <c r="F59" i="74" s="1"/>
  <c r="B62" i="70"/>
  <c r="D63" i="31"/>
  <c r="E63" i="31" s="1"/>
  <c r="H51" i="89"/>
  <c r="E54" i="79"/>
  <c r="D54" i="79"/>
  <c r="G62" i="29"/>
  <c r="G56" i="54"/>
  <c r="I51" i="92"/>
  <c r="B56" i="56"/>
  <c r="F56" i="56"/>
  <c r="B56" i="64"/>
  <c r="F56" i="64"/>
  <c r="B60" i="19"/>
  <c r="F60" i="19"/>
  <c r="H60" i="19" s="1"/>
  <c r="H55" i="60"/>
  <c r="I55" i="60" s="1"/>
  <c r="D56" i="60"/>
  <c r="E56" i="60"/>
  <c r="H55" i="63"/>
  <c r="I55" i="63" s="1"/>
  <c r="H61" i="30"/>
  <c r="H59" i="21"/>
  <c r="I59" i="21" s="1"/>
  <c r="D60" i="21"/>
  <c r="I61" i="70"/>
  <c r="F61" i="34"/>
  <c r="H61" i="34" s="1"/>
  <c r="B61" i="34"/>
  <c r="B64" i="28"/>
  <c r="D54" i="78"/>
  <c r="E54" i="78"/>
  <c r="G53" i="77"/>
  <c r="I53" i="77" s="1"/>
  <c r="E54" i="77"/>
  <c r="D54" i="77"/>
  <c r="B63" i="71"/>
  <c r="F63" i="71"/>
  <c r="G63" i="71" s="1"/>
  <c r="G51" i="89"/>
  <c r="H62" i="29"/>
  <c r="D52" i="92"/>
  <c r="E52" i="92"/>
  <c r="H58" i="73"/>
  <c r="I58" i="73" s="1"/>
  <c r="H56" i="57"/>
  <c r="I56" i="57" s="1"/>
  <c r="G59" i="41"/>
  <c r="I59" i="41" s="1"/>
  <c r="D60" i="41"/>
  <c r="E60" i="41" s="1"/>
  <c r="E64" i="28"/>
  <c r="F64" i="28" s="1"/>
  <c r="D65" i="28" s="1"/>
  <c r="H53" i="78"/>
  <c r="I53" i="78" s="1"/>
  <c r="F58" i="45"/>
  <c r="H58" i="45" s="1"/>
  <c r="B58" i="45"/>
  <c r="G61" i="30"/>
  <c r="E62" i="70"/>
  <c r="F62" i="70" s="1"/>
  <c r="J139" i="18"/>
  <c r="J135" i="53"/>
  <c r="J134" i="63"/>
  <c r="J138" i="19"/>
  <c r="J140" i="30"/>
  <c r="J130" i="88"/>
  <c r="J155" i="88" s="1"/>
  <c r="J130" i="84"/>
  <c r="J155" i="84" s="1"/>
  <c r="J140" i="70"/>
  <c r="J136" i="74"/>
  <c r="J134" i="65"/>
  <c r="J135" i="46"/>
  <c r="J132" i="79"/>
  <c r="J134" i="60"/>
  <c r="J140" i="69"/>
  <c r="J135" i="59"/>
  <c r="B59" i="20"/>
  <c r="B52" i="26"/>
  <c r="D60" i="73"/>
  <c r="E60" i="73" s="1"/>
  <c r="B52" i="87"/>
  <c r="F52" i="87"/>
  <c r="G52" i="87" s="1"/>
  <c r="E59" i="20"/>
  <c r="F59" i="20" s="1"/>
  <c r="G55" i="59"/>
  <c r="I55" i="59" s="1"/>
  <c r="I50" i="13"/>
  <c r="F53" i="33"/>
  <c r="G53" i="33" s="1"/>
  <c r="B53" i="33"/>
  <c r="D61" i="18"/>
  <c r="E61" i="18" s="1"/>
  <c r="B51" i="13"/>
  <c r="F55" i="62"/>
  <c r="G55" i="62" s="1"/>
  <c r="B55" i="62"/>
  <c r="E56" i="59"/>
  <c r="D56" i="59"/>
  <c r="E52" i="26"/>
  <c r="F52" i="26" s="1"/>
  <c r="E51" i="13"/>
  <c r="F51" i="13" s="1"/>
  <c r="F132" i="89"/>
  <c r="B132" i="89"/>
  <c r="G131" i="92"/>
  <c r="E132" i="92"/>
  <c r="D132" i="92"/>
  <c r="G131" i="90"/>
  <c r="D132" i="90"/>
  <c r="E132" i="90"/>
  <c r="D142" i="69"/>
  <c r="E142" i="69"/>
  <c r="G141" i="69"/>
  <c r="B133" i="81"/>
  <c r="F133" i="81"/>
  <c r="E136" i="60"/>
  <c r="D136" i="60"/>
  <c r="G135" i="60"/>
  <c r="D137" i="58"/>
  <c r="G136" i="58"/>
  <c r="E137" i="58"/>
  <c r="H138" i="73"/>
  <c r="I138" i="73"/>
  <c r="G135" i="65"/>
  <c r="E136" i="65"/>
  <c r="D136" i="65"/>
  <c r="E135" i="68"/>
  <c r="G134" i="68"/>
  <c r="D135" i="68"/>
  <c r="G133" i="79"/>
  <c r="D134" i="79"/>
  <c r="E134" i="79"/>
  <c r="I135" i="62"/>
  <c r="H135" i="62"/>
  <c r="D142" i="27"/>
  <c r="E142" i="27" s="1"/>
  <c r="G141" i="27"/>
  <c r="F132" i="91"/>
  <c r="B132" i="91"/>
  <c r="J133" i="68"/>
  <c r="J139" i="32"/>
  <c r="G139" i="20"/>
  <c r="E140" i="20"/>
  <c r="D140" i="20"/>
  <c r="H131" i="89"/>
  <c r="I131" i="89"/>
  <c r="J138" i="34"/>
  <c r="H139" i="22"/>
  <c r="I139" i="22"/>
  <c r="G136" i="46"/>
  <c r="D137" i="46"/>
  <c r="E137" i="46"/>
  <c r="G131" i="88"/>
  <c r="E132" i="88"/>
  <c r="D132" i="88"/>
  <c r="D136" i="61"/>
  <c r="E136" i="61"/>
  <c r="G135" i="61"/>
  <c r="J134" i="64"/>
  <c r="J130" i="90"/>
  <c r="J155" i="90" s="1"/>
  <c r="E132" i="84"/>
  <c r="G131" i="84"/>
  <c r="D132" i="84"/>
  <c r="G141" i="29"/>
  <c r="D142" i="29"/>
  <c r="E142" i="29" s="1"/>
  <c r="D137" i="53"/>
  <c r="E137" i="53"/>
  <c r="G136" i="53"/>
  <c r="J140" i="27"/>
  <c r="E138" i="74"/>
  <c r="G137" i="74"/>
  <c r="D138" i="74"/>
  <c r="J135" i="58"/>
  <c r="J138" i="20"/>
  <c r="B136" i="62"/>
  <c r="F136" i="62"/>
  <c r="I138" i="41"/>
  <c r="H138" i="41"/>
  <c r="J140" i="29"/>
  <c r="D142" i="30"/>
  <c r="E142" i="30" s="1"/>
  <c r="G141" i="30"/>
  <c r="B140" i="22"/>
  <c r="F140" i="22"/>
  <c r="E139" i="39"/>
  <c r="G138" i="39"/>
  <c r="D139" i="39"/>
  <c r="I132" i="81"/>
  <c r="H132" i="81"/>
  <c r="E133" i="85"/>
  <c r="D133" i="85"/>
  <c r="G132" i="85"/>
  <c r="B139" i="73"/>
  <c r="F139" i="73"/>
  <c r="E141" i="31"/>
  <c r="G140" i="31"/>
  <c r="D141" i="31"/>
  <c r="B138" i="45"/>
  <c r="F138" i="45"/>
  <c r="E135" i="66"/>
  <c r="D135" i="66"/>
  <c r="G134" i="66"/>
  <c r="G131" i="86"/>
  <c r="E132" i="86"/>
  <c r="D132" i="86"/>
  <c r="E134" i="78"/>
  <c r="D134" i="78"/>
  <c r="G133" i="78"/>
  <c r="I131" i="91"/>
  <c r="H131" i="91"/>
  <c r="D140" i="19"/>
  <c r="E140" i="19"/>
  <c r="G139" i="19"/>
  <c r="J137" i="39"/>
  <c r="J133" i="66"/>
  <c r="J130" i="86"/>
  <c r="J155" i="86" s="1"/>
  <c r="D136" i="64"/>
  <c r="E136" i="64"/>
  <c r="G135" i="64"/>
  <c r="J135" i="72"/>
  <c r="D136" i="63"/>
  <c r="G135" i="63"/>
  <c r="E136" i="63"/>
  <c r="J130" i="92"/>
  <c r="J155" i="92" s="1"/>
  <c r="J132" i="78"/>
  <c r="D139" i="43"/>
  <c r="E139" i="43"/>
  <c r="G138" i="43"/>
  <c r="J139" i="31"/>
  <c r="D142" i="70"/>
  <c r="E142" i="70"/>
  <c r="G141" i="70"/>
  <c r="H137" i="45"/>
  <c r="I137" i="45"/>
  <c r="D137" i="72"/>
  <c r="G136" i="72"/>
  <c r="E137" i="72"/>
  <c r="G140" i="32"/>
  <c r="D141" i="32"/>
  <c r="E141" i="32" s="1"/>
  <c r="D140" i="34"/>
  <c r="G139" i="34"/>
  <c r="E140" i="34"/>
  <c r="B139" i="41"/>
  <c r="F139" i="41"/>
  <c r="J137" i="43"/>
  <c r="G140" i="18"/>
  <c r="D141" i="18"/>
  <c r="E141" i="18" s="1"/>
  <c r="D137" i="59"/>
  <c r="G136" i="59"/>
  <c r="E137" i="59"/>
  <c r="D142" i="23"/>
  <c r="E142" i="23" s="1"/>
  <c r="G141" i="23"/>
  <c r="H137" i="56"/>
  <c r="I137" i="56"/>
  <c r="J130" i="87"/>
  <c r="J155" i="87" s="1"/>
  <c r="J140" i="23"/>
  <c r="F138" i="56"/>
  <c r="B138" i="56"/>
  <c r="J140" i="71"/>
  <c r="D138" i="57"/>
  <c r="E138" i="57"/>
  <c r="G137" i="57"/>
  <c r="J136" i="57"/>
  <c r="D142" i="71"/>
  <c r="E142" i="71"/>
  <c r="G141" i="71"/>
  <c r="D133" i="94"/>
  <c r="E133" i="94" s="1"/>
  <c r="G132" i="94"/>
  <c r="B137" i="54"/>
  <c r="F137" i="54"/>
  <c r="I131" i="25"/>
  <c r="H131" i="25"/>
  <c r="H133" i="76"/>
  <c r="I133" i="76"/>
  <c r="B141" i="24"/>
  <c r="F141" i="24"/>
  <c r="I133" i="77"/>
  <c r="H133" i="77"/>
  <c r="B132" i="93"/>
  <c r="H132" i="80"/>
  <c r="I132" i="80"/>
  <c r="B133" i="83"/>
  <c r="F133" i="83"/>
  <c r="G131" i="87"/>
  <c r="D132" i="87"/>
  <c r="E132" i="87"/>
  <c r="F139" i="42"/>
  <c r="B139" i="42"/>
  <c r="G131" i="96"/>
  <c r="D132" i="96"/>
  <c r="B131" i="13"/>
  <c r="F131" i="13"/>
  <c r="J138" i="3"/>
  <c r="J141" i="28"/>
  <c r="I130" i="33"/>
  <c r="H130" i="33"/>
  <c r="D133" i="82"/>
  <c r="G132" i="82"/>
  <c r="E133" i="82"/>
  <c r="H131" i="93"/>
  <c r="I131" i="93"/>
  <c r="D140" i="3"/>
  <c r="G139" i="3"/>
  <c r="E140" i="3"/>
  <c r="B137" i="55"/>
  <c r="F137" i="55"/>
  <c r="B134" i="75"/>
  <c r="F134" i="75"/>
  <c r="B132" i="25"/>
  <c r="F134" i="76"/>
  <c r="B134" i="76"/>
  <c r="I140" i="24"/>
  <c r="H140" i="24"/>
  <c r="F134" i="77"/>
  <c r="B134" i="77"/>
  <c r="J139" i="17"/>
  <c r="I136" i="55"/>
  <c r="H136" i="55"/>
  <c r="D139" i="44"/>
  <c r="G138" i="44"/>
  <c r="E139" i="44"/>
  <c r="D135" i="67"/>
  <c r="G134" i="67"/>
  <c r="E135" i="67"/>
  <c r="D133" i="95"/>
  <c r="G132" i="95"/>
  <c r="J137" i="44"/>
  <c r="F140" i="21"/>
  <c r="B140" i="21"/>
  <c r="G140" i="17"/>
  <c r="D141" i="17"/>
  <c r="E141" i="17" s="1"/>
  <c r="I130" i="13"/>
  <c r="H130" i="13"/>
  <c r="G142" i="28"/>
  <c r="D143" i="28"/>
  <c r="E143" i="28" s="1"/>
  <c r="H136" i="54"/>
  <c r="I136" i="54"/>
  <c r="E132" i="25"/>
  <c r="F132" i="25" s="1"/>
  <c r="B131" i="33"/>
  <c r="F131" i="33"/>
  <c r="J133" i="67"/>
  <c r="E132" i="93"/>
  <c r="F132" i="93" s="1"/>
  <c r="B133" i="80"/>
  <c r="F133" i="80"/>
  <c r="I132" i="83"/>
  <c r="H132" i="83"/>
  <c r="J130" i="96"/>
  <c r="J155" i="96" s="1"/>
  <c r="I138" i="42"/>
  <c r="H138" i="42"/>
  <c r="I133" i="75"/>
  <c r="H133" i="75"/>
  <c r="H139" i="21"/>
  <c r="I139" i="21"/>
  <c r="I51" i="98" l="1"/>
  <c r="D60" i="99"/>
  <c r="G59" i="99"/>
  <c r="H59" i="99"/>
  <c r="I65" i="97"/>
  <c r="F52" i="98"/>
  <c r="H52" i="98" s="1"/>
  <c r="B52" i="98"/>
  <c r="B66" i="97"/>
  <c r="F66" i="97"/>
  <c r="G66" i="97" s="1"/>
  <c r="J130" i="99"/>
  <c r="J155" i="99" s="1"/>
  <c r="J131" i="26"/>
  <c r="D133" i="26"/>
  <c r="G132" i="26"/>
  <c r="G131" i="99"/>
  <c r="E132" i="99"/>
  <c r="D132" i="99"/>
  <c r="I52" i="91"/>
  <c r="I56" i="53"/>
  <c r="B132" i="97"/>
  <c r="F132" i="97"/>
  <c r="H131" i="98"/>
  <c r="I131" i="98"/>
  <c r="I131" i="97"/>
  <c r="H131" i="97"/>
  <c r="B132" i="98"/>
  <c r="F132" i="98"/>
  <c r="F56" i="67"/>
  <c r="G56" i="67" s="1"/>
  <c r="B56" i="67"/>
  <c r="G58" i="55"/>
  <c r="H58" i="55"/>
  <c r="B57" i="46"/>
  <c r="F57" i="46"/>
  <c r="H57" i="46" s="1"/>
  <c r="E61" i="24"/>
  <c r="F61" i="24" s="1"/>
  <c r="G61" i="24" s="1"/>
  <c r="B61" i="24"/>
  <c r="D54" i="86"/>
  <c r="E54" i="86"/>
  <c r="H53" i="86"/>
  <c r="I53" i="86" s="1"/>
  <c r="B51" i="93"/>
  <c r="F51" i="93"/>
  <c r="G51" i="93" s="1"/>
  <c r="E55" i="82"/>
  <c r="D55" i="82"/>
  <c r="B52" i="94"/>
  <c r="F52" i="94"/>
  <c r="H52" i="94" s="1"/>
  <c r="H52" i="25"/>
  <c r="I52" i="25" s="1"/>
  <c r="D53" i="25"/>
  <c r="F54" i="80"/>
  <c r="B54" i="80"/>
  <c r="H63" i="69"/>
  <c r="I63" i="69" s="1"/>
  <c r="H54" i="82"/>
  <c r="I54" i="82" s="1"/>
  <c r="D61" i="42"/>
  <c r="E61" i="42" s="1"/>
  <c r="F61" i="42" s="1"/>
  <c r="B57" i="53"/>
  <c r="F57" i="53"/>
  <c r="G57" i="53" s="1"/>
  <c r="B62" i="23"/>
  <c r="B54" i="90"/>
  <c r="F54" i="90"/>
  <c r="H54" i="90" s="1"/>
  <c r="D55" i="75"/>
  <c r="E55" i="75"/>
  <c r="G51" i="95"/>
  <c r="I51" i="95" s="1"/>
  <c r="H58" i="58"/>
  <c r="I58" i="58" s="1"/>
  <c r="D59" i="58"/>
  <c r="E59" i="58" s="1"/>
  <c r="H55" i="65"/>
  <c r="I55" i="65" s="1"/>
  <c r="E56" i="65"/>
  <c r="D56" i="65"/>
  <c r="E59" i="55"/>
  <c r="F59" i="55" s="1"/>
  <c r="D60" i="55" s="1"/>
  <c r="B59" i="55"/>
  <c r="E62" i="23"/>
  <c r="F62" i="23" s="1"/>
  <c r="D63" i="23" s="1"/>
  <c r="H54" i="75"/>
  <c r="I54" i="75" s="1"/>
  <c r="F53" i="84"/>
  <c r="G53" i="84" s="1"/>
  <c r="B53" i="84"/>
  <c r="F53" i="91"/>
  <c r="B53" i="91"/>
  <c r="I51" i="89"/>
  <c r="I59" i="43"/>
  <c r="I53" i="90"/>
  <c r="I59" i="42"/>
  <c r="F56" i="66"/>
  <c r="H56" i="66" s="1"/>
  <c r="B56" i="66"/>
  <c r="B60" i="42"/>
  <c r="G60" i="42"/>
  <c r="H60" i="42"/>
  <c r="D61" i="22"/>
  <c r="E61" i="22" s="1"/>
  <c r="F61" i="22" s="1"/>
  <c r="H63" i="71"/>
  <c r="H53" i="85"/>
  <c r="I53" i="85" s="1"/>
  <c r="D54" i="85"/>
  <c r="E54" i="85"/>
  <c r="E60" i="39"/>
  <c r="F60" i="39" s="1"/>
  <c r="G60" i="39" s="1"/>
  <c r="B60" i="39"/>
  <c r="B54" i="76"/>
  <c r="F54" i="76"/>
  <c r="G54" i="76" s="1"/>
  <c r="G57" i="72"/>
  <c r="I57" i="72" s="1"/>
  <c r="D58" i="72"/>
  <c r="E58" i="72" s="1"/>
  <c r="H59" i="39"/>
  <c r="G59" i="39"/>
  <c r="I63" i="71"/>
  <c r="B53" i="81"/>
  <c r="F53" i="81"/>
  <c r="G53" i="81" s="1"/>
  <c r="F51" i="96"/>
  <c r="B51" i="96"/>
  <c r="B56" i="61"/>
  <c r="F56" i="61"/>
  <c r="H56" i="61" s="1"/>
  <c r="B62" i="27"/>
  <c r="E62" i="27"/>
  <c r="F62" i="27" s="1"/>
  <c r="B60" i="22"/>
  <c r="G60" i="22"/>
  <c r="H60" i="22"/>
  <c r="E52" i="95"/>
  <c r="D52" i="95"/>
  <c r="B59" i="44"/>
  <c r="F59" i="44"/>
  <c r="G59" i="44" s="1"/>
  <c r="I60" i="3"/>
  <c r="I62" i="29"/>
  <c r="I56" i="54"/>
  <c r="D64" i="29"/>
  <c r="G63" i="29"/>
  <c r="H63" i="29"/>
  <c r="D61" i="43"/>
  <c r="E61" i="43" s="1"/>
  <c r="D63" i="70"/>
  <c r="E63" i="70" s="1"/>
  <c r="H62" i="70"/>
  <c r="G62" i="70"/>
  <c r="D60" i="74"/>
  <c r="E60" i="74" s="1"/>
  <c r="F60" i="74" s="1"/>
  <c r="B60" i="21"/>
  <c r="E57" i="56"/>
  <c r="D57" i="56"/>
  <c r="F56" i="63"/>
  <c r="G56" i="63" s="1"/>
  <c r="B56" i="63"/>
  <c r="D62" i="3"/>
  <c r="E62" i="3" s="1"/>
  <c r="F62" i="3" s="1"/>
  <c r="H64" i="28"/>
  <c r="D62" i="34"/>
  <c r="G61" i="34"/>
  <c r="I61" i="34" s="1"/>
  <c r="E60" i="21"/>
  <c r="F60" i="21" s="1"/>
  <c r="F56" i="60"/>
  <c r="G56" i="60" s="1"/>
  <c r="B56" i="60"/>
  <c r="B57" i="54"/>
  <c r="F57" i="54"/>
  <c r="G57" i="54" s="1"/>
  <c r="B61" i="3"/>
  <c r="H61" i="3"/>
  <c r="G61" i="3"/>
  <c r="F54" i="78"/>
  <c r="H54" i="78" s="1"/>
  <c r="B54" i="78"/>
  <c r="D61" i="19"/>
  <c r="E61" i="19" s="1"/>
  <c r="F61" i="19" s="1"/>
  <c r="G56" i="64"/>
  <c r="D57" i="64"/>
  <c r="E57" i="64"/>
  <c r="D53" i="83"/>
  <c r="E53" i="83"/>
  <c r="H53" i="88"/>
  <c r="D54" i="88"/>
  <c r="E54" i="88"/>
  <c r="E56" i="68"/>
  <c r="D56" i="68"/>
  <c r="C70" i="17"/>
  <c r="B61" i="17"/>
  <c r="G58" i="45"/>
  <c r="I58" i="45" s="1"/>
  <c r="D59" i="45"/>
  <c r="E59" i="45" s="1"/>
  <c r="B52" i="92"/>
  <c r="F52" i="92"/>
  <c r="F54" i="77"/>
  <c r="H54" i="77" s="1"/>
  <c r="B54" i="77"/>
  <c r="G64" i="28"/>
  <c r="H56" i="56"/>
  <c r="B52" i="89"/>
  <c r="F52" i="89"/>
  <c r="H52" i="89" s="1"/>
  <c r="G52" i="83"/>
  <c r="I52" i="83" s="1"/>
  <c r="G53" i="88"/>
  <c r="D64" i="69"/>
  <c r="G55" i="68"/>
  <c r="F62" i="30"/>
  <c r="B62" i="30"/>
  <c r="I61" i="32"/>
  <c r="I60" i="17"/>
  <c r="B60" i="43"/>
  <c r="G60" i="43"/>
  <c r="H60" i="43"/>
  <c r="E65" i="28"/>
  <c r="F65" i="28" s="1"/>
  <c r="B65" i="28"/>
  <c r="B60" i="41"/>
  <c r="F60" i="41"/>
  <c r="G60" i="41" s="1"/>
  <c r="D64" i="71"/>
  <c r="I61" i="30"/>
  <c r="G60" i="19"/>
  <c r="I60" i="19" s="1"/>
  <c r="H56" i="64"/>
  <c r="G56" i="56"/>
  <c r="F54" i="79"/>
  <c r="G54" i="79" s="1"/>
  <c r="B54" i="79"/>
  <c r="B63" i="31"/>
  <c r="F63" i="31"/>
  <c r="D64" i="31" s="1"/>
  <c r="B59" i="74"/>
  <c r="H59" i="74"/>
  <c r="G59" i="74"/>
  <c r="F57" i="57"/>
  <c r="G57" i="57" s="1"/>
  <c r="B57" i="57"/>
  <c r="H55" i="68"/>
  <c r="E62" i="32"/>
  <c r="F62" i="32" s="1"/>
  <c r="B62" i="32"/>
  <c r="E61" i="17"/>
  <c r="F61" i="17" s="1"/>
  <c r="G61" i="17" s="1"/>
  <c r="J138" i="73"/>
  <c r="J130" i="33"/>
  <c r="J139" i="22"/>
  <c r="J135" i="62"/>
  <c r="D52" i="13"/>
  <c r="E52" i="13" s="1"/>
  <c r="G51" i="13"/>
  <c r="H51" i="13"/>
  <c r="D60" i="20"/>
  <c r="E60" i="20" s="1"/>
  <c r="H59" i="20"/>
  <c r="G59" i="20"/>
  <c r="D53" i="26"/>
  <c r="E53" i="26" s="1"/>
  <c r="H52" i="26"/>
  <c r="G52" i="26"/>
  <c r="J138" i="41"/>
  <c r="F56" i="59"/>
  <c r="G56" i="59" s="1"/>
  <c r="B56" i="59"/>
  <c r="F61" i="18"/>
  <c r="G61" i="18" s="1"/>
  <c r="B61" i="18"/>
  <c r="D56" i="62"/>
  <c r="E56" i="62"/>
  <c r="D54" i="33"/>
  <c r="E54" i="33" s="1"/>
  <c r="E53" i="87"/>
  <c r="D53" i="87"/>
  <c r="H55" i="62"/>
  <c r="I55" i="62" s="1"/>
  <c r="H53" i="33"/>
  <c r="I53" i="33" s="1"/>
  <c r="H52" i="87"/>
  <c r="I52" i="87" s="1"/>
  <c r="F60" i="73"/>
  <c r="H60" i="73" s="1"/>
  <c r="B60" i="73"/>
  <c r="F142" i="29"/>
  <c r="B142" i="29"/>
  <c r="H131" i="84"/>
  <c r="I131" i="84"/>
  <c r="H135" i="61"/>
  <c r="I135" i="61"/>
  <c r="I136" i="46"/>
  <c r="H136" i="46"/>
  <c r="I139" i="20"/>
  <c r="H139" i="20"/>
  <c r="G132" i="91"/>
  <c r="E133" i="91"/>
  <c r="D133" i="91"/>
  <c r="I133" i="79"/>
  <c r="H133" i="79"/>
  <c r="B136" i="65"/>
  <c r="F136" i="65"/>
  <c r="I135" i="60"/>
  <c r="H135" i="60"/>
  <c r="F140" i="34"/>
  <c r="B140" i="34"/>
  <c r="B136" i="64"/>
  <c r="F136" i="64"/>
  <c r="I139" i="19"/>
  <c r="H139" i="19"/>
  <c r="B135" i="66"/>
  <c r="F135" i="66"/>
  <c r="B141" i="32"/>
  <c r="F141" i="32"/>
  <c r="H136" i="72"/>
  <c r="I136" i="72"/>
  <c r="I141" i="70"/>
  <c r="H141" i="70"/>
  <c r="I138" i="43"/>
  <c r="H138" i="43"/>
  <c r="I133" i="78"/>
  <c r="H133" i="78"/>
  <c r="I140" i="31"/>
  <c r="H140" i="31"/>
  <c r="H132" i="85"/>
  <c r="I132" i="85"/>
  <c r="D141" i="22"/>
  <c r="E141" i="22" s="1"/>
  <c r="G140" i="22"/>
  <c r="B142" i="30"/>
  <c r="F142" i="30"/>
  <c r="E137" i="62"/>
  <c r="G136" i="62"/>
  <c r="D137" i="62"/>
  <c r="F138" i="74"/>
  <c r="B138" i="74"/>
  <c r="I136" i="53"/>
  <c r="H136" i="53"/>
  <c r="I141" i="29"/>
  <c r="H141" i="29"/>
  <c r="H131" i="88"/>
  <c r="I131" i="88"/>
  <c r="I141" i="27"/>
  <c r="H141" i="27"/>
  <c r="F135" i="68"/>
  <c r="B135" i="68"/>
  <c r="F136" i="60"/>
  <c r="B136" i="60"/>
  <c r="I141" i="69"/>
  <c r="H141" i="69"/>
  <c r="F132" i="90"/>
  <c r="B132" i="90"/>
  <c r="I131" i="92"/>
  <c r="H131" i="92"/>
  <c r="E140" i="41"/>
  <c r="D140" i="41"/>
  <c r="G139" i="41"/>
  <c r="B136" i="63"/>
  <c r="F136" i="63"/>
  <c r="F132" i="86"/>
  <c r="B132" i="86"/>
  <c r="F141" i="31"/>
  <c r="B141" i="31"/>
  <c r="B137" i="72"/>
  <c r="F137" i="72"/>
  <c r="H135" i="64"/>
  <c r="I135" i="64"/>
  <c r="F140" i="19"/>
  <c r="B140" i="19"/>
  <c r="B134" i="78"/>
  <c r="F134" i="78"/>
  <c r="H131" i="86"/>
  <c r="I131" i="86"/>
  <c r="D139" i="45"/>
  <c r="E139" i="45"/>
  <c r="G138" i="45"/>
  <c r="F133" i="85"/>
  <c r="B133" i="85"/>
  <c r="F139" i="39"/>
  <c r="B139" i="39"/>
  <c r="H137" i="74"/>
  <c r="I137" i="74"/>
  <c r="B136" i="61"/>
  <c r="F136" i="61"/>
  <c r="F140" i="20"/>
  <c r="B140" i="20"/>
  <c r="I134" i="68"/>
  <c r="H134" i="68"/>
  <c r="H135" i="65"/>
  <c r="I135" i="65"/>
  <c r="H136" i="58"/>
  <c r="I136" i="58"/>
  <c r="H131" i="90"/>
  <c r="I131" i="90"/>
  <c r="J133" i="76"/>
  <c r="H139" i="34"/>
  <c r="I139" i="34"/>
  <c r="H140" i="32"/>
  <c r="I140" i="32"/>
  <c r="J137" i="45"/>
  <c r="F142" i="70"/>
  <c r="B142" i="70"/>
  <c r="B139" i="43"/>
  <c r="F139" i="43"/>
  <c r="I135" i="63"/>
  <c r="H135" i="63"/>
  <c r="H134" i="66"/>
  <c r="I134" i="66"/>
  <c r="E140" i="73"/>
  <c r="D140" i="73"/>
  <c r="G139" i="73"/>
  <c r="I138" i="39"/>
  <c r="H138" i="39"/>
  <c r="I141" i="30"/>
  <c r="H141" i="30"/>
  <c r="F137" i="53"/>
  <c r="B137" i="53"/>
  <c r="B132" i="84"/>
  <c r="F132" i="84"/>
  <c r="F132" i="88"/>
  <c r="B132" i="88"/>
  <c r="F137" i="46"/>
  <c r="B137" i="46"/>
  <c r="F142" i="27"/>
  <c r="B142" i="27"/>
  <c r="B134" i="79"/>
  <c r="F134" i="79"/>
  <c r="F137" i="58"/>
  <c r="B137" i="58"/>
  <c r="D134" i="81"/>
  <c r="E134" i="81"/>
  <c r="G133" i="81"/>
  <c r="B142" i="69"/>
  <c r="F142" i="69"/>
  <c r="B132" i="92"/>
  <c r="F132" i="92"/>
  <c r="D133" i="89"/>
  <c r="G132" i="89"/>
  <c r="E133" i="89"/>
  <c r="J139" i="21"/>
  <c r="J133" i="77"/>
  <c r="J131" i="25"/>
  <c r="E139" i="56"/>
  <c r="G138" i="56"/>
  <c r="D139" i="56"/>
  <c r="J137" i="56"/>
  <c r="H141" i="23"/>
  <c r="I141" i="23"/>
  <c r="H136" i="59"/>
  <c r="I136" i="59"/>
  <c r="B141" i="18"/>
  <c r="F141" i="18"/>
  <c r="F137" i="59"/>
  <c r="B137" i="59"/>
  <c r="F142" i="23"/>
  <c r="B142" i="23"/>
  <c r="I140" i="18"/>
  <c r="H140" i="18"/>
  <c r="J136" i="54"/>
  <c r="H141" i="71"/>
  <c r="I141" i="71"/>
  <c r="H137" i="57"/>
  <c r="I137" i="57"/>
  <c r="J140" i="24"/>
  <c r="B142" i="71"/>
  <c r="F142" i="71"/>
  <c r="J138" i="42"/>
  <c r="J130" i="13"/>
  <c r="J155" i="13" s="1"/>
  <c r="J136" i="55"/>
  <c r="F138" i="57"/>
  <c r="B138" i="57"/>
  <c r="D133" i="93"/>
  <c r="E133" i="93" s="1"/>
  <c r="G132" i="93"/>
  <c r="G132" i="25"/>
  <c r="D133" i="25"/>
  <c r="F141" i="17"/>
  <c r="B141" i="17"/>
  <c r="D141" i="21"/>
  <c r="G140" i="21"/>
  <c r="E141" i="21"/>
  <c r="B133" i="95"/>
  <c r="G134" i="76"/>
  <c r="E135" i="76"/>
  <c r="D135" i="76"/>
  <c r="E134" i="80"/>
  <c r="G133" i="80"/>
  <c r="D134" i="80"/>
  <c r="G131" i="33"/>
  <c r="D132" i="33"/>
  <c r="E132" i="33" s="1"/>
  <c r="F143" i="28"/>
  <c r="B143" i="28"/>
  <c r="H140" i="17"/>
  <c r="I140" i="17"/>
  <c r="H138" i="44"/>
  <c r="I138" i="44"/>
  <c r="E138" i="55"/>
  <c r="D138" i="55"/>
  <c r="G137" i="55"/>
  <c r="H139" i="3"/>
  <c r="I139" i="3"/>
  <c r="B132" i="96"/>
  <c r="E134" i="83"/>
  <c r="G133" i="83"/>
  <c r="D134" i="83"/>
  <c r="I132" i="94"/>
  <c r="H132" i="94"/>
  <c r="I142" i="28"/>
  <c r="H142" i="28"/>
  <c r="I132" i="95"/>
  <c r="H132" i="95"/>
  <c r="I134" i="67"/>
  <c r="H134" i="67"/>
  <c r="F139" i="44"/>
  <c r="B139" i="44"/>
  <c r="G134" i="77"/>
  <c r="E135" i="77"/>
  <c r="D135" i="77"/>
  <c r="B140" i="3"/>
  <c r="F140" i="3"/>
  <c r="H132" i="82"/>
  <c r="I132" i="82"/>
  <c r="D132" i="13"/>
  <c r="E132" i="13" s="1"/>
  <c r="G131" i="13"/>
  <c r="I131" i="96"/>
  <c r="H131" i="96"/>
  <c r="E140" i="42"/>
  <c r="G139" i="42"/>
  <c r="D140" i="42"/>
  <c r="B132" i="87"/>
  <c r="F132" i="87"/>
  <c r="G141" i="24"/>
  <c r="D142" i="24"/>
  <c r="E142" i="24" s="1"/>
  <c r="D138" i="54"/>
  <c r="G137" i="54"/>
  <c r="E138" i="54"/>
  <c r="J133" i="75"/>
  <c r="E133" i="95"/>
  <c r="F133" i="95" s="1"/>
  <c r="B135" i="67"/>
  <c r="F135" i="67"/>
  <c r="G134" i="75"/>
  <c r="D135" i="75"/>
  <c r="E135" i="75"/>
  <c r="B133" i="82"/>
  <c r="F133" i="82"/>
  <c r="E132" i="96"/>
  <c r="F132" i="96" s="1"/>
  <c r="I131" i="87"/>
  <c r="H131" i="87"/>
  <c r="B133" i="94"/>
  <c r="F133" i="94"/>
  <c r="G52" i="98" l="1"/>
  <c r="I59" i="99"/>
  <c r="H66" i="97"/>
  <c r="I66" i="97" s="1"/>
  <c r="I52" i="98"/>
  <c r="D67" i="97"/>
  <c r="E67" i="97" s="1"/>
  <c r="G57" i="46"/>
  <c r="I57" i="46" s="1"/>
  <c r="D53" i="98"/>
  <c r="E53" i="98"/>
  <c r="E60" i="99"/>
  <c r="F60" i="99" s="1"/>
  <c r="D61" i="99" s="1"/>
  <c r="B60" i="99"/>
  <c r="I58" i="55"/>
  <c r="I132" i="26"/>
  <c r="H132" i="26"/>
  <c r="E133" i="26"/>
  <c r="F133" i="26" s="1"/>
  <c r="B133" i="26"/>
  <c r="F132" i="99"/>
  <c r="B132" i="99"/>
  <c r="H131" i="99"/>
  <c r="I131" i="99"/>
  <c r="I55" i="68"/>
  <c r="G56" i="61"/>
  <c r="I60" i="22"/>
  <c r="D133" i="98"/>
  <c r="G132" i="98"/>
  <c r="E133" i="98"/>
  <c r="D133" i="97"/>
  <c r="E133" i="97" s="1"/>
  <c r="G132" i="97"/>
  <c r="G54" i="90"/>
  <c r="I54" i="90" s="1"/>
  <c r="H56" i="67"/>
  <c r="I56" i="67" s="1"/>
  <c r="E57" i="67"/>
  <c r="D57" i="67"/>
  <c r="H59" i="55"/>
  <c r="D58" i="46"/>
  <c r="E58" i="46" s="1"/>
  <c r="F58" i="46" s="1"/>
  <c r="D59" i="46" s="1"/>
  <c r="I60" i="42"/>
  <c r="I59" i="39"/>
  <c r="D62" i="24"/>
  <c r="E62" i="24" s="1"/>
  <c r="F62" i="24" s="1"/>
  <c r="H61" i="24"/>
  <c r="I61" i="24" s="1"/>
  <c r="F55" i="82"/>
  <c r="G55" i="82" s="1"/>
  <c r="B55" i="82"/>
  <c r="H62" i="23"/>
  <c r="G54" i="80"/>
  <c r="D55" i="80"/>
  <c r="E55" i="80"/>
  <c r="G52" i="94"/>
  <c r="I52" i="94" s="1"/>
  <c r="E53" i="94"/>
  <c r="D53" i="94"/>
  <c r="H63" i="31"/>
  <c r="E53" i="25"/>
  <c r="F53" i="25" s="1"/>
  <c r="B53" i="25"/>
  <c r="H54" i="80"/>
  <c r="H51" i="93"/>
  <c r="I51" i="93" s="1"/>
  <c r="E52" i="93"/>
  <c r="D52" i="93"/>
  <c r="F54" i="86"/>
  <c r="B54" i="86"/>
  <c r="D62" i="42"/>
  <c r="G56" i="66"/>
  <c r="I56" i="66" s="1"/>
  <c r="E57" i="66"/>
  <c r="D57" i="66"/>
  <c r="G59" i="55"/>
  <c r="G62" i="23"/>
  <c r="H57" i="53"/>
  <c r="I57" i="53" s="1"/>
  <c r="D58" i="53"/>
  <c r="E54" i="91"/>
  <c r="D54" i="91"/>
  <c r="F56" i="65"/>
  <c r="G56" i="65" s="1"/>
  <c r="B56" i="65"/>
  <c r="E63" i="23"/>
  <c r="F63" i="23" s="1"/>
  <c r="B63" i="23"/>
  <c r="E60" i="55"/>
  <c r="F60" i="55" s="1"/>
  <c r="B60" i="55"/>
  <c r="E55" i="90"/>
  <c r="D55" i="90"/>
  <c r="B61" i="42"/>
  <c r="H61" i="42"/>
  <c r="G61" i="42"/>
  <c r="F59" i="58"/>
  <c r="B59" i="58"/>
  <c r="H53" i="84"/>
  <c r="I53" i="84" s="1"/>
  <c r="D54" i="84"/>
  <c r="E54" i="84"/>
  <c r="F55" i="75"/>
  <c r="B55" i="75"/>
  <c r="H53" i="91"/>
  <c r="G53" i="91"/>
  <c r="H51" i="96"/>
  <c r="E52" i="96"/>
  <c r="D52" i="96"/>
  <c r="G63" i="31"/>
  <c r="G54" i="78"/>
  <c r="I54" i="78" s="1"/>
  <c r="H56" i="63"/>
  <c r="I56" i="63" s="1"/>
  <c r="I56" i="61"/>
  <c r="F58" i="72"/>
  <c r="G58" i="72" s="1"/>
  <c r="B58" i="72"/>
  <c r="H54" i="76"/>
  <c r="I54" i="76" s="1"/>
  <c r="D55" i="76"/>
  <c r="E55" i="76"/>
  <c r="B54" i="85"/>
  <c r="F54" i="85"/>
  <c r="G54" i="85" s="1"/>
  <c r="H59" i="44"/>
  <c r="I59" i="44" s="1"/>
  <c r="D60" i="44"/>
  <c r="F52" i="95"/>
  <c r="B52" i="95"/>
  <c r="E57" i="61"/>
  <c r="D57" i="61"/>
  <c r="G51" i="96"/>
  <c r="I51" i="96" s="1"/>
  <c r="H53" i="81"/>
  <c r="I53" i="81" s="1"/>
  <c r="E54" i="81"/>
  <c r="D54" i="81"/>
  <c r="D61" i="39"/>
  <c r="D62" i="22"/>
  <c r="H61" i="18"/>
  <c r="I61" i="18" s="1"/>
  <c r="I63" i="29"/>
  <c r="D63" i="27"/>
  <c r="H62" i="27"/>
  <c r="G62" i="27"/>
  <c r="H60" i="39"/>
  <c r="I60" i="39" s="1"/>
  <c r="B61" i="22"/>
  <c r="H61" i="22"/>
  <c r="G61" i="22"/>
  <c r="I56" i="64"/>
  <c r="I59" i="74"/>
  <c r="I60" i="43"/>
  <c r="I53" i="88"/>
  <c r="D62" i="19"/>
  <c r="E62" i="19" s="1"/>
  <c r="D63" i="32"/>
  <c r="G62" i="32"/>
  <c r="H62" i="32"/>
  <c r="H60" i="21"/>
  <c r="D61" i="21"/>
  <c r="G60" i="21"/>
  <c r="D53" i="92"/>
  <c r="E53" i="92"/>
  <c r="H61" i="17"/>
  <c r="I61" i="17" s="1"/>
  <c r="E62" i="34"/>
  <c r="F62" i="34" s="1"/>
  <c r="B62" i="34"/>
  <c r="D58" i="57"/>
  <c r="E58" i="57" s="1"/>
  <c r="D61" i="41"/>
  <c r="E61" i="41" s="1"/>
  <c r="F61" i="41" s="1"/>
  <c r="G62" i="30"/>
  <c r="D63" i="30"/>
  <c r="I56" i="56"/>
  <c r="I61" i="3"/>
  <c r="H56" i="60"/>
  <c r="I56" i="60" s="1"/>
  <c r="B62" i="3"/>
  <c r="H62" i="3"/>
  <c r="G62" i="3"/>
  <c r="B60" i="74"/>
  <c r="G60" i="74"/>
  <c r="H60" i="74"/>
  <c r="F63" i="70"/>
  <c r="H63" i="70" s="1"/>
  <c r="B63" i="70"/>
  <c r="G65" i="28"/>
  <c r="D66" i="28"/>
  <c r="B56" i="68"/>
  <c r="F56" i="68"/>
  <c r="G56" i="68" s="1"/>
  <c r="D63" i="3"/>
  <c r="E63" i="3" s="1"/>
  <c r="F63" i="3" s="1"/>
  <c r="D64" i="3" s="1"/>
  <c r="B57" i="56"/>
  <c r="F57" i="56"/>
  <c r="D61" i="74"/>
  <c r="E61" i="74" s="1"/>
  <c r="F61" i="74" s="1"/>
  <c r="G60" i="73"/>
  <c r="I60" i="73" s="1"/>
  <c r="B64" i="71"/>
  <c r="H60" i="41"/>
  <c r="I60" i="41" s="1"/>
  <c r="H65" i="28"/>
  <c r="G54" i="77"/>
  <c r="I54" i="77" s="1"/>
  <c r="E55" i="77"/>
  <c r="D55" i="77"/>
  <c r="H52" i="92"/>
  <c r="B53" i="83"/>
  <c r="F53" i="83"/>
  <c r="G53" i="83" s="1"/>
  <c r="I64" i="28"/>
  <c r="E64" i="29"/>
  <c r="F64" i="29" s="1"/>
  <c r="B64" i="29"/>
  <c r="D62" i="17"/>
  <c r="E62" i="17" s="1"/>
  <c r="F62" i="17" s="1"/>
  <c r="B64" i="69"/>
  <c r="B59" i="45"/>
  <c r="F59" i="45"/>
  <c r="G59" i="45" s="1"/>
  <c r="F57" i="64"/>
  <c r="G57" i="64" s="1"/>
  <c r="B57" i="64"/>
  <c r="D58" i="54"/>
  <c r="E58" i="54"/>
  <c r="D57" i="60"/>
  <c r="E57" i="60"/>
  <c r="I51" i="13"/>
  <c r="H57" i="57"/>
  <c r="I57" i="57" s="1"/>
  <c r="E64" i="31"/>
  <c r="F64" i="31" s="1"/>
  <c r="B64" i="31"/>
  <c r="H54" i="79"/>
  <c r="I54" i="79" s="1"/>
  <c r="D55" i="79"/>
  <c r="E55" i="79"/>
  <c r="E64" i="71"/>
  <c r="F64" i="71" s="1"/>
  <c r="H62" i="30"/>
  <c r="E64" i="69"/>
  <c r="F64" i="69" s="1"/>
  <c r="G52" i="89"/>
  <c r="I52" i="89" s="1"/>
  <c r="E53" i="89"/>
  <c r="D53" i="89"/>
  <c r="G52" i="92"/>
  <c r="F54" i="88"/>
  <c r="G54" i="88" s="1"/>
  <c r="B54" i="88"/>
  <c r="B61" i="19"/>
  <c r="G61" i="19"/>
  <c r="H61" i="19"/>
  <c r="D55" i="78"/>
  <c r="E55" i="78"/>
  <c r="H57" i="54"/>
  <c r="I57" i="54" s="1"/>
  <c r="E57" i="63"/>
  <c r="D57" i="63"/>
  <c r="I62" i="70"/>
  <c r="F61" i="43"/>
  <c r="H61" i="43" s="1"/>
  <c r="B61" i="43"/>
  <c r="J141" i="30"/>
  <c r="J134" i="67"/>
  <c r="J142" i="28"/>
  <c r="J135" i="63"/>
  <c r="J139" i="34"/>
  <c r="J141" i="69"/>
  <c r="J136" i="53"/>
  <c r="J133" i="78"/>
  <c r="J141" i="70"/>
  <c r="J139" i="19"/>
  <c r="D61" i="73"/>
  <c r="B54" i="33"/>
  <c r="F54" i="33"/>
  <c r="G54" i="33" s="1"/>
  <c r="B60" i="20"/>
  <c r="F60" i="20"/>
  <c r="G60" i="20" s="1"/>
  <c r="J134" i="66"/>
  <c r="J136" i="58"/>
  <c r="J136" i="72"/>
  <c r="F56" i="62"/>
  <c r="G56" i="62" s="1"/>
  <c r="B56" i="62"/>
  <c r="D62" i="18"/>
  <c r="D57" i="59"/>
  <c r="E57" i="59"/>
  <c r="I52" i="26"/>
  <c r="J135" i="64"/>
  <c r="J135" i="61"/>
  <c r="H56" i="59"/>
  <c r="I56" i="59" s="1"/>
  <c r="I59" i="20"/>
  <c r="B52" i="13"/>
  <c r="F52" i="13"/>
  <c r="G52" i="13" s="1"/>
  <c r="B53" i="87"/>
  <c r="F53" i="87"/>
  <c r="F53" i="26"/>
  <c r="G53" i="26" s="1"/>
  <c r="B53" i="26"/>
  <c r="E138" i="72"/>
  <c r="G137" i="72"/>
  <c r="D138" i="72"/>
  <c r="H139" i="41"/>
  <c r="I139" i="41"/>
  <c r="H140" i="22"/>
  <c r="I140" i="22"/>
  <c r="J140" i="18"/>
  <c r="G132" i="92"/>
  <c r="D133" i="92"/>
  <c r="E133" i="92"/>
  <c r="I133" i="81"/>
  <c r="H133" i="81"/>
  <c r="E138" i="58"/>
  <c r="D138" i="58"/>
  <c r="G137" i="58"/>
  <c r="G142" i="27"/>
  <c r="D143" i="27"/>
  <c r="B143" i="27" s="1"/>
  <c r="G132" i="88"/>
  <c r="E133" i="88"/>
  <c r="D133" i="88"/>
  <c r="D138" i="53"/>
  <c r="G137" i="53"/>
  <c r="E138" i="53"/>
  <c r="J138" i="39"/>
  <c r="D140" i="43"/>
  <c r="E140" i="43"/>
  <c r="G139" i="43"/>
  <c r="E137" i="61"/>
  <c r="D137" i="61"/>
  <c r="G136" i="61"/>
  <c r="I138" i="45"/>
  <c r="H138" i="45"/>
  <c r="D141" i="19"/>
  <c r="E141" i="19" s="1"/>
  <c r="G140" i="19"/>
  <c r="G132" i="86"/>
  <c r="E133" i="86"/>
  <c r="D133" i="86"/>
  <c r="F140" i="41"/>
  <c r="B140" i="41"/>
  <c r="G135" i="66"/>
  <c r="D136" i="66"/>
  <c r="E136" i="66"/>
  <c r="E137" i="64"/>
  <c r="G136" i="64"/>
  <c r="D137" i="64"/>
  <c r="I132" i="91"/>
  <c r="H132" i="91"/>
  <c r="J136" i="46"/>
  <c r="F133" i="89"/>
  <c r="B133" i="89"/>
  <c r="G140" i="20"/>
  <c r="D141" i="20"/>
  <c r="E141" i="20" s="1"/>
  <c r="G134" i="79"/>
  <c r="E135" i="79"/>
  <c r="D135" i="79"/>
  <c r="D133" i="84"/>
  <c r="G132" i="84"/>
  <c r="E133" i="84"/>
  <c r="H139" i="73"/>
  <c r="I139" i="73"/>
  <c r="J140" i="32"/>
  <c r="J134" i="68"/>
  <c r="E140" i="39"/>
  <c r="G139" i="39"/>
  <c r="D140" i="39"/>
  <c r="E135" i="78"/>
  <c r="G134" i="78"/>
  <c r="D135" i="78"/>
  <c r="G136" i="63"/>
  <c r="E137" i="63"/>
  <c r="D137" i="63"/>
  <c r="G132" i="90"/>
  <c r="D133" i="90"/>
  <c r="E133" i="90"/>
  <c r="G136" i="60"/>
  <c r="D137" i="60"/>
  <c r="E137" i="60"/>
  <c r="J141" i="27"/>
  <c r="J141" i="29"/>
  <c r="G138" i="74"/>
  <c r="D139" i="74"/>
  <c r="E139" i="74"/>
  <c r="D143" i="30"/>
  <c r="G142" i="30"/>
  <c r="F141" i="22"/>
  <c r="B141" i="22"/>
  <c r="J140" i="31"/>
  <c r="J138" i="43"/>
  <c r="J135" i="60"/>
  <c r="J133" i="79"/>
  <c r="D143" i="70"/>
  <c r="G142" i="70"/>
  <c r="E143" i="70"/>
  <c r="D134" i="85"/>
  <c r="E134" i="85"/>
  <c r="G133" i="85"/>
  <c r="D136" i="68"/>
  <c r="G135" i="68"/>
  <c r="E136" i="68"/>
  <c r="H136" i="62"/>
  <c r="I136" i="62"/>
  <c r="D141" i="34"/>
  <c r="E141" i="34" s="1"/>
  <c r="G140" i="34"/>
  <c r="H132" i="89"/>
  <c r="I132" i="89"/>
  <c r="D143" i="69"/>
  <c r="E143" i="69"/>
  <c r="G142" i="69"/>
  <c r="B134" i="81"/>
  <c r="F134" i="81"/>
  <c r="E138" i="46"/>
  <c r="G137" i="46"/>
  <c r="D138" i="46"/>
  <c r="F140" i="73"/>
  <c r="B140" i="73"/>
  <c r="J135" i="65"/>
  <c r="J137" i="74"/>
  <c r="F139" i="45"/>
  <c r="B139" i="45"/>
  <c r="G141" i="31"/>
  <c r="D142" i="31"/>
  <c r="E142" i="31" s="1"/>
  <c r="B137" i="62"/>
  <c r="F137" i="62"/>
  <c r="D142" i="32"/>
  <c r="E142" i="32" s="1"/>
  <c r="G141" i="32"/>
  <c r="D137" i="65"/>
  <c r="G136" i="65"/>
  <c r="E137" i="65"/>
  <c r="B133" i="91"/>
  <c r="F133" i="91"/>
  <c r="J139" i="20"/>
  <c r="D143" i="29"/>
  <c r="E143" i="29" s="1"/>
  <c r="G142" i="29"/>
  <c r="G142" i="23"/>
  <c r="D143" i="23"/>
  <c r="E143" i="23" s="1"/>
  <c r="J141" i="71"/>
  <c r="D138" i="59"/>
  <c r="E138" i="59"/>
  <c r="G137" i="59"/>
  <c r="G141" i="18"/>
  <c r="D142" i="18"/>
  <c r="E142" i="18" s="1"/>
  <c r="J141" i="23"/>
  <c r="F139" i="56"/>
  <c r="B139" i="56"/>
  <c r="J136" i="59"/>
  <c r="H138" i="56"/>
  <c r="I138" i="56"/>
  <c r="J140" i="17"/>
  <c r="J137" i="57"/>
  <c r="E139" i="57"/>
  <c r="G138" i="57"/>
  <c r="D139" i="57"/>
  <c r="G142" i="71"/>
  <c r="D143" i="71"/>
  <c r="E143" i="71"/>
  <c r="G133" i="95"/>
  <c r="D134" i="95"/>
  <c r="G132" i="96"/>
  <c r="D133" i="96"/>
  <c r="B142" i="24"/>
  <c r="F142" i="24"/>
  <c r="F140" i="42"/>
  <c r="B140" i="42"/>
  <c r="I134" i="77"/>
  <c r="H134" i="77"/>
  <c r="J138" i="44"/>
  <c r="F134" i="80"/>
  <c r="B134" i="80"/>
  <c r="H132" i="25"/>
  <c r="I132" i="25"/>
  <c r="F135" i="75"/>
  <c r="B135" i="75"/>
  <c r="G133" i="94"/>
  <c r="D134" i="94"/>
  <c r="E134" i="94" s="1"/>
  <c r="D136" i="67"/>
  <c r="G135" i="67"/>
  <c r="E136" i="67"/>
  <c r="H137" i="54"/>
  <c r="I137" i="54"/>
  <c r="H141" i="24"/>
  <c r="I141" i="24"/>
  <c r="I139" i="42"/>
  <c r="H139" i="42"/>
  <c r="B132" i="13"/>
  <c r="F132" i="13"/>
  <c r="B134" i="83"/>
  <c r="F134" i="83"/>
  <c r="F132" i="33"/>
  <c r="B132" i="33"/>
  <c r="I133" i="80"/>
  <c r="H133" i="80"/>
  <c r="I134" i="76"/>
  <c r="H134" i="76"/>
  <c r="G141" i="17"/>
  <c r="D142" i="17"/>
  <c r="E142" i="17" s="1"/>
  <c r="H132" i="93"/>
  <c r="I132" i="93"/>
  <c r="G133" i="82"/>
  <c r="D134" i="82"/>
  <c r="E134" i="82"/>
  <c r="F138" i="54"/>
  <c r="B138" i="54"/>
  <c r="D133" i="87"/>
  <c r="G132" i="87"/>
  <c r="E133" i="87"/>
  <c r="D141" i="3"/>
  <c r="E141" i="3" s="1"/>
  <c r="G140" i="3"/>
  <c r="B135" i="77"/>
  <c r="F135" i="77"/>
  <c r="H133" i="83"/>
  <c r="I133" i="83"/>
  <c r="J139" i="3"/>
  <c r="H137" i="55"/>
  <c r="I137" i="55"/>
  <c r="G143" i="28"/>
  <c r="D144" i="28"/>
  <c r="E144" i="28" s="1"/>
  <c r="H140" i="21"/>
  <c r="I140" i="21"/>
  <c r="B133" i="25"/>
  <c r="H134" i="75"/>
  <c r="I134" i="75"/>
  <c r="I131" i="13"/>
  <c r="H131" i="13"/>
  <c r="G139" i="44"/>
  <c r="D140" i="44"/>
  <c r="E140" i="44"/>
  <c r="B138" i="55"/>
  <c r="F138" i="55"/>
  <c r="H131" i="33"/>
  <c r="I131" i="33"/>
  <c r="B135" i="76"/>
  <c r="F135" i="76"/>
  <c r="F141" i="21"/>
  <c r="B141" i="21"/>
  <c r="E133" i="25"/>
  <c r="F133" i="25" s="1"/>
  <c r="B133" i="93"/>
  <c r="F133" i="93"/>
  <c r="F67" i="97" l="1"/>
  <c r="D68" i="97" s="1"/>
  <c r="E68" i="97" s="1"/>
  <c r="F68" i="97" s="1"/>
  <c r="E61" i="99"/>
  <c r="F61" i="99"/>
  <c r="D62" i="99" s="1"/>
  <c r="B61" i="99"/>
  <c r="H60" i="99"/>
  <c r="G60" i="99"/>
  <c r="B67" i="97"/>
  <c r="G67" i="97"/>
  <c r="H67" i="97"/>
  <c r="B53" i="98"/>
  <c r="F53" i="98"/>
  <c r="G53" i="98" s="1"/>
  <c r="J132" i="26"/>
  <c r="G61" i="43"/>
  <c r="I61" i="43" s="1"/>
  <c r="I65" i="28"/>
  <c r="G133" i="26"/>
  <c r="D134" i="26"/>
  <c r="G132" i="99"/>
  <c r="E133" i="99"/>
  <c r="D133" i="99"/>
  <c r="I59" i="55"/>
  <c r="I63" i="31"/>
  <c r="B133" i="97"/>
  <c r="F133" i="97"/>
  <c r="H132" i="98"/>
  <c r="I132" i="98"/>
  <c r="I132" i="97"/>
  <c r="H132" i="97"/>
  <c r="F133" i="98"/>
  <c r="B133" i="98"/>
  <c r="I54" i="80"/>
  <c r="B57" i="67"/>
  <c r="F57" i="67"/>
  <c r="H57" i="67" s="1"/>
  <c r="H56" i="65"/>
  <c r="I56" i="65" s="1"/>
  <c r="E59" i="46"/>
  <c r="F59" i="46" s="1"/>
  <c r="G59" i="46" s="1"/>
  <c r="B59" i="46"/>
  <c r="B58" i="46"/>
  <c r="H58" i="46"/>
  <c r="G58" i="46"/>
  <c r="D63" i="24"/>
  <c r="E63" i="24" s="1"/>
  <c r="F63" i="24" s="1"/>
  <c r="B62" i="24"/>
  <c r="H62" i="24"/>
  <c r="G62" i="24"/>
  <c r="I62" i="23"/>
  <c r="F52" i="93"/>
  <c r="G52" i="93" s="1"/>
  <c r="B52" i="93"/>
  <c r="B53" i="94"/>
  <c r="F53" i="94"/>
  <c r="G53" i="94" s="1"/>
  <c r="F55" i="80"/>
  <c r="G55" i="80" s="1"/>
  <c r="B55" i="80"/>
  <c r="I61" i="22"/>
  <c r="H53" i="25"/>
  <c r="D54" i="25"/>
  <c r="G53" i="25"/>
  <c r="H55" i="82"/>
  <c r="I55" i="82" s="1"/>
  <c r="E56" i="82"/>
  <c r="D56" i="82"/>
  <c r="G54" i="86"/>
  <c r="D55" i="86"/>
  <c r="H54" i="86"/>
  <c r="E55" i="86"/>
  <c r="F54" i="91"/>
  <c r="G54" i="91" s="1"/>
  <c r="B54" i="91"/>
  <c r="I53" i="91"/>
  <c r="D56" i="75"/>
  <c r="E56" i="75"/>
  <c r="F55" i="90"/>
  <c r="G55" i="90" s="1"/>
  <c r="B55" i="90"/>
  <c r="H60" i="55"/>
  <c r="D61" i="55"/>
  <c r="B62" i="42"/>
  <c r="D60" i="58"/>
  <c r="E60" i="58" s="1"/>
  <c r="F60" i="58" s="1"/>
  <c r="G59" i="58"/>
  <c r="H59" i="58"/>
  <c r="H63" i="23"/>
  <c r="D64" i="23"/>
  <c r="H55" i="75"/>
  <c r="E58" i="53"/>
  <c r="F58" i="53" s="1"/>
  <c r="B58" i="53"/>
  <c r="F57" i="66"/>
  <c r="G57" i="66" s="1"/>
  <c r="B57" i="66"/>
  <c r="E62" i="42"/>
  <c r="F62" i="42" s="1"/>
  <c r="D63" i="42" s="1"/>
  <c r="G55" i="75"/>
  <c r="B54" i="84"/>
  <c r="F54" i="84"/>
  <c r="I61" i="42"/>
  <c r="G60" i="55"/>
  <c r="G63" i="23"/>
  <c r="D57" i="65"/>
  <c r="E57" i="65"/>
  <c r="D63" i="34"/>
  <c r="H62" i="34"/>
  <c r="E53" i="95"/>
  <c r="D53" i="95"/>
  <c r="I62" i="27"/>
  <c r="B61" i="39"/>
  <c r="H52" i="95"/>
  <c r="B60" i="44"/>
  <c r="D55" i="85"/>
  <c r="E55" i="85"/>
  <c r="H54" i="88"/>
  <c r="I54" i="88" s="1"/>
  <c r="E63" i="27"/>
  <c r="F63" i="27" s="1"/>
  <c r="B63" i="27"/>
  <c r="E61" i="39"/>
  <c r="F61" i="39" s="1"/>
  <c r="H61" i="39" s="1"/>
  <c r="G52" i="95"/>
  <c r="E60" i="44"/>
  <c r="F60" i="44" s="1"/>
  <c r="B62" i="22"/>
  <c r="D59" i="72"/>
  <c r="E62" i="22"/>
  <c r="F62" i="22" s="1"/>
  <c r="F54" i="81"/>
  <c r="B54" i="81"/>
  <c r="B57" i="61"/>
  <c r="F57" i="61"/>
  <c r="G57" i="61" s="1"/>
  <c r="H54" i="85"/>
  <c r="I54" i="85" s="1"/>
  <c r="F55" i="76"/>
  <c r="G55" i="76" s="1"/>
  <c r="B55" i="76"/>
  <c r="H58" i="72"/>
  <c r="I58" i="72" s="1"/>
  <c r="B52" i="96"/>
  <c r="F52" i="96"/>
  <c r="H52" i="96" s="1"/>
  <c r="I62" i="3"/>
  <c r="I61" i="19"/>
  <c r="I60" i="74"/>
  <c r="I62" i="32"/>
  <c r="G64" i="69"/>
  <c r="D65" i="69"/>
  <c r="E65" i="69" s="1"/>
  <c r="H64" i="69"/>
  <c r="D65" i="71"/>
  <c r="G64" i="71"/>
  <c r="H64" i="71"/>
  <c r="D65" i="29"/>
  <c r="E65" i="29" s="1"/>
  <c r="F65" i="29" s="1"/>
  <c r="D66" i="29" s="1"/>
  <c r="F53" i="92"/>
  <c r="G53" i="92" s="1"/>
  <c r="B53" i="92"/>
  <c r="B57" i="63"/>
  <c r="F57" i="63"/>
  <c r="H57" i="63" s="1"/>
  <c r="B53" i="89"/>
  <c r="F53" i="89"/>
  <c r="H53" i="89" s="1"/>
  <c r="G64" i="29"/>
  <c r="B63" i="3"/>
  <c r="G63" i="3"/>
  <c r="H63" i="3"/>
  <c r="D64" i="70"/>
  <c r="E64" i="70" s="1"/>
  <c r="F64" i="70" s="1"/>
  <c r="D65" i="70" s="1"/>
  <c r="B58" i="57"/>
  <c r="F58" i="57"/>
  <c r="H58" i="57" s="1"/>
  <c r="F62" i="19"/>
  <c r="G62" i="19" s="1"/>
  <c r="B62" i="19"/>
  <c r="D58" i="56"/>
  <c r="E58" i="56" s="1"/>
  <c r="D55" i="88"/>
  <c r="E55" i="88"/>
  <c r="I62" i="30"/>
  <c r="H64" i="31"/>
  <c r="G64" i="31"/>
  <c r="D65" i="31"/>
  <c r="F58" i="54"/>
  <c r="H58" i="54" s="1"/>
  <c r="B58" i="54"/>
  <c r="D58" i="64"/>
  <c r="E58" i="64" s="1"/>
  <c r="D63" i="17"/>
  <c r="E63" i="17" s="1"/>
  <c r="F63" i="17" s="1"/>
  <c r="D64" i="17" s="1"/>
  <c r="H64" i="29"/>
  <c r="D54" i="83"/>
  <c r="E54" i="83"/>
  <c r="I52" i="92"/>
  <c r="D62" i="74"/>
  <c r="H57" i="56"/>
  <c r="E66" i="28"/>
  <c r="F66" i="28" s="1"/>
  <c r="D67" i="28" s="1"/>
  <c r="B66" i="28"/>
  <c r="D62" i="41"/>
  <c r="E62" i="41" s="1"/>
  <c r="G62" i="34"/>
  <c r="E61" i="21"/>
  <c r="F61" i="21" s="1"/>
  <c r="B61" i="21"/>
  <c r="E63" i="32"/>
  <c r="F63" i="32" s="1"/>
  <c r="G63" i="32" s="1"/>
  <c r="B63" i="32"/>
  <c r="B57" i="60"/>
  <c r="F57" i="60"/>
  <c r="G57" i="60" s="1"/>
  <c r="D60" i="45"/>
  <c r="E64" i="3"/>
  <c r="F64" i="3" s="1"/>
  <c r="B64" i="3"/>
  <c r="E63" i="30"/>
  <c r="F63" i="30" s="1"/>
  <c r="B63" i="30"/>
  <c r="H52" i="13"/>
  <c r="I52" i="13" s="1"/>
  <c r="H56" i="62"/>
  <c r="I56" i="62" s="1"/>
  <c r="D62" i="43"/>
  <c r="E62" i="43" s="1"/>
  <c r="F55" i="78"/>
  <c r="G55" i="78" s="1"/>
  <c r="B55" i="78"/>
  <c r="B55" i="79"/>
  <c r="F55" i="79"/>
  <c r="G55" i="79" s="1"/>
  <c r="H57" i="64"/>
  <c r="I57" i="64" s="1"/>
  <c r="H59" i="45"/>
  <c r="I59" i="45" s="1"/>
  <c r="B62" i="17"/>
  <c r="C71" i="17"/>
  <c r="H62" i="17"/>
  <c r="G62" i="17"/>
  <c r="H53" i="83"/>
  <c r="I53" i="83" s="1"/>
  <c r="F55" i="77"/>
  <c r="H55" i="77" s="1"/>
  <c r="B55" i="77"/>
  <c r="B61" i="74"/>
  <c r="H61" i="74"/>
  <c r="G61" i="74"/>
  <c r="G57" i="56"/>
  <c r="H56" i="68"/>
  <c r="I56" i="68" s="1"/>
  <c r="E57" i="68"/>
  <c r="D57" i="68"/>
  <c r="G63" i="70"/>
  <c r="I63" i="70" s="1"/>
  <c r="B61" i="41"/>
  <c r="H61" i="41"/>
  <c r="G61" i="41"/>
  <c r="I60" i="21"/>
  <c r="J141" i="24"/>
  <c r="E143" i="27"/>
  <c r="F143" i="27" s="1"/>
  <c r="J140" i="22"/>
  <c r="J140" i="21"/>
  <c r="J138" i="56"/>
  <c r="J139" i="73"/>
  <c r="E54" i="87"/>
  <c r="D54" i="87"/>
  <c r="B62" i="18"/>
  <c r="D61" i="20"/>
  <c r="H54" i="33"/>
  <c r="I54" i="33" s="1"/>
  <c r="B57" i="59"/>
  <c r="F57" i="59"/>
  <c r="H57" i="59" s="1"/>
  <c r="D54" i="26"/>
  <c r="E54" i="26" s="1"/>
  <c r="G53" i="87"/>
  <c r="D53" i="13"/>
  <c r="E53" i="13" s="1"/>
  <c r="E62" i="18"/>
  <c r="F62" i="18" s="1"/>
  <c r="H60" i="20"/>
  <c r="I60" i="20" s="1"/>
  <c r="B61" i="73"/>
  <c r="J134" i="76"/>
  <c r="H53" i="26"/>
  <c r="I53" i="26" s="1"/>
  <c r="H53" i="87"/>
  <c r="D57" i="62"/>
  <c r="E57" i="62"/>
  <c r="E61" i="73"/>
  <c r="F61" i="73" s="1"/>
  <c r="D55" i="33"/>
  <c r="E55" i="33" s="1"/>
  <c r="F137" i="60"/>
  <c r="B137" i="60"/>
  <c r="I132" i="90"/>
  <c r="H132" i="90"/>
  <c r="H139" i="39"/>
  <c r="I139" i="39"/>
  <c r="F137" i="64"/>
  <c r="B137" i="64"/>
  <c r="I141" i="32"/>
  <c r="H141" i="32"/>
  <c r="D140" i="45"/>
  <c r="E140" i="45"/>
  <c r="G139" i="45"/>
  <c r="G140" i="73"/>
  <c r="E141" i="73"/>
  <c r="D141" i="73"/>
  <c r="D135" i="81"/>
  <c r="E135" i="81"/>
  <c r="G134" i="81"/>
  <c r="B143" i="69"/>
  <c r="F143" i="69"/>
  <c r="F143" i="70"/>
  <c r="B143" i="70"/>
  <c r="E143" i="30"/>
  <c r="F143" i="30" s="1"/>
  <c r="B143" i="30"/>
  <c r="I136" i="60"/>
  <c r="H136" i="60"/>
  <c r="B137" i="63"/>
  <c r="F137" i="63"/>
  <c r="H134" i="78"/>
  <c r="I134" i="78"/>
  <c r="B135" i="79"/>
  <c r="F135" i="79"/>
  <c r="F141" i="20"/>
  <c r="B141" i="20"/>
  <c r="I136" i="64"/>
  <c r="H136" i="64"/>
  <c r="H135" i="66"/>
  <c r="I135" i="66"/>
  <c r="F141" i="19"/>
  <c r="B141" i="19"/>
  <c r="F137" i="61"/>
  <c r="B137" i="61"/>
  <c r="F140" i="43"/>
  <c r="B140" i="43"/>
  <c r="B138" i="53"/>
  <c r="F138" i="53"/>
  <c r="F138" i="58"/>
  <c r="B138" i="58"/>
  <c r="B138" i="72"/>
  <c r="F138" i="72"/>
  <c r="F143" i="29"/>
  <c r="B143" i="29"/>
  <c r="H142" i="70"/>
  <c r="I142" i="70"/>
  <c r="F135" i="78"/>
  <c r="B135" i="78"/>
  <c r="B136" i="66"/>
  <c r="F136" i="66"/>
  <c r="I132" i="88"/>
  <c r="H132" i="88"/>
  <c r="H136" i="65"/>
  <c r="I136" i="65"/>
  <c r="F142" i="32"/>
  <c r="B142" i="32"/>
  <c r="B142" i="31"/>
  <c r="F142" i="31"/>
  <c r="B138" i="46"/>
  <c r="F138" i="46"/>
  <c r="F141" i="34"/>
  <c r="B141" i="34"/>
  <c r="H135" i="68"/>
  <c r="I135" i="68"/>
  <c r="B134" i="85"/>
  <c r="F134" i="85"/>
  <c r="H140" i="20"/>
  <c r="I140" i="20"/>
  <c r="H132" i="86"/>
  <c r="I132" i="86"/>
  <c r="B133" i="88"/>
  <c r="F133" i="88"/>
  <c r="B133" i="92"/>
  <c r="F133" i="92"/>
  <c r="I137" i="72"/>
  <c r="H137" i="72"/>
  <c r="I140" i="34"/>
  <c r="H140" i="34"/>
  <c r="H133" i="85"/>
  <c r="I133" i="85"/>
  <c r="H142" i="30"/>
  <c r="I142" i="30"/>
  <c r="H138" i="74"/>
  <c r="I138" i="74"/>
  <c r="F133" i="84"/>
  <c r="B133" i="84"/>
  <c r="E134" i="89"/>
  <c r="D134" i="89"/>
  <c r="G133" i="89"/>
  <c r="B133" i="86"/>
  <c r="F133" i="86"/>
  <c r="H136" i="61"/>
  <c r="I136" i="61"/>
  <c r="I137" i="53"/>
  <c r="H137" i="53"/>
  <c r="I137" i="58"/>
  <c r="H137" i="58"/>
  <c r="I142" i="29"/>
  <c r="H142" i="29"/>
  <c r="E134" i="91"/>
  <c r="G133" i="91"/>
  <c r="D134" i="91"/>
  <c r="F137" i="65"/>
  <c r="B137" i="65"/>
  <c r="D138" i="62"/>
  <c r="G137" i="62"/>
  <c r="E138" i="62"/>
  <c r="H141" i="31"/>
  <c r="I141" i="31"/>
  <c r="H137" i="46"/>
  <c r="I137" i="46"/>
  <c r="I142" i="69"/>
  <c r="H142" i="69"/>
  <c r="J136" i="62"/>
  <c r="F136" i="68"/>
  <c r="B136" i="68"/>
  <c r="D142" i="22"/>
  <c r="E142" i="22" s="1"/>
  <c r="G141" i="22"/>
  <c r="B139" i="74"/>
  <c r="F139" i="74"/>
  <c r="F133" i="90"/>
  <c r="B133" i="90"/>
  <c r="I136" i="63"/>
  <c r="H136" i="63"/>
  <c r="B140" i="39"/>
  <c r="F140" i="39"/>
  <c r="I132" i="84"/>
  <c r="H132" i="84"/>
  <c r="H134" i="79"/>
  <c r="I134" i="79"/>
  <c r="G140" i="41"/>
  <c r="D141" i="41"/>
  <c r="E141" i="41" s="1"/>
  <c r="I140" i="19"/>
  <c r="H140" i="19"/>
  <c r="J138" i="45"/>
  <c r="H139" i="43"/>
  <c r="I139" i="43"/>
  <c r="I142" i="27"/>
  <c r="H142" i="27"/>
  <c r="I132" i="92"/>
  <c r="H132" i="92"/>
  <c r="J139" i="41"/>
  <c r="I141" i="18"/>
  <c r="H141" i="18"/>
  <c r="F138" i="59"/>
  <c r="B138" i="59"/>
  <c r="J137" i="55"/>
  <c r="H137" i="59"/>
  <c r="I137" i="59"/>
  <c r="B143" i="23"/>
  <c r="F143" i="23"/>
  <c r="D140" i="56"/>
  <c r="G139" i="56"/>
  <c r="E140" i="56"/>
  <c r="F142" i="18"/>
  <c r="B142" i="18"/>
  <c r="I142" i="23"/>
  <c r="H142" i="23"/>
  <c r="J137" i="54"/>
  <c r="I142" i="71"/>
  <c r="H142" i="71"/>
  <c r="F139" i="57"/>
  <c r="B139" i="57"/>
  <c r="I138" i="57"/>
  <c r="H138" i="57"/>
  <c r="J134" i="77"/>
  <c r="F143" i="71"/>
  <c r="B143" i="71"/>
  <c r="G133" i="25"/>
  <c r="D134" i="25"/>
  <c r="E136" i="76"/>
  <c r="D136" i="76"/>
  <c r="G135" i="76"/>
  <c r="E139" i="55"/>
  <c r="D139" i="55"/>
  <c r="G138" i="55"/>
  <c r="J134" i="75"/>
  <c r="B144" i="28"/>
  <c r="F144" i="28"/>
  <c r="G138" i="54"/>
  <c r="E139" i="54"/>
  <c r="D139" i="54"/>
  <c r="F142" i="17"/>
  <c r="B142" i="17"/>
  <c r="D135" i="80"/>
  <c r="E135" i="80"/>
  <c r="G134" i="80"/>
  <c r="B133" i="96"/>
  <c r="F140" i="44"/>
  <c r="B140" i="44"/>
  <c r="I143" i="28"/>
  <c r="H143" i="28"/>
  <c r="D136" i="77"/>
  <c r="G135" i="77"/>
  <c r="E136" i="77"/>
  <c r="I132" i="87"/>
  <c r="H132" i="87"/>
  <c r="F134" i="82"/>
  <c r="B134" i="82"/>
  <c r="H141" i="17"/>
  <c r="I141" i="17"/>
  <c r="G132" i="33"/>
  <c r="D133" i="33"/>
  <c r="E133" i="33" s="1"/>
  <c r="E136" i="75"/>
  <c r="G135" i="75"/>
  <c r="D136" i="75"/>
  <c r="H132" i="96"/>
  <c r="I132" i="96"/>
  <c r="B134" i="95"/>
  <c r="J131" i="33"/>
  <c r="H139" i="44"/>
  <c r="I139" i="44"/>
  <c r="H140" i="3"/>
  <c r="I140" i="3"/>
  <c r="B133" i="87"/>
  <c r="F133" i="87"/>
  <c r="H133" i="82"/>
  <c r="I133" i="82"/>
  <c r="J139" i="42"/>
  <c r="I135" i="67"/>
  <c r="H135" i="67"/>
  <c r="F134" i="94"/>
  <c r="B134" i="94"/>
  <c r="J132" i="25"/>
  <c r="G140" i="42"/>
  <c r="D141" i="42"/>
  <c r="E141" i="42" s="1"/>
  <c r="H133" i="95"/>
  <c r="I133" i="95"/>
  <c r="G133" i="93"/>
  <c r="D134" i="93"/>
  <c r="E142" i="21"/>
  <c r="G141" i="21"/>
  <c r="D142" i="21"/>
  <c r="B141" i="3"/>
  <c r="F141" i="3"/>
  <c r="E135" i="83"/>
  <c r="D135" i="83"/>
  <c r="G134" i="83"/>
  <c r="D133" i="13"/>
  <c r="E133" i="13" s="1"/>
  <c r="G132" i="13"/>
  <c r="F136" i="67"/>
  <c r="B136" i="67"/>
  <c r="H133" i="94"/>
  <c r="I133" i="94"/>
  <c r="G142" i="24"/>
  <c r="D143" i="24"/>
  <c r="E133" i="96"/>
  <c r="F133" i="96" s="1"/>
  <c r="E134" i="95"/>
  <c r="F134" i="95" s="1"/>
  <c r="I67" i="97" l="1"/>
  <c r="B68" i="97"/>
  <c r="H53" i="98"/>
  <c r="I53" i="98"/>
  <c r="G61" i="99"/>
  <c r="D69" i="97"/>
  <c r="E69" i="97" s="1"/>
  <c r="G68" i="97"/>
  <c r="H68" i="97"/>
  <c r="I60" i="99"/>
  <c r="E62" i="99"/>
  <c r="F62" i="99" s="1"/>
  <c r="D63" i="99" s="1"/>
  <c r="B62" i="99"/>
  <c r="D54" i="98"/>
  <c r="E54" i="98"/>
  <c r="H61" i="99"/>
  <c r="I61" i="99" s="1"/>
  <c r="I63" i="23"/>
  <c r="H53" i="94"/>
  <c r="I62" i="34"/>
  <c r="B134" i="26"/>
  <c r="E134" i="26"/>
  <c r="F134" i="26" s="1"/>
  <c r="I133" i="26"/>
  <c r="H133" i="26"/>
  <c r="B133" i="99"/>
  <c r="F133" i="99"/>
  <c r="H132" i="99"/>
  <c r="I132" i="99"/>
  <c r="H52" i="93"/>
  <c r="I52" i="93" s="1"/>
  <c r="I58" i="46"/>
  <c r="I62" i="24"/>
  <c r="G133" i="98"/>
  <c r="D134" i="98"/>
  <c r="E134" i="98"/>
  <c r="D134" i="97"/>
  <c r="E134" i="97" s="1"/>
  <c r="G133" i="97"/>
  <c r="G143" i="27"/>
  <c r="H143" i="27" s="1"/>
  <c r="D144" i="27"/>
  <c r="B144" i="27" s="1"/>
  <c r="I53" i="94"/>
  <c r="I54" i="86"/>
  <c r="G57" i="67"/>
  <c r="I57" i="67" s="1"/>
  <c r="D58" i="67"/>
  <c r="H57" i="60"/>
  <c r="I57" i="60" s="1"/>
  <c r="D60" i="46"/>
  <c r="E60" i="46" s="1"/>
  <c r="F60" i="46" s="1"/>
  <c r="H59" i="46"/>
  <c r="I59" i="46" s="1"/>
  <c r="D64" i="24"/>
  <c r="B64" i="24" s="1"/>
  <c r="B63" i="24"/>
  <c r="G63" i="24"/>
  <c r="H63" i="24"/>
  <c r="H57" i="66"/>
  <c r="I57" i="66" s="1"/>
  <c r="F56" i="82"/>
  <c r="G56" i="82" s="1"/>
  <c r="B56" i="82"/>
  <c r="E54" i="25"/>
  <c r="F54" i="25" s="1"/>
  <c r="B54" i="25"/>
  <c r="B55" i="86"/>
  <c r="F55" i="86"/>
  <c r="I53" i="25"/>
  <c r="E56" i="80"/>
  <c r="D56" i="80"/>
  <c r="D54" i="94"/>
  <c r="E54" i="94"/>
  <c r="G57" i="59"/>
  <c r="I57" i="59" s="1"/>
  <c r="H55" i="79"/>
  <c r="I55" i="79" s="1"/>
  <c r="H55" i="80"/>
  <c r="I55" i="80" s="1"/>
  <c r="D53" i="93"/>
  <c r="E53" i="93"/>
  <c r="G58" i="53"/>
  <c r="D59" i="53"/>
  <c r="E59" i="53" s="1"/>
  <c r="H58" i="53"/>
  <c r="D61" i="58"/>
  <c r="B61" i="58" s="1"/>
  <c r="H62" i="42"/>
  <c r="E61" i="55"/>
  <c r="F61" i="55" s="1"/>
  <c r="B61" i="55"/>
  <c r="H55" i="90"/>
  <c r="I55" i="90" s="1"/>
  <c r="D56" i="90"/>
  <c r="E56" i="90"/>
  <c r="G55" i="77"/>
  <c r="I55" i="77" s="1"/>
  <c r="G58" i="57"/>
  <c r="I58" i="57" s="1"/>
  <c r="I55" i="75"/>
  <c r="I59" i="58"/>
  <c r="G62" i="42"/>
  <c r="I60" i="55"/>
  <c r="G54" i="84"/>
  <c r="D55" i="84"/>
  <c r="E55" i="84"/>
  <c r="B60" i="58"/>
  <c r="H60" i="58"/>
  <c r="G60" i="58"/>
  <c r="I64" i="29"/>
  <c r="F57" i="65"/>
  <c r="D58" i="65" s="1"/>
  <c r="B57" i="65"/>
  <c r="H54" i="84"/>
  <c r="E63" i="42"/>
  <c r="F63" i="42" s="1"/>
  <c r="G63" i="42" s="1"/>
  <c r="B63" i="42"/>
  <c r="E58" i="66"/>
  <c r="D58" i="66"/>
  <c r="E64" i="23"/>
  <c r="F64" i="23" s="1"/>
  <c r="B64" i="23"/>
  <c r="B56" i="75"/>
  <c r="F56" i="75"/>
  <c r="G56" i="75" s="1"/>
  <c r="H54" i="91"/>
  <c r="I54" i="91" s="1"/>
  <c r="E55" i="91"/>
  <c r="D55" i="91"/>
  <c r="D61" i="44"/>
  <c r="E61" i="44" s="1"/>
  <c r="H60" i="44"/>
  <c r="G60" i="44"/>
  <c r="G53" i="89"/>
  <c r="I53" i="89" s="1"/>
  <c r="H55" i="76"/>
  <c r="I55" i="76" s="1"/>
  <c r="E56" i="76"/>
  <c r="D56" i="76"/>
  <c r="D63" i="22"/>
  <c r="E63" i="22" s="1"/>
  <c r="F63" i="22" s="1"/>
  <c r="G62" i="22"/>
  <c r="F55" i="85"/>
  <c r="H55" i="85" s="1"/>
  <c r="B55" i="85"/>
  <c r="G61" i="39"/>
  <c r="I61" i="39" s="1"/>
  <c r="D62" i="39"/>
  <c r="E62" i="39" s="1"/>
  <c r="H54" i="81"/>
  <c r="D55" i="81"/>
  <c r="E55" i="81"/>
  <c r="G57" i="63"/>
  <c r="I57" i="63" s="1"/>
  <c r="G54" i="81"/>
  <c r="H62" i="22"/>
  <c r="I52" i="95"/>
  <c r="B59" i="72"/>
  <c r="B53" i="95"/>
  <c r="F53" i="95"/>
  <c r="H53" i="95" s="1"/>
  <c r="I63" i="3"/>
  <c r="I64" i="71"/>
  <c r="G52" i="96"/>
  <c r="I52" i="96" s="1"/>
  <c r="D53" i="96"/>
  <c r="E53" i="96"/>
  <c r="H57" i="61"/>
  <c r="I57" i="61" s="1"/>
  <c r="D58" i="61"/>
  <c r="E58" i="61" s="1"/>
  <c r="E59" i="72"/>
  <c r="F59" i="72" s="1"/>
  <c r="H63" i="27"/>
  <c r="D64" i="27"/>
  <c r="G63" i="27"/>
  <c r="E63" i="34"/>
  <c r="F63" i="34" s="1"/>
  <c r="B63" i="34"/>
  <c r="I53" i="87"/>
  <c r="I61" i="41"/>
  <c r="I61" i="74"/>
  <c r="I62" i="17"/>
  <c r="I64" i="31"/>
  <c r="I64" i="69"/>
  <c r="D64" i="30"/>
  <c r="E64" i="30" s="1"/>
  <c r="H63" i="30"/>
  <c r="G63" i="30"/>
  <c r="D62" i="21"/>
  <c r="H61" i="21"/>
  <c r="G61" i="21"/>
  <c r="E64" i="17"/>
  <c r="F64" i="17" s="1"/>
  <c r="B64" i="17"/>
  <c r="B60" i="45"/>
  <c r="E67" i="28"/>
  <c r="F67" i="28" s="1"/>
  <c r="B67" i="28"/>
  <c r="E65" i="31"/>
  <c r="F65" i="31" s="1"/>
  <c r="B65" i="31"/>
  <c r="E56" i="77"/>
  <c r="D56" i="77"/>
  <c r="E56" i="79"/>
  <c r="D56" i="79"/>
  <c r="B55" i="88"/>
  <c r="F55" i="88"/>
  <c r="H55" i="88" s="1"/>
  <c r="F58" i="56"/>
  <c r="B58" i="56"/>
  <c r="D59" i="57"/>
  <c r="E59" i="57" s="1"/>
  <c r="F59" i="57" s="1"/>
  <c r="D54" i="89"/>
  <c r="E54" i="89"/>
  <c r="B62" i="74"/>
  <c r="D58" i="60"/>
  <c r="E58" i="60" s="1"/>
  <c r="G66" i="28"/>
  <c r="I57" i="56"/>
  <c r="C72" i="17"/>
  <c r="B63" i="17"/>
  <c r="G63" i="17"/>
  <c r="H63" i="17"/>
  <c r="E65" i="70"/>
  <c r="F65" i="70" s="1"/>
  <c r="B65" i="70"/>
  <c r="D58" i="63"/>
  <c r="E58" i="63"/>
  <c r="E54" i="92"/>
  <c r="D54" i="92"/>
  <c r="E66" i="29"/>
  <c r="F66" i="29" s="1"/>
  <c r="B66" i="29"/>
  <c r="B65" i="71"/>
  <c r="F65" i="69"/>
  <c r="D66" i="69" s="1"/>
  <c r="B65" i="69"/>
  <c r="H55" i="78"/>
  <c r="I55" i="78" s="1"/>
  <c r="E56" i="78"/>
  <c r="D56" i="78"/>
  <c r="H64" i="3"/>
  <c r="D65" i="3"/>
  <c r="E65" i="3" s="1"/>
  <c r="F65" i="3" s="1"/>
  <c r="D66" i="3" s="1"/>
  <c r="B57" i="68"/>
  <c r="F57" i="68"/>
  <c r="G57" i="68" s="1"/>
  <c r="B62" i="43"/>
  <c r="F62" i="43"/>
  <c r="G62" i="43" s="1"/>
  <c r="G64" i="3"/>
  <c r="E60" i="45"/>
  <c r="F60" i="45" s="1"/>
  <c r="H63" i="32"/>
  <c r="I63" i="32" s="1"/>
  <c r="D64" i="32"/>
  <c r="F62" i="41"/>
  <c r="G62" i="41" s="1"/>
  <c r="B62" i="41"/>
  <c r="H66" i="28"/>
  <c r="I66" i="28" s="1"/>
  <c r="E62" i="74"/>
  <c r="F62" i="74" s="1"/>
  <c r="F54" i="83"/>
  <c r="H54" i="83" s="1"/>
  <c r="B54" i="83"/>
  <c r="F58" i="64"/>
  <c r="D59" i="64" s="1"/>
  <c r="B58" i="64"/>
  <c r="G58" i="54"/>
  <c r="I58" i="54" s="1"/>
  <c r="D59" i="54"/>
  <c r="E59" i="54" s="1"/>
  <c r="H62" i="19"/>
  <c r="I62" i="19" s="1"/>
  <c r="D63" i="19"/>
  <c r="E63" i="19" s="1"/>
  <c r="B64" i="70"/>
  <c r="H64" i="70"/>
  <c r="G64" i="70"/>
  <c r="H53" i="92"/>
  <c r="I53" i="92" s="1"/>
  <c r="B65" i="29"/>
  <c r="G65" i="29"/>
  <c r="H65" i="29"/>
  <c r="E65" i="71"/>
  <c r="F65" i="71" s="1"/>
  <c r="J139" i="39"/>
  <c r="J140" i="34"/>
  <c r="J136" i="64"/>
  <c r="J137" i="59"/>
  <c r="J141" i="31"/>
  <c r="D62" i="73"/>
  <c r="G61" i="73"/>
  <c r="H61" i="73"/>
  <c r="D63" i="18"/>
  <c r="E63" i="18" s="1"/>
  <c r="G62" i="18"/>
  <c r="H62" i="18"/>
  <c r="D58" i="59"/>
  <c r="E58" i="59" s="1"/>
  <c r="J142" i="29"/>
  <c r="J137" i="58"/>
  <c r="J138" i="74"/>
  <c r="J140" i="20"/>
  <c r="J135" i="68"/>
  <c r="J135" i="66"/>
  <c r="J134" i="78"/>
  <c r="F55" i="33"/>
  <c r="H55" i="33" s="1"/>
  <c r="B55" i="33"/>
  <c r="B54" i="26"/>
  <c r="F54" i="26"/>
  <c r="G54" i="26" s="1"/>
  <c r="B61" i="20"/>
  <c r="B54" i="87"/>
  <c r="F54" i="87"/>
  <c r="H54" i="87" s="1"/>
  <c r="J136" i="65"/>
  <c r="B57" i="62"/>
  <c r="F57" i="62"/>
  <c r="H57" i="62" s="1"/>
  <c r="F53" i="13"/>
  <c r="G53" i="13" s="1"/>
  <c r="B53" i="13"/>
  <c r="E61" i="20"/>
  <c r="F61" i="20" s="1"/>
  <c r="D144" i="30"/>
  <c r="B144" i="30" s="1"/>
  <c r="G143" i="30"/>
  <c r="F134" i="91"/>
  <c r="B134" i="91"/>
  <c r="G133" i="88"/>
  <c r="D134" i="88"/>
  <c r="E134" i="88"/>
  <c r="G138" i="53"/>
  <c r="D139" i="53"/>
  <c r="E139" i="53"/>
  <c r="J138" i="57"/>
  <c r="H140" i="41"/>
  <c r="I140" i="41"/>
  <c r="G139" i="74"/>
  <c r="E140" i="74"/>
  <c r="D140" i="74"/>
  <c r="F138" i="62"/>
  <c r="B138" i="62"/>
  <c r="H133" i="91"/>
  <c r="I133" i="91"/>
  <c r="E134" i="86"/>
  <c r="G133" i="86"/>
  <c r="D134" i="86"/>
  <c r="J137" i="72"/>
  <c r="D143" i="32"/>
  <c r="E143" i="32" s="1"/>
  <c r="G142" i="32"/>
  <c r="E136" i="78"/>
  <c r="G135" i="78"/>
  <c r="D136" i="78"/>
  <c r="D144" i="29"/>
  <c r="E144" i="29" s="1"/>
  <c r="G143" i="29"/>
  <c r="G138" i="58"/>
  <c r="E139" i="58"/>
  <c r="D139" i="58"/>
  <c r="E138" i="61"/>
  <c r="G137" i="61"/>
  <c r="D138" i="61"/>
  <c r="D142" i="20"/>
  <c r="E142" i="20" s="1"/>
  <c r="G141" i="20"/>
  <c r="J136" i="60"/>
  <c r="H134" i="81"/>
  <c r="I134" i="81"/>
  <c r="F140" i="45"/>
  <c r="B140" i="45"/>
  <c r="D138" i="64"/>
  <c r="E138" i="64"/>
  <c r="G137" i="64"/>
  <c r="B142" i="22"/>
  <c r="F142" i="22"/>
  <c r="H137" i="62"/>
  <c r="I137" i="62"/>
  <c r="B141" i="73"/>
  <c r="F141" i="73"/>
  <c r="J142" i="27"/>
  <c r="J136" i="63"/>
  <c r="J142" i="69"/>
  <c r="J137" i="53"/>
  <c r="J142" i="30"/>
  <c r="D134" i="92"/>
  <c r="G133" i="92"/>
  <c r="E134" i="92"/>
  <c r="D135" i="85"/>
  <c r="G134" i="85"/>
  <c r="E135" i="85"/>
  <c r="G142" i="31"/>
  <c r="D143" i="31"/>
  <c r="E143" i="31" s="1"/>
  <c r="E137" i="66"/>
  <c r="G136" i="66"/>
  <c r="D137" i="66"/>
  <c r="J142" i="70"/>
  <c r="E139" i="72"/>
  <c r="G138" i="72"/>
  <c r="D139" i="72"/>
  <c r="D136" i="79"/>
  <c r="G135" i="79"/>
  <c r="E136" i="79"/>
  <c r="E138" i="63"/>
  <c r="D138" i="63"/>
  <c r="G137" i="63"/>
  <c r="D144" i="70"/>
  <c r="G143" i="70"/>
  <c r="E144" i="70"/>
  <c r="I140" i="73"/>
  <c r="H140" i="73"/>
  <c r="B141" i="41"/>
  <c r="F141" i="41"/>
  <c r="G133" i="90"/>
  <c r="D134" i="90"/>
  <c r="E134" i="90"/>
  <c r="F134" i="89"/>
  <c r="B134" i="89"/>
  <c r="G138" i="46"/>
  <c r="E139" i="46"/>
  <c r="D139" i="46"/>
  <c r="J142" i="71"/>
  <c r="J139" i="43"/>
  <c r="J140" i="19"/>
  <c r="J134" i="79"/>
  <c r="D141" i="39"/>
  <c r="E141" i="39" s="1"/>
  <c r="G140" i="39"/>
  <c r="I141" i="22"/>
  <c r="H141" i="22"/>
  <c r="D137" i="68"/>
  <c r="E137" i="68"/>
  <c r="G136" i="68"/>
  <c r="J137" i="46"/>
  <c r="G137" i="65"/>
  <c r="D138" i="65"/>
  <c r="E138" i="65"/>
  <c r="J136" i="61"/>
  <c r="I133" i="89"/>
  <c r="H133" i="89"/>
  <c r="E134" i="84"/>
  <c r="D134" i="84"/>
  <c r="G133" i="84"/>
  <c r="D142" i="34"/>
  <c r="E142" i="34" s="1"/>
  <c r="G141" i="34"/>
  <c r="G140" i="43"/>
  <c r="D141" i="43"/>
  <c r="E141" i="43" s="1"/>
  <c r="D142" i="19"/>
  <c r="E142" i="19" s="1"/>
  <c r="G141" i="19"/>
  <c r="D144" i="69"/>
  <c r="E144" i="69"/>
  <c r="G143" i="69"/>
  <c r="F135" i="81"/>
  <c r="B135" i="81"/>
  <c r="I139" i="45"/>
  <c r="H139" i="45"/>
  <c r="J141" i="32"/>
  <c r="E138" i="60"/>
  <c r="D138" i="60"/>
  <c r="G137" i="60"/>
  <c r="J139" i="44"/>
  <c r="F140" i="56"/>
  <c r="B140" i="56"/>
  <c r="J142" i="23"/>
  <c r="G142" i="18"/>
  <c r="D143" i="18"/>
  <c r="G138" i="59"/>
  <c r="E139" i="59"/>
  <c r="D139" i="59"/>
  <c r="D144" i="23"/>
  <c r="E144" i="23" s="1"/>
  <c r="G143" i="23"/>
  <c r="I139" i="56"/>
  <c r="H139" i="56"/>
  <c r="J141" i="18"/>
  <c r="E144" i="71"/>
  <c r="G143" i="71"/>
  <c r="D144" i="71"/>
  <c r="G139" i="57"/>
  <c r="E140" i="57"/>
  <c r="D140" i="57"/>
  <c r="G134" i="95"/>
  <c r="D135" i="95"/>
  <c r="E135" i="95" s="1"/>
  <c r="D134" i="96"/>
  <c r="G133" i="96"/>
  <c r="B143" i="24"/>
  <c r="I134" i="83"/>
  <c r="H134" i="83"/>
  <c r="E143" i="24"/>
  <c r="F143" i="24" s="1"/>
  <c r="B135" i="83"/>
  <c r="F135" i="83"/>
  <c r="I141" i="21"/>
  <c r="H141" i="21"/>
  <c r="I133" i="93"/>
  <c r="H133" i="93"/>
  <c r="H132" i="33"/>
  <c r="I132" i="33"/>
  <c r="G134" i="82"/>
  <c r="D135" i="82"/>
  <c r="E135" i="82"/>
  <c r="J143" i="28"/>
  <c r="I134" i="80"/>
  <c r="H134" i="80"/>
  <c r="D145" i="28"/>
  <c r="E145" i="28" s="1"/>
  <c r="G144" i="28"/>
  <c r="H135" i="76"/>
  <c r="I135" i="76"/>
  <c r="B134" i="25"/>
  <c r="F133" i="13"/>
  <c r="B133" i="13"/>
  <c r="I142" i="24"/>
  <c r="H142" i="24"/>
  <c r="D137" i="67"/>
  <c r="G136" i="67"/>
  <c r="E137" i="67"/>
  <c r="B141" i="42"/>
  <c r="F141" i="42"/>
  <c r="D135" i="94"/>
  <c r="E135" i="94" s="1"/>
  <c r="G134" i="94"/>
  <c r="J140" i="3"/>
  <c r="J141" i="17"/>
  <c r="I135" i="77"/>
  <c r="H135" i="77"/>
  <c r="G140" i="44"/>
  <c r="D141" i="44"/>
  <c r="E141" i="44"/>
  <c r="H138" i="54"/>
  <c r="I138" i="54"/>
  <c r="I138" i="55"/>
  <c r="H138" i="55"/>
  <c r="F136" i="76"/>
  <c r="B136" i="76"/>
  <c r="H133" i="25"/>
  <c r="I133" i="25"/>
  <c r="I132" i="13"/>
  <c r="H132" i="13"/>
  <c r="B134" i="93"/>
  <c r="H140" i="42"/>
  <c r="I140" i="42"/>
  <c r="F136" i="75"/>
  <c r="B136" i="75"/>
  <c r="F136" i="77"/>
  <c r="B136" i="77"/>
  <c r="F135" i="80"/>
  <c r="B135" i="80"/>
  <c r="F139" i="55"/>
  <c r="B139" i="55"/>
  <c r="E134" i="25"/>
  <c r="F134" i="25" s="1"/>
  <c r="G141" i="3"/>
  <c r="D142" i="3"/>
  <c r="E142" i="3" s="1"/>
  <c r="B142" i="21"/>
  <c r="F142" i="21"/>
  <c r="E134" i="93"/>
  <c r="F134" i="93" s="1"/>
  <c r="J135" i="67"/>
  <c r="D134" i="87"/>
  <c r="G133" i="87"/>
  <c r="E134" i="87"/>
  <c r="I135" i="75"/>
  <c r="H135" i="75"/>
  <c r="F133" i="33"/>
  <c r="B133" i="33"/>
  <c r="D143" i="17"/>
  <c r="G142" i="17"/>
  <c r="B139" i="54"/>
  <c r="F139" i="54"/>
  <c r="I68" i="97" l="1"/>
  <c r="F54" i="98"/>
  <c r="H54" i="98" s="1"/>
  <c r="B54" i="98"/>
  <c r="G54" i="98"/>
  <c r="E63" i="99"/>
  <c r="B63" i="99"/>
  <c r="F63" i="99"/>
  <c r="G63" i="99" s="1"/>
  <c r="H62" i="99"/>
  <c r="G62" i="99"/>
  <c r="B69" i="97"/>
  <c r="F69" i="97"/>
  <c r="D70" i="97" s="1"/>
  <c r="E144" i="27"/>
  <c r="F144" i="27" s="1"/>
  <c r="I63" i="24"/>
  <c r="J133" i="26"/>
  <c r="D135" i="26"/>
  <c r="G134" i="26"/>
  <c r="G133" i="99"/>
  <c r="E134" i="99"/>
  <c r="D134" i="99"/>
  <c r="I62" i="22"/>
  <c r="I143" i="27"/>
  <c r="J143" i="27" s="1"/>
  <c r="F134" i="97"/>
  <c r="B134" i="97"/>
  <c r="B134" i="98"/>
  <c r="F134" i="98"/>
  <c r="H133" i="97"/>
  <c r="I133" i="97"/>
  <c r="H133" i="98"/>
  <c r="I133" i="98"/>
  <c r="E58" i="67"/>
  <c r="F58" i="67" s="1"/>
  <c r="H58" i="67" s="1"/>
  <c r="B58" i="67"/>
  <c r="H57" i="65"/>
  <c r="G57" i="65"/>
  <c r="E61" i="58"/>
  <c r="F61" i="58" s="1"/>
  <c r="I58" i="53"/>
  <c r="D61" i="46"/>
  <c r="E61" i="46" s="1"/>
  <c r="F61" i="46" s="1"/>
  <c r="B60" i="46"/>
  <c r="H60" i="46"/>
  <c r="G60" i="46"/>
  <c r="E64" i="24"/>
  <c r="F64" i="24" s="1"/>
  <c r="I54" i="81"/>
  <c r="I60" i="44"/>
  <c r="B53" i="93"/>
  <c r="F53" i="93"/>
  <c r="H53" i="93" s="1"/>
  <c r="G54" i="25"/>
  <c r="D55" i="25"/>
  <c r="H54" i="25"/>
  <c r="H58" i="64"/>
  <c r="F54" i="94"/>
  <c r="B54" i="94"/>
  <c r="G55" i="86"/>
  <c r="D56" i="86"/>
  <c r="E56" i="86"/>
  <c r="H55" i="86"/>
  <c r="H56" i="82"/>
  <c r="I56" i="82" s="1"/>
  <c r="E57" i="82"/>
  <c r="D57" i="82"/>
  <c r="B56" i="80"/>
  <c r="F56" i="80"/>
  <c r="H64" i="23"/>
  <c r="D65" i="23"/>
  <c r="G64" i="23"/>
  <c r="D62" i="55"/>
  <c r="G61" i="55"/>
  <c r="H61" i="55"/>
  <c r="G55" i="88"/>
  <c r="I55" i="88" s="1"/>
  <c r="B55" i="91"/>
  <c r="F55" i="91"/>
  <c r="D57" i="75"/>
  <c r="E57" i="75"/>
  <c r="B58" i="66"/>
  <c r="F58" i="66"/>
  <c r="H58" i="66" s="1"/>
  <c r="H63" i="42"/>
  <c r="I63" i="42" s="1"/>
  <c r="D64" i="42"/>
  <c r="B55" i="84"/>
  <c r="F55" i="84"/>
  <c r="H55" i="84" s="1"/>
  <c r="I62" i="42"/>
  <c r="H54" i="26"/>
  <c r="I54" i="26" s="1"/>
  <c r="G58" i="64"/>
  <c r="I63" i="27"/>
  <c r="I60" i="58"/>
  <c r="B56" i="90"/>
  <c r="F56" i="90"/>
  <c r="G56" i="90" s="1"/>
  <c r="F59" i="53"/>
  <c r="D60" i="53" s="1"/>
  <c r="B59" i="53"/>
  <c r="I64" i="3"/>
  <c r="H56" i="75"/>
  <c r="I56" i="75" s="1"/>
  <c r="I54" i="84"/>
  <c r="E58" i="65"/>
  <c r="F58" i="65" s="1"/>
  <c r="B58" i="65"/>
  <c r="G65" i="31"/>
  <c r="H65" i="31"/>
  <c r="D64" i="22"/>
  <c r="H59" i="72"/>
  <c r="D60" i="72"/>
  <c r="E60" i="72" s="1"/>
  <c r="F60" i="72" s="1"/>
  <c r="F55" i="81"/>
  <c r="G55" i="81" s="1"/>
  <c r="B55" i="81"/>
  <c r="I63" i="17"/>
  <c r="F62" i="39"/>
  <c r="G62" i="39" s="1"/>
  <c r="B62" i="39"/>
  <c r="G65" i="69"/>
  <c r="E64" i="27"/>
  <c r="F64" i="27" s="1"/>
  <c r="B64" i="27"/>
  <c r="G53" i="95"/>
  <c r="I53" i="95" s="1"/>
  <c r="E54" i="95"/>
  <c r="D54" i="95"/>
  <c r="G59" i="72"/>
  <c r="D56" i="85"/>
  <c r="E56" i="85"/>
  <c r="B63" i="22"/>
  <c r="G63" i="22"/>
  <c r="H63" i="22"/>
  <c r="H63" i="34"/>
  <c r="D64" i="34"/>
  <c r="G63" i="34"/>
  <c r="F58" i="61"/>
  <c r="H58" i="61" s="1"/>
  <c r="B58" i="61"/>
  <c r="F53" i="96"/>
  <c r="B53" i="96"/>
  <c r="G55" i="85"/>
  <c r="I55" i="85" s="1"/>
  <c r="B56" i="76"/>
  <c r="F56" i="76"/>
  <c r="G56" i="76" s="1"/>
  <c r="B61" i="44"/>
  <c r="F61" i="44"/>
  <c r="G61" i="44" s="1"/>
  <c r="I61" i="73"/>
  <c r="I61" i="21"/>
  <c r="D66" i="71"/>
  <c r="G65" i="71"/>
  <c r="H65" i="71"/>
  <c r="D66" i="70"/>
  <c r="H65" i="70"/>
  <c r="G65" i="70"/>
  <c r="E66" i="3"/>
  <c r="F66" i="3" s="1"/>
  <c r="H66" i="3" s="1"/>
  <c r="B66" i="3"/>
  <c r="G60" i="45"/>
  <c r="D61" i="45"/>
  <c r="E61" i="45" s="1"/>
  <c r="H60" i="45"/>
  <c r="B64" i="32"/>
  <c r="H66" i="29"/>
  <c r="D67" i="29"/>
  <c r="D63" i="74"/>
  <c r="E63" i="74" s="1"/>
  <c r="D60" i="57"/>
  <c r="G58" i="56"/>
  <c r="D59" i="56"/>
  <c r="F56" i="77"/>
  <c r="H56" i="77" s="1"/>
  <c r="B56" i="77"/>
  <c r="H67" i="28"/>
  <c r="D68" i="28"/>
  <c r="E68" i="28" s="1"/>
  <c r="D65" i="17"/>
  <c r="E65" i="17" s="1"/>
  <c r="B62" i="21"/>
  <c r="H53" i="13"/>
  <c r="I53" i="13" s="1"/>
  <c r="G55" i="33"/>
  <c r="I55" i="33" s="1"/>
  <c r="I65" i="29"/>
  <c r="E59" i="64"/>
  <c r="F59" i="64" s="1"/>
  <c r="B59" i="64"/>
  <c r="F58" i="63"/>
  <c r="G58" i="63" s="1"/>
  <c r="B58" i="63"/>
  <c r="B59" i="57"/>
  <c r="H59" i="57"/>
  <c r="G59" i="57"/>
  <c r="G67" i="28"/>
  <c r="H64" i="17"/>
  <c r="I63" i="30"/>
  <c r="D55" i="83"/>
  <c r="E55" i="83"/>
  <c r="B63" i="19"/>
  <c r="F63" i="19"/>
  <c r="G63" i="19" s="1"/>
  <c r="G54" i="83"/>
  <c r="I54" i="83" s="1"/>
  <c r="H62" i="41"/>
  <c r="I62" i="41" s="1"/>
  <c r="D63" i="41"/>
  <c r="H62" i="43"/>
  <c r="I62" i="43" s="1"/>
  <c r="D63" i="43"/>
  <c r="E63" i="43" s="1"/>
  <c r="H57" i="68"/>
  <c r="I57" i="68" s="1"/>
  <c r="E58" i="68"/>
  <c r="D58" i="68"/>
  <c r="B65" i="3"/>
  <c r="G65" i="3"/>
  <c r="H65" i="3"/>
  <c r="E66" i="69"/>
  <c r="F66" i="69" s="1"/>
  <c r="H66" i="69" s="1"/>
  <c r="B66" i="69"/>
  <c r="H62" i="74"/>
  <c r="H58" i="56"/>
  <c r="F56" i="79"/>
  <c r="H56" i="79" s="1"/>
  <c r="B56" i="79"/>
  <c r="F56" i="78"/>
  <c r="H56" i="78" s="1"/>
  <c r="B56" i="78"/>
  <c r="I64" i="70"/>
  <c r="F59" i="54"/>
  <c r="H59" i="54" s="1"/>
  <c r="B59" i="54"/>
  <c r="E64" i="32"/>
  <c r="F64" i="32" s="1"/>
  <c r="D65" i="32" s="1"/>
  <c r="H65" i="69"/>
  <c r="G66" i="29"/>
  <c r="B54" i="92"/>
  <c r="F54" i="92"/>
  <c r="G54" i="92" s="1"/>
  <c r="B58" i="60"/>
  <c r="F58" i="60"/>
  <c r="D59" i="60" s="1"/>
  <c r="G62" i="74"/>
  <c r="B54" i="89"/>
  <c r="F54" i="89"/>
  <c r="E56" i="88"/>
  <c r="D56" i="88"/>
  <c r="D66" i="31"/>
  <c r="E66" i="31" s="1"/>
  <c r="G64" i="17"/>
  <c r="E62" i="21"/>
  <c r="F62" i="21" s="1"/>
  <c r="F64" i="30"/>
  <c r="H64" i="30" s="1"/>
  <c r="B64" i="30"/>
  <c r="G144" i="27"/>
  <c r="D145" i="27"/>
  <c r="J137" i="62"/>
  <c r="D62" i="20"/>
  <c r="E62" i="20" s="1"/>
  <c r="H61" i="20"/>
  <c r="G61" i="20"/>
  <c r="D54" i="13"/>
  <c r="E54" i="13" s="1"/>
  <c r="G57" i="62"/>
  <c r="I57" i="62" s="1"/>
  <c r="D55" i="87"/>
  <c r="E55" i="87"/>
  <c r="F63" i="18"/>
  <c r="H63" i="18" s="1"/>
  <c r="B63" i="18"/>
  <c r="J139" i="56"/>
  <c r="J140" i="73"/>
  <c r="D58" i="62"/>
  <c r="E58" i="62" s="1"/>
  <c r="B58" i="59"/>
  <c r="F58" i="59"/>
  <c r="G58" i="59" s="1"/>
  <c r="B62" i="73"/>
  <c r="J141" i="21"/>
  <c r="E144" i="30"/>
  <c r="F144" i="30" s="1"/>
  <c r="G144" i="30" s="1"/>
  <c r="G54" i="87"/>
  <c r="I54" i="87" s="1"/>
  <c r="D55" i="26"/>
  <c r="E55" i="26" s="1"/>
  <c r="D56" i="33"/>
  <c r="E56" i="33" s="1"/>
  <c r="I62" i="18"/>
  <c r="E62" i="73"/>
  <c r="F62" i="73" s="1"/>
  <c r="I137" i="63"/>
  <c r="H137" i="63"/>
  <c r="I133" i="92"/>
  <c r="H133" i="92"/>
  <c r="B134" i="86"/>
  <c r="F134" i="86"/>
  <c r="I137" i="60"/>
  <c r="H137" i="60"/>
  <c r="H143" i="69"/>
  <c r="I143" i="69"/>
  <c r="I141" i="19"/>
  <c r="H141" i="19"/>
  <c r="I140" i="43"/>
  <c r="H140" i="43"/>
  <c r="I141" i="34"/>
  <c r="H141" i="34"/>
  <c r="I136" i="68"/>
  <c r="H136" i="68"/>
  <c r="J141" i="22"/>
  <c r="B139" i="46"/>
  <c r="F139" i="46"/>
  <c r="E135" i="89"/>
  <c r="G134" i="89"/>
  <c r="D135" i="89"/>
  <c r="D142" i="41"/>
  <c r="E142" i="41" s="1"/>
  <c r="G141" i="41"/>
  <c r="F138" i="63"/>
  <c r="B138" i="63"/>
  <c r="F136" i="79"/>
  <c r="B136" i="79"/>
  <c r="F143" i="31"/>
  <c r="B143" i="31"/>
  <c r="I134" i="85"/>
  <c r="H134" i="85"/>
  <c r="F134" i="92"/>
  <c r="B134" i="92"/>
  <c r="I137" i="64"/>
  <c r="H137" i="64"/>
  <c r="G140" i="45"/>
  <c r="D141" i="45"/>
  <c r="E141" i="45" s="1"/>
  <c r="H141" i="20"/>
  <c r="I141" i="20"/>
  <c r="I137" i="61"/>
  <c r="H137" i="61"/>
  <c r="H138" i="58"/>
  <c r="I138" i="58"/>
  <c r="B136" i="78"/>
  <c r="F136" i="78"/>
  <c r="B143" i="32"/>
  <c r="F143" i="32"/>
  <c r="H133" i="86"/>
  <c r="I133" i="86"/>
  <c r="I139" i="74"/>
  <c r="H139" i="74"/>
  <c r="B134" i="88"/>
  <c r="F134" i="88"/>
  <c r="D136" i="81"/>
  <c r="E136" i="81"/>
  <c r="G135" i="81"/>
  <c r="F141" i="39"/>
  <c r="B141" i="39"/>
  <c r="H135" i="79"/>
  <c r="I135" i="79"/>
  <c r="F144" i="29"/>
  <c r="B144" i="29"/>
  <c r="I142" i="32"/>
  <c r="H142" i="32"/>
  <c r="J132" i="33"/>
  <c r="F138" i="60"/>
  <c r="B138" i="60"/>
  <c r="J139" i="45"/>
  <c r="B142" i="19"/>
  <c r="F142" i="19"/>
  <c r="B142" i="34"/>
  <c r="F142" i="34"/>
  <c r="F138" i="65"/>
  <c r="B138" i="65"/>
  <c r="H143" i="70"/>
  <c r="I143" i="70"/>
  <c r="B139" i="72"/>
  <c r="F139" i="72"/>
  <c r="F137" i="66"/>
  <c r="B137" i="66"/>
  <c r="I142" i="31"/>
  <c r="H142" i="31"/>
  <c r="B135" i="85"/>
  <c r="F135" i="85"/>
  <c r="B142" i="20"/>
  <c r="F142" i="20"/>
  <c r="H135" i="78"/>
  <c r="I135" i="78"/>
  <c r="G138" i="62"/>
  <c r="D139" i="62"/>
  <c r="E139" i="62"/>
  <c r="J140" i="41"/>
  <c r="F139" i="53"/>
  <c r="B139" i="53"/>
  <c r="I133" i="88"/>
  <c r="H133" i="88"/>
  <c r="I143" i="30"/>
  <c r="H143" i="30"/>
  <c r="B134" i="84"/>
  <c r="F134" i="84"/>
  <c r="I133" i="90"/>
  <c r="H133" i="90"/>
  <c r="F138" i="61"/>
  <c r="B138" i="61"/>
  <c r="G134" i="91"/>
  <c r="E135" i="91"/>
  <c r="D135" i="91"/>
  <c r="J140" i="42"/>
  <c r="F144" i="69"/>
  <c r="B144" i="69"/>
  <c r="B141" i="43"/>
  <c r="F141" i="43"/>
  <c r="H133" i="84"/>
  <c r="I133" i="84"/>
  <c r="I137" i="65"/>
  <c r="H137" i="65"/>
  <c r="F137" i="68"/>
  <c r="B137" i="68"/>
  <c r="H140" i="39"/>
  <c r="I140" i="39"/>
  <c r="I138" i="46"/>
  <c r="H138" i="46"/>
  <c r="F134" i="90"/>
  <c r="B134" i="90"/>
  <c r="B144" i="70"/>
  <c r="F144" i="70"/>
  <c r="I138" i="72"/>
  <c r="H138" i="72"/>
  <c r="I136" i="66"/>
  <c r="H136" i="66"/>
  <c r="D142" i="73"/>
  <c r="E142" i="73"/>
  <c r="G141" i="73"/>
  <c r="G142" i="22"/>
  <c r="D143" i="22"/>
  <c r="B138" i="64"/>
  <c r="F138" i="64"/>
  <c r="F139" i="58"/>
  <c r="B139" i="58"/>
  <c r="I143" i="29"/>
  <c r="H143" i="29"/>
  <c r="F140" i="74"/>
  <c r="B140" i="74"/>
  <c r="I138" i="53"/>
  <c r="H138" i="53"/>
  <c r="B144" i="23"/>
  <c r="F144" i="23"/>
  <c r="I138" i="59"/>
  <c r="H138" i="59"/>
  <c r="I143" i="23"/>
  <c r="H143" i="23"/>
  <c r="F139" i="59"/>
  <c r="B139" i="59"/>
  <c r="E143" i="18"/>
  <c r="F143" i="18" s="1"/>
  <c r="B143" i="18"/>
  <c r="D141" i="56"/>
  <c r="E141" i="56" s="1"/>
  <c r="G140" i="56"/>
  <c r="I142" i="18"/>
  <c r="H142" i="18"/>
  <c r="F140" i="57"/>
  <c r="B140" i="57"/>
  <c r="J135" i="77"/>
  <c r="J142" i="24"/>
  <c r="J135" i="76"/>
  <c r="H139" i="57"/>
  <c r="I139" i="57"/>
  <c r="F144" i="71"/>
  <c r="B144" i="71"/>
  <c r="J133" i="25"/>
  <c r="J138" i="54"/>
  <c r="H143" i="71"/>
  <c r="I143" i="71"/>
  <c r="D144" i="24"/>
  <c r="G143" i="24"/>
  <c r="G134" i="93"/>
  <c r="D135" i="93"/>
  <c r="E135" i="93" s="1"/>
  <c r="G134" i="25"/>
  <c r="D135" i="25"/>
  <c r="E135" i="25" s="1"/>
  <c r="F134" i="87"/>
  <c r="B134" i="87"/>
  <c r="B142" i="3"/>
  <c r="F142" i="3"/>
  <c r="E140" i="55"/>
  <c r="D140" i="55"/>
  <c r="G139" i="55"/>
  <c r="D134" i="13"/>
  <c r="E134" i="13" s="1"/>
  <c r="G133" i="13"/>
  <c r="G135" i="83"/>
  <c r="D136" i="83"/>
  <c r="E136" i="83"/>
  <c r="B134" i="96"/>
  <c r="B143" i="17"/>
  <c r="G133" i="33"/>
  <c r="D134" i="33"/>
  <c r="J135" i="75"/>
  <c r="I141" i="3"/>
  <c r="H141" i="3"/>
  <c r="E137" i="77"/>
  <c r="D137" i="77"/>
  <c r="G136" i="77"/>
  <c r="E137" i="75"/>
  <c r="G136" i="75"/>
  <c r="D137" i="75"/>
  <c r="J138" i="55"/>
  <c r="B141" i="44"/>
  <c r="F141" i="44"/>
  <c r="H134" i="94"/>
  <c r="I134" i="94"/>
  <c r="I144" i="28"/>
  <c r="H144" i="28"/>
  <c r="E140" i="54"/>
  <c r="G139" i="54"/>
  <c r="D140" i="54"/>
  <c r="I142" i="17"/>
  <c r="H142" i="17"/>
  <c r="D136" i="80"/>
  <c r="G135" i="80"/>
  <c r="E136" i="80"/>
  <c r="H140" i="44"/>
  <c r="I140" i="44"/>
  <c r="I136" i="67"/>
  <c r="H136" i="67"/>
  <c r="F145" i="28"/>
  <c r="B145" i="28"/>
  <c r="F135" i="82"/>
  <c r="B135" i="82"/>
  <c r="H133" i="96"/>
  <c r="I133" i="96"/>
  <c r="F135" i="95"/>
  <c r="B135" i="95"/>
  <c r="E143" i="17"/>
  <c r="F143" i="17" s="1"/>
  <c r="H133" i="87"/>
  <c r="I133" i="87"/>
  <c r="D143" i="21"/>
  <c r="E143" i="21" s="1"/>
  <c r="G142" i="21"/>
  <c r="D137" i="76"/>
  <c r="G136" i="76"/>
  <c r="E137" i="76"/>
  <c r="F135" i="94"/>
  <c r="B135" i="94"/>
  <c r="G141" i="42"/>
  <c r="D142" i="42"/>
  <c r="E142" i="42" s="1"/>
  <c r="B137" i="67"/>
  <c r="F137" i="67"/>
  <c r="I134" i="82"/>
  <c r="H134" i="82"/>
  <c r="E134" i="96"/>
  <c r="F134" i="96" s="1"/>
  <c r="I134" i="95"/>
  <c r="H134" i="95"/>
  <c r="I54" i="98" l="1"/>
  <c r="H69" i="97"/>
  <c r="G69" i="97"/>
  <c r="D64" i="99"/>
  <c r="E64" i="99" s="1"/>
  <c r="F64" i="99" s="1"/>
  <c r="D65" i="99" s="1"/>
  <c r="I62" i="99"/>
  <c r="E70" i="97"/>
  <c r="F70" i="97" s="1"/>
  <c r="B70" i="97"/>
  <c r="H63" i="99"/>
  <c r="I63" i="99" s="1"/>
  <c r="D55" i="98"/>
  <c r="E55" i="98"/>
  <c r="I58" i="64"/>
  <c r="I60" i="46"/>
  <c r="I134" i="26"/>
  <c r="H134" i="26"/>
  <c r="B135" i="26"/>
  <c r="E135" i="26"/>
  <c r="F135" i="26" s="1"/>
  <c r="B134" i="99"/>
  <c r="F134" i="99"/>
  <c r="H133" i="99"/>
  <c r="I133" i="99"/>
  <c r="I59" i="72"/>
  <c r="I57" i="65"/>
  <c r="I65" i="31"/>
  <c r="D135" i="98"/>
  <c r="G134" i="98"/>
  <c r="E135" i="98"/>
  <c r="D135" i="97"/>
  <c r="E135" i="97" s="1"/>
  <c r="G134" i="97"/>
  <c r="G53" i="93"/>
  <c r="I53" i="93" s="1"/>
  <c r="H56" i="76"/>
  <c r="I56" i="76" s="1"/>
  <c r="I65" i="69"/>
  <c r="G58" i="67"/>
  <c r="I58" i="67" s="1"/>
  <c r="D59" i="67"/>
  <c r="E59" i="67" s="1"/>
  <c r="D62" i="58"/>
  <c r="E62" i="58" s="1"/>
  <c r="F62" i="58" s="1"/>
  <c r="H61" i="58"/>
  <c r="G61" i="58"/>
  <c r="G61" i="46"/>
  <c r="D62" i="46"/>
  <c r="B62" i="46" s="1"/>
  <c r="B61" i="46"/>
  <c r="H61" i="46"/>
  <c r="D65" i="24"/>
  <c r="H64" i="24"/>
  <c r="G64" i="24"/>
  <c r="G56" i="80"/>
  <c r="D57" i="80"/>
  <c r="E57" i="80"/>
  <c r="F56" i="86"/>
  <c r="B56" i="86"/>
  <c r="H54" i="94"/>
  <c r="E55" i="94"/>
  <c r="D55" i="94"/>
  <c r="G64" i="30"/>
  <c r="I64" i="30" s="1"/>
  <c r="G59" i="54"/>
  <c r="I59" i="54" s="1"/>
  <c r="I61" i="55"/>
  <c r="H56" i="80"/>
  <c r="I55" i="86"/>
  <c r="G54" i="94"/>
  <c r="I54" i="25"/>
  <c r="I66" i="29"/>
  <c r="I63" i="34"/>
  <c r="B57" i="82"/>
  <c r="F57" i="82"/>
  <c r="G57" i="82" s="1"/>
  <c r="E55" i="25"/>
  <c r="F55" i="25" s="1"/>
  <c r="B55" i="25"/>
  <c r="D54" i="93"/>
  <c r="E54" i="93"/>
  <c r="D59" i="65"/>
  <c r="E59" i="65" s="1"/>
  <c r="F59" i="65" s="1"/>
  <c r="G58" i="65"/>
  <c r="H58" i="65"/>
  <c r="E62" i="55"/>
  <c r="F62" i="55" s="1"/>
  <c r="B62" i="55"/>
  <c r="H63" i="19"/>
  <c r="I63" i="19" s="1"/>
  <c r="E60" i="53"/>
  <c r="F60" i="53" s="1"/>
  <c r="B60" i="53"/>
  <c r="G55" i="84"/>
  <c r="I55" i="84" s="1"/>
  <c r="E56" i="84"/>
  <c r="D56" i="84"/>
  <c r="B57" i="75"/>
  <c r="F57" i="75"/>
  <c r="G66" i="3"/>
  <c r="I66" i="3" s="1"/>
  <c r="H59" i="53"/>
  <c r="G58" i="66"/>
  <c r="I58" i="66" s="1"/>
  <c r="D59" i="66"/>
  <c r="D56" i="91"/>
  <c r="G55" i="91"/>
  <c r="H55" i="91"/>
  <c r="E56" i="91"/>
  <c r="E65" i="23"/>
  <c r="F65" i="23" s="1"/>
  <c r="B65" i="23"/>
  <c r="G59" i="53"/>
  <c r="H56" i="90"/>
  <c r="I56" i="90" s="1"/>
  <c r="D57" i="90"/>
  <c r="E57" i="90"/>
  <c r="E64" i="42"/>
  <c r="F64" i="42" s="1"/>
  <c r="B64" i="42"/>
  <c r="I64" i="23"/>
  <c r="H60" i="72"/>
  <c r="D61" i="72"/>
  <c r="E61" i="72" s="1"/>
  <c r="F61" i="72" s="1"/>
  <c r="G64" i="27"/>
  <c r="D65" i="27"/>
  <c r="H64" i="27"/>
  <c r="B64" i="22"/>
  <c r="D62" i="44"/>
  <c r="E62" i="44" s="1"/>
  <c r="F62" i="44" s="1"/>
  <c r="G53" i="96"/>
  <c r="D54" i="96"/>
  <c r="E54" i="96"/>
  <c r="D59" i="61"/>
  <c r="E59" i="61" s="1"/>
  <c r="F59" i="61" s="1"/>
  <c r="E64" i="34"/>
  <c r="F64" i="34" s="1"/>
  <c r="B64" i="34"/>
  <c r="B54" i="95"/>
  <c r="F54" i="95"/>
  <c r="G54" i="95" s="1"/>
  <c r="E64" i="22"/>
  <c r="F64" i="22" s="1"/>
  <c r="D65" i="22" s="1"/>
  <c r="D63" i="39"/>
  <c r="B60" i="72"/>
  <c r="G60" i="72"/>
  <c r="H55" i="81"/>
  <c r="I55" i="81" s="1"/>
  <c r="D56" i="81"/>
  <c r="E56" i="81"/>
  <c r="I58" i="56"/>
  <c r="H61" i="44"/>
  <c r="I61" i="44" s="1"/>
  <c r="E57" i="76"/>
  <c r="D57" i="76"/>
  <c r="H53" i="96"/>
  <c r="G58" i="61"/>
  <c r="I58" i="61" s="1"/>
  <c r="I63" i="22"/>
  <c r="F56" i="85"/>
  <c r="B56" i="85"/>
  <c r="H62" i="39"/>
  <c r="I62" i="39" s="1"/>
  <c r="I62" i="74"/>
  <c r="I59" i="57"/>
  <c r="H59" i="64"/>
  <c r="D60" i="64"/>
  <c r="G59" i="64"/>
  <c r="D63" i="21"/>
  <c r="H62" i="21"/>
  <c r="G62" i="21"/>
  <c r="E55" i="89"/>
  <c r="D55" i="89"/>
  <c r="E67" i="29"/>
  <c r="F67" i="29" s="1"/>
  <c r="B67" i="29"/>
  <c r="G58" i="60"/>
  <c r="G56" i="79"/>
  <c r="I56" i="79" s="1"/>
  <c r="E57" i="79"/>
  <c r="D57" i="79"/>
  <c r="B58" i="68"/>
  <c r="F58" i="68"/>
  <c r="G58" i="68" s="1"/>
  <c r="B55" i="83"/>
  <c r="F55" i="83"/>
  <c r="F65" i="17"/>
  <c r="B65" i="17"/>
  <c r="E59" i="56"/>
  <c r="F59" i="56" s="1"/>
  <c r="B59" i="56"/>
  <c r="I60" i="45"/>
  <c r="I65" i="70"/>
  <c r="I65" i="71"/>
  <c r="F56" i="88"/>
  <c r="H56" i="88" s="1"/>
  <c r="B56" i="88"/>
  <c r="E57" i="78"/>
  <c r="D57" i="78"/>
  <c r="D67" i="69"/>
  <c r="E67" i="69" s="1"/>
  <c r="B60" i="57"/>
  <c r="D145" i="30"/>
  <c r="B145" i="30" s="1"/>
  <c r="D65" i="30"/>
  <c r="E65" i="30" s="1"/>
  <c r="F66" i="31"/>
  <c r="B66" i="31"/>
  <c r="G54" i="89"/>
  <c r="I65" i="3"/>
  <c r="F63" i="74"/>
  <c r="B63" i="74"/>
  <c r="H64" i="32"/>
  <c r="D67" i="3"/>
  <c r="E66" i="70"/>
  <c r="F66" i="70" s="1"/>
  <c r="B66" i="70"/>
  <c r="B66" i="71"/>
  <c r="E59" i="60"/>
  <c r="F59" i="60" s="1"/>
  <c r="G59" i="60" s="1"/>
  <c r="B59" i="60"/>
  <c r="B63" i="43"/>
  <c r="F63" i="43"/>
  <c r="H58" i="63"/>
  <c r="I58" i="63" s="1"/>
  <c r="D59" i="63"/>
  <c r="E59" i="63" s="1"/>
  <c r="I67" i="28"/>
  <c r="H54" i="89"/>
  <c r="H58" i="60"/>
  <c r="H54" i="92"/>
  <c r="I54" i="92" s="1"/>
  <c r="E55" i="92"/>
  <c r="D55" i="92"/>
  <c r="E65" i="32"/>
  <c r="F65" i="32" s="1"/>
  <c r="D66" i="32" s="1"/>
  <c r="B65" i="32"/>
  <c r="D60" i="54"/>
  <c r="E60" i="54" s="1"/>
  <c r="G56" i="78"/>
  <c r="I56" i="78" s="1"/>
  <c r="G66" i="69"/>
  <c r="I66" i="69" s="1"/>
  <c r="E63" i="41"/>
  <c r="F63" i="41" s="1"/>
  <c r="B63" i="41"/>
  <c r="D64" i="19"/>
  <c r="I64" i="17"/>
  <c r="B68" i="28"/>
  <c r="F68" i="28"/>
  <c r="G56" i="77"/>
  <c r="I56" i="77" s="1"/>
  <c r="E57" i="77"/>
  <c r="D57" i="77"/>
  <c r="E60" i="57"/>
  <c r="F60" i="57" s="1"/>
  <c r="G64" i="32"/>
  <c r="B61" i="45"/>
  <c r="F61" i="45"/>
  <c r="H61" i="45" s="1"/>
  <c r="E66" i="71"/>
  <c r="F66" i="71" s="1"/>
  <c r="E145" i="27"/>
  <c r="F145" i="27" s="1"/>
  <c r="B145" i="27"/>
  <c r="H144" i="27"/>
  <c r="I144" i="27"/>
  <c r="J135" i="78"/>
  <c r="J143" i="70"/>
  <c r="J138" i="58"/>
  <c r="J141" i="20"/>
  <c r="J143" i="69"/>
  <c r="D63" i="73"/>
  <c r="G62" i="73"/>
  <c r="H62" i="73"/>
  <c r="J143" i="23"/>
  <c r="J138" i="53"/>
  <c r="J143" i="29"/>
  <c r="J136" i="68"/>
  <c r="J140" i="43"/>
  <c r="B56" i="33"/>
  <c r="F56" i="33"/>
  <c r="D64" i="18"/>
  <c r="J137" i="65"/>
  <c r="H58" i="59"/>
  <c r="I58" i="59" s="1"/>
  <c r="I61" i="20"/>
  <c r="J135" i="79"/>
  <c r="B58" i="62"/>
  <c r="F58" i="62"/>
  <c r="G58" i="62" s="1"/>
  <c r="G63" i="18"/>
  <c r="I63" i="18" s="1"/>
  <c r="F55" i="87"/>
  <c r="G55" i="87" s="1"/>
  <c r="B55" i="87"/>
  <c r="B54" i="13"/>
  <c r="F54" i="13"/>
  <c r="H54" i="13" s="1"/>
  <c r="F55" i="26"/>
  <c r="B55" i="26"/>
  <c r="D59" i="59"/>
  <c r="E59" i="59" s="1"/>
  <c r="F62" i="20"/>
  <c r="B62" i="20"/>
  <c r="I142" i="22"/>
  <c r="H142" i="22"/>
  <c r="D145" i="70"/>
  <c r="G144" i="70"/>
  <c r="E145" i="70"/>
  <c r="J143" i="71"/>
  <c r="E139" i="64"/>
  <c r="G138" i="64"/>
  <c r="D139" i="64"/>
  <c r="I141" i="73"/>
  <c r="H141" i="73"/>
  <c r="J136" i="66"/>
  <c r="J138" i="46"/>
  <c r="E138" i="68"/>
  <c r="D138" i="68"/>
  <c r="G137" i="68"/>
  <c r="E145" i="69"/>
  <c r="G144" i="69"/>
  <c r="D145" i="69"/>
  <c r="I134" i="91"/>
  <c r="H134" i="91"/>
  <c r="J143" i="30"/>
  <c r="E140" i="53"/>
  <c r="G139" i="53"/>
  <c r="D140" i="53"/>
  <c r="H138" i="62"/>
  <c r="I138" i="62"/>
  <c r="J142" i="31"/>
  <c r="D139" i="65"/>
  <c r="G138" i="65"/>
  <c r="E139" i="65"/>
  <c r="G142" i="19"/>
  <c r="D143" i="19"/>
  <c r="E143" i="19" s="1"/>
  <c r="D139" i="60"/>
  <c r="E139" i="60"/>
  <c r="G138" i="60"/>
  <c r="J142" i="32"/>
  <c r="H144" i="30"/>
  <c r="I144" i="30"/>
  <c r="J139" i="74"/>
  <c r="I141" i="41"/>
  <c r="H141" i="41"/>
  <c r="I134" i="89"/>
  <c r="H134" i="89"/>
  <c r="J141" i="34"/>
  <c r="J141" i="19"/>
  <c r="J137" i="60"/>
  <c r="D140" i="58"/>
  <c r="E140" i="58"/>
  <c r="G139" i="58"/>
  <c r="B139" i="62"/>
  <c r="F139" i="62"/>
  <c r="H135" i="81"/>
  <c r="I135" i="81"/>
  <c r="G134" i="92"/>
  <c r="D135" i="92"/>
  <c r="E135" i="92"/>
  <c r="G143" i="31"/>
  <c r="D144" i="31"/>
  <c r="E144" i="31" s="1"/>
  <c r="D139" i="63"/>
  <c r="G138" i="63"/>
  <c r="E139" i="63"/>
  <c r="J140" i="39"/>
  <c r="D142" i="43"/>
  <c r="E142" i="43" s="1"/>
  <c r="G141" i="43"/>
  <c r="D135" i="84"/>
  <c r="G134" i="84"/>
  <c r="E135" i="84"/>
  <c r="E136" i="85"/>
  <c r="D136" i="85"/>
  <c r="G135" i="85"/>
  <c r="G142" i="34"/>
  <c r="D143" i="34"/>
  <c r="E143" i="34" s="1"/>
  <c r="F136" i="81"/>
  <c r="B136" i="81"/>
  <c r="G134" i="88"/>
  <c r="E135" i="88"/>
  <c r="D135" i="88"/>
  <c r="G136" i="78"/>
  <c r="D137" i="78"/>
  <c r="E137" i="78"/>
  <c r="F141" i="45"/>
  <c r="B141" i="45"/>
  <c r="J137" i="64"/>
  <c r="D137" i="79"/>
  <c r="G136" i="79"/>
  <c r="E137" i="79"/>
  <c r="E135" i="86"/>
  <c r="G134" i="86"/>
  <c r="D135" i="86"/>
  <c r="D141" i="74"/>
  <c r="E141" i="74"/>
  <c r="G140" i="74"/>
  <c r="G142" i="20"/>
  <c r="D143" i="20"/>
  <c r="B143" i="20" s="1"/>
  <c r="G139" i="72"/>
  <c r="E140" i="72"/>
  <c r="D140" i="72"/>
  <c r="D144" i="32"/>
  <c r="G143" i="32"/>
  <c r="B135" i="89"/>
  <c r="F135" i="89"/>
  <c r="J141" i="3"/>
  <c r="E143" i="22"/>
  <c r="F143" i="22" s="1"/>
  <c r="B143" i="22"/>
  <c r="F142" i="73"/>
  <c r="B142" i="73"/>
  <c r="J138" i="72"/>
  <c r="D135" i="90"/>
  <c r="G134" i="90"/>
  <c r="E135" i="90"/>
  <c r="F135" i="91"/>
  <c r="B135" i="91"/>
  <c r="D139" i="61"/>
  <c r="E139" i="61"/>
  <c r="G138" i="61"/>
  <c r="E138" i="66"/>
  <c r="G137" i="66"/>
  <c r="D138" i="66"/>
  <c r="G144" i="29"/>
  <c r="D145" i="29"/>
  <c r="G141" i="39"/>
  <c r="D142" i="39"/>
  <c r="E142" i="39" s="1"/>
  <c r="J137" i="61"/>
  <c r="H140" i="45"/>
  <c r="I140" i="45"/>
  <c r="B142" i="41"/>
  <c r="F142" i="41"/>
  <c r="E140" i="46"/>
  <c r="G139" i="46"/>
  <c r="D140" i="46"/>
  <c r="J137" i="63"/>
  <c r="J142" i="18"/>
  <c r="H140" i="56"/>
  <c r="I140" i="56"/>
  <c r="J138" i="59"/>
  <c r="F141" i="56"/>
  <c r="B141" i="56"/>
  <c r="G139" i="59"/>
  <c r="E140" i="59"/>
  <c r="D140" i="59"/>
  <c r="D145" i="23"/>
  <c r="G144" i="23"/>
  <c r="G143" i="18"/>
  <c r="D144" i="18"/>
  <c r="J136" i="67"/>
  <c r="J144" i="28"/>
  <c r="D145" i="71"/>
  <c r="E145" i="71"/>
  <c r="G144" i="71"/>
  <c r="J139" i="57"/>
  <c r="J142" i="17"/>
  <c r="G140" i="57"/>
  <c r="D141" i="57"/>
  <c r="E141" i="57" s="1"/>
  <c r="G134" i="96"/>
  <c r="D135" i="96"/>
  <c r="E135" i="96" s="1"/>
  <c r="G143" i="17"/>
  <c r="D144" i="17"/>
  <c r="D138" i="67"/>
  <c r="G137" i="67"/>
  <c r="E138" i="67"/>
  <c r="G135" i="94"/>
  <c r="D136" i="94"/>
  <c r="E136" i="94" s="1"/>
  <c r="H136" i="76"/>
  <c r="I136" i="76"/>
  <c r="H142" i="21"/>
  <c r="I142" i="21"/>
  <c r="D146" i="28"/>
  <c r="G145" i="28"/>
  <c r="F140" i="54"/>
  <c r="B140" i="54"/>
  <c r="F137" i="75"/>
  <c r="B137" i="75"/>
  <c r="B137" i="77"/>
  <c r="F137" i="77"/>
  <c r="B134" i="33"/>
  <c r="G134" i="87"/>
  <c r="D135" i="87"/>
  <c r="E135" i="87"/>
  <c r="B144" i="24"/>
  <c r="F142" i="42"/>
  <c r="B142" i="42"/>
  <c r="F137" i="76"/>
  <c r="B137" i="76"/>
  <c r="F143" i="21"/>
  <c r="B143" i="21"/>
  <c r="G135" i="95"/>
  <c r="D136" i="95"/>
  <c r="H139" i="54"/>
  <c r="I139" i="54"/>
  <c r="G141" i="44"/>
  <c r="D142" i="44"/>
  <c r="E142" i="44" s="1"/>
  <c r="I136" i="75"/>
  <c r="H136" i="75"/>
  <c r="H133" i="33"/>
  <c r="I133" i="33"/>
  <c r="B136" i="83"/>
  <c r="F136" i="83"/>
  <c r="F134" i="13"/>
  <c r="B134" i="13"/>
  <c r="F135" i="93"/>
  <c r="B135" i="93"/>
  <c r="H141" i="42"/>
  <c r="I141" i="42"/>
  <c r="H135" i="80"/>
  <c r="I135" i="80"/>
  <c r="H135" i="83"/>
  <c r="I135" i="83"/>
  <c r="I139" i="55"/>
  <c r="H139" i="55"/>
  <c r="F135" i="25"/>
  <c r="B135" i="25"/>
  <c r="I134" i="93"/>
  <c r="H134" i="93"/>
  <c r="E144" i="24"/>
  <c r="F144" i="24" s="1"/>
  <c r="D136" i="82"/>
  <c r="G135" i="82"/>
  <c r="E136" i="82"/>
  <c r="J140" i="44"/>
  <c r="F136" i="80"/>
  <c r="B136" i="80"/>
  <c r="I136" i="77"/>
  <c r="H136" i="77"/>
  <c r="E134" i="33"/>
  <c r="F134" i="33" s="1"/>
  <c r="H133" i="13"/>
  <c r="I133" i="13"/>
  <c r="F140" i="55"/>
  <c r="B140" i="55"/>
  <c r="D143" i="3"/>
  <c r="E143" i="3" s="1"/>
  <c r="G142" i="3"/>
  <c r="I134" i="25"/>
  <c r="H134" i="25"/>
  <c r="I143" i="24"/>
  <c r="H143" i="24"/>
  <c r="I55" i="91" l="1"/>
  <c r="I69" i="97"/>
  <c r="D71" i="97"/>
  <c r="E71" i="97" s="1"/>
  <c r="F71" i="97" s="1"/>
  <c r="D72" i="97" s="1"/>
  <c r="G70" i="97"/>
  <c r="H70" i="97"/>
  <c r="E65" i="99"/>
  <c r="F65" i="99" s="1"/>
  <c r="D66" i="99" s="1"/>
  <c r="B65" i="99"/>
  <c r="F55" i="98"/>
  <c r="G55" i="98" s="1"/>
  <c r="B55" i="98"/>
  <c r="B64" i="99"/>
  <c r="G64" i="99"/>
  <c r="H64" i="99"/>
  <c r="I64" i="27"/>
  <c r="D136" i="26"/>
  <c r="G135" i="26"/>
  <c r="J134" i="26"/>
  <c r="G134" i="99"/>
  <c r="E135" i="99"/>
  <c r="D135" i="99"/>
  <c r="I56" i="80"/>
  <c r="D63" i="58"/>
  <c r="B63" i="58" s="1"/>
  <c r="I61" i="58"/>
  <c r="I61" i="46"/>
  <c r="F135" i="97"/>
  <c r="B135" i="97"/>
  <c r="H134" i="98"/>
  <c r="I134" i="98"/>
  <c r="H134" i="97"/>
  <c r="I134" i="97"/>
  <c r="B135" i="98"/>
  <c r="F135" i="98"/>
  <c r="E145" i="30"/>
  <c r="F145" i="30" s="1"/>
  <c r="D146" i="30" s="1"/>
  <c r="B146" i="30" s="1"/>
  <c r="I54" i="89"/>
  <c r="B59" i="67"/>
  <c r="F59" i="67"/>
  <c r="H59" i="67" s="1"/>
  <c r="B62" i="58"/>
  <c r="G62" i="58"/>
  <c r="H62" i="58"/>
  <c r="E62" i="46"/>
  <c r="F62" i="46" s="1"/>
  <c r="I64" i="24"/>
  <c r="E65" i="24"/>
  <c r="F65" i="24" s="1"/>
  <c r="B65" i="24"/>
  <c r="D65" i="42"/>
  <c r="E65" i="42" s="1"/>
  <c r="F65" i="42" s="1"/>
  <c r="H65" i="42" s="1"/>
  <c r="G64" i="42"/>
  <c r="I54" i="94"/>
  <c r="F57" i="80"/>
  <c r="B57" i="80"/>
  <c r="H55" i="25"/>
  <c r="G55" i="25"/>
  <c r="D56" i="25"/>
  <c r="D58" i="82"/>
  <c r="E58" i="82" s="1"/>
  <c r="F58" i="82" s="1"/>
  <c r="I59" i="64"/>
  <c r="I58" i="65"/>
  <c r="F54" i="93"/>
  <c r="H54" i="93" s="1"/>
  <c r="B54" i="93"/>
  <c r="H57" i="82"/>
  <c r="I57" i="82" s="1"/>
  <c r="B55" i="94"/>
  <c r="F55" i="94"/>
  <c r="G55" i="94" s="1"/>
  <c r="G56" i="86"/>
  <c r="E57" i="86"/>
  <c r="D57" i="86"/>
  <c r="H56" i="86"/>
  <c r="H62" i="55"/>
  <c r="D63" i="55"/>
  <c r="G62" i="55"/>
  <c r="G65" i="23"/>
  <c r="D66" i="23"/>
  <c r="E66" i="23" s="1"/>
  <c r="F66" i="23" s="1"/>
  <c r="D67" i="23" s="1"/>
  <c r="H65" i="23"/>
  <c r="D60" i="65"/>
  <c r="B60" i="65" s="1"/>
  <c r="E59" i="66"/>
  <c r="F59" i="66" s="1"/>
  <c r="B59" i="66"/>
  <c r="D58" i="75"/>
  <c r="E58" i="75" s="1"/>
  <c r="F58" i="75" s="1"/>
  <c r="D59" i="75" s="1"/>
  <c r="F56" i="84"/>
  <c r="B56" i="84"/>
  <c r="D61" i="53"/>
  <c r="E61" i="53" s="1"/>
  <c r="F61" i="53" s="1"/>
  <c r="B57" i="90"/>
  <c r="F57" i="90"/>
  <c r="H57" i="90" s="1"/>
  <c r="H57" i="75"/>
  <c r="H60" i="53"/>
  <c r="H64" i="42"/>
  <c r="B56" i="91"/>
  <c r="F56" i="91"/>
  <c r="I59" i="53"/>
  <c r="G57" i="75"/>
  <c r="G60" i="53"/>
  <c r="B59" i="65"/>
  <c r="H59" i="65"/>
  <c r="G59" i="65"/>
  <c r="D63" i="44"/>
  <c r="E63" i="44" s="1"/>
  <c r="G56" i="85"/>
  <c r="D57" i="85"/>
  <c r="E57" i="85"/>
  <c r="B63" i="39"/>
  <c r="G64" i="34"/>
  <c r="D65" i="34"/>
  <c r="H64" i="34"/>
  <c r="D60" i="61"/>
  <c r="E60" i="61" s="1"/>
  <c r="E65" i="27"/>
  <c r="F65" i="27" s="1"/>
  <c r="B65" i="27"/>
  <c r="H56" i="85"/>
  <c r="I53" i="96"/>
  <c r="I60" i="72"/>
  <c r="H54" i="95"/>
  <c r="I54" i="95" s="1"/>
  <c r="E55" i="95"/>
  <c r="D55" i="95"/>
  <c r="B59" i="61"/>
  <c r="H59" i="61"/>
  <c r="G59" i="61"/>
  <c r="G64" i="22"/>
  <c r="F57" i="76"/>
  <c r="H57" i="76" s="1"/>
  <c r="B57" i="76"/>
  <c r="E65" i="22"/>
  <c r="F65" i="22" s="1"/>
  <c r="B65" i="22"/>
  <c r="H64" i="22"/>
  <c r="D62" i="72"/>
  <c r="F56" i="81"/>
  <c r="G56" i="81" s="1"/>
  <c r="B56" i="81"/>
  <c r="E63" i="39"/>
  <c r="F63" i="39" s="1"/>
  <c r="B54" i="96"/>
  <c r="F54" i="96"/>
  <c r="H54" i="96" s="1"/>
  <c r="B62" i="44"/>
  <c r="G62" i="44"/>
  <c r="H62" i="44"/>
  <c r="B61" i="72"/>
  <c r="G61" i="72"/>
  <c r="H61" i="72"/>
  <c r="I58" i="60"/>
  <c r="G60" i="57"/>
  <c r="D61" i="57"/>
  <c r="H60" i="57"/>
  <c r="H59" i="56"/>
  <c r="D60" i="56"/>
  <c r="E60" i="56" s="1"/>
  <c r="F60" i="56" s="1"/>
  <c r="D61" i="56" s="1"/>
  <c r="G59" i="56"/>
  <c r="H66" i="71"/>
  <c r="D67" i="71"/>
  <c r="E67" i="71" s="1"/>
  <c r="F67" i="71" s="1"/>
  <c r="G66" i="71"/>
  <c r="D67" i="70"/>
  <c r="H66" i="70"/>
  <c r="G66" i="70"/>
  <c r="H63" i="41"/>
  <c r="D64" i="41"/>
  <c r="E64" i="41" s="1"/>
  <c r="G63" i="41"/>
  <c r="D68" i="29"/>
  <c r="H67" i="29"/>
  <c r="G67" i="29"/>
  <c r="E66" i="32"/>
  <c r="F66" i="32" s="1"/>
  <c r="B66" i="32"/>
  <c r="F59" i="63"/>
  <c r="B59" i="63"/>
  <c r="B67" i="3"/>
  <c r="H63" i="74"/>
  <c r="D64" i="74"/>
  <c r="F57" i="78"/>
  <c r="H57" i="78" s="1"/>
  <c r="B57" i="78"/>
  <c r="E56" i="83"/>
  <c r="D56" i="83"/>
  <c r="F57" i="79"/>
  <c r="G57" i="79" s="1"/>
  <c r="B57" i="79"/>
  <c r="H55" i="87"/>
  <c r="I55" i="87" s="1"/>
  <c r="I64" i="32"/>
  <c r="D67" i="31"/>
  <c r="E67" i="31" s="1"/>
  <c r="H66" i="31"/>
  <c r="D59" i="68"/>
  <c r="E59" i="68" s="1"/>
  <c r="I62" i="21"/>
  <c r="E60" i="64"/>
  <c r="F60" i="64" s="1"/>
  <c r="B60" i="64"/>
  <c r="B64" i="19"/>
  <c r="B55" i="92"/>
  <c r="F55" i="92"/>
  <c r="G55" i="92" s="1"/>
  <c r="D64" i="43"/>
  <c r="E64" i="43" s="1"/>
  <c r="D60" i="60"/>
  <c r="E60" i="60" s="1"/>
  <c r="I62" i="73"/>
  <c r="G61" i="45"/>
  <c r="I61" i="45" s="1"/>
  <c r="D62" i="45"/>
  <c r="G68" i="28"/>
  <c r="D69" i="28"/>
  <c r="H68" i="28"/>
  <c r="B60" i="54"/>
  <c r="F60" i="54"/>
  <c r="D61" i="54" s="1"/>
  <c r="G65" i="32"/>
  <c r="H63" i="43"/>
  <c r="H59" i="60"/>
  <c r="I59" i="60" s="1"/>
  <c r="G63" i="74"/>
  <c r="G66" i="31"/>
  <c r="F67" i="69"/>
  <c r="D68" i="69" s="1"/>
  <c r="B67" i="69"/>
  <c r="H65" i="17"/>
  <c r="D66" i="17"/>
  <c r="G55" i="83"/>
  <c r="F55" i="89"/>
  <c r="B55" i="89"/>
  <c r="E63" i="21"/>
  <c r="F63" i="21" s="1"/>
  <c r="B63" i="21"/>
  <c r="B57" i="77"/>
  <c r="F57" i="77"/>
  <c r="H57" i="77" s="1"/>
  <c r="E64" i="19"/>
  <c r="F64" i="19" s="1"/>
  <c r="H65" i="32"/>
  <c r="G63" i="43"/>
  <c r="E67" i="3"/>
  <c r="F67" i="3" s="1"/>
  <c r="D68" i="3" s="1"/>
  <c r="F65" i="30"/>
  <c r="D66" i="30" s="1"/>
  <c r="B65" i="30"/>
  <c r="G56" i="88"/>
  <c r="I56" i="88" s="1"/>
  <c r="E57" i="88"/>
  <c r="D57" i="88"/>
  <c r="G65" i="17"/>
  <c r="H55" i="83"/>
  <c r="H58" i="68"/>
  <c r="I58" i="68" s="1"/>
  <c r="E143" i="20"/>
  <c r="F143" i="20" s="1"/>
  <c r="D146" i="27"/>
  <c r="G145" i="27"/>
  <c r="J144" i="27"/>
  <c r="J138" i="62"/>
  <c r="J133" i="33"/>
  <c r="D63" i="20"/>
  <c r="E63" i="20" s="1"/>
  <c r="D57" i="33"/>
  <c r="E57" i="33" s="1"/>
  <c r="B63" i="73"/>
  <c r="J144" i="30"/>
  <c r="D59" i="62"/>
  <c r="E63" i="73"/>
  <c r="F63" i="73" s="1"/>
  <c r="D56" i="26"/>
  <c r="E56" i="26" s="1"/>
  <c r="B64" i="18"/>
  <c r="J140" i="45"/>
  <c r="G62" i="20"/>
  <c r="G55" i="26"/>
  <c r="D55" i="13"/>
  <c r="H56" i="33"/>
  <c r="H62" i="20"/>
  <c r="F59" i="59"/>
  <c r="B59" i="59"/>
  <c r="H55" i="26"/>
  <c r="G54" i="13"/>
  <c r="I54" i="13" s="1"/>
  <c r="D56" i="87"/>
  <c r="E56" i="87"/>
  <c r="H58" i="62"/>
  <c r="I58" i="62" s="1"/>
  <c r="E64" i="18"/>
  <c r="F64" i="18" s="1"/>
  <c r="G56" i="33"/>
  <c r="B140" i="46"/>
  <c r="F140" i="46"/>
  <c r="B140" i="72"/>
  <c r="F140" i="72"/>
  <c r="B144" i="31"/>
  <c r="F144" i="31"/>
  <c r="I138" i="64"/>
  <c r="H138" i="64"/>
  <c r="H139" i="46"/>
  <c r="I139" i="46"/>
  <c r="H144" i="29"/>
  <c r="I144" i="29"/>
  <c r="I138" i="61"/>
  <c r="H138" i="61"/>
  <c r="G135" i="91"/>
  <c r="D136" i="91"/>
  <c r="E136" i="91"/>
  <c r="D144" i="22"/>
  <c r="G143" i="22"/>
  <c r="I142" i="20"/>
  <c r="H142" i="20"/>
  <c r="F135" i="86"/>
  <c r="B135" i="86"/>
  <c r="H136" i="79"/>
  <c r="I136" i="79"/>
  <c r="D142" i="45"/>
  <c r="E142" i="45" s="1"/>
  <c r="G141" i="45"/>
  <c r="F135" i="88"/>
  <c r="B135" i="88"/>
  <c r="G136" i="81"/>
  <c r="D137" i="81"/>
  <c r="E137" i="81"/>
  <c r="H135" i="85"/>
  <c r="I135" i="85"/>
  <c r="H134" i="84"/>
  <c r="I134" i="84"/>
  <c r="H138" i="63"/>
  <c r="I138" i="63"/>
  <c r="I143" i="31"/>
  <c r="H143" i="31"/>
  <c r="H139" i="58"/>
  <c r="I139" i="58"/>
  <c r="F139" i="60"/>
  <c r="B139" i="60"/>
  <c r="F145" i="69"/>
  <c r="B145" i="69"/>
  <c r="F138" i="68"/>
  <c r="B138" i="68"/>
  <c r="B145" i="70"/>
  <c r="F145" i="70"/>
  <c r="B145" i="29"/>
  <c r="E145" i="29"/>
  <c r="F145" i="29" s="1"/>
  <c r="B142" i="43"/>
  <c r="F142" i="43"/>
  <c r="I142" i="19"/>
  <c r="H142" i="19"/>
  <c r="H144" i="70"/>
  <c r="I144" i="70"/>
  <c r="J139" i="55"/>
  <c r="B142" i="39"/>
  <c r="F142" i="39"/>
  <c r="B138" i="66"/>
  <c r="F138" i="66"/>
  <c r="I143" i="32"/>
  <c r="H143" i="32"/>
  <c r="I139" i="72"/>
  <c r="H139" i="72"/>
  <c r="I140" i="74"/>
  <c r="H140" i="74"/>
  <c r="I134" i="86"/>
  <c r="H134" i="86"/>
  <c r="F137" i="79"/>
  <c r="B137" i="79"/>
  <c r="B143" i="34"/>
  <c r="F143" i="34"/>
  <c r="F136" i="85"/>
  <c r="B136" i="85"/>
  <c r="B135" i="84"/>
  <c r="F135" i="84"/>
  <c r="B139" i="63"/>
  <c r="F139" i="63"/>
  <c r="J141" i="41"/>
  <c r="B143" i="19"/>
  <c r="F143" i="19"/>
  <c r="I138" i="65"/>
  <c r="H138" i="65"/>
  <c r="I144" i="69"/>
  <c r="H144" i="69"/>
  <c r="J141" i="73"/>
  <c r="B135" i="90"/>
  <c r="F135" i="90"/>
  <c r="D136" i="89"/>
  <c r="E136" i="89"/>
  <c r="G135" i="89"/>
  <c r="F141" i="74"/>
  <c r="B141" i="74"/>
  <c r="H136" i="78"/>
  <c r="I136" i="78"/>
  <c r="H134" i="92"/>
  <c r="I134" i="92"/>
  <c r="I139" i="53"/>
  <c r="H139" i="53"/>
  <c r="I137" i="68"/>
  <c r="H137" i="68"/>
  <c r="D143" i="41"/>
  <c r="B143" i="41" s="1"/>
  <c r="G142" i="41"/>
  <c r="I141" i="39"/>
  <c r="H141" i="39"/>
  <c r="I137" i="66"/>
  <c r="H137" i="66"/>
  <c r="B139" i="61"/>
  <c r="F139" i="61"/>
  <c r="H134" i="90"/>
  <c r="I134" i="90"/>
  <c r="G142" i="73"/>
  <c r="D143" i="73"/>
  <c r="E143" i="73"/>
  <c r="E144" i="32"/>
  <c r="F144" i="32" s="1"/>
  <c r="B144" i="32"/>
  <c r="F137" i="78"/>
  <c r="B137" i="78"/>
  <c r="I134" i="88"/>
  <c r="H134" i="88"/>
  <c r="I142" i="34"/>
  <c r="H142" i="34"/>
  <c r="H141" i="43"/>
  <c r="I141" i="43"/>
  <c r="B135" i="92"/>
  <c r="F135" i="92"/>
  <c r="D140" i="62"/>
  <c r="E140" i="62"/>
  <c r="G139" i="62"/>
  <c r="F140" i="58"/>
  <c r="B140" i="58"/>
  <c r="I138" i="60"/>
  <c r="H138" i="60"/>
  <c r="B139" i="65"/>
  <c r="F139" i="65"/>
  <c r="B140" i="53"/>
  <c r="F140" i="53"/>
  <c r="B139" i="64"/>
  <c r="F139" i="64"/>
  <c r="J142" i="22"/>
  <c r="E144" i="18"/>
  <c r="F144" i="18" s="1"/>
  <c r="B144" i="18"/>
  <c r="E145" i="23"/>
  <c r="F145" i="23" s="1"/>
  <c r="B145" i="23"/>
  <c r="H139" i="59"/>
  <c r="I139" i="59"/>
  <c r="J140" i="56"/>
  <c r="I143" i="18"/>
  <c r="H143" i="18"/>
  <c r="B140" i="59"/>
  <c r="F140" i="59"/>
  <c r="D142" i="56"/>
  <c r="E142" i="56" s="1"/>
  <c r="G141" i="56"/>
  <c r="J142" i="21"/>
  <c r="I144" i="23"/>
  <c r="H144" i="23"/>
  <c r="J139" i="54"/>
  <c r="I140" i="57"/>
  <c r="H140" i="57"/>
  <c r="F145" i="71"/>
  <c r="B145" i="71"/>
  <c r="F141" i="57"/>
  <c r="B141" i="57"/>
  <c r="J143" i="24"/>
  <c r="J134" i="25"/>
  <c r="I144" i="71"/>
  <c r="H144" i="71"/>
  <c r="G144" i="24"/>
  <c r="D145" i="24"/>
  <c r="E145" i="24" s="1"/>
  <c r="G134" i="33"/>
  <c r="D135" i="33"/>
  <c r="E135" i="33" s="1"/>
  <c r="D137" i="80"/>
  <c r="E137" i="80"/>
  <c r="G136" i="80"/>
  <c r="F136" i="82"/>
  <c r="B136" i="82"/>
  <c r="D136" i="25"/>
  <c r="E136" i="25" s="1"/>
  <c r="G135" i="25"/>
  <c r="B142" i="44"/>
  <c r="F142" i="44"/>
  <c r="B136" i="95"/>
  <c r="E141" i="54"/>
  <c r="D141" i="54"/>
  <c r="G140" i="54"/>
  <c r="B146" i="28"/>
  <c r="H137" i="67"/>
  <c r="I137" i="67"/>
  <c r="B144" i="17"/>
  <c r="H142" i="3"/>
  <c r="I142" i="3"/>
  <c r="J136" i="77"/>
  <c r="J136" i="75"/>
  <c r="I141" i="44"/>
  <c r="H141" i="44"/>
  <c r="I135" i="95"/>
  <c r="H135" i="95"/>
  <c r="D144" i="21"/>
  <c r="E144" i="21" s="1"/>
  <c r="G143" i="21"/>
  <c r="E138" i="76"/>
  <c r="G137" i="76"/>
  <c r="D138" i="76"/>
  <c r="G142" i="42"/>
  <c r="D143" i="42"/>
  <c r="E143" i="42" s="1"/>
  <c r="F135" i="87"/>
  <c r="B135" i="87"/>
  <c r="B136" i="94"/>
  <c r="F136" i="94"/>
  <c r="F138" i="67"/>
  <c r="B138" i="67"/>
  <c r="I143" i="17"/>
  <c r="H143" i="17"/>
  <c r="G140" i="55"/>
  <c r="D141" i="55"/>
  <c r="E141" i="55" s="1"/>
  <c r="F143" i="3"/>
  <c r="B143" i="3"/>
  <c r="J141" i="42"/>
  <c r="D137" i="83"/>
  <c r="G136" i="83"/>
  <c r="E137" i="83"/>
  <c r="H134" i="87"/>
  <c r="I134" i="87"/>
  <c r="G137" i="75"/>
  <c r="D138" i="75"/>
  <c r="E138" i="75"/>
  <c r="E146" i="28"/>
  <c r="F146" i="28" s="1"/>
  <c r="J136" i="76"/>
  <c r="I135" i="94"/>
  <c r="H135" i="94"/>
  <c r="E144" i="17"/>
  <c r="F144" i="17" s="1"/>
  <c r="F135" i="96"/>
  <c r="B135" i="96"/>
  <c r="I135" i="82"/>
  <c r="H135" i="82"/>
  <c r="G135" i="93"/>
  <c r="D136" i="93"/>
  <c r="E136" i="93" s="1"/>
  <c r="G134" i="13"/>
  <c r="D135" i="13"/>
  <c r="E135" i="13" s="1"/>
  <c r="E136" i="95"/>
  <c r="F136" i="95" s="1"/>
  <c r="D138" i="77"/>
  <c r="G137" i="77"/>
  <c r="E138" i="77"/>
  <c r="I145" i="28"/>
  <c r="H145" i="28"/>
  <c r="H134" i="96"/>
  <c r="I134" i="96"/>
  <c r="G145" i="30" l="1"/>
  <c r="I64" i="99"/>
  <c r="I65" i="23"/>
  <c r="G57" i="90"/>
  <c r="G65" i="99"/>
  <c r="I70" i="97"/>
  <c r="D56" i="98"/>
  <c r="E56" i="98"/>
  <c r="E66" i="99"/>
  <c r="F66" i="99" s="1"/>
  <c r="D67" i="99" s="1"/>
  <c r="B66" i="99"/>
  <c r="E72" i="97"/>
  <c r="E73" i="97" s="1"/>
  <c r="B72" i="97"/>
  <c r="H55" i="98"/>
  <c r="I55" i="98" s="1"/>
  <c r="H65" i="99"/>
  <c r="B71" i="97"/>
  <c r="G71" i="97"/>
  <c r="H71" i="97"/>
  <c r="I55" i="25"/>
  <c r="E63" i="58"/>
  <c r="F63" i="58" s="1"/>
  <c r="I135" i="26"/>
  <c r="H135" i="26"/>
  <c r="B136" i="26"/>
  <c r="E136" i="26"/>
  <c r="F136" i="26" s="1"/>
  <c r="B135" i="99"/>
  <c r="F135" i="99"/>
  <c r="I134" i="99"/>
  <c r="H134" i="99"/>
  <c r="G59" i="67"/>
  <c r="I59" i="67" s="1"/>
  <c r="I62" i="58"/>
  <c r="I64" i="42"/>
  <c r="D136" i="98"/>
  <c r="G135" i="98"/>
  <c r="E136" i="98"/>
  <c r="D136" i="97"/>
  <c r="E136" i="97" s="1"/>
  <c r="G135" i="97"/>
  <c r="I57" i="90"/>
  <c r="D60" i="67"/>
  <c r="E60" i="67" s="1"/>
  <c r="I60" i="57"/>
  <c r="D63" i="46"/>
  <c r="E63" i="46" s="1"/>
  <c r="F63" i="46" s="1"/>
  <c r="G62" i="46"/>
  <c r="H62" i="46"/>
  <c r="B65" i="42"/>
  <c r="H65" i="24"/>
  <c r="D66" i="24"/>
  <c r="G65" i="24"/>
  <c r="D66" i="27"/>
  <c r="B66" i="27" s="1"/>
  <c r="H55" i="94"/>
  <c r="I55" i="94" s="1"/>
  <c r="E55" i="93"/>
  <c r="D55" i="93"/>
  <c r="D59" i="82"/>
  <c r="E59" i="82" s="1"/>
  <c r="F59" i="82" s="1"/>
  <c r="G57" i="80"/>
  <c r="D58" i="80"/>
  <c r="G67" i="69"/>
  <c r="I61" i="72"/>
  <c r="I56" i="86"/>
  <c r="G54" i="93"/>
  <c r="I54" i="93" s="1"/>
  <c r="B58" i="82"/>
  <c r="G58" i="82"/>
  <c r="H58" i="82"/>
  <c r="H57" i="80"/>
  <c r="E60" i="65"/>
  <c r="F60" i="65" s="1"/>
  <c r="D61" i="65" s="1"/>
  <c r="E61" i="65" s="1"/>
  <c r="F57" i="86"/>
  <c r="H57" i="86" s="1"/>
  <c r="B57" i="86"/>
  <c r="D56" i="94"/>
  <c r="E56" i="94"/>
  <c r="E56" i="25"/>
  <c r="F56" i="25" s="1"/>
  <c r="B56" i="25"/>
  <c r="D60" i="66"/>
  <c r="E60" i="66" s="1"/>
  <c r="F60" i="66" s="1"/>
  <c r="G59" i="66"/>
  <c r="H59" i="66"/>
  <c r="D57" i="84"/>
  <c r="E57" i="84"/>
  <c r="H60" i="65"/>
  <c r="I64" i="22"/>
  <c r="I59" i="65"/>
  <c r="G65" i="42"/>
  <c r="I65" i="42" s="1"/>
  <c r="D66" i="42"/>
  <c r="B61" i="53"/>
  <c r="G61" i="53"/>
  <c r="H61" i="53"/>
  <c r="G56" i="84"/>
  <c r="E59" i="75"/>
  <c r="F59" i="75" s="1"/>
  <c r="B59" i="75"/>
  <c r="E67" i="23"/>
  <c r="F67" i="23" s="1"/>
  <c r="B67" i="23"/>
  <c r="B63" i="55"/>
  <c r="D62" i="53"/>
  <c r="G57" i="76"/>
  <c r="I57" i="76" s="1"/>
  <c r="I59" i="61"/>
  <c r="I60" i="53"/>
  <c r="D58" i="90"/>
  <c r="E58" i="90" s="1"/>
  <c r="H56" i="84"/>
  <c r="B58" i="75"/>
  <c r="H58" i="75"/>
  <c r="G58" i="75"/>
  <c r="B66" i="23"/>
  <c r="H66" i="23"/>
  <c r="G66" i="23"/>
  <c r="E63" i="55"/>
  <c r="F63" i="55" s="1"/>
  <c r="I65" i="32"/>
  <c r="H56" i="91"/>
  <c r="E57" i="91"/>
  <c r="G56" i="91"/>
  <c r="D57" i="91"/>
  <c r="I57" i="75"/>
  <c r="I62" i="55"/>
  <c r="D64" i="39"/>
  <c r="E64" i="39" s="1"/>
  <c r="G63" i="39"/>
  <c r="H63" i="39"/>
  <c r="B65" i="34"/>
  <c r="D66" i="22"/>
  <c r="F60" i="61"/>
  <c r="B60" i="61"/>
  <c r="B62" i="72"/>
  <c r="G65" i="30"/>
  <c r="H60" i="54"/>
  <c r="E57" i="81"/>
  <c r="D57" i="81"/>
  <c r="H65" i="22"/>
  <c r="B55" i="95"/>
  <c r="F55" i="95"/>
  <c r="H55" i="95" s="1"/>
  <c r="I56" i="85"/>
  <c r="H65" i="27"/>
  <c r="I64" i="34"/>
  <c r="H65" i="30"/>
  <c r="I62" i="44"/>
  <c r="G54" i="96"/>
  <c r="I54" i="96" s="1"/>
  <c r="E55" i="96"/>
  <c r="D55" i="96"/>
  <c r="H56" i="81"/>
  <c r="I56" i="81" s="1"/>
  <c r="E62" i="72"/>
  <c r="F62" i="72" s="1"/>
  <c r="G65" i="22"/>
  <c r="E58" i="76"/>
  <c r="D58" i="76"/>
  <c r="G65" i="27"/>
  <c r="E65" i="34"/>
  <c r="F65" i="34" s="1"/>
  <c r="B57" i="85"/>
  <c r="F57" i="85"/>
  <c r="H57" i="85" s="1"/>
  <c r="B63" i="44"/>
  <c r="F63" i="44"/>
  <c r="I66" i="70"/>
  <c r="I65" i="17"/>
  <c r="I55" i="83"/>
  <c r="D65" i="19"/>
  <c r="G64" i="19"/>
  <c r="H64" i="19"/>
  <c r="D61" i="64"/>
  <c r="E61" i="64" s="1"/>
  <c r="H60" i="64"/>
  <c r="G60" i="64"/>
  <c r="D64" i="21"/>
  <c r="E64" i="21" s="1"/>
  <c r="H63" i="21"/>
  <c r="G63" i="21"/>
  <c r="D68" i="71"/>
  <c r="E68" i="71" s="1"/>
  <c r="F68" i="71" s="1"/>
  <c r="E68" i="3"/>
  <c r="F68" i="3" s="1"/>
  <c r="B68" i="3"/>
  <c r="F56" i="83"/>
  <c r="H56" i="83" s="1"/>
  <c r="B56" i="83"/>
  <c r="G67" i="3"/>
  <c r="D67" i="32"/>
  <c r="E67" i="32" s="1"/>
  <c r="G55" i="89"/>
  <c r="E56" i="89"/>
  <c r="D56" i="89"/>
  <c r="I63" i="43"/>
  <c r="E62" i="45"/>
  <c r="F62" i="45" s="1"/>
  <c r="B62" i="45"/>
  <c r="H67" i="3"/>
  <c r="E67" i="70"/>
  <c r="F67" i="70" s="1"/>
  <c r="G67" i="70" s="1"/>
  <c r="B67" i="70"/>
  <c r="I59" i="56"/>
  <c r="E68" i="69"/>
  <c r="F68" i="69" s="1"/>
  <c r="B68" i="69"/>
  <c r="I68" i="28"/>
  <c r="H55" i="92"/>
  <c r="I55" i="92" s="1"/>
  <c r="E56" i="92"/>
  <c r="D56" i="92"/>
  <c r="F59" i="68"/>
  <c r="D60" i="68" s="1"/>
  <c r="B59" i="68"/>
  <c r="I66" i="31"/>
  <c r="D58" i="79"/>
  <c r="E58" i="79" s="1"/>
  <c r="E64" i="74"/>
  <c r="F64" i="74" s="1"/>
  <c r="H64" i="74" s="1"/>
  <c r="B64" i="74"/>
  <c r="E68" i="29"/>
  <c r="F68" i="29" s="1"/>
  <c r="B68" i="29"/>
  <c r="E61" i="56"/>
  <c r="F61" i="56" s="1"/>
  <c r="B61" i="56"/>
  <c r="E61" i="57"/>
  <c r="F61" i="57" s="1"/>
  <c r="H61" i="57" s="1"/>
  <c r="B61" i="57"/>
  <c r="B66" i="17"/>
  <c r="D58" i="78"/>
  <c r="E58" i="78" s="1"/>
  <c r="H59" i="63"/>
  <c r="D60" i="63"/>
  <c r="F57" i="88"/>
  <c r="B57" i="88"/>
  <c r="D58" i="77"/>
  <c r="E58" i="77" s="1"/>
  <c r="E61" i="54"/>
  <c r="F61" i="54" s="1"/>
  <c r="B61" i="54"/>
  <c r="B60" i="60"/>
  <c r="F60" i="60"/>
  <c r="H60" i="60" s="1"/>
  <c r="G57" i="78"/>
  <c r="I57" i="78" s="1"/>
  <c r="G59" i="63"/>
  <c r="G66" i="32"/>
  <c r="I67" i="29"/>
  <c r="F64" i="41"/>
  <c r="B64" i="41"/>
  <c r="I66" i="71"/>
  <c r="E66" i="30"/>
  <c r="F66" i="30" s="1"/>
  <c r="B66" i="30"/>
  <c r="G57" i="77"/>
  <c r="I57" i="77" s="1"/>
  <c r="H55" i="89"/>
  <c r="E66" i="17"/>
  <c r="F66" i="17" s="1"/>
  <c r="H66" i="17" s="1"/>
  <c r="H67" i="69"/>
  <c r="G60" i="54"/>
  <c r="E69" i="28"/>
  <c r="F69" i="28" s="1"/>
  <c r="B69" i="28"/>
  <c r="F64" i="43"/>
  <c r="B64" i="43"/>
  <c r="F67" i="31"/>
  <c r="H67" i="31" s="1"/>
  <c r="B67" i="31"/>
  <c r="H57" i="79"/>
  <c r="I57" i="79" s="1"/>
  <c r="I63" i="74"/>
  <c r="H66" i="32"/>
  <c r="I66" i="32" s="1"/>
  <c r="I63" i="41"/>
  <c r="B67" i="71"/>
  <c r="G67" i="71"/>
  <c r="H67" i="71"/>
  <c r="B60" i="56"/>
  <c r="G60" i="56"/>
  <c r="H60" i="56"/>
  <c r="E143" i="41"/>
  <c r="F143" i="41" s="1"/>
  <c r="I145" i="27"/>
  <c r="H145" i="27"/>
  <c r="E146" i="27"/>
  <c r="F146" i="27" s="1"/>
  <c r="B146" i="27"/>
  <c r="J144" i="29"/>
  <c r="D64" i="73"/>
  <c r="E64" i="73" s="1"/>
  <c r="H63" i="73"/>
  <c r="G63" i="73"/>
  <c r="D65" i="18"/>
  <c r="G64" i="18"/>
  <c r="H64" i="18"/>
  <c r="B55" i="13"/>
  <c r="J137" i="68"/>
  <c r="J144" i="69"/>
  <c r="J142" i="19"/>
  <c r="J143" i="31"/>
  <c r="J142" i="20"/>
  <c r="D60" i="59"/>
  <c r="E60" i="59" s="1"/>
  <c r="I62" i="20"/>
  <c r="E55" i="13"/>
  <c r="F55" i="13" s="1"/>
  <c r="B56" i="26"/>
  <c r="F56" i="26"/>
  <c r="G56" i="26" s="1"/>
  <c r="B59" i="62"/>
  <c r="J142" i="34"/>
  <c r="J136" i="78"/>
  <c r="J144" i="70"/>
  <c r="J139" i="58"/>
  <c r="J138" i="63"/>
  <c r="I55" i="26"/>
  <c r="H59" i="59"/>
  <c r="I56" i="33"/>
  <c r="B57" i="33"/>
  <c r="F57" i="33"/>
  <c r="H57" i="33" s="1"/>
  <c r="J141" i="43"/>
  <c r="J139" i="46"/>
  <c r="B56" i="87"/>
  <c r="F56" i="87"/>
  <c r="H56" i="87" s="1"/>
  <c r="G59" i="59"/>
  <c r="E59" i="62"/>
  <c r="F59" i="62" s="1"/>
  <c r="B63" i="20"/>
  <c r="F63" i="20"/>
  <c r="H63" i="20" s="1"/>
  <c r="G144" i="32"/>
  <c r="D145" i="32"/>
  <c r="B145" i="32" s="1"/>
  <c r="B140" i="62"/>
  <c r="F140" i="62"/>
  <c r="D141" i="58"/>
  <c r="E141" i="58"/>
  <c r="G140" i="58"/>
  <c r="G135" i="92"/>
  <c r="E136" i="92"/>
  <c r="D136" i="92"/>
  <c r="D144" i="20"/>
  <c r="E144" i="20" s="1"/>
  <c r="G143" i="20"/>
  <c r="J137" i="66"/>
  <c r="H142" i="41"/>
  <c r="I142" i="41"/>
  <c r="I135" i="89"/>
  <c r="H135" i="89"/>
  <c r="J139" i="72"/>
  <c r="G142" i="43"/>
  <c r="D143" i="43"/>
  <c r="B143" i="43" s="1"/>
  <c r="D146" i="70"/>
  <c r="E146" i="70"/>
  <c r="G145" i="70"/>
  <c r="H136" i="81"/>
  <c r="I136" i="81"/>
  <c r="H143" i="22"/>
  <c r="I143" i="22"/>
  <c r="I135" i="91"/>
  <c r="H135" i="91"/>
  <c r="E141" i="72"/>
  <c r="D141" i="72"/>
  <c r="G140" i="72"/>
  <c r="E140" i="64"/>
  <c r="D140" i="64"/>
  <c r="G139" i="64"/>
  <c r="G139" i="65"/>
  <c r="E140" i="65"/>
  <c r="D140" i="65"/>
  <c r="D138" i="78"/>
  <c r="G137" i="78"/>
  <c r="E138" i="78"/>
  <c r="D142" i="74"/>
  <c r="G141" i="74"/>
  <c r="E142" i="74"/>
  <c r="D136" i="84"/>
  <c r="E136" i="84"/>
  <c r="G135" i="84"/>
  <c r="E139" i="66"/>
  <c r="G138" i="66"/>
  <c r="D139" i="66"/>
  <c r="B137" i="81"/>
  <c r="F137" i="81"/>
  <c r="I141" i="45"/>
  <c r="H141" i="45"/>
  <c r="H145" i="30"/>
  <c r="I145" i="30"/>
  <c r="J144" i="71"/>
  <c r="J140" i="57"/>
  <c r="D141" i="53"/>
  <c r="E141" i="53" s="1"/>
  <c r="G140" i="53"/>
  <c r="I139" i="62"/>
  <c r="H139" i="62"/>
  <c r="B143" i="73"/>
  <c r="F143" i="73"/>
  <c r="G139" i="61"/>
  <c r="D140" i="61"/>
  <c r="E140" i="61"/>
  <c r="J139" i="53"/>
  <c r="J138" i="65"/>
  <c r="E140" i="63"/>
  <c r="G139" i="63"/>
  <c r="D140" i="63"/>
  <c r="D143" i="39"/>
  <c r="E143" i="39" s="1"/>
  <c r="G142" i="39"/>
  <c r="D146" i="69"/>
  <c r="G145" i="69"/>
  <c r="E146" i="69"/>
  <c r="B142" i="45"/>
  <c r="F142" i="45"/>
  <c r="E136" i="86"/>
  <c r="D136" i="86"/>
  <c r="G135" i="86"/>
  <c r="E144" i="22"/>
  <c r="F144" i="22" s="1"/>
  <c r="B144" i="22"/>
  <c r="J138" i="64"/>
  <c r="G140" i="46"/>
  <c r="D141" i="46"/>
  <c r="E141" i="46" s="1"/>
  <c r="D136" i="90"/>
  <c r="E136" i="90"/>
  <c r="G135" i="90"/>
  <c r="D144" i="34"/>
  <c r="B144" i="34" s="1"/>
  <c r="G143" i="34"/>
  <c r="D139" i="68"/>
  <c r="G138" i="68"/>
  <c r="E139" i="68"/>
  <c r="G139" i="60"/>
  <c r="D140" i="60"/>
  <c r="E140" i="60"/>
  <c r="F136" i="91"/>
  <c r="B136" i="91"/>
  <c r="J143" i="17"/>
  <c r="J138" i="60"/>
  <c r="I142" i="73"/>
  <c r="H142" i="73"/>
  <c r="J141" i="39"/>
  <c r="B136" i="89"/>
  <c r="F136" i="89"/>
  <c r="G143" i="19"/>
  <c r="D144" i="19"/>
  <c r="B144" i="19" s="1"/>
  <c r="D137" i="85"/>
  <c r="G136" i="85"/>
  <c r="E137" i="85"/>
  <c r="E138" i="79"/>
  <c r="D138" i="79"/>
  <c r="G137" i="79"/>
  <c r="J140" i="74"/>
  <c r="J143" i="32"/>
  <c r="D146" i="29"/>
  <c r="G145" i="29"/>
  <c r="G135" i="88"/>
  <c r="D136" i="88"/>
  <c r="E136" i="88"/>
  <c r="J136" i="79"/>
  <c r="J138" i="61"/>
  <c r="D145" i="31"/>
  <c r="B145" i="31" s="1"/>
  <c r="G144" i="31"/>
  <c r="E146" i="30"/>
  <c r="F146" i="30" s="1"/>
  <c r="J144" i="23"/>
  <c r="G140" i="59"/>
  <c r="D141" i="59"/>
  <c r="E141" i="59" s="1"/>
  <c r="J143" i="18"/>
  <c r="J139" i="59"/>
  <c r="D145" i="18"/>
  <c r="G144" i="18"/>
  <c r="J137" i="67"/>
  <c r="I141" i="56"/>
  <c r="H141" i="56"/>
  <c r="B142" i="56"/>
  <c r="F142" i="56"/>
  <c r="D146" i="23"/>
  <c r="G145" i="23"/>
  <c r="G145" i="71"/>
  <c r="D146" i="71"/>
  <c r="E146" i="71"/>
  <c r="J141" i="44"/>
  <c r="D142" i="57"/>
  <c r="E142" i="57" s="1"/>
  <c r="G141" i="57"/>
  <c r="D145" i="17"/>
  <c r="E145" i="17" s="1"/>
  <c r="G144" i="17"/>
  <c r="G146" i="28"/>
  <c r="D147" i="28"/>
  <c r="D137" i="95"/>
  <c r="E137" i="95" s="1"/>
  <c r="G136" i="95"/>
  <c r="J145" i="28"/>
  <c r="H137" i="77"/>
  <c r="I137" i="77"/>
  <c r="H134" i="13"/>
  <c r="I134" i="13"/>
  <c r="H135" i="93"/>
  <c r="I135" i="93"/>
  <c r="F138" i="75"/>
  <c r="B138" i="75"/>
  <c r="D139" i="67"/>
  <c r="G138" i="67"/>
  <c r="E139" i="67"/>
  <c r="D136" i="87"/>
  <c r="G135" i="87"/>
  <c r="E136" i="87"/>
  <c r="F138" i="76"/>
  <c r="B138" i="76"/>
  <c r="F144" i="21"/>
  <c r="B144" i="21"/>
  <c r="F138" i="77"/>
  <c r="B138" i="77"/>
  <c r="I137" i="75"/>
  <c r="H137" i="75"/>
  <c r="F141" i="55"/>
  <c r="B141" i="55"/>
  <c r="G136" i="94"/>
  <c r="D137" i="94"/>
  <c r="E137" i="94" s="1"/>
  <c r="H137" i="76"/>
  <c r="I137" i="76"/>
  <c r="B136" i="25"/>
  <c r="F136" i="25"/>
  <c r="F137" i="80"/>
  <c r="B137" i="80"/>
  <c r="B135" i="33"/>
  <c r="F135" i="33"/>
  <c r="I136" i="83"/>
  <c r="H136" i="83"/>
  <c r="H140" i="55"/>
  <c r="I140" i="55"/>
  <c r="F143" i="42"/>
  <c r="B143" i="42"/>
  <c r="J142" i="3"/>
  <c r="I140" i="54"/>
  <c r="H140" i="54"/>
  <c r="D143" i="44"/>
  <c r="E143" i="44" s="1"/>
  <c r="G142" i="44"/>
  <c r="D137" i="82"/>
  <c r="G136" i="82"/>
  <c r="E137" i="82"/>
  <c r="H134" i="33"/>
  <c r="I134" i="33"/>
  <c r="B145" i="24"/>
  <c r="F145" i="24"/>
  <c r="F135" i="13"/>
  <c r="B135" i="13"/>
  <c r="B136" i="93"/>
  <c r="F136" i="93"/>
  <c r="G135" i="96"/>
  <c r="D136" i="96"/>
  <c r="E136" i="96" s="1"/>
  <c r="B137" i="83"/>
  <c r="F137" i="83"/>
  <c r="D144" i="3"/>
  <c r="E144" i="3" s="1"/>
  <c r="G143" i="3"/>
  <c r="H142" i="42"/>
  <c r="I142" i="42"/>
  <c r="I143" i="21"/>
  <c r="H143" i="21"/>
  <c r="B141" i="54"/>
  <c r="F141" i="54"/>
  <c r="H135" i="25"/>
  <c r="I135" i="25"/>
  <c r="I136" i="80"/>
  <c r="H136" i="80"/>
  <c r="I144" i="24"/>
  <c r="H144" i="24"/>
  <c r="G57" i="33" l="1"/>
  <c r="I65" i="99"/>
  <c r="E67" i="99"/>
  <c r="F67" i="99" s="1"/>
  <c r="B67" i="99"/>
  <c r="H66" i="99"/>
  <c r="F60" i="67"/>
  <c r="G66" i="99"/>
  <c r="I71" i="97"/>
  <c r="F72" i="97"/>
  <c r="F56" i="98"/>
  <c r="B56" i="98"/>
  <c r="I65" i="30"/>
  <c r="I59" i="66"/>
  <c r="G63" i="58"/>
  <c r="H63" i="58"/>
  <c r="D64" i="58"/>
  <c r="D137" i="26"/>
  <c r="B137" i="26" s="1"/>
  <c r="G136" i="26"/>
  <c r="J135" i="26"/>
  <c r="G135" i="99"/>
  <c r="E136" i="99"/>
  <c r="D136" i="99"/>
  <c r="G55" i="95"/>
  <c r="I55" i="95" s="1"/>
  <c r="I55" i="89"/>
  <c r="I67" i="69"/>
  <c r="B61" i="65"/>
  <c r="G60" i="65"/>
  <c r="I60" i="65" s="1"/>
  <c r="F61" i="65"/>
  <c r="D62" i="65" s="1"/>
  <c r="I63" i="39"/>
  <c r="B136" i="97"/>
  <c r="F136" i="97"/>
  <c r="H135" i="98"/>
  <c r="I135" i="98"/>
  <c r="I135" i="97"/>
  <c r="H135" i="97"/>
  <c r="B136" i="98"/>
  <c r="F136" i="98"/>
  <c r="I56" i="84"/>
  <c r="I58" i="82"/>
  <c r="G64" i="74"/>
  <c r="I64" i="74" s="1"/>
  <c r="D61" i="67"/>
  <c r="E61" i="67" s="1"/>
  <c r="F61" i="67" s="1"/>
  <c r="D62" i="67" s="1"/>
  <c r="B60" i="67"/>
  <c r="G60" i="67"/>
  <c r="H60" i="67"/>
  <c r="I62" i="46"/>
  <c r="D64" i="46"/>
  <c r="E64" i="46" s="1"/>
  <c r="F64" i="46" s="1"/>
  <c r="D65" i="46" s="1"/>
  <c r="B63" i="46"/>
  <c r="G63" i="46"/>
  <c r="H63" i="46"/>
  <c r="E66" i="24"/>
  <c r="F66" i="24" s="1"/>
  <c r="G66" i="24" s="1"/>
  <c r="B66" i="24"/>
  <c r="I65" i="24"/>
  <c r="H56" i="25"/>
  <c r="G56" i="25"/>
  <c r="D57" i="25"/>
  <c r="I56" i="91"/>
  <c r="D60" i="82"/>
  <c r="D58" i="86"/>
  <c r="G57" i="86"/>
  <c r="I57" i="86" s="1"/>
  <c r="I60" i="54"/>
  <c r="B56" i="94"/>
  <c r="F56" i="94"/>
  <c r="H56" i="94" s="1"/>
  <c r="B59" i="82"/>
  <c r="H59" i="82"/>
  <c r="G59" i="82"/>
  <c r="E66" i="27"/>
  <c r="F66" i="27" s="1"/>
  <c r="I64" i="19"/>
  <c r="I57" i="80"/>
  <c r="E58" i="80"/>
  <c r="F58" i="80" s="1"/>
  <c r="B58" i="80"/>
  <c r="F55" i="93"/>
  <c r="B55" i="93"/>
  <c r="H63" i="55"/>
  <c r="D64" i="55"/>
  <c r="G63" i="55"/>
  <c r="D60" i="75"/>
  <c r="G59" i="75"/>
  <c r="H59" i="75"/>
  <c r="G67" i="23"/>
  <c r="H67" i="23"/>
  <c r="D68" i="23"/>
  <c r="B68" i="23" s="1"/>
  <c r="D61" i="66"/>
  <c r="E61" i="66" s="1"/>
  <c r="F61" i="66" s="1"/>
  <c r="G57" i="85"/>
  <c r="I57" i="85" s="1"/>
  <c r="I58" i="75"/>
  <c r="F58" i="90"/>
  <c r="B58" i="90"/>
  <c r="E66" i="42"/>
  <c r="F66" i="42" s="1"/>
  <c r="H66" i="42" s="1"/>
  <c r="B66" i="42"/>
  <c r="B62" i="53"/>
  <c r="I66" i="23"/>
  <c r="I61" i="53"/>
  <c r="H59" i="68"/>
  <c r="F57" i="91"/>
  <c r="G57" i="91" s="1"/>
  <c r="B57" i="91"/>
  <c r="E62" i="53"/>
  <c r="F62" i="53" s="1"/>
  <c r="B57" i="84"/>
  <c r="F57" i="84"/>
  <c r="H57" i="84" s="1"/>
  <c r="B60" i="66"/>
  <c r="H60" i="66"/>
  <c r="G60" i="66"/>
  <c r="H68" i="69"/>
  <c r="G68" i="69"/>
  <c r="D66" i="34"/>
  <c r="G65" i="34"/>
  <c r="H65" i="34"/>
  <c r="D63" i="72"/>
  <c r="E63" i="72" s="1"/>
  <c r="F63" i="72" s="1"/>
  <c r="H62" i="72"/>
  <c r="G62" i="72"/>
  <c r="B57" i="81"/>
  <c r="F57" i="81"/>
  <c r="G57" i="81" s="1"/>
  <c r="B66" i="22"/>
  <c r="G67" i="31"/>
  <c r="G59" i="68"/>
  <c r="I65" i="27"/>
  <c r="D56" i="95"/>
  <c r="E56" i="95"/>
  <c r="H60" i="61"/>
  <c r="D61" i="61"/>
  <c r="D58" i="85"/>
  <c r="E58" i="85" s="1"/>
  <c r="F55" i="96"/>
  <c r="B55" i="96"/>
  <c r="G56" i="87"/>
  <c r="I56" i="87" s="1"/>
  <c r="D64" i="44"/>
  <c r="E64" i="44" s="1"/>
  <c r="H63" i="44"/>
  <c r="G63" i="44"/>
  <c r="B58" i="76"/>
  <c r="F58" i="76"/>
  <c r="G58" i="76" s="1"/>
  <c r="I65" i="22"/>
  <c r="G60" i="61"/>
  <c r="E66" i="22"/>
  <c r="F66" i="22" s="1"/>
  <c r="B64" i="39"/>
  <c r="F64" i="39"/>
  <c r="G64" i="39" s="1"/>
  <c r="I57" i="33"/>
  <c r="I67" i="71"/>
  <c r="I63" i="21"/>
  <c r="I60" i="64"/>
  <c r="I59" i="63"/>
  <c r="I60" i="56"/>
  <c r="I67" i="3"/>
  <c r="D70" i="28"/>
  <c r="G69" i="28"/>
  <c r="H69" i="28"/>
  <c r="G66" i="30"/>
  <c r="D67" i="30"/>
  <c r="H66" i="30"/>
  <c r="D69" i="29"/>
  <c r="G68" i="29"/>
  <c r="H68" i="29"/>
  <c r="D144" i="41"/>
  <c r="E144" i="41" s="1"/>
  <c r="F144" i="41" s="1"/>
  <c r="G143" i="41"/>
  <c r="I143" i="41" s="1"/>
  <c r="H62" i="45"/>
  <c r="D63" i="45"/>
  <c r="G62" i="45"/>
  <c r="G68" i="3"/>
  <c r="D69" i="3"/>
  <c r="B69" i="3" s="1"/>
  <c r="H68" i="3"/>
  <c r="D65" i="41"/>
  <c r="E65" i="41" s="1"/>
  <c r="H61" i="54"/>
  <c r="D62" i="54"/>
  <c r="F58" i="79"/>
  <c r="H58" i="79" s="1"/>
  <c r="B58" i="79"/>
  <c r="D58" i="88"/>
  <c r="E58" i="88" s="1"/>
  <c r="D69" i="71"/>
  <c r="E69" i="71" s="1"/>
  <c r="F69" i="71" s="1"/>
  <c r="I67" i="31"/>
  <c r="G64" i="43"/>
  <c r="D65" i="43"/>
  <c r="G64" i="41"/>
  <c r="H57" i="88"/>
  <c r="B60" i="63"/>
  <c r="B58" i="78"/>
  <c r="F58" i="78"/>
  <c r="G58" i="78" s="1"/>
  <c r="D65" i="74"/>
  <c r="E65" i="74" s="1"/>
  <c r="F65" i="74" s="1"/>
  <c r="D68" i="70"/>
  <c r="E68" i="70" s="1"/>
  <c r="B67" i="32"/>
  <c r="F67" i="32"/>
  <c r="H67" i="32" s="1"/>
  <c r="G56" i="83"/>
  <c r="I56" i="83" s="1"/>
  <c r="D57" i="83"/>
  <c r="E57" i="83"/>
  <c r="B68" i="71"/>
  <c r="G68" i="71"/>
  <c r="H68" i="71"/>
  <c r="B64" i="21"/>
  <c r="F64" i="21"/>
  <c r="B61" i="64"/>
  <c r="F61" i="64"/>
  <c r="G61" i="64" s="1"/>
  <c r="D62" i="57"/>
  <c r="E62" i="57" s="1"/>
  <c r="G61" i="56"/>
  <c r="D62" i="56"/>
  <c r="F56" i="92"/>
  <c r="H56" i="92" s="1"/>
  <c r="B56" i="92"/>
  <c r="G60" i="60"/>
  <c r="I60" i="60" s="1"/>
  <c r="D61" i="60"/>
  <c r="E61" i="60" s="1"/>
  <c r="F61" i="60" s="1"/>
  <c r="D62" i="60" s="1"/>
  <c r="G61" i="57"/>
  <c r="I61" i="57" s="1"/>
  <c r="D69" i="69"/>
  <c r="I59" i="59"/>
  <c r="D68" i="31"/>
  <c r="E68" i="31" s="1"/>
  <c r="H64" i="43"/>
  <c r="D67" i="17"/>
  <c r="E67" i="17" s="1"/>
  <c r="H64" i="41"/>
  <c r="G61" i="54"/>
  <c r="F58" i="77"/>
  <c r="D59" i="77" s="1"/>
  <c r="B58" i="77"/>
  <c r="G57" i="88"/>
  <c r="E60" i="63"/>
  <c r="F60" i="63" s="1"/>
  <c r="G66" i="17"/>
  <c r="I66" i="17" s="1"/>
  <c r="H61" i="56"/>
  <c r="E60" i="68"/>
  <c r="F60" i="68" s="1"/>
  <c r="H60" i="68" s="1"/>
  <c r="B60" i="68"/>
  <c r="H67" i="70"/>
  <c r="I67" i="70" s="1"/>
  <c r="F56" i="89"/>
  <c r="H56" i="89" s="1"/>
  <c r="B56" i="89"/>
  <c r="E65" i="19"/>
  <c r="F65" i="19" s="1"/>
  <c r="H65" i="19" s="1"/>
  <c r="B65" i="19"/>
  <c r="E143" i="43"/>
  <c r="F143" i="43" s="1"/>
  <c r="G143" i="43" s="1"/>
  <c r="J145" i="27"/>
  <c r="D147" i="27"/>
  <c r="B147" i="27" s="1"/>
  <c r="G146" i="27"/>
  <c r="E145" i="31"/>
  <c r="F145" i="31" s="1"/>
  <c r="D60" i="62"/>
  <c r="H59" i="62"/>
  <c r="G59" i="62"/>
  <c r="D56" i="13"/>
  <c r="E56" i="13" s="1"/>
  <c r="G55" i="13"/>
  <c r="H55" i="13"/>
  <c r="J142" i="73"/>
  <c r="D64" i="20"/>
  <c r="E64" i="20" s="1"/>
  <c r="D57" i="87"/>
  <c r="E57" i="87"/>
  <c r="B65" i="18"/>
  <c r="I63" i="73"/>
  <c r="D57" i="26"/>
  <c r="J143" i="21"/>
  <c r="E144" i="19"/>
  <c r="F144" i="19" s="1"/>
  <c r="G144" i="19" s="1"/>
  <c r="J145" i="30"/>
  <c r="E145" i="32"/>
  <c r="F145" i="32" s="1"/>
  <c r="G145" i="32" s="1"/>
  <c r="G63" i="20"/>
  <c r="I63" i="20" s="1"/>
  <c r="D58" i="33"/>
  <c r="E65" i="18"/>
  <c r="F65" i="18" s="1"/>
  <c r="J143" i="22"/>
  <c r="H56" i="26"/>
  <c r="I56" i="26" s="1"/>
  <c r="F60" i="59"/>
  <c r="G60" i="59" s="1"/>
  <c r="B60" i="59"/>
  <c r="I64" i="18"/>
  <c r="F64" i="73"/>
  <c r="G64" i="73" s="1"/>
  <c r="B64" i="73"/>
  <c r="B136" i="92"/>
  <c r="F136" i="92"/>
  <c r="G146" i="30"/>
  <c r="D147" i="30"/>
  <c r="H135" i="88"/>
  <c r="I135" i="88"/>
  <c r="E137" i="91"/>
  <c r="G136" i="91"/>
  <c r="D137" i="91"/>
  <c r="F141" i="46"/>
  <c r="B141" i="46"/>
  <c r="D145" i="22"/>
  <c r="G144" i="22"/>
  <c r="B136" i="86"/>
  <c r="F136" i="86"/>
  <c r="B140" i="61"/>
  <c r="F140" i="61"/>
  <c r="H135" i="84"/>
  <c r="I135" i="84"/>
  <c r="H141" i="74"/>
  <c r="I141" i="74"/>
  <c r="B138" i="78"/>
  <c r="F138" i="78"/>
  <c r="H139" i="64"/>
  <c r="I139" i="64"/>
  <c r="F141" i="72"/>
  <c r="B141" i="72"/>
  <c r="I145" i="70"/>
  <c r="H145" i="70"/>
  <c r="I143" i="20"/>
  <c r="H143" i="20"/>
  <c r="F141" i="58"/>
  <c r="B141" i="58"/>
  <c r="F136" i="88"/>
  <c r="B136" i="88"/>
  <c r="I139" i="60"/>
  <c r="H139" i="60"/>
  <c r="H143" i="34"/>
  <c r="I143" i="34"/>
  <c r="H135" i="86"/>
  <c r="I135" i="86"/>
  <c r="I142" i="39"/>
  <c r="H142" i="39"/>
  <c r="I139" i="63"/>
  <c r="H139" i="63"/>
  <c r="I139" i="65"/>
  <c r="H139" i="65"/>
  <c r="J144" i="24"/>
  <c r="H145" i="29"/>
  <c r="I145" i="29"/>
  <c r="I137" i="79"/>
  <c r="H137" i="79"/>
  <c r="H136" i="85"/>
  <c r="I136" i="85"/>
  <c r="H143" i="19"/>
  <c r="I143" i="19"/>
  <c r="I138" i="68"/>
  <c r="H138" i="68"/>
  <c r="I135" i="90"/>
  <c r="H135" i="90"/>
  <c r="I140" i="46"/>
  <c r="H140" i="46"/>
  <c r="H145" i="69"/>
  <c r="I145" i="69"/>
  <c r="F143" i="39"/>
  <c r="B143" i="39"/>
  <c r="I139" i="61"/>
  <c r="H139" i="61"/>
  <c r="J139" i="62"/>
  <c r="F139" i="66"/>
  <c r="B139" i="66"/>
  <c r="B142" i="74"/>
  <c r="F142" i="74"/>
  <c r="B140" i="65"/>
  <c r="F140" i="65"/>
  <c r="B140" i="64"/>
  <c r="F140" i="64"/>
  <c r="I142" i="43"/>
  <c r="H142" i="43"/>
  <c r="J142" i="41"/>
  <c r="I135" i="92"/>
  <c r="H135" i="92"/>
  <c r="G140" i="62"/>
  <c r="D141" i="62"/>
  <c r="E141" i="62" s="1"/>
  <c r="I144" i="32"/>
  <c r="H144" i="32"/>
  <c r="F136" i="90"/>
  <c r="B136" i="90"/>
  <c r="B141" i="53"/>
  <c r="F141" i="53"/>
  <c r="E138" i="81"/>
  <c r="D138" i="81"/>
  <c r="G137" i="81"/>
  <c r="I137" i="78"/>
  <c r="H137" i="78"/>
  <c r="H140" i="72"/>
  <c r="I140" i="72"/>
  <c r="I144" i="31"/>
  <c r="H144" i="31"/>
  <c r="B146" i="29"/>
  <c r="E146" i="29"/>
  <c r="F146" i="29" s="1"/>
  <c r="B138" i="79"/>
  <c r="F138" i="79"/>
  <c r="B137" i="85"/>
  <c r="F137" i="85"/>
  <c r="E137" i="89"/>
  <c r="D137" i="89"/>
  <c r="G136" i="89"/>
  <c r="B140" i="60"/>
  <c r="F140" i="60"/>
  <c r="B139" i="68"/>
  <c r="F139" i="68"/>
  <c r="D143" i="45"/>
  <c r="E143" i="45" s="1"/>
  <c r="G142" i="45"/>
  <c r="F146" i="69"/>
  <c r="B146" i="69"/>
  <c r="F140" i="63"/>
  <c r="B140" i="63"/>
  <c r="D144" i="73"/>
  <c r="E144" i="73"/>
  <c r="G143" i="73"/>
  <c r="H140" i="53"/>
  <c r="I140" i="53"/>
  <c r="J141" i="45"/>
  <c r="H138" i="66"/>
  <c r="I138" i="66"/>
  <c r="F136" i="84"/>
  <c r="B136" i="84"/>
  <c r="F146" i="70"/>
  <c r="B146" i="70"/>
  <c r="B144" i="20"/>
  <c r="F144" i="20"/>
  <c r="I140" i="58"/>
  <c r="H140" i="58"/>
  <c r="E144" i="34"/>
  <c r="F144" i="34" s="1"/>
  <c r="D143" i="56"/>
  <c r="E143" i="56" s="1"/>
  <c r="G142" i="56"/>
  <c r="E145" i="18"/>
  <c r="F145" i="18" s="1"/>
  <c r="B145" i="18"/>
  <c r="H140" i="59"/>
  <c r="I140" i="59"/>
  <c r="J137" i="76"/>
  <c r="H145" i="23"/>
  <c r="I145" i="23"/>
  <c r="J141" i="56"/>
  <c r="E146" i="23"/>
  <c r="F146" i="23" s="1"/>
  <c r="B146" i="23"/>
  <c r="H144" i="18"/>
  <c r="I144" i="18"/>
  <c r="F141" i="59"/>
  <c r="B141" i="59"/>
  <c r="B146" i="71"/>
  <c r="F146" i="71"/>
  <c r="J137" i="77"/>
  <c r="H141" i="57"/>
  <c r="I141" i="57"/>
  <c r="I145" i="71"/>
  <c r="H145" i="71"/>
  <c r="J140" i="54"/>
  <c r="F142" i="57"/>
  <c r="B142" i="57"/>
  <c r="H135" i="96"/>
  <c r="I135" i="96"/>
  <c r="H136" i="82"/>
  <c r="I136" i="82"/>
  <c r="G135" i="33"/>
  <c r="D136" i="33"/>
  <c r="E136" i="33" s="1"/>
  <c r="G136" i="25"/>
  <c r="D137" i="25"/>
  <c r="E137" i="25" s="1"/>
  <c r="H136" i="94"/>
  <c r="I136" i="94"/>
  <c r="E139" i="77"/>
  <c r="G138" i="77"/>
  <c r="D139" i="77"/>
  <c r="E139" i="75"/>
  <c r="D139" i="75"/>
  <c r="G138" i="75"/>
  <c r="I136" i="95"/>
  <c r="H136" i="95"/>
  <c r="B147" i="28"/>
  <c r="F145" i="17"/>
  <c r="B145" i="17"/>
  <c r="J135" i="25"/>
  <c r="J142" i="42"/>
  <c r="H143" i="3"/>
  <c r="I143" i="3"/>
  <c r="D138" i="83"/>
  <c r="E138" i="83"/>
  <c r="G137" i="83"/>
  <c r="G135" i="13"/>
  <c r="D136" i="13"/>
  <c r="E136" i="13" s="1"/>
  <c r="F137" i="82"/>
  <c r="B137" i="82"/>
  <c r="I142" i="44"/>
  <c r="H142" i="44"/>
  <c r="G143" i="42"/>
  <c r="D144" i="42"/>
  <c r="J140" i="55"/>
  <c r="D145" i="21"/>
  <c r="E145" i="21" s="1"/>
  <c r="G144" i="21"/>
  <c r="I135" i="87"/>
  <c r="H135" i="87"/>
  <c r="I138" i="67"/>
  <c r="H138" i="67"/>
  <c r="I146" i="28"/>
  <c r="H146" i="28"/>
  <c r="F144" i="3"/>
  <c r="B144" i="3"/>
  <c r="G136" i="93"/>
  <c r="D137" i="93"/>
  <c r="E137" i="93" s="1"/>
  <c r="B143" i="44"/>
  <c r="F143" i="44"/>
  <c r="F136" i="87"/>
  <c r="B136" i="87"/>
  <c r="B139" i="67"/>
  <c r="F139" i="67"/>
  <c r="B137" i="95"/>
  <c r="F137" i="95"/>
  <c r="H144" i="17"/>
  <c r="I144" i="17"/>
  <c r="D142" i="54"/>
  <c r="E142" i="54" s="1"/>
  <c r="G141" i="54"/>
  <c r="F136" i="96"/>
  <c r="B136" i="96"/>
  <c r="D146" i="24"/>
  <c r="E146" i="24" s="1"/>
  <c r="G145" i="24"/>
  <c r="J134" i="33"/>
  <c r="E138" i="80"/>
  <c r="D138" i="80"/>
  <c r="G137" i="80"/>
  <c r="B137" i="94"/>
  <c r="F137" i="94"/>
  <c r="G141" i="55"/>
  <c r="D142" i="55"/>
  <c r="E142" i="55" s="1"/>
  <c r="J137" i="75"/>
  <c r="D139" i="76"/>
  <c r="E139" i="76"/>
  <c r="G138" i="76"/>
  <c r="E147" i="28"/>
  <c r="F147" i="28" s="1"/>
  <c r="E137" i="26" l="1"/>
  <c r="F137" i="26" s="1"/>
  <c r="I63" i="58"/>
  <c r="D68" i="99"/>
  <c r="H67" i="99"/>
  <c r="G67" i="99"/>
  <c r="D57" i="98"/>
  <c r="E57" i="98"/>
  <c r="H56" i="98"/>
  <c r="G72" i="97"/>
  <c r="G73" i="97" s="1"/>
  <c r="H72" i="97"/>
  <c r="I66" i="99"/>
  <c r="I63" i="46"/>
  <c r="G56" i="98"/>
  <c r="G61" i="65"/>
  <c r="E64" i="58"/>
  <c r="F64" i="58" s="1"/>
  <c r="D65" i="58" s="1"/>
  <c r="B64" i="58"/>
  <c r="H66" i="24"/>
  <c r="I66" i="24" s="1"/>
  <c r="H136" i="26"/>
  <c r="I136" i="26"/>
  <c r="B136" i="99"/>
  <c r="F136" i="99"/>
  <c r="H135" i="99"/>
  <c r="I135" i="99"/>
  <c r="D145" i="19"/>
  <c r="B145" i="19" s="1"/>
  <c r="I59" i="68"/>
  <c r="E62" i="67"/>
  <c r="F62" i="67" s="1"/>
  <c r="B62" i="67"/>
  <c r="H61" i="65"/>
  <c r="I61" i="65" s="1"/>
  <c r="I64" i="41"/>
  <c r="H64" i="39"/>
  <c r="D146" i="32"/>
  <c r="E146" i="32" s="1"/>
  <c r="F146" i="32" s="1"/>
  <c r="D137" i="98"/>
  <c r="G136" i="98"/>
  <c r="E137" i="98"/>
  <c r="D137" i="97"/>
  <c r="G136" i="97"/>
  <c r="E137" i="97"/>
  <c r="G56" i="94"/>
  <c r="I56" i="94" s="1"/>
  <c r="I59" i="82"/>
  <c r="I60" i="67"/>
  <c r="B61" i="67"/>
  <c r="G61" i="67"/>
  <c r="H61" i="67"/>
  <c r="E65" i="46"/>
  <c r="F65" i="46" s="1"/>
  <c r="H65" i="46" s="1"/>
  <c r="B65" i="46"/>
  <c r="B64" i="46"/>
  <c r="G64" i="46"/>
  <c r="H64" i="46"/>
  <c r="I69" i="28"/>
  <c r="D67" i="24"/>
  <c r="E67" i="24" s="1"/>
  <c r="F67" i="24" s="1"/>
  <c r="D68" i="24" s="1"/>
  <c r="I60" i="61"/>
  <c r="D56" i="93"/>
  <c r="E56" i="93"/>
  <c r="D59" i="80"/>
  <c r="E59" i="80" s="1"/>
  <c r="B60" i="82"/>
  <c r="I55" i="13"/>
  <c r="I62" i="45"/>
  <c r="G55" i="93"/>
  <c r="H58" i="80"/>
  <c r="D67" i="27"/>
  <c r="G66" i="27"/>
  <c r="H66" i="27"/>
  <c r="E60" i="82"/>
  <c r="F60" i="82" s="1"/>
  <c r="E57" i="25"/>
  <c r="F57" i="25" s="1"/>
  <c r="B57" i="25"/>
  <c r="H61" i="64"/>
  <c r="I68" i="29"/>
  <c r="H57" i="91"/>
  <c r="I57" i="91" s="1"/>
  <c r="I63" i="55"/>
  <c r="H55" i="93"/>
  <c r="I55" i="93" s="1"/>
  <c r="H143" i="41"/>
  <c r="J143" i="41" s="1"/>
  <c r="G58" i="80"/>
  <c r="E57" i="94"/>
  <c r="D57" i="94"/>
  <c r="E58" i="86"/>
  <c r="F58" i="86" s="1"/>
  <c r="B58" i="86"/>
  <c r="I56" i="25"/>
  <c r="D62" i="66"/>
  <c r="B62" i="66" s="1"/>
  <c r="D70" i="71"/>
  <c r="B70" i="71" s="1"/>
  <c r="I67" i="23"/>
  <c r="I59" i="75"/>
  <c r="D63" i="53"/>
  <c r="H62" i="53"/>
  <c r="G58" i="90"/>
  <c r="D59" i="90"/>
  <c r="B144" i="41"/>
  <c r="G56" i="89"/>
  <c r="I56" i="89" s="1"/>
  <c r="G57" i="84"/>
  <c r="I57" i="84" s="1"/>
  <c r="E58" i="84"/>
  <c r="D58" i="84"/>
  <c r="H58" i="90"/>
  <c r="H61" i="66"/>
  <c r="G61" i="66"/>
  <c r="B61" i="66"/>
  <c r="E64" i="55"/>
  <c r="F64" i="55" s="1"/>
  <c r="B64" i="55"/>
  <c r="B60" i="75"/>
  <c r="I60" i="66"/>
  <c r="D58" i="91"/>
  <c r="E58" i="91" s="1"/>
  <c r="G62" i="53"/>
  <c r="G66" i="42"/>
  <c r="I66" i="42" s="1"/>
  <c r="D67" i="42"/>
  <c r="E67" i="42" s="1"/>
  <c r="F67" i="42" s="1"/>
  <c r="E68" i="23"/>
  <c r="F68" i="23" s="1"/>
  <c r="E60" i="75"/>
  <c r="F60" i="75" s="1"/>
  <c r="H60" i="75" s="1"/>
  <c r="D67" i="22"/>
  <c r="E67" i="22" s="1"/>
  <c r="H66" i="22"/>
  <c r="G66" i="22"/>
  <c r="D64" i="72"/>
  <c r="E64" i="72" s="1"/>
  <c r="F64" i="72" s="1"/>
  <c r="H60" i="59"/>
  <c r="I60" i="59" s="1"/>
  <c r="I61" i="64"/>
  <c r="I68" i="71"/>
  <c r="E69" i="3"/>
  <c r="F69" i="3" s="1"/>
  <c r="D70" i="3" s="1"/>
  <c r="B70" i="3" s="1"/>
  <c r="I64" i="39"/>
  <c r="H58" i="76"/>
  <c r="I58" i="76" s="1"/>
  <c r="D59" i="76"/>
  <c r="E59" i="76" s="1"/>
  <c r="I63" i="44"/>
  <c r="D56" i="96"/>
  <c r="E56" i="96"/>
  <c r="E61" i="61"/>
  <c r="F61" i="61" s="1"/>
  <c r="H61" i="61" s="1"/>
  <c r="B61" i="61"/>
  <c r="B63" i="72"/>
  <c r="G63" i="72"/>
  <c r="H63" i="72"/>
  <c r="B66" i="34"/>
  <c r="I68" i="3"/>
  <c r="F64" i="44"/>
  <c r="H64" i="44" s="1"/>
  <c r="B64" i="44"/>
  <c r="G55" i="96"/>
  <c r="I65" i="34"/>
  <c r="D65" i="39"/>
  <c r="E65" i="39" s="1"/>
  <c r="H55" i="96"/>
  <c r="F58" i="85"/>
  <c r="H58" i="85" s="1"/>
  <c r="B58" i="85"/>
  <c r="F56" i="95"/>
  <c r="G56" i="95" s="1"/>
  <c r="B56" i="95"/>
  <c r="H57" i="81"/>
  <c r="I57" i="81" s="1"/>
  <c r="D58" i="81"/>
  <c r="I62" i="72"/>
  <c r="E66" i="34"/>
  <c r="F66" i="34" s="1"/>
  <c r="I68" i="69"/>
  <c r="I61" i="56"/>
  <c r="H60" i="63"/>
  <c r="D61" i="63"/>
  <c r="G60" i="63"/>
  <c r="B69" i="69"/>
  <c r="B62" i="65"/>
  <c r="E62" i="65"/>
  <c r="F62" i="65" s="1"/>
  <c r="B69" i="29"/>
  <c r="E65" i="58"/>
  <c r="F65" i="58" s="1"/>
  <c r="B65" i="58"/>
  <c r="G65" i="19"/>
  <c r="I65" i="19" s="1"/>
  <c r="D66" i="19"/>
  <c r="G60" i="68"/>
  <c r="I60" i="68" s="1"/>
  <c r="D61" i="68"/>
  <c r="E61" i="68" s="1"/>
  <c r="F61" i="68" s="1"/>
  <c r="H58" i="77"/>
  <c r="I61" i="54"/>
  <c r="G67" i="32"/>
  <c r="I67" i="32" s="1"/>
  <c r="D68" i="32"/>
  <c r="B63" i="45"/>
  <c r="E69" i="29"/>
  <c r="F69" i="29" s="1"/>
  <c r="H64" i="73"/>
  <c r="I64" i="73" s="1"/>
  <c r="G58" i="77"/>
  <c r="I64" i="43"/>
  <c r="E62" i="60"/>
  <c r="F62" i="60" s="1"/>
  <c r="G62" i="60" s="1"/>
  <c r="B62" i="60"/>
  <c r="E62" i="56"/>
  <c r="F62" i="56" s="1"/>
  <c r="H62" i="56" s="1"/>
  <c r="B62" i="56"/>
  <c r="B57" i="83"/>
  <c r="F57" i="83"/>
  <c r="H57" i="83" s="1"/>
  <c r="B65" i="74"/>
  <c r="G65" i="74"/>
  <c r="H65" i="74"/>
  <c r="B58" i="88"/>
  <c r="F58" i="88"/>
  <c r="D59" i="88" s="1"/>
  <c r="D59" i="79"/>
  <c r="E63" i="45"/>
  <c r="F63" i="45" s="1"/>
  <c r="I66" i="30"/>
  <c r="E70" i="28"/>
  <c r="F70" i="28" s="1"/>
  <c r="B70" i="28"/>
  <c r="E59" i="77"/>
  <c r="F59" i="77" s="1"/>
  <c r="B59" i="77"/>
  <c r="G64" i="21"/>
  <c r="D65" i="21"/>
  <c r="B65" i="43"/>
  <c r="B67" i="30"/>
  <c r="F67" i="17"/>
  <c r="D68" i="17" s="1"/>
  <c r="B67" i="17"/>
  <c r="E69" i="69"/>
  <c r="F69" i="69" s="1"/>
  <c r="F62" i="57"/>
  <c r="G62" i="57" s="1"/>
  <c r="B62" i="57"/>
  <c r="D66" i="74"/>
  <c r="E66" i="74" s="1"/>
  <c r="F66" i="74" s="1"/>
  <c r="I57" i="88"/>
  <c r="D57" i="89"/>
  <c r="E57" i="89"/>
  <c r="B68" i="31"/>
  <c r="F68" i="31"/>
  <c r="B61" i="60"/>
  <c r="H61" i="60"/>
  <c r="G61" i="60"/>
  <c r="G56" i="92"/>
  <c r="I56" i="92" s="1"/>
  <c r="D57" i="92"/>
  <c r="E57" i="92"/>
  <c r="D62" i="64"/>
  <c r="H64" i="21"/>
  <c r="F68" i="70"/>
  <c r="G68" i="70" s="1"/>
  <c r="B68" i="70"/>
  <c r="H58" i="78"/>
  <c r="I58" i="78" s="1"/>
  <c r="D59" i="78"/>
  <c r="E65" i="43"/>
  <c r="F65" i="43" s="1"/>
  <c r="H65" i="43" s="1"/>
  <c r="B69" i="71"/>
  <c r="G69" i="71"/>
  <c r="H69" i="71"/>
  <c r="G58" i="79"/>
  <c r="I58" i="79" s="1"/>
  <c r="E62" i="54"/>
  <c r="F62" i="54" s="1"/>
  <c r="B62" i="54"/>
  <c r="B65" i="41"/>
  <c r="F65" i="41"/>
  <c r="E67" i="30"/>
  <c r="F67" i="30" s="1"/>
  <c r="D68" i="30" s="1"/>
  <c r="E147" i="27"/>
  <c r="F147" i="27" s="1"/>
  <c r="J145" i="69"/>
  <c r="I146" i="27"/>
  <c r="H146" i="27"/>
  <c r="J140" i="46"/>
  <c r="J137" i="79"/>
  <c r="J140" i="53"/>
  <c r="J143" i="34"/>
  <c r="J139" i="64"/>
  <c r="J141" i="74"/>
  <c r="J145" i="29"/>
  <c r="J144" i="18"/>
  <c r="J140" i="59"/>
  <c r="J138" i="66"/>
  <c r="J139" i="63"/>
  <c r="J139" i="60"/>
  <c r="J143" i="20"/>
  <c r="D66" i="18"/>
  <c r="E66" i="18" s="1"/>
  <c r="H65" i="18"/>
  <c r="G65" i="18"/>
  <c r="B58" i="33"/>
  <c r="E58" i="33"/>
  <c r="F58" i="33" s="1"/>
  <c r="I59" i="62"/>
  <c r="B57" i="87"/>
  <c r="F57" i="87"/>
  <c r="G57" i="87" s="1"/>
  <c r="D144" i="43"/>
  <c r="B144" i="43" s="1"/>
  <c r="B57" i="26"/>
  <c r="B60" i="62"/>
  <c r="D65" i="73"/>
  <c r="E65" i="73" s="1"/>
  <c r="D61" i="59"/>
  <c r="E61" i="59" s="1"/>
  <c r="E57" i="26"/>
  <c r="F57" i="26" s="1"/>
  <c r="B64" i="20"/>
  <c r="F64" i="20"/>
  <c r="H64" i="20" s="1"/>
  <c r="B56" i="13"/>
  <c r="F56" i="13"/>
  <c r="G56" i="13" s="1"/>
  <c r="E60" i="62"/>
  <c r="F60" i="62" s="1"/>
  <c r="D145" i="34"/>
  <c r="B145" i="34" s="1"/>
  <c r="G144" i="34"/>
  <c r="F144" i="73"/>
  <c r="B144" i="73"/>
  <c r="E147" i="69"/>
  <c r="D147" i="69"/>
  <c r="G146" i="69"/>
  <c r="B137" i="89"/>
  <c r="F137" i="89"/>
  <c r="D139" i="79"/>
  <c r="G138" i="79"/>
  <c r="E139" i="79"/>
  <c r="D137" i="90"/>
  <c r="E137" i="90"/>
  <c r="G136" i="90"/>
  <c r="B141" i="62"/>
  <c r="F141" i="62"/>
  <c r="I145" i="32"/>
  <c r="H145" i="32"/>
  <c r="I144" i="19"/>
  <c r="H144" i="19"/>
  <c r="G140" i="61"/>
  <c r="D141" i="61"/>
  <c r="E141" i="61" s="1"/>
  <c r="H144" i="22"/>
  <c r="I144" i="22"/>
  <c r="H136" i="91"/>
  <c r="I136" i="91"/>
  <c r="J142" i="44"/>
  <c r="I142" i="45"/>
  <c r="H142" i="45"/>
  <c r="G140" i="60"/>
  <c r="D141" i="60"/>
  <c r="E141" i="60" s="1"/>
  <c r="J144" i="31"/>
  <c r="J137" i="78"/>
  <c r="G141" i="53"/>
  <c r="D142" i="53"/>
  <c r="E142" i="53" s="1"/>
  <c r="I140" i="62"/>
  <c r="H140" i="62"/>
  <c r="G140" i="65"/>
  <c r="D141" i="65"/>
  <c r="E141" i="65" s="1"/>
  <c r="J139" i="61"/>
  <c r="J138" i="68"/>
  <c r="B146" i="32"/>
  <c r="J139" i="65"/>
  <c r="J142" i="39"/>
  <c r="G141" i="58"/>
  <c r="D142" i="58"/>
  <c r="E142" i="58" s="1"/>
  <c r="J145" i="70"/>
  <c r="E145" i="22"/>
  <c r="F145" i="22" s="1"/>
  <c r="B145" i="22"/>
  <c r="G144" i="41"/>
  <c r="D145" i="41"/>
  <c r="I146" i="30"/>
  <c r="H146" i="30"/>
  <c r="J140" i="58"/>
  <c r="D147" i="70"/>
  <c r="G146" i="70"/>
  <c r="E147" i="70"/>
  <c r="H143" i="73"/>
  <c r="I143" i="73"/>
  <c r="G140" i="63"/>
  <c r="D141" i="63"/>
  <c r="E141" i="63" s="1"/>
  <c r="B143" i="45"/>
  <c r="F143" i="45"/>
  <c r="G137" i="85"/>
  <c r="E138" i="85"/>
  <c r="D138" i="85"/>
  <c r="G146" i="29"/>
  <c r="D147" i="29"/>
  <c r="J140" i="72"/>
  <c r="H137" i="81"/>
  <c r="I137" i="81"/>
  <c r="J144" i="32"/>
  <c r="J142" i="43"/>
  <c r="D140" i="66"/>
  <c r="E140" i="66"/>
  <c r="G139" i="66"/>
  <c r="J143" i="19"/>
  <c r="D146" i="31"/>
  <c r="G145" i="31"/>
  <c r="E139" i="78"/>
  <c r="D139" i="78"/>
  <c r="G138" i="78"/>
  <c r="G136" i="86"/>
  <c r="D137" i="86"/>
  <c r="E137" i="86"/>
  <c r="D137" i="92"/>
  <c r="E137" i="92"/>
  <c r="G136" i="92"/>
  <c r="E137" i="84"/>
  <c r="G136" i="84"/>
  <c r="D137" i="84"/>
  <c r="E147" i="30"/>
  <c r="F147" i="30" s="1"/>
  <c r="B147" i="30"/>
  <c r="D145" i="20"/>
  <c r="B145" i="20" s="1"/>
  <c r="G144" i="20"/>
  <c r="G139" i="68"/>
  <c r="D140" i="68"/>
  <c r="E140" i="68"/>
  <c r="I136" i="89"/>
  <c r="H136" i="89"/>
  <c r="F138" i="81"/>
  <c r="B138" i="81"/>
  <c r="D141" i="64"/>
  <c r="E141" i="64" s="1"/>
  <c r="G140" i="64"/>
  <c r="D143" i="74"/>
  <c r="E143" i="74"/>
  <c r="G142" i="74"/>
  <c r="G143" i="39"/>
  <c r="D144" i="39"/>
  <c r="B144" i="39" s="1"/>
  <c r="H143" i="43"/>
  <c r="I143" i="43"/>
  <c r="G136" i="88"/>
  <c r="E137" i="88"/>
  <c r="D137" i="88"/>
  <c r="G141" i="72"/>
  <c r="E142" i="72"/>
  <c r="D142" i="72"/>
  <c r="D142" i="46"/>
  <c r="E142" i="46" s="1"/>
  <c r="G141" i="46"/>
  <c r="B137" i="91"/>
  <c r="F137" i="91"/>
  <c r="G146" i="23"/>
  <c r="D147" i="23"/>
  <c r="J145" i="71"/>
  <c r="J145" i="23"/>
  <c r="J144" i="17"/>
  <c r="J141" i="57"/>
  <c r="D146" i="18"/>
  <c r="G145" i="18"/>
  <c r="H142" i="56"/>
  <c r="I142" i="56"/>
  <c r="D142" i="59"/>
  <c r="E142" i="59" s="1"/>
  <c r="G141" i="59"/>
  <c r="F143" i="56"/>
  <c r="B143" i="56"/>
  <c r="E147" i="71"/>
  <c r="G146" i="71"/>
  <c r="D147" i="71"/>
  <c r="J138" i="67"/>
  <c r="J146" i="28"/>
  <c r="D143" i="57"/>
  <c r="E143" i="57" s="1"/>
  <c r="G142" i="57"/>
  <c r="D148" i="28"/>
  <c r="G147" i="28"/>
  <c r="I138" i="76"/>
  <c r="H138" i="76"/>
  <c r="H145" i="24"/>
  <c r="I145" i="24"/>
  <c r="I141" i="54"/>
  <c r="H141" i="54"/>
  <c r="F137" i="93"/>
  <c r="B137" i="93"/>
  <c r="G144" i="3"/>
  <c r="D145" i="3"/>
  <c r="E145" i="3" s="1"/>
  <c r="B145" i="21"/>
  <c r="F145" i="21"/>
  <c r="B136" i="13"/>
  <c r="F136" i="13"/>
  <c r="J143" i="3"/>
  <c r="I138" i="77"/>
  <c r="H138" i="77"/>
  <c r="F142" i="55"/>
  <c r="B142" i="55"/>
  <c r="H137" i="80"/>
  <c r="I137" i="80"/>
  <c r="G136" i="96"/>
  <c r="D137" i="96"/>
  <c r="E137" i="96" s="1"/>
  <c r="D140" i="67"/>
  <c r="G139" i="67"/>
  <c r="E140" i="67"/>
  <c r="D144" i="44"/>
  <c r="E144" i="44" s="1"/>
  <c r="G143" i="44"/>
  <c r="I136" i="93"/>
  <c r="H136" i="93"/>
  <c r="B144" i="42"/>
  <c r="H135" i="13"/>
  <c r="I135" i="13"/>
  <c r="I137" i="83"/>
  <c r="H137" i="83"/>
  <c r="B146" i="24"/>
  <c r="F146" i="24"/>
  <c r="F142" i="54"/>
  <c r="B142" i="54"/>
  <c r="D138" i="95"/>
  <c r="E138" i="95" s="1"/>
  <c r="G137" i="95"/>
  <c r="D137" i="87"/>
  <c r="G136" i="87"/>
  <c r="E137" i="87"/>
  <c r="E144" i="42"/>
  <c r="F144" i="42" s="1"/>
  <c r="I138" i="75"/>
  <c r="H138" i="75"/>
  <c r="F137" i="25"/>
  <c r="B137" i="25"/>
  <c r="B136" i="33"/>
  <c r="F136" i="33"/>
  <c r="F139" i="76"/>
  <c r="B139" i="76"/>
  <c r="I141" i="55"/>
  <c r="H141" i="55"/>
  <c r="B138" i="80"/>
  <c r="F138" i="80"/>
  <c r="G137" i="94"/>
  <c r="D138" i="94"/>
  <c r="E138" i="94" s="1"/>
  <c r="I144" i="21"/>
  <c r="H144" i="21"/>
  <c r="H143" i="42"/>
  <c r="I143" i="42"/>
  <c r="D138" i="82"/>
  <c r="G137" i="82"/>
  <c r="E138" i="82"/>
  <c r="F138" i="83"/>
  <c r="B138" i="83"/>
  <c r="G145" i="17"/>
  <c r="D146" i="17"/>
  <c r="E146" i="17" s="1"/>
  <c r="B139" i="75"/>
  <c r="F139" i="75"/>
  <c r="F139" i="77"/>
  <c r="B139" i="77"/>
  <c r="I136" i="25"/>
  <c r="H136" i="25"/>
  <c r="I135" i="33"/>
  <c r="H135" i="33"/>
  <c r="G64" i="58" l="1"/>
  <c r="J136" i="26"/>
  <c r="D138" i="26"/>
  <c r="G137" i="26"/>
  <c r="H64" i="58"/>
  <c r="I64" i="58" s="1"/>
  <c r="I72" i="97"/>
  <c r="I73" i="97" s="1"/>
  <c r="H73" i="97"/>
  <c r="F57" i="98"/>
  <c r="D58" i="98" s="1"/>
  <c r="B57" i="98"/>
  <c r="G65" i="46"/>
  <c r="I56" i="98"/>
  <c r="I67" i="99"/>
  <c r="E68" i="99"/>
  <c r="F68" i="99" s="1"/>
  <c r="D69" i="99" s="1"/>
  <c r="B68" i="99"/>
  <c r="E145" i="34"/>
  <c r="F145" i="34" s="1"/>
  <c r="D146" i="34" s="1"/>
  <c r="E146" i="34" s="1"/>
  <c r="E145" i="19"/>
  <c r="F145" i="19" s="1"/>
  <c r="D146" i="19" s="1"/>
  <c r="G136" i="99"/>
  <c r="E137" i="99"/>
  <c r="D137" i="99"/>
  <c r="D63" i="67"/>
  <c r="B63" i="67" s="1"/>
  <c r="G62" i="67"/>
  <c r="H62" i="67"/>
  <c r="I61" i="67"/>
  <c r="I65" i="46"/>
  <c r="F137" i="97"/>
  <c r="B137" i="97"/>
  <c r="H136" i="98"/>
  <c r="I136" i="98"/>
  <c r="I136" i="97"/>
  <c r="H136" i="97"/>
  <c r="F137" i="98"/>
  <c r="B137" i="98"/>
  <c r="I64" i="46"/>
  <c r="D66" i="46"/>
  <c r="E66" i="46" s="1"/>
  <c r="F66" i="46" s="1"/>
  <c r="D67" i="46" s="1"/>
  <c r="E68" i="24"/>
  <c r="F68" i="24" s="1"/>
  <c r="D69" i="24" s="1"/>
  <c r="B68" i="24"/>
  <c r="B67" i="24"/>
  <c r="G67" i="24"/>
  <c r="H67" i="24"/>
  <c r="H67" i="17"/>
  <c r="H69" i="3"/>
  <c r="D59" i="86"/>
  <c r="E59" i="86" s="1"/>
  <c r="F59" i="86" s="1"/>
  <c r="G58" i="86"/>
  <c r="H58" i="86"/>
  <c r="G57" i="25"/>
  <c r="D58" i="25"/>
  <c r="H57" i="25"/>
  <c r="G64" i="44"/>
  <c r="I64" i="44" s="1"/>
  <c r="I61" i="66"/>
  <c r="F57" i="94"/>
  <c r="D58" i="94" s="1"/>
  <c r="B57" i="94"/>
  <c r="E67" i="27"/>
  <c r="F67" i="27" s="1"/>
  <c r="B67" i="27"/>
  <c r="E70" i="3"/>
  <c r="F70" i="3" s="1"/>
  <c r="D71" i="3" s="1"/>
  <c r="E71" i="3" s="1"/>
  <c r="G69" i="3"/>
  <c r="H60" i="82"/>
  <c r="D61" i="82"/>
  <c r="I58" i="80"/>
  <c r="G60" i="82"/>
  <c r="F59" i="80"/>
  <c r="B59" i="80"/>
  <c r="I66" i="27"/>
  <c r="F56" i="93"/>
  <c r="G56" i="93" s="1"/>
  <c r="B56" i="93"/>
  <c r="G64" i="55"/>
  <c r="D65" i="55"/>
  <c r="H64" i="55"/>
  <c r="H67" i="42"/>
  <c r="D68" i="42"/>
  <c r="G68" i="23"/>
  <c r="D69" i="23"/>
  <c r="B69" i="23" s="1"/>
  <c r="H68" i="23"/>
  <c r="I58" i="90"/>
  <c r="B63" i="53"/>
  <c r="I66" i="22"/>
  <c r="I62" i="53"/>
  <c r="E70" i="71"/>
  <c r="F70" i="71" s="1"/>
  <c r="B67" i="42"/>
  <c r="G67" i="42"/>
  <c r="F58" i="91"/>
  <c r="B58" i="91"/>
  <c r="B58" i="84"/>
  <c r="F58" i="84"/>
  <c r="G58" i="84" s="1"/>
  <c r="E62" i="66"/>
  <c r="F62" i="66" s="1"/>
  <c r="I58" i="77"/>
  <c r="D61" i="75"/>
  <c r="E61" i="75" s="1"/>
  <c r="G60" i="75"/>
  <c r="I60" i="75" s="1"/>
  <c r="E59" i="90"/>
  <c r="F59" i="90" s="1"/>
  <c r="G59" i="90" s="1"/>
  <c r="B59" i="90"/>
  <c r="E63" i="53"/>
  <c r="F63" i="53" s="1"/>
  <c r="G63" i="45"/>
  <c r="H63" i="45"/>
  <c r="H66" i="34"/>
  <c r="G66" i="34"/>
  <c r="D67" i="34"/>
  <c r="B67" i="34" s="1"/>
  <c r="G67" i="30"/>
  <c r="I63" i="72"/>
  <c r="D65" i="72"/>
  <c r="E65" i="72" s="1"/>
  <c r="F65" i="72" s="1"/>
  <c r="H67" i="30"/>
  <c r="B58" i="81"/>
  <c r="D59" i="85"/>
  <c r="B65" i="39"/>
  <c r="F65" i="39"/>
  <c r="G65" i="39" s="1"/>
  <c r="D62" i="61"/>
  <c r="E62" i="61" s="1"/>
  <c r="F62" i="61" s="1"/>
  <c r="F67" i="22"/>
  <c r="B67" i="22"/>
  <c r="E58" i="81"/>
  <c r="F58" i="81" s="1"/>
  <c r="H56" i="95"/>
  <c r="I56" i="95" s="1"/>
  <c r="E57" i="95"/>
  <c r="D57" i="95"/>
  <c r="G58" i="85"/>
  <c r="I58" i="85" s="1"/>
  <c r="I55" i="96"/>
  <c r="D65" i="44"/>
  <c r="E65" i="44" s="1"/>
  <c r="G61" i="61"/>
  <c r="I61" i="61" s="1"/>
  <c r="F56" i="96"/>
  <c r="H56" i="96" s="1"/>
  <c r="B56" i="96"/>
  <c r="B59" i="76"/>
  <c r="F59" i="76"/>
  <c r="G59" i="76" s="1"/>
  <c r="H64" i="72"/>
  <c r="G64" i="72"/>
  <c r="B64" i="72"/>
  <c r="G69" i="69"/>
  <c r="D70" i="69"/>
  <c r="H69" i="69"/>
  <c r="G62" i="54"/>
  <c r="D63" i="54"/>
  <c r="H62" i="54"/>
  <c r="D71" i="28"/>
  <c r="G70" i="28"/>
  <c r="H70" i="28"/>
  <c r="G69" i="29"/>
  <c r="D70" i="29"/>
  <c r="E70" i="29" s="1"/>
  <c r="F70" i="29" s="1"/>
  <c r="H69" i="29"/>
  <c r="D66" i="58"/>
  <c r="H65" i="58"/>
  <c r="G65" i="58"/>
  <c r="H62" i="65"/>
  <c r="D63" i="65"/>
  <c r="B63" i="65" s="1"/>
  <c r="G62" i="65"/>
  <c r="H59" i="77"/>
  <c r="D60" i="77"/>
  <c r="E60" i="77" s="1"/>
  <c r="F60" i="77" s="1"/>
  <c r="D61" i="77" s="1"/>
  <c r="G59" i="77"/>
  <c r="H65" i="41"/>
  <c r="D66" i="41"/>
  <c r="B62" i="64"/>
  <c r="B65" i="21"/>
  <c r="E59" i="88"/>
  <c r="F59" i="88" s="1"/>
  <c r="B59" i="88"/>
  <c r="E61" i="63"/>
  <c r="F61" i="63" s="1"/>
  <c r="B61" i="63"/>
  <c r="B59" i="78"/>
  <c r="E62" i="64"/>
  <c r="F62" i="64" s="1"/>
  <c r="G68" i="31"/>
  <c r="D69" i="31"/>
  <c r="B66" i="74"/>
  <c r="G66" i="74"/>
  <c r="H66" i="74"/>
  <c r="E144" i="43"/>
  <c r="F144" i="43" s="1"/>
  <c r="G144" i="43" s="1"/>
  <c r="E68" i="30"/>
  <c r="F68" i="30" s="1"/>
  <c r="D69" i="30" s="1"/>
  <c r="B68" i="30"/>
  <c r="D66" i="43"/>
  <c r="E59" i="78"/>
  <c r="F59" i="78" s="1"/>
  <c r="H68" i="70"/>
  <c r="I68" i="70" s="1"/>
  <c r="D69" i="70"/>
  <c r="I61" i="60"/>
  <c r="G67" i="17"/>
  <c r="G58" i="88"/>
  <c r="H62" i="60"/>
  <c r="I62" i="60" s="1"/>
  <c r="D63" i="60"/>
  <c r="E63" i="60" s="1"/>
  <c r="F63" i="60" s="1"/>
  <c r="D64" i="60" s="1"/>
  <c r="D64" i="45"/>
  <c r="E64" i="45" s="1"/>
  <c r="E68" i="32"/>
  <c r="F68" i="32" s="1"/>
  <c r="B68" i="32"/>
  <c r="B61" i="68"/>
  <c r="H61" i="68"/>
  <c r="G61" i="68"/>
  <c r="E66" i="19"/>
  <c r="F66" i="19" s="1"/>
  <c r="B66" i="19"/>
  <c r="D67" i="74"/>
  <c r="E67" i="74" s="1"/>
  <c r="H62" i="57"/>
  <c r="I62" i="57" s="1"/>
  <c r="D63" i="57"/>
  <c r="E63" i="57" s="1"/>
  <c r="F63" i="57" s="1"/>
  <c r="B59" i="79"/>
  <c r="D58" i="83"/>
  <c r="E58" i="83" s="1"/>
  <c r="F57" i="89"/>
  <c r="G57" i="89" s="1"/>
  <c r="B57" i="89"/>
  <c r="E68" i="17"/>
  <c r="F68" i="17" s="1"/>
  <c r="B68" i="17"/>
  <c r="E59" i="79"/>
  <c r="F59" i="79" s="1"/>
  <c r="H59" i="79" s="1"/>
  <c r="D63" i="56"/>
  <c r="E63" i="56" s="1"/>
  <c r="D62" i="68"/>
  <c r="E62" i="68" s="1"/>
  <c r="F62" i="68" s="1"/>
  <c r="G65" i="41"/>
  <c r="I69" i="71"/>
  <c r="I64" i="21"/>
  <c r="B57" i="92"/>
  <c r="F57" i="92"/>
  <c r="G57" i="92" s="1"/>
  <c r="H68" i="31"/>
  <c r="G65" i="43"/>
  <c r="I65" i="43" s="1"/>
  <c r="E65" i="21"/>
  <c r="F65" i="21" s="1"/>
  <c r="H65" i="21" s="1"/>
  <c r="H58" i="88"/>
  <c r="I65" i="74"/>
  <c r="G57" i="83"/>
  <c r="I57" i="83" s="1"/>
  <c r="G62" i="56"/>
  <c r="I62" i="56" s="1"/>
  <c r="I60" i="63"/>
  <c r="J144" i="22"/>
  <c r="J146" i="27"/>
  <c r="D148" i="27"/>
  <c r="G147" i="27"/>
  <c r="J143" i="73"/>
  <c r="D58" i="26"/>
  <c r="E58" i="26" s="1"/>
  <c r="G57" i="26"/>
  <c r="H57" i="26"/>
  <c r="D61" i="62"/>
  <c r="E61" i="62" s="1"/>
  <c r="G60" i="62"/>
  <c r="H60" i="62"/>
  <c r="D57" i="13"/>
  <c r="I65" i="18"/>
  <c r="D59" i="33"/>
  <c r="E59" i="33" s="1"/>
  <c r="J138" i="75"/>
  <c r="J142" i="45"/>
  <c r="J145" i="32"/>
  <c r="D65" i="20"/>
  <c r="G58" i="33"/>
  <c r="F66" i="18"/>
  <c r="G66" i="18" s="1"/>
  <c r="B66" i="18"/>
  <c r="D58" i="87"/>
  <c r="E58" i="87" s="1"/>
  <c r="E144" i="39"/>
  <c r="F144" i="39" s="1"/>
  <c r="G144" i="39" s="1"/>
  <c r="E145" i="20"/>
  <c r="F145" i="20" s="1"/>
  <c r="G145" i="20" s="1"/>
  <c r="H56" i="13"/>
  <c r="I56" i="13" s="1"/>
  <c r="G64" i="20"/>
  <c r="I64" i="20" s="1"/>
  <c r="B61" i="59"/>
  <c r="F61" i="59"/>
  <c r="G61" i="59" s="1"/>
  <c r="B65" i="73"/>
  <c r="F65" i="73"/>
  <c r="G65" i="73" s="1"/>
  <c r="H57" i="87"/>
  <c r="I57" i="87" s="1"/>
  <c r="H58" i="33"/>
  <c r="G137" i="91"/>
  <c r="E138" i="91"/>
  <c r="D138" i="91"/>
  <c r="F142" i="46"/>
  <c r="B142" i="46"/>
  <c r="F137" i="88"/>
  <c r="B137" i="88"/>
  <c r="H142" i="74"/>
  <c r="I142" i="74"/>
  <c r="F141" i="64"/>
  <c r="B141" i="64"/>
  <c r="I139" i="68"/>
  <c r="H139" i="68"/>
  <c r="F137" i="84"/>
  <c r="B137" i="84"/>
  <c r="I136" i="86"/>
  <c r="H136" i="86"/>
  <c r="E146" i="31"/>
  <c r="F146" i="31" s="1"/>
  <c r="B146" i="31"/>
  <c r="B140" i="66"/>
  <c r="F140" i="66"/>
  <c r="B138" i="85"/>
  <c r="F138" i="85"/>
  <c r="H140" i="63"/>
  <c r="I140" i="63"/>
  <c r="D146" i="22"/>
  <c r="G145" i="22"/>
  <c r="F142" i="58"/>
  <c r="B142" i="58"/>
  <c r="G145" i="19"/>
  <c r="D147" i="32"/>
  <c r="G146" i="32"/>
  <c r="H140" i="65"/>
  <c r="I140" i="65"/>
  <c r="B142" i="53"/>
  <c r="F142" i="53"/>
  <c r="F141" i="60"/>
  <c r="B141" i="60"/>
  <c r="H140" i="61"/>
  <c r="I140" i="61"/>
  <c r="F139" i="79"/>
  <c r="B139" i="79"/>
  <c r="B142" i="72"/>
  <c r="F142" i="72"/>
  <c r="H136" i="84"/>
  <c r="I136" i="84"/>
  <c r="E145" i="73"/>
  <c r="G144" i="73"/>
  <c r="D145" i="73"/>
  <c r="G145" i="34"/>
  <c r="I145" i="34" s="1"/>
  <c r="H144" i="20"/>
  <c r="I144" i="20"/>
  <c r="D148" i="30"/>
  <c r="G147" i="30"/>
  <c r="F139" i="78"/>
  <c r="B139" i="78"/>
  <c r="I139" i="66"/>
  <c r="H139" i="66"/>
  <c r="E147" i="29"/>
  <c r="F147" i="29" s="1"/>
  <c r="B147" i="29"/>
  <c r="H137" i="85"/>
  <c r="I137" i="85"/>
  <c r="F147" i="70"/>
  <c r="B147" i="70"/>
  <c r="E145" i="41"/>
  <c r="F145" i="41" s="1"/>
  <c r="B145" i="41"/>
  <c r="F141" i="65"/>
  <c r="B141" i="65"/>
  <c r="J140" i="62"/>
  <c r="H140" i="60"/>
  <c r="I140" i="60"/>
  <c r="B141" i="61"/>
  <c r="F141" i="61"/>
  <c r="J144" i="19"/>
  <c r="F147" i="69"/>
  <c r="B147" i="69"/>
  <c r="H144" i="34"/>
  <c r="I144" i="34"/>
  <c r="B137" i="92"/>
  <c r="F137" i="92"/>
  <c r="I138" i="78"/>
  <c r="H138" i="78"/>
  <c r="D144" i="45"/>
  <c r="B144" i="45" s="1"/>
  <c r="G143" i="45"/>
  <c r="I146" i="70"/>
  <c r="H146" i="70"/>
  <c r="J146" i="30"/>
  <c r="I141" i="58"/>
  <c r="H141" i="58"/>
  <c r="I141" i="53"/>
  <c r="H141" i="53"/>
  <c r="D142" i="62"/>
  <c r="E142" i="62" s="1"/>
  <c r="G141" i="62"/>
  <c r="B137" i="90"/>
  <c r="F137" i="90"/>
  <c r="E138" i="89"/>
  <c r="G137" i="89"/>
  <c r="D138" i="89"/>
  <c r="H146" i="69"/>
  <c r="I146" i="69"/>
  <c r="H141" i="46"/>
  <c r="I141" i="46"/>
  <c r="I136" i="88"/>
  <c r="H136" i="88"/>
  <c r="B143" i="74"/>
  <c r="F143" i="74"/>
  <c r="J144" i="21"/>
  <c r="I141" i="72"/>
  <c r="H141" i="72"/>
  <c r="J143" i="43"/>
  <c r="H143" i="39"/>
  <c r="I143" i="39"/>
  <c r="I140" i="64"/>
  <c r="H140" i="64"/>
  <c r="G138" i="81"/>
  <c r="E139" i="81"/>
  <c r="D139" i="81"/>
  <c r="B140" i="68"/>
  <c r="F140" i="68"/>
  <c r="H136" i="92"/>
  <c r="I136" i="92"/>
  <c r="F137" i="86"/>
  <c r="B137" i="86"/>
  <c r="I145" i="31"/>
  <c r="H145" i="31"/>
  <c r="I146" i="29"/>
  <c r="H146" i="29"/>
  <c r="B141" i="63"/>
  <c r="F141" i="63"/>
  <c r="I144" i="41"/>
  <c r="H144" i="41"/>
  <c r="H136" i="90"/>
  <c r="I136" i="90"/>
  <c r="I138" i="79"/>
  <c r="H138" i="79"/>
  <c r="G143" i="56"/>
  <c r="D144" i="56"/>
  <c r="I145" i="18"/>
  <c r="H145" i="18"/>
  <c r="H146" i="23"/>
  <c r="I146" i="23"/>
  <c r="H141" i="59"/>
  <c r="I141" i="59"/>
  <c r="E146" i="18"/>
  <c r="F146" i="18" s="1"/>
  <c r="B146" i="18"/>
  <c r="B142" i="59"/>
  <c r="F142" i="59"/>
  <c r="J142" i="56"/>
  <c r="E147" i="23"/>
  <c r="F147" i="23" s="1"/>
  <c r="B147" i="23"/>
  <c r="J141" i="54"/>
  <c r="B147" i="71"/>
  <c r="F147" i="71"/>
  <c r="J138" i="76"/>
  <c r="I142" i="57"/>
  <c r="H142" i="57"/>
  <c r="H146" i="71"/>
  <c r="I146" i="71"/>
  <c r="F143" i="57"/>
  <c r="B143" i="57"/>
  <c r="J135" i="33"/>
  <c r="J138" i="77"/>
  <c r="D145" i="42"/>
  <c r="E145" i="42" s="1"/>
  <c r="G144" i="42"/>
  <c r="J136" i="25"/>
  <c r="E140" i="77"/>
  <c r="G139" i="77"/>
  <c r="D140" i="77"/>
  <c r="J143" i="42"/>
  <c r="E140" i="76"/>
  <c r="D140" i="76"/>
  <c r="G139" i="76"/>
  <c r="G137" i="25"/>
  <c r="D138" i="25"/>
  <c r="I136" i="96"/>
  <c r="H136" i="96"/>
  <c r="D143" i="55"/>
  <c r="E143" i="55" s="1"/>
  <c r="G142" i="55"/>
  <c r="D137" i="13"/>
  <c r="E137" i="13" s="1"/>
  <c r="G136" i="13"/>
  <c r="G137" i="93"/>
  <c r="D138" i="93"/>
  <c r="E138" i="93" s="1"/>
  <c r="B148" i="28"/>
  <c r="I137" i="94"/>
  <c r="H137" i="94"/>
  <c r="D137" i="33"/>
  <c r="E137" i="33" s="1"/>
  <c r="G136" i="33"/>
  <c r="H136" i="87"/>
  <c r="I136" i="87"/>
  <c r="B138" i="95"/>
  <c r="F138" i="95"/>
  <c r="H139" i="67"/>
  <c r="I139" i="67"/>
  <c r="F145" i="3"/>
  <c r="B145" i="3"/>
  <c r="F146" i="17"/>
  <c r="B146" i="17"/>
  <c r="H137" i="82"/>
  <c r="I137" i="82"/>
  <c r="J141" i="55"/>
  <c r="F137" i="87"/>
  <c r="B137" i="87"/>
  <c r="D147" i="24"/>
  <c r="E147" i="24" s="1"/>
  <c r="G146" i="24"/>
  <c r="H143" i="44"/>
  <c r="I143" i="44"/>
  <c r="B140" i="67"/>
  <c r="F140" i="67"/>
  <c r="D146" i="21"/>
  <c r="E146" i="21" s="1"/>
  <c r="G145" i="21"/>
  <c r="I144" i="3"/>
  <c r="H144" i="3"/>
  <c r="E148" i="28"/>
  <c r="F148" i="28" s="1"/>
  <c r="E140" i="75"/>
  <c r="G139" i="75"/>
  <c r="D140" i="75"/>
  <c r="H145" i="17"/>
  <c r="I145" i="17"/>
  <c r="E139" i="83"/>
  <c r="D139" i="83"/>
  <c r="G138" i="83"/>
  <c r="B138" i="82"/>
  <c r="F138" i="82"/>
  <c r="B138" i="94"/>
  <c r="F138" i="94"/>
  <c r="D139" i="80"/>
  <c r="G138" i="80"/>
  <c r="E139" i="80"/>
  <c r="H137" i="95"/>
  <c r="I137" i="95"/>
  <c r="D143" i="54"/>
  <c r="E143" i="54" s="1"/>
  <c r="G142" i="54"/>
  <c r="F144" i="44"/>
  <c r="B144" i="44"/>
  <c r="B137" i="96"/>
  <c r="F137" i="96"/>
  <c r="J145" i="24"/>
  <c r="H147" i="28"/>
  <c r="I147" i="28"/>
  <c r="F146" i="34"/>
  <c r="B146" i="34"/>
  <c r="H137" i="26" l="1"/>
  <c r="I137" i="26"/>
  <c r="J137" i="26" s="1"/>
  <c r="E138" i="26"/>
  <c r="F138" i="26" s="1"/>
  <c r="B138" i="26"/>
  <c r="H57" i="98"/>
  <c r="I62" i="67"/>
  <c r="E69" i="99"/>
  <c r="F69" i="99" s="1"/>
  <c r="D70" i="99" s="1"/>
  <c r="B69" i="99"/>
  <c r="H68" i="99"/>
  <c r="E58" i="98"/>
  <c r="F58" i="98" s="1"/>
  <c r="B58" i="98"/>
  <c r="I69" i="3"/>
  <c r="G68" i="99"/>
  <c r="G57" i="98"/>
  <c r="I57" i="98" s="1"/>
  <c r="D145" i="39"/>
  <c r="E63" i="67"/>
  <c r="F63" i="67" s="1"/>
  <c r="D64" i="67" s="1"/>
  <c r="B64" i="67" s="1"/>
  <c r="F137" i="99"/>
  <c r="B137" i="99"/>
  <c r="H136" i="99"/>
  <c r="I136" i="99"/>
  <c r="G70" i="3"/>
  <c r="H70" i="3"/>
  <c r="D145" i="43"/>
  <c r="B145" i="43" s="1"/>
  <c r="I67" i="17"/>
  <c r="I58" i="86"/>
  <c r="H68" i="24"/>
  <c r="I67" i="24"/>
  <c r="G68" i="24"/>
  <c r="D146" i="20"/>
  <c r="E146" i="20" s="1"/>
  <c r="F146" i="20" s="1"/>
  <c r="G137" i="98"/>
  <c r="D138" i="98"/>
  <c r="E138" i="98"/>
  <c r="G137" i="97"/>
  <c r="D138" i="97"/>
  <c r="E138" i="97"/>
  <c r="H57" i="94"/>
  <c r="G57" i="94"/>
  <c r="H59" i="76"/>
  <c r="I59" i="76" s="1"/>
  <c r="E67" i="46"/>
  <c r="F67" i="46" s="1"/>
  <c r="B67" i="46"/>
  <c r="B66" i="46"/>
  <c r="H66" i="46"/>
  <c r="G66" i="46"/>
  <c r="E69" i="24"/>
  <c r="F69" i="24" s="1"/>
  <c r="B69" i="24"/>
  <c r="I68" i="23"/>
  <c r="I63" i="45"/>
  <c r="I60" i="82"/>
  <c r="D63" i="61"/>
  <c r="B63" i="61" s="1"/>
  <c r="B61" i="82"/>
  <c r="H59" i="86"/>
  <c r="D60" i="86"/>
  <c r="B60" i="86" s="1"/>
  <c r="I66" i="74"/>
  <c r="G67" i="27"/>
  <c r="H67" i="27"/>
  <c r="D68" i="27"/>
  <c r="E58" i="94"/>
  <c r="F58" i="94" s="1"/>
  <c r="B58" i="94"/>
  <c r="I57" i="25"/>
  <c r="E57" i="93"/>
  <c r="D57" i="93"/>
  <c r="G59" i="80"/>
  <c r="D60" i="80"/>
  <c r="E60" i="80" s="1"/>
  <c r="F60" i="80" s="1"/>
  <c r="I64" i="55"/>
  <c r="H56" i="93"/>
  <c r="I56" i="93" s="1"/>
  <c r="H59" i="80"/>
  <c r="E58" i="25"/>
  <c r="F58" i="25" s="1"/>
  <c r="B58" i="25"/>
  <c r="E61" i="82"/>
  <c r="F61" i="82" s="1"/>
  <c r="D62" i="82" s="1"/>
  <c r="B59" i="86"/>
  <c r="G59" i="86"/>
  <c r="D67" i="19"/>
  <c r="E67" i="19" s="1"/>
  <c r="G66" i="19"/>
  <c r="D66" i="72"/>
  <c r="B66" i="72" s="1"/>
  <c r="G63" i="53"/>
  <c r="D64" i="53"/>
  <c r="E64" i="53" s="1"/>
  <c r="H63" i="53"/>
  <c r="E67" i="34"/>
  <c r="F67" i="34" s="1"/>
  <c r="H67" i="34" s="1"/>
  <c r="H59" i="90"/>
  <c r="I59" i="90" s="1"/>
  <c r="H58" i="84"/>
  <c r="I58" i="84" s="1"/>
  <c r="D59" i="84"/>
  <c r="I67" i="42"/>
  <c r="E69" i="23"/>
  <c r="F69" i="23" s="1"/>
  <c r="D70" i="23" s="1"/>
  <c r="E70" i="23" s="1"/>
  <c r="B61" i="75"/>
  <c r="F61" i="75"/>
  <c r="G61" i="75" s="1"/>
  <c r="H58" i="91"/>
  <c r="G58" i="91"/>
  <c r="D59" i="91"/>
  <c r="E59" i="91" s="1"/>
  <c r="I67" i="30"/>
  <c r="G70" i="71"/>
  <c r="H70" i="71"/>
  <c r="D71" i="71"/>
  <c r="E65" i="55"/>
  <c r="F65" i="55" s="1"/>
  <c r="B65" i="55"/>
  <c r="D60" i="90"/>
  <c r="E60" i="90" s="1"/>
  <c r="G62" i="66"/>
  <c r="D63" i="66"/>
  <c r="E63" i="66" s="1"/>
  <c r="H62" i="66"/>
  <c r="E68" i="42"/>
  <c r="F68" i="42" s="1"/>
  <c r="B68" i="42"/>
  <c r="D69" i="32"/>
  <c r="B69" i="32" s="1"/>
  <c r="H68" i="32"/>
  <c r="D71" i="29"/>
  <c r="B71" i="29" s="1"/>
  <c r="G58" i="81"/>
  <c r="D59" i="81"/>
  <c r="H58" i="81"/>
  <c r="B59" i="85"/>
  <c r="F65" i="44"/>
  <c r="H65" i="44" s="1"/>
  <c r="B65" i="44"/>
  <c r="F57" i="95"/>
  <c r="H57" i="95" s="1"/>
  <c r="B57" i="95"/>
  <c r="D68" i="22"/>
  <c r="E68" i="22" s="1"/>
  <c r="D66" i="39"/>
  <c r="E66" i="39" s="1"/>
  <c r="I69" i="29"/>
  <c r="I64" i="72"/>
  <c r="D57" i="96"/>
  <c r="E57" i="96"/>
  <c r="G67" i="22"/>
  <c r="B62" i="61"/>
  <c r="G62" i="61"/>
  <c r="H62" i="61"/>
  <c r="B65" i="72"/>
  <c r="G65" i="72"/>
  <c r="H65" i="72"/>
  <c r="I59" i="77"/>
  <c r="D60" i="76"/>
  <c r="E60" i="76" s="1"/>
  <c r="F60" i="76" s="1"/>
  <c r="D61" i="76" s="1"/>
  <c r="G56" i="96"/>
  <c r="I56" i="96" s="1"/>
  <c r="H67" i="22"/>
  <c r="H65" i="39"/>
  <c r="I65" i="39" s="1"/>
  <c r="E59" i="85"/>
  <c r="F59" i="85" s="1"/>
  <c r="I66" i="34"/>
  <c r="I70" i="28"/>
  <c r="I58" i="33"/>
  <c r="I65" i="58"/>
  <c r="I69" i="69"/>
  <c r="I61" i="68"/>
  <c r="I65" i="41"/>
  <c r="G59" i="78"/>
  <c r="D60" i="78"/>
  <c r="E60" i="78" s="1"/>
  <c r="H59" i="78"/>
  <c r="D63" i="64"/>
  <c r="H62" i="64"/>
  <c r="G62" i="64"/>
  <c r="D64" i="57"/>
  <c r="D69" i="17"/>
  <c r="E69" i="17" s="1"/>
  <c r="H68" i="17"/>
  <c r="G68" i="17"/>
  <c r="D62" i="63"/>
  <c r="E62" i="63" s="1"/>
  <c r="F62" i="63" s="1"/>
  <c r="D63" i="63" s="1"/>
  <c r="G61" i="63"/>
  <c r="H61" i="63"/>
  <c r="G59" i="88"/>
  <c r="D60" i="88"/>
  <c r="H59" i="88"/>
  <c r="E61" i="77"/>
  <c r="F61" i="77" s="1"/>
  <c r="H61" i="77" s="1"/>
  <c r="B61" i="77"/>
  <c r="B58" i="83"/>
  <c r="F58" i="83"/>
  <c r="G58" i="83" s="1"/>
  <c r="B66" i="43"/>
  <c r="H65" i="73"/>
  <c r="I65" i="73" s="1"/>
  <c r="I68" i="31"/>
  <c r="H57" i="92"/>
  <c r="I57" i="92" s="1"/>
  <c r="D58" i="92"/>
  <c r="E58" i="92" s="1"/>
  <c r="D63" i="68"/>
  <c r="G68" i="30"/>
  <c r="B66" i="58"/>
  <c r="E71" i="28"/>
  <c r="F71" i="28" s="1"/>
  <c r="B71" i="28"/>
  <c r="H61" i="59"/>
  <c r="I61" i="59" s="1"/>
  <c r="I60" i="62"/>
  <c r="I58" i="88"/>
  <c r="B62" i="68"/>
  <c r="H62" i="68"/>
  <c r="G62" i="68"/>
  <c r="F67" i="74"/>
  <c r="G67" i="74" s="1"/>
  <c r="B67" i="74"/>
  <c r="G68" i="32"/>
  <c r="B63" i="60"/>
  <c r="G63" i="60"/>
  <c r="H63" i="60"/>
  <c r="H68" i="30"/>
  <c r="E66" i="41"/>
  <c r="F66" i="41" s="1"/>
  <c r="B66" i="41"/>
  <c r="E63" i="65"/>
  <c r="F63" i="65" s="1"/>
  <c r="E66" i="58"/>
  <c r="F66" i="58" s="1"/>
  <c r="G66" i="58" s="1"/>
  <c r="I62" i="54"/>
  <c r="E70" i="69"/>
  <c r="F70" i="69" s="1"/>
  <c r="B70" i="69"/>
  <c r="E58" i="89"/>
  <c r="D58" i="89"/>
  <c r="E69" i="70"/>
  <c r="F69" i="70" s="1"/>
  <c r="B69" i="70"/>
  <c r="E69" i="30"/>
  <c r="F69" i="30" s="1"/>
  <c r="H69" i="30" s="1"/>
  <c r="B69" i="30"/>
  <c r="F63" i="56"/>
  <c r="D64" i="56" s="1"/>
  <c r="B63" i="56"/>
  <c r="D60" i="79"/>
  <c r="E60" i="79" s="1"/>
  <c r="E64" i="60"/>
  <c r="F64" i="60" s="1"/>
  <c r="B64" i="60"/>
  <c r="D66" i="21"/>
  <c r="E66" i="21" s="1"/>
  <c r="B70" i="29"/>
  <c r="H70" i="29"/>
  <c r="G70" i="29"/>
  <c r="H57" i="89"/>
  <c r="I57" i="89" s="1"/>
  <c r="G59" i="79"/>
  <c r="I59" i="79" s="1"/>
  <c r="B63" i="57"/>
  <c r="G63" i="57"/>
  <c r="H63" i="57"/>
  <c r="H66" i="19"/>
  <c r="F64" i="45"/>
  <c r="H64" i="45" s="1"/>
  <c r="B64" i="45"/>
  <c r="E66" i="43"/>
  <c r="F66" i="43" s="1"/>
  <c r="H66" i="43" s="1"/>
  <c r="E69" i="31"/>
  <c r="F69" i="31" s="1"/>
  <c r="B69" i="31"/>
  <c r="G65" i="21"/>
  <c r="I65" i="21" s="1"/>
  <c r="B60" i="77"/>
  <c r="G60" i="77"/>
  <c r="H60" i="77"/>
  <c r="I62" i="65"/>
  <c r="E63" i="54"/>
  <c r="F63" i="54" s="1"/>
  <c r="H63" i="54" s="1"/>
  <c r="B63" i="54"/>
  <c r="J144" i="20"/>
  <c r="I147" i="27"/>
  <c r="H147" i="27"/>
  <c r="E148" i="27"/>
  <c r="F148" i="27" s="1"/>
  <c r="B148" i="27"/>
  <c r="J141" i="58"/>
  <c r="E144" i="45"/>
  <c r="F144" i="45" s="1"/>
  <c r="D145" i="45" s="1"/>
  <c r="J138" i="78"/>
  <c r="J141" i="46"/>
  <c r="J140" i="65"/>
  <c r="J140" i="60"/>
  <c r="F58" i="87"/>
  <c r="H58" i="87" s="1"/>
  <c r="B58" i="87"/>
  <c r="B57" i="13"/>
  <c r="B71" i="3"/>
  <c r="F71" i="3"/>
  <c r="G71" i="3" s="1"/>
  <c r="B61" i="62"/>
  <c r="F61" i="62"/>
  <c r="G61" i="62" s="1"/>
  <c r="J142" i="57"/>
  <c r="J144" i="34"/>
  <c r="J139" i="68"/>
  <c r="D66" i="73"/>
  <c r="D62" i="59"/>
  <c r="E62" i="59" s="1"/>
  <c r="B65" i="20"/>
  <c r="F58" i="26"/>
  <c r="H58" i="26" s="1"/>
  <c r="B58" i="26"/>
  <c r="D67" i="18"/>
  <c r="J146" i="71"/>
  <c r="J140" i="61"/>
  <c r="J140" i="63"/>
  <c r="H66" i="18"/>
  <c r="I66" i="18" s="1"/>
  <c r="E65" i="20"/>
  <c r="F65" i="20" s="1"/>
  <c r="H65" i="20" s="1"/>
  <c r="B59" i="33"/>
  <c r="F59" i="33"/>
  <c r="H59" i="33" s="1"/>
  <c r="E57" i="13"/>
  <c r="F57" i="13" s="1"/>
  <c r="I57" i="26"/>
  <c r="D147" i="31"/>
  <c r="G146" i="31"/>
  <c r="G145" i="41"/>
  <c r="D146" i="41"/>
  <c r="D142" i="63"/>
  <c r="E142" i="63" s="1"/>
  <c r="G141" i="63"/>
  <c r="E141" i="68"/>
  <c r="D141" i="68"/>
  <c r="G140" i="68"/>
  <c r="H138" i="81"/>
  <c r="I138" i="81"/>
  <c r="E138" i="90"/>
  <c r="G137" i="90"/>
  <c r="D138" i="90"/>
  <c r="B146" i="20"/>
  <c r="G142" i="72"/>
  <c r="D143" i="72"/>
  <c r="E143" i="72"/>
  <c r="F142" i="62"/>
  <c r="B142" i="62"/>
  <c r="H147" i="30"/>
  <c r="I147" i="30"/>
  <c r="D143" i="53"/>
  <c r="G142" i="53"/>
  <c r="H146" i="32"/>
  <c r="I146" i="32"/>
  <c r="E141" i="66"/>
  <c r="D141" i="66"/>
  <c r="G140" i="66"/>
  <c r="G142" i="46"/>
  <c r="D143" i="46"/>
  <c r="B143" i="46" s="1"/>
  <c r="J146" i="29"/>
  <c r="D138" i="86"/>
  <c r="E138" i="86"/>
  <c r="G137" i="86"/>
  <c r="G143" i="74"/>
  <c r="E144" i="74"/>
  <c r="D144" i="74"/>
  <c r="B138" i="89"/>
  <c r="F138" i="89"/>
  <c r="I143" i="45"/>
  <c r="H143" i="45"/>
  <c r="E138" i="92"/>
  <c r="D138" i="92"/>
  <c r="G137" i="92"/>
  <c r="E148" i="69"/>
  <c r="D148" i="69"/>
  <c r="G147" i="69"/>
  <c r="D142" i="65"/>
  <c r="E142" i="65" s="1"/>
  <c r="G141" i="65"/>
  <c r="J139" i="66"/>
  <c r="E148" i="30"/>
  <c r="F148" i="30" s="1"/>
  <c r="B148" i="30"/>
  <c r="B145" i="73"/>
  <c r="F145" i="73"/>
  <c r="E147" i="32"/>
  <c r="F147" i="32" s="1"/>
  <c r="B147" i="32"/>
  <c r="G142" i="58"/>
  <c r="D143" i="58"/>
  <c r="E143" i="58" s="1"/>
  <c r="I144" i="43"/>
  <c r="H144" i="43"/>
  <c r="F138" i="91"/>
  <c r="B138" i="91"/>
  <c r="H145" i="34"/>
  <c r="J145" i="34" s="1"/>
  <c r="J145" i="18"/>
  <c r="B139" i="81"/>
  <c r="F139" i="81"/>
  <c r="J140" i="64"/>
  <c r="I137" i="89"/>
  <c r="H137" i="89"/>
  <c r="H141" i="62"/>
  <c r="I141" i="62"/>
  <c r="J141" i="53"/>
  <c r="E148" i="70"/>
  <c r="G147" i="70"/>
  <c r="D148" i="70"/>
  <c r="D148" i="29"/>
  <c r="G147" i="29"/>
  <c r="I144" i="73"/>
  <c r="H144" i="73"/>
  <c r="B145" i="39"/>
  <c r="E145" i="39"/>
  <c r="F145" i="39" s="1"/>
  <c r="E146" i="19"/>
  <c r="F146" i="19" s="1"/>
  <c r="B146" i="19"/>
  <c r="I145" i="22"/>
  <c r="H145" i="22"/>
  <c r="D139" i="85"/>
  <c r="E139" i="85"/>
  <c r="G138" i="85"/>
  <c r="E138" i="84"/>
  <c r="G137" i="84"/>
  <c r="D138" i="84"/>
  <c r="D142" i="64"/>
  <c r="E142" i="64" s="1"/>
  <c r="G141" i="64"/>
  <c r="G137" i="88"/>
  <c r="D138" i="88"/>
  <c r="E138" i="88"/>
  <c r="J147" i="28"/>
  <c r="J138" i="79"/>
  <c r="J144" i="41"/>
  <c r="J145" i="31"/>
  <c r="J143" i="39"/>
  <c r="J141" i="72"/>
  <c r="J146" i="69"/>
  <c r="J146" i="70"/>
  <c r="I145" i="20"/>
  <c r="H145" i="20"/>
  <c r="G141" i="61"/>
  <c r="D142" i="61"/>
  <c r="E142" i="61" s="1"/>
  <c r="D140" i="78"/>
  <c r="E140" i="78"/>
  <c r="G139" i="78"/>
  <c r="I144" i="39"/>
  <c r="H144" i="39"/>
  <c r="D140" i="79"/>
  <c r="G139" i="79"/>
  <c r="E140" i="79"/>
  <c r="G141" i="60"/>
  <c r="D142" i="60"/>
  <c r="E142" i="60" s="1"/>
  <c r="I145" i="19"/>
  <c r="H145" i="19"/>
  <c r="E146" i="22"/>
  <c r="F146" i="22" s="1"/>
  <c r="B146" i="22"/>
  <c r="J142" i="74"/>
  <c r="I137" i="91"/>
  <c r="H137" i="91"/>
  <c r="G146" i="18"/>
  <c r="D147" i="18"/>
  <c r="G147" i="23"/>
  <c r="D148" i="23"/>
  <c r="B148" i="23" s="1"/>
  <c r="E144" i="56"/>
  <c r="F144" i="56" s="1"/>
  <c r="B144" i="56"/>
  <c r="J143" i="44"/>
  <c r="J141" i="59"/>
  <c r="H143" i="56"/>
  <c r="I143" i="56"/>
  <c r="G142" i="59"/>
  <c r="D143" i="59"/>
  <c r="E143" i="59" s="1"/>
  <c r="J146" i="23"/>
  <c r="J139" i="67"/>
  <c r="D148" i="71"/>
  <c r="E148" i="71" s="1"/>
  <c r="G147" i="71"/>
  <c r="D144" i="57"/>
  <c r="E144" i="57" s="1"/>
  <c r="G143" i="57"/>
  <c r="D149" i="28"/>
  <c r="E149" i="28" s="1"/>
  <c r="G148" i="28"/>
  <c r="B143" i="54"/>
  <c r="F143" i="54"/>
  <c r="B139" i="83"/>
  <c r="F139" i="83"/>
  <c r="F140" i="75"/>
  <c r="B140" i="75"/>
  <c r="B146" i="21"/>
  <c r="F146" i="21"/>
  <c r="G137" i="87"/>
  <c r="D138" i="87"/>
  <c r="E138" i="87"/>
  <c r="G145" i="3"/>
  <c r="D146" i="3"/>
  <c r="E146" i="3" s="1"/>
  <c r="I142" i="55"/>
  <c r="H142" i="55"/>
  <c r="B138" i="25"/>
  <c r="F140" i="76"/>
  <c r="B140" i="76"/>
  <c r="H144" i="42"/>
  <c r="I144" i="42"/>
  <c r="G144" i="44"/>
  <c r="D145" i="44"/>
  <c r="I138" i="80"/>
  <c r="H138" i="80"/>
  <c r="G138" i="82"/>
  <c r="D139" i="82"/>
  <c r="E139" i="82"/>
  <c r="H139" i="75"/>
  <c r="I139" i="75"/>
  <c r="J144" i="3"/>
  <c r="H146" i="24"/>
  <c r="I146" i="24"/>
  <c r="G138" i="95"/>
  <c r="D139" i="95"/>
  <c r="E139" i="95" s="1"/>
  <c r="H136" i="33"/>
  <c r="I136" i="33"/>
  <c r="H136" i="13"/>
  <c r="I136" i="13"/>
  <c r="E138" i="25"/>
  <c r="F138" i="25" s="1"/>
  <c r="B140" i="77"/>
  <c r="F140" i="77"/>
  <c r="I142" i="54"/>
  <c r="H142" i="54"/>
  <c r="F139" i="80"/>
  <c r="B139" i="80"/>
  <c r="J145" i="17"/>
  <c r="I145" i="21"/>
  <c r="H145" i="21"/>
  <c r="D141" i="67"/>
  <c r="E141" i="67" s="1"/>
  <c r="G140" i="67"/>
  <c r="B147" i="24"/>
  <c r="F147" i="24"/>
  <c r="G146" i="17"/>
  <c r="D147" i="17"/>
  <c r="F137" i="33"/>
  <c r="B137" i="33"/>
  <c r="F138" i="93"/>
  <c r="B138" i="93"/>
  <c r="B143" i="55"/>
  <c r="F143" i="55"/>
  <c r="I137" i="25"/>
  <c r="H137" i="25"/>
  <c r="I139" i="77"/>
  <c r="H139" i="77"/>
  <c r="F145" i="42"/>
  <c r="B145" i="42"/>
  <c r="D147" i="34"/>
  <c r="E147" i="34" s="1"/>
  <c r="G146" i="34"/>
  <c r="G137" i="96"/>
  <c r="D138" i="96"/>
  <c r="E138" i="96" s="1"/>
  <c r="G138" i="94"/>
  <c r="D139" i="94"/>
  <c r="E139" i="94" s="1"/>
  <c r="H138" i="83"/>
  <c r="I138" i="83"/>
  <c r="H137" i="93"/>
  <c r="I137" i="93"/>
  <c r="B137" i="13"/>
  <c r="F137" i="13"/>
  <c r="H139" i="76"/>
  <c r="I139" i="76"/>
  <c r="E64" i="67" l="1"/>
  <c r="F64" i="67" s="1"/>
  <c r="D139" i="26"/>
  <c r="B139" i="26" s="1"/>
  <c r="G138" i="26"/>
  <c r="H69" i="99"/>
  <c r="I68" i="99"/>
  <c r="E69" i="32"/>
  <c r="F69" i="32" s="1"/>
  <c r="H63" i="67"/>
  <c r="I63" i="67" s="1"/>
  <c r="G69" i="99"/>
  <c r="G63" i="67"/>
  <c r="I70" i="3"/>
  <c r="D59" i="98"/>
  <c r="G58" i="98"/>
  <c r="H58" i="98"/>
  <c r="G58" i="26"/>
  <c r="I68" i="24"/>
  <c r="E70" i="99"/>
  <c r="F70" i="99" s="1"/>
  <c r="D71" i="99" s="1"/>
  <c r="B70" i="99"/>
  <c r="I66" i="19"/>
  <c r="G137" i="99"/>
  <c r="E138" i="99"/>
  <c r="D138" i="99"/>
  <c r="E145" i="43"/>
  <c r="F145" i="43" s="1"/>
  <c r="D146" i="43" s="1"/>
  <c r="I57" i="94"/>
  <c r="I59" i="86"/>
  <c r="I67" i="27"/>
  <c r="I137" i="97"/>
  <c r="H137" i="97"/>
  <c r="B138" i="98"/>
  <c r="F138" i="98"/>
  <c r="B138" i="97"/>
  <c r="F138" i="97"/>
  <c r="H137" i="98"/>
  <c r="I137" i="98"/>
  <c r="E66" i="72"/>
  <c r="F66" i="72" s="1"/>
  <c r="G66" i="72" s="1"/>
  <c r="G67" i="46"/>
  <c r="D68" i="46"/>
  <c r="H67" i="46"/>
  <c r="I66" i="46"/>
  <c r="G67" i="34"/>
  <c r="I67" i="34" s="1"/>
  <c r="H69" i="24"/>
  <c r="G69" i="24"/>
  <c r="D70" i="24"/>
  <c r="B70" i="23"/>
  <c r="F70" i="23"/>
  <c r="G70" i="23" s="1"/>
  <c r="G69" i="23"/>
  <c r="I67" i="22"/>
  <c r="F67" i="19"/>
  <c r="H67" i="19" s="1"/>
  <c r="D61" i="80"/>
  <c r="E61" i="80" s="1"/>
  <c r="G58" i="94"/>
  <c r="D59" i="94"/>
  <c r="B59" i="94" s="1"/>
  <c r="H58" i="94"/>
  <c r="H58" i="25"/>
  <c r="D59" i="25"/>
  <c r="B59" i="25" s="1"/>
  <c r="G58" i="25"/>
  <c r="I68" i="32"/>
  <c r="I58" i="91"/>
  <c r="I63" i="53"/>
  <c r="B57" i="93"/>
  <c r="F57" i="93"/>
  <c r="G57" i="93" s="1"/>
  <c r="B67" i="19"/>
  <c r="E71" i="29"/>
  <c r="F71" i="29" s="1"/>
  <c r="D72" i="29" s="1"/>
  <c r="B72" i="29" s="1"/>
  <c r="E60" i="86"/>
  <c r="F60" i="86" s="1"/>
  <c r="D61" i="86" s="1"/>
  <c r="E61" i="86" s="1"/>
  <c r="F61" i="86" s="1"/>
  <c r="D62" i="86" s="1"/>
  <c r="E62" i="86" s="1"/>
  <c r="H61" i="82"/>
  <c r="E63" i="61"/>
  <c r="F63" i="61" s="1"/>
  <c r="I61" i="63"/>
  <c r="G65" i="44"/>
  <c r="I65" i="44" s="1"/>
  <c r="E62" i="82"/>
  <c r="F62" i="82" s="1"/>
  <c r="D63" i="82" s="1"/>
  <c r="B62" i="82"/>
  <c r="I59" i="80"/>
  <c r="B60" i="80"/>
  <c r="H60" i="80"/>
  <c r="G60" i="80"/>
  <c r="B68" i="27"/>
  <c r="E68" i="27"/>
  <c r="F68" i="27" s="1"/>
  <c r="G61" i="82"/>
  <c r="H68" i="42"/>
  <c r="D69" i="42"/>
  <c r="G68" i="42"/>
  <c r="D66" i="55"/>
  <c r="H65" i="55"/>
  <c r="G65" i="55"/>
  <c r="I59" i="88"/>
  <c r="I58" i="81"/>
  <c r="I62" i="66"/>
  <c r="E71" i="71"/>
  <c r="F71" i="71" s="1"/>
  <c r="B71" i="71"/>
  <c r="D62" i="75"/>
  <c r="E62" i="75" s="1"/>
  <c r="F62" i="75" s="1"/>
  <c r="B59" i="84"/>
  <c r="D68" i="34"/>
  <c r="E68" i="34" s="1"/>
  <c r="G64" i="45"/>
  <c r="I64" i="45" s="1"/>
  <c r="G63" i="56"/>
  <c r="I63" i="60"/>
  <c r="G66" i="43"/>
  <c r="I66" i="43" s="1"/>
  <c r="I62" i="61"/>
  <c r="F60" i="90"/>
  <c r="B60" i="90"/>
  <c r="I70" i="71"/>
  <c r="E59" i="84"/>
  <c r="F59" i="84" s="1"/>
  <c r="F64" i="53"/>
  <c r="B64" i="53"/>
  <c r="I63" i="57"/>
  <c r="B63" i="66"/>
  <c r="F63" i="66"/>
  <c r="D64" i="66" s="1"/>
  <c r="E64" i="66" s="1"/>
  <c r="F64" i="66" s="1"/>
  <c r="D65" i="66" s="1"/>
  <c r="B59" i="91"/>
  <c r="F59" i="91"/>
  <c r="H61" i="75"/>
  <c r="I61" i="75" s="1"/>
  <c r="H69" i="23"/>
  <c r="E61" i="76"/>
  <c r="F61" i="76" s="1"/>
  <c r="B61" i="76"/>
  <c r="H67" i="74"/>
  <c r="I67" i="74" s="1"/>
  <c r="D60" i="85"/>
  <c r="F68" i="22"/>
  <c r="B68" i="22"/>
  <c r="I65" i="72"/>
  <c r="F57" i="96"/>
  <c r="G57" i="96" s="1"/>
  <c r="B57" i="96"/>
  <c r="H59" i="85"/>
  <c r="E59" i="81"/>
  <c r="F59" i="81" s="1"/>
  <c r="B59" i="81"/>
  <c r="G57" i="95"/>
  <c r="I57" i="95" s="1"/>
  <c r="D58" i="95"/>
  <c r="B60" i="76"/>
  <c r="H60" i="76"/>
  <c r="G60" i="76"/>
  <c r="F66" i="39"/>
  <c r="H66" i="39" s="1"/>
  <c r="B66" i="39"/>
  <c r="D66" i="44"/>
  <c r="E66" i="44" s="1"/>
  <c r="F66" i="44" s="1"/>
  <c r="D67" i="44" s="1"/>
  <c r="G59" i="85"/>
  <c r="I60" i="77"/>
  <c r="I70" i="29"/>
  <c r="D71" i="69"/>
  <c r="H70" i="69"/>
  <c r="G70" i="69"/>
  <c r="E63" i="63"/>
  <c r="F63" i="63" s="1"/>
  <c r="G63" i="63" s="1"/>
  <c r="B63" i="63"/>
  <c r="D70" i="32"/>
  <c r="E70" i="32" s="1"/>
  <c r="F70" i="32" s="1"/>
  <c r="D71" i="32" s="1"/>
  <c r="H69" i="32"/>
  <c r="G69" i="32"/>
  <c r="D65" i="60"/>
  <c r="G64" i="60"/>
  <c r="H64" i="60"/>
  <c r="G66" i="41"/>
  <c r="D67" i="41"/>
  <c r="E67" i="41" s="1"/>
  <c r="F67" i="41" s="1"/>
  <c r="D68" i="41" s="1"/>
  <c r="H66" i="41"/>
  <c r="D70" i="70"/>
  <c r="E70" i="70" s="1"/>
  <c r="G69" i="70"/>
  <c r="H69" i="70"/>
  <c r="G71" i="28"/>
  <c r="D72" i="28"/>
  <c r="H71" i="28"/>
  <c r="B63" i="68"/>
  <c r="B64" i="57"/>
  <c r="D64" i="54"/>
  <c r="H69" i="31"/>
  <c r="G69" i="31"/>
  <c r="D70" i="31"/>
  <c r="F58" i="92"/>
  <c r="H58" i="92" s="1"/>
  <c r="B58" i="92"/>
  <c r="D59" i="83"/>
  <c r="E59" i="83" s="1"/>
  <c r="G61" i="77"/>
  <c r="I61" i="77" s="1"/>
  <c r="D62" i="77"/>
  <c r="G63" i="54"/>
  <c r="I63" i="54" s="1"/>
  <c r="B60" i="79"/>
  <c r="F60" i="79"/>
  <c r="G60" i="79" s="1"/>
  <c r="E64" i="56"/>
  <c r="F64" i="56" s="1"/>
  <c r="B64" i="56"/>
  <c r="D70" i="30"/>
  <c r="B58" i="89"/>
  <c r="F58" i="89"/>
  <c r="G58" i="89" s="1"/>
  <c r="H58" i="83"/>
  <c r="I58" i="83" s="1"/>
  <c r="I62" i="64"/>
  <c r="F60" i="78"/>
  <c r="H60" i="78" s="1"/>
  <c r="B60" i="78"/>
  <c r="D64" i="65"/>
  <c r="B64" i="65" s="1"/>
  <c r="H63" i="65"/>
  <c r="D67" i="58"/>
  <c r="E67" i="58" s="1"/>
  <c r="F67" i="58" s="1"/>
  <c r="G63" i="65"/>
  <c r="I62" i="68"/>
  <c r="H66" i="58"/>
  <c r="I66" i="58" s="1"/>
  <c r="E60" i="88"/>
  <c r="F60" i="88" s="1"/>
  <c r="D61" i="88" s="1"/>
  <c r="B60" i="88"/>
  <c r="I68" i="17"/>
  <c r="I59" i="78"/>
  <c r="D67" i="43"/>
  <c r="E67" i="43" s="1"/>
  <c r="F67" i="43" s="1"/>
  <c r="D68" i="43" s="1"/>
  <c r="D65" i="45"/>
  <c r="E65" i="45" s="1"/>
  <c r="B66" i="21"/>
  <c r="F66" i="21"/>
  <c r="G66" i="21" s="1"/>
  <c r="H63" i="56"/>
  <c r="G69" i="30"/>
  <c r="I69" i="30" s="1"/>
  <c r="I68" i="30"/>
  <c r="D68" i="74"/>
  <c r="E68" i="74" s="1"/>
  <c r="E63" i="68"/>
  <c r="F63" i="68" s="1"/>
  <c r="B62" i="63"/>
  <c r="G62" i="63"/>
  <c r="H62" i="63"/>
  <c r="F69" i="17"/>
  <c r="G69" i="17" s="1"/>
  <c r="B69" i="17"/>
  <c r="E64" i="57"/>
  <c r="F64" i="57" s="1"/>
  <c r="G64" i="57" s="1"/>
  <c r="E63" i="64"/>
  <c r="F63" i="64" s="1"/>
  <c r="H63" i="64" s="1"/>
  <c r="B63" i="64"/>
  <c r="G144" i="45"/>
  <c r="I144" i="45" s="1"/>
  <c r="G148" i="27"/>
  <c r="D149" i="27"/>
  <c r="E143" i="46"/>
  <c r="F143" i="46" s="1"/>
  <c r="J147" i="27"/>
  <c r="D58" i="13"/>
  <c r="E58" i="13" s="1"/>
  <c r="G57" i="13"/>
  <c r="H57" i="13"/>
  <c r="D71" i="23"/>
  <c r="E71" i="23" s="1"/>
  <c r="B66" i="73"/>
  <c r="D62" i="62"/>
  <c r="E62" i="62" s="1"/>
  <c r="D72" i="3"/>
  <c r="E72" i="3" s="1"/>
  <c r="E73" i="3" s="1"/>
  <c r="D59" i="87"/>
  <c r="E59" i="87" s="1"/>
  <c r="J146" i="32"/>
  <c r="J147" i="30"/>
  <c r="D60" i="33"/>
  <c r="E60" i="33" s="1"/>
  <c r="I58" i="26"/>
  <c r="H70" i="23"/>
  <c r="E66" i="73"/>
  <c r="F66" i="73" s="1"/>
  <c r="H66" i="73" s="1"/>
  <c r="B67" i="18"/>
  <c r="D66" i="20"/>
  <c r="E66" i="20" s="1"/>
  <c r="J144" i="42"/>
  <c r="J141" i="62"/>
  <c r="G59" i="33"/>
  <c r="I59" i="33" s="1"/>
  <c r="E67" i="18"/>
  <c r="F67" i="18" s="1"/>
  <c r="G67" i="18" s="1"/>
  <c r="D59" i="26"/>
  <c r="E59" i="26" s="1"/>
  <c r="G65" i="20"/>
  <c r="I65" i="20" s="1"/>
  <c r="F62" i="59"/>
  <c r="B62" i="59"/>
  <c r="H61" i="62"/>
  <c r="I61" i="62" s="1"/>
  <c r="H71" i="3"/>
  <c r="I71" i="3" s="1"/>
  <c r="G58" i="87"/>
  <c r="I58" i="87" s="1"/>
  <c r="D147" i="22"/>
  <c r="G146" i="22"/>
  <c r="D147" i="20"/>
  <c r="G146" i="20"/>
  <c r="G147" i="32"/>
  <c r="D148" i="32"/>
  <c r="E148" i="32" s="1"/>
  <c r="G148" i="30"/>
  <c r="D149" i="30"/>
  <c r="B149" i="30" s="1"/>
  <c r="D147" i="19"/>
  <c r="G146" i="19"/>
  <c r="I141" i="60"/>
  <c r="H141" i="60"/>
  <c r="F139" i="85"/>
  <c r="B139" i="85"/>
  <c r="G138" i="91"/>
  <c r="E139" i="91"/>
  <c r="D139" i="91"/>
  <c r="F144" i="74"/>
  <c r="B144" i="74"/>
  <c r="E143" i="53"/>
  <c r="F143" i="53" s="1"/>
  <c r="B143" i="53"/>
  <c r="B143" i="72"/>
  <c r="F143" i="72"/>
  <c r="I141" i="64"/>
  <c r="H141" i="64"/>
  <c r="J144" i="73"/>
  <c r="E140" i="81"/>
  <c r="D140" i="81"/>
  <c r="G139" i="81"/>
  <c r="I142" i="58"/>
  <c r="H142" i="58"/>
  <c r="D146" i="73"/>
  <c r="E146" i="73" s="1"/>
  <c r="G145" i="73"/>
  <c r="B138" i="86"/>
  <c r="F138" i="86"/>
  <c r="H142" i="46"/>
  <c r="I142" i="46"/>
  <c r="B138" i="90"/>
  <c r="F138" i="90"/>
  <c r="H145" i="41"/>
  <c r="I145" i="41"/>
  <c r="J145" i="19"/>
  <c r="J144" i="39"/>
  <c r="J145" i="20"/>
  <c r="F138" i="88"/>
  <c r="B138" i="88"/>
  <c r="B142" i="64"/>
  <c r="F142" i="64"/>
  <c r="H138" i="85"/>
  <c r="I138" i="85"/>
  <c r="J145" i="22"/>
  <c r="G145" i="39"/>
  <c r="D146" i="39"/>
  <c r="H147" i="29"/>
  <c r="I147" i="29"/>
  <c r="J144" i="43"/>
  <c r="I147" i="69"/>
  <c r="H147" i="69"/>
  <c r="B138" i="92"/>
  <c r="F138" i="92"/>
  <c r="E139" i="89"/>
  <c r="D139" i="89"/>
  <c r="G138" i="89"/>
  <c r="I143" i="74"/>
  <c r="H143" i="74"/>
  <c r="I140" i="66"/>
  <c r="H140" i="66"/>
  <c r="D143" i="62"/>
  <c r="E143" i="62" s="1"/>
  <c r="G142" i="62"/>
  <c r="I137" i="90"/>
  <c r="H137" i="90"/>
  <c r="I140" i="68"/>
  <c r="H140" i="68"/>
  <c r="I146" i="31"/>
  <c r="H146" i="31"/>
  <c r="F140" i="79"/>
  <c r="B140" i="79"/>
  <c r="I141" i="61"/>
  <c r="H141" i="61"/>
  <c r="I137" i="84"/>
  <c r="H137" i="84"/>
  <c r="F148" i="70"/>
  <c r="B148" i="70"/>
  <c r="F143" i="58"/>
  <c r="B143" i="58"/>
  <c r="H141" i="65"/>
  <c r="I141" i="65"/>
  <c r="B145" i="45"/>
  <c r="E145" i="45"/>
  <c r="F145" i="45" s="1"/>
  <c r="E146" i="41"/>
  <c r="F146" i="41" s="1"/>
  <c r="B146" i="41"/>
  <c r="B140" i="78"/>
  <c r="F140" i="78"/>
  <c r="I147" i="70"/>
  <c r="H147" i="70"/>
  <c r="B142" i="65"/>
  <c r="F142" i="65"/>
  <c r="I137" i="92"/>
  <c r="H137" i="92"/>
  <c r="J143" i="45"/>
  <c r="H142" i="72"/>
  <c r="I142" i="72"/>
  <c r="I141" i="63"/>
  <c r="H141" i="63"/>
  <c r="B142" i="60"/>
  <c r="F142" i="60"/>
  <c r="H139" i="79"/>
  <c r="I139" i="79"/>
  <c r="H139" i="78"/>
  <c r="I139" i="78"/>
  <c r="F142" i="61"/>
  <c r="B142" i="61"/>
  <c r="I137" i="88"/>
  <c r="H137" i="88"/>
  <c r="B138" i="84"/>
  <c r="F138" i="84"/>
  <c r="B148" i="29"/>
  <c r="E148" i="29"/>
  <c r="F148" i="29" s="1"/>
  <c r="B148" i="69"/>
  <c r="F148" i="69"/>
  <c r="H137" i="86"/>
  <c r="I137" i="86"/>
  <c r="B141" i="66"/>
  <c r="F141" i="66"/>
  <c r="H142" i="53"/>
  <c r="I142" i="53"/>
  <c r="F141" i="68"/>
  <c r="B141" i="68"/>
  <c r="F142" i="63"/>
  <c r="B142" i="63"/>
  <c r="E147" i="31"/>
  <c r="F147" i="31" s="1"/>
  <c r="B147" i="31"/>
  <c r="H142" i="59"/>
  <c r="I142" i="59"/>
  <c r="G144" i="56"/>
  <c r="D145" i="56"/>
  <c r="H147" i="23"/>
  <c r="I147" i="23"/>
  <c r="J142" i="54"/>
  <c r="J143" i="56"/>
  <c r="E147" i="18"/>
  <c r="F147" i="18" s="1"/>
  <c r="B147" i="18"/>
  <c r="B143" i="59"/>
  <c r="F143" i="59"/>
  <c r="E148" i="23"/>
  <c r="F148" i="23" s="1"/>
  <c r="H146" i="18"/>
  <c r="I146" i="18"/>
  <c r="J137" i="25"/>
  <c r="J139" i="75"/>
  <c r="H143" i="57"/>
  <c r="I143" i="57"/>
  <c r="I147" i="71"/>
  <c r="H147" i="71"/>
  <c r="B144" i="57"/>
  <c r="F144" i="57"/>
  <c r="F148" i="71"/>
  <c r="B148" i="71"/>
  <c r="D139" i="25"/>
  <c r="G138" i="25"/>
  <c r="J139" i="76"/>
  <c r="B139" i="94"/>
  <c r="F139" i="94"/>
  <c r="I146" i="34"/>
  <c r="H146" i="34"/>
  <c r="G143" i="55"/>
  <c r="D144" i="55"/>
  <c r="B141" i="67"/>
  <c r="F141" i="67"/>
  <c r="G139" i="80"/>
  <c r="D140" i="80"/>
  <c r="E140" i="80"/>
  <c r="B145" i="44"/>
  <c r="I138" i="94"/>
  <c r="H138" i="94"/>
  <c r="G138" i="93"/>
  <c r="D139" i="93"/>
  <c r="B147" i="17"/>
  <c r="J136" i="33"/>
  <c r="J146" i="24"/>
  <c r="F139" i="82"/>
  <c r="B139" i="82"/>
  <c r="I144" i="44"/>
  <c r="H144" i="44"/>
  <c r="E141" i="76"/>
  <c r="G140" i="76"/>
  <c r="D141" i="76"/>
  <c r="F146" i="3"/>
  <c r="B146" i="3"/>
  <c r="B138" i="87"/>
  <c r="F138" i="87"/>
  <c r="H148" i="28"/>
  <c r="I148" i="28"/>
  <c r="G137" i="13"/>
  <c r="D138" i="13"/>
  <c r="B138" i="96"/>
  <c r="F138" i="96"/>
  <c r="F147" i="34"/>
  <c r="B147" i="34"/>
  <c r="D146" i="42"/>
  <c r="E146" i="42" s="1"/>
  <c r="G145" i="42"/>
  <c r="J139" i="77"/>
  <c r="G137" i="33"/>
  <c r="D138" i="33"/>
  <c r="H146" i="17"/>
  <c r="I146" i="17"/>
  <c r="D148" i="24"/>
  <c r="E148" i="24" s="1"/>
  <c r="G147" i="24"/>
  <c r="F139" i="95"/>
  <c r="B139" i="95"/>
  <c r="H138" i="82"/>
  <c r="I138" i="82"/>
  <c r="H145" i="3"/>
  <c r="I145" i="3"/>
  <c r="H137" i="87"/>
  <c r="I137" i="87"/>
  <c r="G140" i="75"/>
  <c r="D141" i="75"/>
  <c r="E141" i="75" s="1"/>
  <c r="B149" i="28"/>
  <c r="F149" i="28"/>
  <c r="I137" i="96"/>
  <c r="H137" i="96"/>
  <c r="E147" i="17"/>
  <c r="F147" i="17" s="1"/>
  <c r="H140" i="67"/>
  <c r="I140" i="67"/>
  <c r="J145" i="21"/>
  <c r="G140" i="77"/>
  <c r="D141" i="77"/>
  <c r="E141" i="77" s="1"/>
  <c r="H138" i="95"/>
  <c r="I138" i="95"/>
  <c r="E145" i="44"/>
  <c r="F145" i="44" s="1"/>
  <c r="J142" i="55"/>
  <c r="G146" i="21"/>
  <c r="D147" i="21"/>
  <c r="E140" i="83"/>
  <c r="G139" i="83"/>
  <c r="D140" i="83"/>
  <c r="D144" i="54"/>
  <c r="G143" i="54"/>
  <c r="I69" i="99" l="1"/>
  <c r="B64" i="66"/>
  <c r="D68" i="19"/>
  <c r="E68" i="19" s="1"/>
  <c r="G64" i="67"/>
  <c r="D65" i="67"/>
  <c r="H64" i="67"/>
  <c r="I58" i="98"/>
  <c r="E139" i="26"/>
  <c r="F139" i="26" s="1"/>
  <c r="H138" i="26"/>
  <c r="I138" i="26"/>
  <c r="I62" i="63"/>
  <c r="E71" i="99"/>
  <c r="F71" i="99" s="1"/>
  <c r="D72" i="99" s="1"/>
  <c r="B71" i="99"/>
  <c r="H70" i="99"/>
  <c r="G70" i="99"/>
  <c r="E59" i="98"/>
  <c r="F59" i="98" s="1"/>
  <c r="D60" i="98" s="1"/>
  <c r="B59" i="98"/>
  <c r="I70" i="23"/>
  <c r="I63" i="56"/>
  <c r="I69" i="24"/>
  <c r="I58" i="94"/>
  <c r="F138" i="99"/>
  <c r="B138" i="99"/>
  <c r="H137" i="99"/>
  <c r="I137" i="99"/>
  <c r="G145" i="43"/>
  <c r="H145" i="43" s="1"/>
  <c r="H57" i="93"/>
  <c r="I57" i="93" s="1"/>
  <c r="D67" i="72"/>
  <c r="E67" i="72" s="1"/>
  <c r="F67" i="72" s="1"/>
  <c r="D68" i="72" s="1"/>
  <c r="B68" i="72" s="1"/>
  <c r="H66" i="72"/>
  <c r="I66" i="72" s="1"/>
  <c r="H64" i="66"/>
  <c r="G64" i="66"/>
  <c r="I67" i="46"/>
  <c r="H71" i="29"/>
  <c r="G71" i="29"/>
  <c r="E72" i="29"/>
  <c r="E73" i="29" s="1"/>
  <c r="I71" i="28"/>
  <c r="I69" i="23"/>
  <c r="G67" i="19"/>
  <c r="I67" i="19" s="1"/>
  <c r="D139" i="98"/>
  <c r="G138" i="98"/>
  <c r="E139" i="98"/>
  <c r="D139" i="97"/>
  <c r="E139" i="97" s="1"/>
  <c r="G138" i="97"/>
  <c r="H144" i="45"/>
  <c r="J144" i="45" s="1"/>
  <c r="H61" i="86"/>
  <c r="G61" i="86"/>
  <c r="G60" i="86"/>
  <c r="B61" i="86"/>
  <c r="I60" i="80"/>
  <c r="B68" i="46"/>
  <c r="E68" i="46"/>
  <c r="F68" i="46" s="1"/>
  <c r="E70" i="24"/>
  <c r="F70" i="24" s="1"/>
  <c r="H70" i="24" s="1"/>
  <c r="B70" i="24"/>
  <c r="I68" i="42"/>
  <c r="E63" i="82"/>
  <c r="F63" i="82" s="1"/>
  <c r="B63" i="82"/>
  <c r="G63" i="66"/>
  <c r="I65" i="55"/>
  <c r="G62" i="82"/>
  <c r="I61" i="82"/>
  <c r="D58" i="93"/>
  <c r="E58" i="93" s="1"/>
  <c r="F58" i="93" s="1"/>
  <c r="D59" i="93" s="1"/>
  <c r="B59" i="93" s="1"/>
  <c r="H60" i="86"/>
  <c r="I58" i="25"/>
  <c r="G63" i="61"/>
  <c r="H63" i="61"/>
  <c r="D64" i="61"/>
  <c r="B64" i="61" s="1"/>
  <c r="H69" i="17"/>
  <c r="I69" i="17" s="1"/>
  <c r="B67" i="72"/>
  <c r="H63" i="66"/>
  <c r="I63" i="66" s="1"/>
  <c r="E59" i="25"/>
  <c r="F59" i="25" s="1"/>
  <c r="D60" i="25" s="1"/>
  <c r="E60" i="25" s="1"/>
  <c r="E59" i="94"/>
  <c r="F59" i="94" s="1"/>
  <c r="G68" i="27"/>
  <c r="H68" i="27"/>
  <c r="D69" i="27"/>
  <c r="H62" i="82"/>
  <c r="F61" i="80"/>
  <c r="H61" i="80" s="1"/>
  <c r="B61" i="80"/>
  <c r="H59" i="84"/>
  <c r="D60" i="84"/>
  <c r="G59" i="84"/>
  <c r="D60" i="91"/>
  <c r="E60" i="91" s="1"/>
  <c r="G59" i="91"/>
  <c r="H59" i="91"/>
  <c r="D63" i="75"/>
  <c r="E63" i="75" s="1"/>
  <c r="G71" i="71"/>
  <c r="D72" i="71"/>
  <c r="D61" i="90"/>
  <c r="E61" i="90" s="1"/>
  <c r="F61" i="90" s="1"/>
  <c r="G58" i="92"/>
  <c r="I58" i="92" s="1"/>
  <c r="H64" i="53"/>
  <c r="D65" i="53"/>
  <c r="G60" i="90"/>
  <c r="B62" i="75"/>
  <c r="H62" i="75"/>
  <c r="G62" i="75"/>
  <c r="E66" i="55"/>
  <c r="F66" i="55" s="1"/>
  <c r="H66" i="55" s="1"/>
  <c r="B66" i="55"/>
  <c r="G64" i="53"/>
  <c r="H60" i="90"/>
  <c r="E69" i="42"/>
  <c r="F69" i="42" s="1"/>
  <c r="B69" i="42"/>
  <c r="I60" i="76"/>
  <c r="B68" i="34"/>
  <c r="F68" i="34"/>
  <c r="H71" i="71"/>
  <c r="E67" i="44"/>
  <c r="F67" i="44" s="1"/>
  <c r="B67" i="44"/>
  <c r="D69" i="22"/>
  <c r="G61" i="76"/>
  <c r="D62" i="76"/>
  <c r="H57" i="96"/>
  <c r="I57" i="96" s="1"/>
  <c r="D58" i="96"/>
  <c r="E58" i="96" s="1"/>
  <c r="G68" i="22"/>
  <c r="H59" i="81"/>
  <c r="D60" i="81"/>
  <c r="B66" i="44"/>
  <c r="H66" i="44"/>
  <c r="G66" i="44"/>
  <c r="D67" i="39"/>
  <c r="E67" i="39" s="1"/>
  <c r="B58" i="95"/>
  <c r="G59" i="81"/>
  <c r="I59" i="85"/>
  <c r="H68" i="22"/>
  <c r="F62" i="86"/>
  <c r="D63" i="86" s="1"/>
  <c r="B62" i="86"/>
  <c r="B60" i="85"/>
  <c r="H63" i="63"/>
  <c r="I63" i="63" s="1"/>
  <c r="G66" i="39"/>
  <c r="I66" i="39" s="1"/>
  <c r="E58" i="95"/>
  <c r="F58" i="95" s="1"/>
  <c r="E60" i="85"/>
  <c r="F60" i="85" s="1"/>
  <c r="H60" i="85" s="1"/>
  <c r="H61" i="76"/>
  <c r="I69" i="70"/>
  <c r="I66" i="41"/>
  <c r="I64" i="60"/>
  <c r="I69" i="32"/>
  <c r="D68" i="58"/>
  <c r="B68" i="58" s="1"/>
  <c r="D64" i="68"/>
  <c r="E64" i="68" s="1"/>
  <c r="G63" i="68"/>
  <c r="H63" i="68"/>
  <c r="E68" i="43"/>
  <c r="F68" i="43" s="1"/>
  <c r="H68" i="43" s="1"/>
  <c r="B68" i="43"/>
  <c r="B65" i="66"/>
  <c r="D65" i="56"/>
  <c r="E65" i="56" s="1"/>
  <c r="B70" i="31"/>
  <c r="D64" i="64"/>
  <c r="B67" i="43"/>
  <c r="G67" i="43"/>
  <c r="H67" i="43"/>
  <c r="G60" i="88"/>
  <c r="B72" i="28"/>
  <c r="E71" i="32"/>
  <c r="F71" i="32" s="1"/>
  <c r="B71" i="32"/>
  <c r="I63" i="65"/>
  <c r="B70" i="30"/>
  <c r="H60" i="79"/>
  <c r="I60" i="79" s="1"/>
  <c r="D61" i="79"/>
  <c r="B67" i="41"/>
  <c r="G67" i="41"/>
  <c r="H67" i="41"/>
  <c r="E65" i="60"/>
  <c r="F65" i="60" s="1"/>
  <c r="D66" i="60" s="1"/>
  <c r="B65" i="60"/>
  <c r="B70" i="32"/>
  <c r="G70" i="32"/>
  <c r="H70" i="32"/>
  <c r="I70" i="69"/>
  <c r="D65" i="57"/>
  <c r="E65" i="57" s="1"/>
  <c r="E61" i="88"/>
  <c r="F61" i="88" s="1"/>
  <c r="B61" i="88"/>
  <c r="D61" i="78"/>
  <c r="E62" i="77"/>
  <c r="F62" i="77" s="1"/>
  <c r="B62" i="77"/>
  <c r="B64" i="54"/>
  <c r="G60" i="78"/>
  <c r="I60" i="78" s="1"/>
  <c r="H64" i="56"/>
  <c r="E70" i="31"/>
  <c r="F70" i="31" s="1"/>
  <c r="E64" i="54"/>
  <c r="F64" i="54" s="1"/>
  <c r="E68" i="41"/>
  <c r="F68" i="41" s="1"/>
  <c r="B68" i="41"/>
  <c r="I57" i="13"/>
  <c r="G63" i="64"/>
  <c r="I63" i="64" s="1"/>
  <c r="D70" i="17"/>
  <c r="B68" i="74"/>
  <c r="F68" i="74"/>
  <c r="H66" i="21"/>
  <c r="I66" i="21" s="1"/>
  <c r="D67" i="21"/>
  <c r="F65" i="45"/>
  <c r="G65" i="45" s="1"/>
  <c r="B65" i="45"/>
  <c r="H60" i="88"/>
  <c r="F68" i="19"/>
  <c r="D69" i="19" s="1"/>
  <c r="B68" i="19"/>
  <c r="E65" i="66"/>
  <c r="F65" i="66" s="1"/>
  <c r="B67" i="58"/>
  <c r="G67" i="58"/>
  <c r="H67" i="58"/>
  <c r="H58" i="89"/>
  <c r="I58" i="89" s="1"/>
  <c r="D59" i="89"/>
  <c r="E59" i="89" s="1"/>
  <c r="E70" i="30"/>
  <c r="F70" i="30" s="1"/>
  <c r="G64" i="56"/>
  <c r="F59" i="83"/>
  <c r="D60" i="83" s="1"/>
  <c r="B59" i="83"/>
  <c r="D59" i="92"/>
  <c r="I69" i="31"/>
  <c r="H64" i="57"/>
  <c r="I64" i="57" s="1"/>
  <c r="E72" i="28"/>
  <c r="E73" i="28" s="1"/>
  <c r="E64" i="65"/>
  <c r="F64" i="65" s="1"/>
  <c r="B70" i="70"/>
  <c r="F70" i="70"/>
  <c r="G70" i="70" s="1"/>
  <c r="D64" i="63"/>
  <c r="E64" i="63" s="1"/>
  <c r="E71" i="69"/>
  <c r="F71" i="69" s="1"/>
  <c r="H71" i="69" s="1"/>
  <c r="B71" i="69"/>
  <c r="J147" i="69"/>
  <c r="J141" i="65"/>
  <c r="E149" i="27"/>
  <c r="F149" i="27" s="1"/>
  <c r="B149" i="27"/>
  <c r="I148" i="27"/>
  <c r="H148" i="27"/>
  <c r="J142" i="53"/>
  <c r="J141" i="60"/>
  <c r="J147" i="70"/>
  <c r="J140" i="68"/>
  <c r="J142" i="58"/>
  <c r="J143" i="74"/>
  <c r="D68" i="18"/>
  <c r="E68" i="18" s="1"/>
  <c r="I145" i="43"/>
  <c r="F72" i="3"/>
  <c r="H72" i="3" s="1"/>
  <c r="B72" i="3"/>
  <c r="F71" i="23"/>
  <c r="G71" i="23" s="1"/>
  <c r="B71" i="23"/>
  <c r="D63" i="59"/>
  <c r="E63" i="59" s="1"/>
  <c r="J139" i="79"/>
  <c r="J147" i="29"/>
  <c r="H62" i="59"/>
  <c r="E146" i="43"/>
  <c r="F146" i="43" s="1"/>
  <c r="B146" i="43"/>
  <c r="F60" i="33"/>
  <c r="H60" i="33" s="1"/>
  <c r="B60" i="33"/>
  <c r="B59" i="87"/>
  <c r="F59" i="87"/>
  <c r="H59" i="87" s="1"/>
  <c r="F62" i="62"/>
  <c r="G62" i="62" s="1"/>
  <c r="B62" i="62"/>
  <c r="F58" i="13"/>
  <c r="G58" i="13" s="1"/>
  <c r="B58" i="13"/>
  <c r="D67" i="73"/>
  <c r="E67" i="73" s="1"/>
  <c r="G62" i="59"/>
  <c r="B59" i="26"/>
  <c r="F59" i="26"/>
  <c r="G59" i="26" s="1"/>
  <c r="F66" i="20"/>
  <c r="H66" i="20" s="1"/>
  <c r="B66" i="20"/>
  <c r="H67" i="18"/>
  <c r="I67" i="18" s="1"/>
  <c r="G66" i="73"/>
  <c r="I66" i="73" s="1"/>
  <c r="G147" i="31"/>
  <c r="D148" i="31"/>
  <c r="G143" i="46"/>
  <c r="D144" i="46"/>
  <c r="B144" i="46" s="1"/>
  <c r="F143" i="62"/>
  <c r="B143" i="62"/>
  <c r="G138" i="92"/>
  <c r="D139" i="92"/>
  <c r="E139" i="92"/>
  <c r="I145" i="39"/>
  <c r="H145" i="39"/>
  <c r="I146" i="19"/>
  <c r="H146" i="19"/>
  <c r="H148" i="30"/>
  <c r="I148" i="30"/>
  <c r="G141" i="68"/>
  <c r="D142" i="68"/>
  <c r="E142" i="68" s="1"/>
  <c r="G140" i="78"/>
  <c r="D141" i="78"/>
  <c r="E141" i="78" s="1"/>
  <c r="J146" i="31"/>
  <c r="H138" i="89"/>
  <c r="I138" i="89"/>
  <c r="E139" i="90"/>
  <c r="G138" i="90"/>
  <c r="D139" i="90"/>
  <c r="D139" i="86"/>
  <c r="E139" i="86"/>
  <c r="G138" i="86"/>
  <c r="B140" i="81"/>
  <c r="F140" i="81"/>
  <c r="J141" i="64"/>
  <c r="D144" i="53"/>
  <c r="B144" i="53" s="1"/>
  <c r="G143" i="53"/>
  <c r="E147" i="19"/>
  <c r="F147" i="19" s="1"/>
  <c r="B147" i="19"/>
  <c r="E147" i="20"/>
  <c r="F147" i="20" s="1"/>
  <c r="B147" i="20"/>
  <c r="G141" i="66"/>
  <c r="D142" i="66"/>
  <c r="E142" i="66" s="1"/>
  <c r="D143" i="61"/>
  <c r="E143" i="61" s="1"/>
  <c r="G142" i="61"/>
  <c r="J141" i="63"/>
  <c r="G145" i="45"/>
  <c r="D146" i="45"/>
  <c r="J140" i="66"/>
  <c r="B139" i="89"/>
  <c r="F139" i="89"/>
  <c r="D144" i="72"/>
  <c r="E144" i="72" s="1"/>
  <c r="G143" i="72"/>
  <c r="E149" i="30"/>
  <c r="F149" i="30" s="1"/>
  <c r="I146" i="22"/>
  <c r="H146" i="22"/>
  <c r="D143" i="65"/>
  <c r="E143" i="65" s="1"/>
  <c r="G142" i="65"/>
  <c r="D147" i="41"/>
  <c r="B147" i="41" s="1"/>
  <c r="G146" i="41"/>
  <c r="G142" i="64"/>
  <c r="D143" i="64"/>
  <c r="E143" i="64" s="1"/>
  <c r="I139" i="81"/>
  <c r="H139" i="81"/>
  <c r="D145" i="74"/>
  <c r="E145" i="74" s="1"/>
  <c r="G144" i="74"/>
  <c r="I146" i="20"/>
  <c r="H146" i="20"/>
  <c r="E139" i="84"/>
  <c r="G138" i="84"/>
  <c r="D139" i="84"/>
  <c r="D149" i="70"/>
  <c r="E149" i="70" s="1"/>
  <c r="G148" i="70"/>
  <c r="J141" i="61"/>
  <c r="B146" i="73"/>
  <c r="F146" i="73"/>
  <c r="B139" i="91"/>
  <c r="F139" i="91"/>
  <c r="D140" i="85"/>
  <c r="E140" i="85"/>
  <c r="G139" i="85"/>
  <c r="F148" i="32"/>
  <c r="B148" i="32"/>
  <c r="J146" i="34"/>
  <c r="D143" i="63"/>
  <c r="G142" i="63"/>
  <c r="G148" i="69"/>
  <c r="D149" i="69"/>
  <c r="E149" i="69" s="1"/>
  <c r="G148" i="29"/>
  <c r="D149" i="29"/>
  <c r="J139" i="78"/>
  <c r="D143" i="60"/>
  <c r="G142" i="60"/>
  <c r="J142" i="72"/>
  <c r="G143" i="58"/>
  <c r="D144" i="58"/>
  <c r="E144" i="58" s="1"/>
  <c r="G140" i="79"/>
  <c r="D141" i="79"/>
  <c r="E141" i="79" s="1"/>
  <c r="H142" i="62"/>
  <c r="I142" i="62"/>
  <c r="B146" i="39"/>
  <c r="E146" i="39"/>
  <c r="F146" i="39" s="1"/>
  <c r="G138" i="88"/>
  <c r="E139" i="88"/>
  <c r="D139" i="88"/>
  <c r="J145" i="41"/>
  <c r="J142" i="46"/>
  <c r="H145" i="73"/>
  <c r="I145" i="73"/>
  <c r="I138" i="91"/>
  <c r="H138" i="91"/>
  <c r="H147" i="32"/>
  <c r="I147" i="32"/>
  <c r="E147" i="22"/>
  <c r="F147" i="22" s="1"/>
  <c r="B147" i="22"/>
  <c r="D148" i="18"/>
  <c r="G147" i="18"/>
  <c r="J146" i="18"/>
  <c r="J147" i="23"/>
  <c r="J142" i="59"/>
  <c r="G148" i="23"/>
  <c r="D149" i="23"/>
  <c r="B149" i="23" s="1"/>
  <c r="E145" i="56"/>
  <c r="F145" i="56" s="1"/>
  <c r="B145" i="56"/>
  <c r="J143" i="57"/>
  <c r="D144" i="59"/>
  <c r="E144" i="59" s="1"/>
  <c r="G143" i="59"/>
  <c r="I144" i="56"/>
  <c r="H144" i="56"/>
  <c r="J147" i="71"/>
  <c r="D145" i="57"/>
  <c r="B145" i="57" s="1"/>
  <c r="G144" i="57"/>
  <c r="G148" i="71"/>
  <c r="D149" i="71"/>
  <c r="E149" i="71" s="1"/>
  <c r="D146" i="44"/>
  <c r="E146" i="44" s="1"/>
  <c r="G145" i="44"/>
  <c r="G147" i="17"/>
  <c r="D148" i="17"/>
  <c r="E148" i="17" s="1"/>
  <c r="B144" i="54"/>
  <c r="B138" i="33"/>
  <c r="H145" i="42"/>
  <c r="I145" i="42"/>
  <c r="G138" i="96"/>
  <c r="D139" i="96"/>
  <c r="B138" i="13"/>
  <c r="G138" i="87"/>
  <c r="D139" i="87"/>
  <c r="E139" i="87"/>
  <c r="B139" i="93"/>
  <c r="H139" i="80"/>
  <c r="I139" i="80"/>
  <c r="B144" i="55"/>
  <c r="B139" i="25"/>
  <c r="F140" i="83"/>
  <c r="B140" i="83"/>
  <c r="H146" i="21"/>
  <c r="I146" i="21"/>
  <c r="F141" i="75"/>
  <c r="B141" i="75"/>
  <c r="J146" i="17"/>
  <c r="H137" i="33"/>
  <c r="I137" i="33"/>
  <c r="F146" i="42"/>
  <c r="B146" i="42"/>
  <c r="E138" i="13"/>
  <c r="F138" i="13" s="1"/>
  <c r="J144" i="44"/>
  <c r="I138" i="93"/>
  <c r="H138" i="93"/>
  <c r="D142" i="67"/>
  <c r="E142" i="67" s="1"/>
  <c r="G141" i="67"/>
  <c r="E144" i="55"/>
  <c r="F144" i="55" s="1"/>
  <c r="G139" i="94"/>
  <c r="D140" i="94"/>
  <c r="E140" i="94" s="1"/>
  <c r="B147" i="21"/>
  <c r="E144" i="54"/>
  <c r="F144" i="54" s="1"/>
  <c r="I139" i="83"/>
  <c r="H139" i="83"/>
  <c r="E147" i="21"/>
  <c r="F147" i="21" s="1"/>
  <c r="F141" i="77"/>
  <c r="B141" i="77"/>
  <c r="G149" i="28"/>
  <c r="D150" i="28"/>
  <c r="J145" i="3"/>
  <c r="G139" i="95"/>
  <c r="D140" i="95"/>
  <c r="H147" i="24"/>
  <c r="I147" i="24"/>
  <c r="H137" i="13"/>
  <c r="I137" i="13"/>
  <c r="B141" i="76"/>
  <c r="F141" i="76"/>
  <c r="G139" i="82"/>
  <c r="D140" i="82"/>
  <c r="E140" i="82"/>
  <c r="I143" i="55"/>
  <c r="H143" i="55"/>
  <c r="E139" i="25"/>
  <c r="F139" i="25" s="1"/>
  <c r="H143" i="54"/>
  <c r="I143" i="54"/>
  <c r="H140" i="77"/>
  <c r="I140" i="77"/>
  <c r="J140" i="67"/>
  <c r="I140" i="75"/>
  <c r="H140" i="75"/>
  <c r="B148" i="24"/>
  <c r="F148" i="24"/>
  <c r="E138" i="33"/>
  <c r="F138" i="33" s="1"/>
  <c r="G147" i="34"/>
  <c r="D148" i="34"/>
  <c r="J148" i="28"/>
  <c r="D147" i="3"/>
  <c r="E147" i="3" s="1"/>
  <c r="G146" i="3"/>
  <c r="H140" i="76"/>
  <c r="I140" i="76"/>
  <c r="E139" i="93"/>
  <c r="F139" i="93" s="1"/>
  <c r="F140" i="80"/>
  <c r="B140" i="80"/>
  <c r="I138" i="25"/>
  <c r="H138" i="25"/>
  <c r="J138" i="26" l="1"/>
  <c r="I64" i="67"/>
  <c r="B65" i="67"/>
  <c r="E65" i="67"/>
  <c r="F65" i="67" s="1"/>
  <c r="D140" i="26"/>
  <c r="G139" i="26"/>
  <c r="F60" i="25"/>
  <c r="H60" i="25" s="1"/>
  <c r="H59" i="98"/>
  <c r="F72" i="29"/>
  <c r="B60" i="25"/>
  <c r="G59" i="98"/>
  <c r="I64" i="66"/>
  <c r="I70" i="99"/>
  <c r="E72" i="99"/>
  <c r="E73" i="99" s="1"/>
  <c r="B72" i="99"/>
  <c r="E60" i="98"/>
  <c r="F60" i="98" s="1"/>
  <c r="D61" i="98" s="1"/>
  <c r="B60" i="98"/>
  <c r="H71" i="99"/>
  <c r="G59" i="25"/>
  <c r="G71" i="99"/>
  <c r="I59" i="91"/>
  <c r="I61" i="86"/>
  <c r="I71" i="29"/>
  <c r="G138" i="99"/>
  <c r="E139" i="99"/>
  <c r="D139" i="99"/>
  <c r="I60" i="90"/>
  <c r="I60" i="86"/>
  <c r="I59" i="84"/>
  <c r="I61" i="76"/>
  <c r="E68" i="72"/>
  <c r="F68" i="72" s="1"/>
  <c r="G68" i="72" s="1"/>
  <c r="G67" i="72"/>
  <c r="H67" i="72"/>
  <c r="I63" i="61"/>
  <c r="F139" i="97"/>
  <c r="B139" i="97"/>
  <c r="H138" i="98"/>
  <c r="I138" i="98"/>
  <c r="H138" i="97"/>
  <c r="I138" i="97"/>
  <c r="F139" i="98"/>
  <c r="B139" i="98"/>
  <c r="G59" i="87"/>
  <c r="I59" i="87" s="1"/>
  <c r="G62" i="86"/>
  <c r="I62" i="82"/>
  <c r="G61" i="80"/>
  <c r="I61" i="80" s="1"/>
  <c r="D69" i="46"/>
  <c r="H68" i="46"/>
  <c r="G68" i="46"/>
  <c r="I68" i="27"/>
  <c r="G70" i="24"/>
  <c r="I70" i="24" s="1"/>
  <c r="D71" i="24"/>
  <c r="D60" i="94"/>
  <c r="H59" i="94"/>
  <c r="B58" i="93"/>
  <c r="G58" i="93"/>
  <c r="H58" i="93"/>
  <c r="G63" i="82"/>
  <c r="D64" i="82"/>
  <c r="H63" i="82"/>
  <c r="E69" i="27"/>
  <c r="F69" i="27" s="1"/>
  <c r="B69" i="27"/>
  <c r="H70" i="70"/>
  <c r="I70" i="70" s="1"/>
  <c r="G60" i="85"/>
  <c r="I60" i="85" s="1"/>
  <c r="I64" i="53"/>
  <c r="D62" i="80"/>
  <c r="E62" i="80" s="1"/>
  <c r="H59" i="25"/>
  <c r="I59" i="25" s="1"/>
  <c r="G59" i="94"/>
  <c r="H65" i="45"/>
  <c r="I65" i="45" s="1"/>
  <c r="E59" i="93"/>
  <c r="F59" i="93" s="1"/>
  <c r="G59" i="93" s="1"/>
  <c r="E64" i="61"/>
  <c r="F64" i="61" s="1"/>
  <c r="G69" i="42"/>
  <c r="D70" i="42"/>
  <c r="H69" i="42"/>
  <c r="G61" i="90"/>
  <c r="D62" i="90"/>
  <c r="D68" i="44"/>
  <c r="B68" i="44" s="1"/>
  <c r="G67" i="44"/>
  <c r="H67" i="44"/>
  <c r="E72" i="71"/>
  <c r="E73" i="71" s="1"/>
  <c r="B72" i="71"/>
  <c r="H59" i="83"/>
  <c r="I71" i="71"/>
  <c r="G59" i="83"/>
  <c r="I62" i="75"/>
  <c r="E65" i="53"/>
  <c r="F65" i="53" s="1"/>
  <c r="G65" i="53" s="1"/>
  <c r="B65" i="53"/>
  <c r="E60" i="84"/>
  <c r="F60" i="84" s="1"/>
  <c r="H60" i="84" s="1"/>
  <c r="B60" i="84"/>
  <c r="H68" i="34"/>
  <c r="D69" i="34"/>
  <c r="G68" i="34"/>
  <c r="G66" i="55"/>
  <c r="I66" i="55" s="1"/>
  <c r="D67" i="55"/>
  <c r="E67" i="55" s="1"/>
  <c r="B61" i="90"/>
  <c r="H61" i="90"/>
  <c r="F63" i="75"/>
  <c r="G63" i="75" s="1"/>
  <c r="B63" i="75"/>
  <c r="B60" i="91"/>
  <c r="F60" i="91"/>
  <c r="H64" i="54"/>
  <c r="G64" i="54"/>
  <c r="H71" i="32"/>
  <c r="G71" i="32"/>
  <c r="H58" i="95"/>
  <c r="D59" i="95"/>
  <c r="G58" i="95"/>
  <c r="B69" i="22"/>
  <c r="H59" i="26"/>
  <c r="H58" i="13"/>
  <c r="I58" i="13" s="1"/>
  <c r="I68" i="22"/>
  <c r="E62" i="76"/>
  <c r="F62" i="76" s="1"/>
  <c r="B62" i="76"/>
  <c r="E63" i="86"/>
  <c r="F63" i="86" s="1"/>
  <c r="B63" i="86"/>
  <c r="I59" i="81"/>
  <c r="B60" i="81"/>
  <c r="B67" i="39"/>
  <c r="F67" i="39"/>
  <c r="G67" i="39" s="1"/>
  <c r="H62" i="62"/>
  <c r="I62" i="62" s="1"/>
  <c r="G72" i="3"/>
  <c r="G73" i="3" s="1"/>
  <c r="G68" i="19"/>
  <c r="I63" i="68"/>
  <c r="E68" i="58"/>
  <c r="F68" i="58" s="1"/>
  <c r="G68" i="58" s="1"/>
  <c r="D61" i="85"/>
  <c r="E61" i="85" s="1"/>
  <c r="F61" i="85" s="1"/>
  <c r="D62" i="85" s="1"/>
  <c r="H62" i="86"/>
  <c r="I66" i="44"/>
  <c r="E60" i="81"/>
  <c r="F60" i="81" s="1"/>
  <c r="B58" i="96"/>
  <c r="F58" i="96"/>
  <c r="H58" i="96" s="1"/>
  <c r="E69" i="22"/>
  <c r="F69" i="22" s="1"/>
  <c r="D70" i="22" s="1"/>
  <c r="I67" i="58"/>
  <c r="I67" i="43"/>
  <c r="H68" i="72"/>
  <c r="D69" i="72"/>
  <c r="B69" i="72" s="1"/>
  <c r="D71" i="31"/>
  <c r="B71" i="31" s="1"/>
  <c r="G70" i="31"/>
  <c r="H70" i="31"/>
  <c r="D62" i="88"/>
  <c r="G61" i="88"/>
  <c r="H61" i="88"/>
  <c r="H70" i="30"/>
  <c r="D71" i="30"/>
  <c r="E71" i="30" s="1"/>
  <c r="G70" i="30"/>
  <c r="G62" i="77"/>
  <c r="D63" i="77"/>
  <c r="H62" i="77"/>
  <c r="I59" i="26"/>
  <c r="B67" i="21"/>
  <c r="D69" i="74"/>
  <c r="E69" i="74" s="1"/>
  <c r="B64" i="64"/>
  <c r="H65" i="66"/>
  <c r="D66" i="66"/>
  <c r="E66" i="66" s="1"/>
  <c r="B64" i="63"/>
  <c r="F64" i="63"/>
  <c r="G65" i="66"/>
  <c r="D71" i="70"/>
  <c r="E71" i="70" s="1"/>
  <c r="H64" i="65"/>
  <c r="D65" i="65"/>
  <c r="G64" i="65"/>
  <c r="B59" i="92"/>
  <c r="B59" i="89"/>
  <c r="F59" i="89"/>
  <c r="H68" i="19"/>
  <c r="I68" i="19" s="1"/>
  <c r="D66" i="45"/>
  <c r="E66" i="45" s="1"/>
  <c r="H68" i="74"/>
  <c r="B70" i="17"/>
  <c r="I64" i="56"/>
  <c r="B61" i="78"/>
  <c r="H65" i="60"/>
  <c r="B61" i="79"/>
  <c r="H68" i="41"/>
  <c r="D69" i="41"/>
  <c r="E66" i="60"/>
  <c r="F66" i="60" s="1"/>
  <c r="B66" i="60"/>
  <c r="G68" i="43"/>
  <c r="I68" i="43" s="1"/>
  <c r="D69" i="43"/>
  <c r="G71" i="69"/>
  <c r="I71" i="69" s="1"/>
  <c r="D72" i="69"/>
  <c r="E69" i="19"/>
  <c r="F69" i="19" s="1"/>
  <c r="B69" i="19"/>
  <c r="G68" i="41"/>
  <c r="D65" i="54"/>
  <c r="E65" i="54" s="1"/>
  <c r="F65" i="54" s="1"/>
  <c r="B65" i="57"/>
  <c r="F65" i="57"/>
  <c r="G65" i="60"/>
  <c r="E59" i="92"/>
  <c r="F59" i="92" s="1"/>
  <c r="E60" i="83"/>
  <c r="F60" i="83" s="1"/>
  <c r="B60" i="83"/>
  <c r="E67" i="21"/>
  <c r="F67" i="21" s="1"/>
  <c r="G67" i="21" s="1"/>
  <c r="G68" i="74"/>
  <c r="E70" i="17"/>
  <c r="F70" i="17" s="1"/>
  <c r="E61" i="78"/>
  <c r="F61" i="78" s="1"/>
  <c r="I70" i="32"/>
  <c r="I67" i="41"/>
  <c r="E61" i="79"/>
  <c r="F61" i="79" s="1"/>
  <c r="D72" i="32"/>
  <c r="E72" i="32" s="1"/>
  <c r="E73" i="32" s="1"/>
  <c r="F72" i="28"/>
  <c r="I60" i="88"/>
  <c r="E64" i="64"/>
  <c r="F64" i="64" s="1"/>
  <c r="B65" i="56"/>
  <c r="F65" i="56"/>
  <c r="H65" i="56" s="1"/>
  <c r="B64" i="68"/>
  <c r="F64" i="68"/>
  <c r="J148" i="27"/>
  <c r="J142" i="62"/>
  <c r="E144" i="53"/>
  <c r="F144" i="53" s="1"/>
  <c r="D150" i="27"/>
  <c r="B150" i="27" s="1"/>
  <c r="G149" i="27"/>
  <c r="J144" i="56"/>
  <c r="J148" i="30"/>
  <c r="H73" i="3"/>
  <c r="J146" i="22"/>
  <c r="G66" i="20"/>
  <c r="I66" i="20" s="1"/>
  <c r="D60" i="26"/>
  <c r="E60" i="26" s="1"/>
  <c r="G60" i="33"/>
  <c r="I60" i="33" s="1"/>
  <c r="D147" i="43"/>
  <c r="G146" i="43"/>
  <c r="I62" i="59"/>
  <c r="D72" i="23"/>
  <c r="B63" i="59"/>
  <c r="F63" i="59"/>
  <c r="G63" i="59" s="1"/>
  <c r="J146" i="20"/>
  <c r="H72" i="29"/>
  <c r="G72" i="29"/>
  <c r="G73" i="29" s="1"/>
  <c r="D59" i="13"/>
  <c r="D60" i="87"/>
  <c r="G60" i="25"/>
  <c r="I60" i="25" s="1"/>
  <c r="H71" i="23"/>
  <c r="I71" i="23" s="1"/>
  <c r="J145" i="43"/>
  <c r="E147" i="41"/>
  <c r="F147" i="41" s="1"/>
  <c r="D67" i="20"/>
  <c r="E67" i="20" s="1"/>
  <c r="D61" i="33"/>
  <c r="J147" i="32"/>
  <c r="J145" i="73"/>
  <c r="F67" i="73"/>
  <c r="H67" i="73" s="1"/>
  <c r="B67" i="73"/>
  <c r="D63" i="62"/>
  <c r="E63" i="62" s="1"/>
  <c r="B68" i="18"/>
  <c r="F68" i="18"/>
  <c r="H68" i="18" s="1"/>
  <c r="D148" i="19"/>
  <c r="B148" i="19" s="1"/>
  <c r="G147" i="19"/>
  <c r="D148" i="22"/>
  <c r="G147" i="22"/>
  <c r="E143" i="60"/>
  <c r="F143" i="60" s="1"/>
  <c r="B143" i="60"/>
  <c r="B143" i="65"/>
  <c r="F143" i="65"/>
  <c r="G149" i="30"/>
  <c r="D150" i="30"/>
  <c r="B150" i="30" s="1"/>
  <c r="G139" i="89"/>
  <c r="D140" i="89"/>
  <c r="E140" i="89"/>
  <c r="H145" i="45"/>
  <c r="I145" i="45"/>
  <c r="B139" i="88"/>
  <c r="F139" i="88"/>
  <c r="B141" i="79"/>
  <c r="F141" i="79"/>
  <c r="D147" i="73"/>
  <c r="G146" i="73"/>
  <c r="I144" i="74"/>
  <c r="H144" i="74"/>
  <c r="H146" i="41"/>
  <c r="I146" i="41"/>
  <c r="H141" i="66"/>
  <c r="I141" i="66"/>
  <c r="G140" i="81"/>
  <c r="D141" i="81"/>
  <c r="E141" i="81" s="1"/>
  <c r="F139" i="86"/>
  <c r="B139" i="86"/>
  <c r="B141" i="78"/>
  <c r="F141" i="78"/>
  <c r="B142" i="68"/>
  <c r="F142" i="68"/>
  <c r="J145" i="39"/>
  <c r="I143" i="46"/>
  <c r="H143" i="46"/>
  <c r="D147" i="39"/>
  <c r="G146" i="39"/>
  <c r="H143" i="58"/>
  <c r="I143" i="58"/>
  <c r="E143" i="63"/>
  <c r="F143" i="63" s="1"/>
  <c r="B143" i="63"/>
  <c r="I138" i="84"/>
  <c r="H138" i="84"/>
  <c r="B142" i="66"/>
  <c r="F142" i="66"/>
  <c r="H138" i="92"/>
  <c r="I138" i="92"/>
  <c r="I140" i="79"/>
  <c r="H140" i="79"/>
  <c r="B149" i="29"/>
  <c r="E149" i="29"/>
  <c r="F149" i="29" s="1"/>
  <c r="H148" i="69"/>
  <c r="I148" i="69"/>
  <c r="F140" i="85"/>
  <c r="B140" i="85"/>
  <c r="F149" i="70"/>
  <c r="B149" i="70"/>
  <c r="F143" i="64"/>
  <c r="B143" i="64"/>
  <c r="I143" i="72"/>
  <c r="H143" i="72"/>
  <c r="I143" i="53"/>
  <c r="H143" i="53"/>
  <c r="F139" i="90"/>
  <c r="B139" i="90"/>
  <c r="I140" i="78"/>
  <c r="H140" i="78"/>
  <c r="G143" i="62"/>
  <c r="D144" i="62"/>
  <c r="B144" i="62" s="1"/>
  <c r="E148" i="31"/>
  <c r="F148" i="31" s="1"/>
  <c r="B148" i="31"/>
  <c r="F149" i="69"/>
  <c r="B149" i="69"/>
  <c r="I139" i="85"/>
  <c r="H139" i="85"/>
  <c r="H148" i="70"/>
  <c r="I148" i="70"/>
  <c r="B143" i="61"/>
  <c r="F143" i="61"/>
  <c r="D148" i="20"/>
  <c r="B148" i="20" s="1"/>
  <c r="G147" i="20"/>
  <c r="I138" i="88"/>
  <c r="H138" i="88"/>
  <c r="B144" i="58"/>
  <c r="F144" i="58"/>
  <c r="I142" i="60"/>
  <c r="H142" i="60"/>
  <c r="H148" i="29"/>
  <c r="I148" i="29"/>
  <c r="I142" i="63"/>
  <c r="H142" i="63"/>
  <c r="G148" i="32"/>
  <c r="D149" i="32"/>
  <c r="G139" i="91"/>
  <c r="D140" i="91"/>
  <c r="E140" i="91"/>
  <c r="B139" i="84"/>
  <c r="F139" i="84"/>
  <c r="F145" i="74"/>
  <c r="B145" i="74"/>
  <c r="I142" i="64"/>
  <c r="H142" i="64"/>
  <c r="I142" i="65"/>
  <c r="H142" i="65"/>
  <c r="B144" i="72"/>
  <c r="F144" i="72"/>
  <c r="B146" i="45"/>
  <c r="E146" i="45"/>
  <c r="F146" i="45" s="1"/>
  <c r="H142" i="61"/>
  <c r="I142" i="61"/>
  <c r="I138" i="86"/>
  <c r="H138" i="86"/>
  <c r="I138" i="90"/>
  <c r="H138" i="90"/>
  <c r="I141" i="68"/>
  <c r="H141" i="68"/>
  <c r="J146" i="19"/>
  <c r="F139" i="92"/>
  <c r="B139" i="92"/>
  <c r="E144" i="46"/>
  <c r="F144" i="46" s="1"/>
  <c r="I147" i="31"/>
  <c r="H147" i="31"/>
  <c r="D146" i="56"/>
  <c r="G145" i="56"/>
  <c r="J138" i="25"/>
  <c r="I143" i="59"/>
  <c r="H143" i="59"/>
  <c r="E149" i="23"/>
  <c r="F149" i="23" s="1"/>
  <c r="B144" i="59"/>
  <c r="F144" i="59"/>
  <c r="H148" i="23"/>
  <c r="I148" i="23"/>
  <c r="I147" i="18"/>
  <c r="H147" i="18"/>
  <c r="E148" i="18"/>
  <c r="F148" i="18" s="1"/>
  <c r="B148" i="18"/>
  <c r="J146" i="21"/>
  <c r="F149" i="71"/>
  <c r="B149" i="71"/>
  <c r="I148" i="71"/>
  <c r="H148" i="71"/>
  <c r="E145" i="57"/>
  <c r="F145" i="57" s="1"/>
  <c r="J143" i="54"/>
  <c r="J145" i="42"/>
  <c r="I144" i="57"/>
  <c r="H144" i="57"/>
  <c r="G139" i="93"/>
  <c r="D140" i="93"/>
  <c r="G139" i="25"/>
  <c r="D140" i="25"/>
  <c r="E140" i="25" s="1"/>
  <c r="G144" i="54"/>
  <c r="D145" i="54"/>
  <c r="E145" i="54" s="1"/>
  <c r="D139" i="13"/>
  <c r="E139" i="13" s="1"/>
  <c r="G138" i="13"/>
  <c r="D139" i="33"/>
  <c r="G138" i="33"/>
  <c r="D145" i="55"/>
  <c r="G144" i="55"/>
  <c r="D141" i="80"/>
  <c r="E141" i="80" s="1"/>
  <c r="G140" i="80"/>
  <c r="B148" i="34"/>
  <c r="B150" i="28"/>
  <c r="B142" i="67"/>
  <c r="F142" i="67"/>
  <c r="B139" i="87"/>
  <c r="F139" i="87"/>
  <c r="B139" i="96"/>
  <c r="I147" i="17"/>
  <c r="H147" i="17"/>
  <c r="H147" i="34"/>
  <c r="I147" i="34"/>
  <c r="F140" i="82"/>
  <c r="B140" i="82"/>
  <c r="B140" i="95"/>
  <c r="I149" i="28"/>
  <c r="H149" i="28"/>
  <c r="G147" i="21"/>
  <c r="D148" i="21"/>
  <c r="E148" i="21" s="1"/>
  <c r="F140" i="94"/>
  <c r="B140" i="94"/>
  <c r="I138" i="87"/>
  <c r="H138" i="87"/>
  <c r="I138" i="96"/>
  <c r="H138" i="96"/>
  <c r="H146" i="3"/>
  <c r="I146" i="3"/>
  <c r="J143" i="55"/>
  <c r="H139" i="82"/>
  <c r="I139" i="82"/>
  <c r="H139" i="95"/>
  <c r="I139" i="95"/>
  <c r="G141" i="77"/>
  <c r="D142" i="77"/>
  <c r="E142" i="77" s="1"/>
  <c r="I139" i="94"/>
  <c r="H139" i="94"/>
  <c r="G146" i="42"/>
  <c r="D147" i="42"/>
  <c r="E147" i="42" s="1"/>
  <c r="F148" i="17"/>
  <c r="B148" i="17"/>
  <c r="I145" i="44"/>
  <c r="H145" i="44"/>
  <c r="J140" i="76"/>
  <c r="B147" i="3"/>
  <c r="F147" i="3"/>
  <c r="E148" i="34"/>
  <c r="F148" i="34" s="1"/>
  <c r="D149" i="24"/>
  <c r="E149" i="24" s="1"/>
  <c r="G148" i="24"/>
  <c r="J140" i="75"/>
  <c r="J140" i="77"/>
  <c r="G141" i="76"/>
  <c r="D142" i="76"/>
  <c r="E142" i="76" s="1"/>
  <c r="J147" i="24"/>
  <c r="E140" i="95"/>
  <c r="F140" i="95" s="1"/>
  <c r="E150" i="28"/>
  <c r="F150" i="28" s="1"/>
  <c r="H141" i="67"/>
  <c r="I141" i="67"/>
  <c r="J137" i="33"/>
  <c r="D142" i="75"/>
  <c r="E142" i="75" s="1"/>
  <c r="G141" i="75"/>
  <c r="G140" i="83"/>
  <c r="D141" i="83"/>
  <c r="E141" i="83" s="1"/>
  <c r="E139" i="96"/>
  <c r="F139" i="96" s="1"/>
  <c r="F146" i="44"/>
  <c r="B146" i="44"/>
  <c r="D61" i="25" l="1"/>
  <c r="E61" i="25" s="1"/>
  <c r="I59" i="98"/>
  <c r="G65" i="67"/>
  <c r="H65" i="67"/>
  <c r="I65" i="67" s="1"/>
  <c r="D66" i="67"/>
  <c r="H139" i="26"/>
  <c r="I139" i="26"/>
  <c r="E140" i="26"/>
  <c r="F140" i="26" s="1"/>
  <c r="B140" i="26"/>
  <c r="I71" i="99"/>
  <c r="F72" i="99"/>
  <c r="G72" i="99" s="1"/>
  <c r="G73" i="99" s="1"/>
  <c r="E61" i="98"/>
  <c r="F61" i="98" s="1"/>
  <c r="B61" i="98"/>
  <c r="H60" i="98"/>
  <c r="G60" i="98"/>
  <c r="I67" i="44"/>
  <c r="I67" i="72"/>
  <c r="I62" i="86"/>
  <c r="I63" i="82"/>
  <c r="I70" i="31"/>
  <c r="F139" i="99"/>
  <c r="B139" i="99"/>
  <c r="I138" i="99"/>
  <c r="H138" i="99"/>
  <c r="E68" i="44"/>
  <c r="F68" i="44" s="1"/>
  <c r="G68" i="44" s="1"/>
  <c r="H67" i="39"/>
  <c r="D140" i="98"/>
  <c r="G139" i="98"/>
  <c r="E140" i="98"/>
  <c r="D140" i="97"/>
  <c r="E140" i="97" s="1"/>
  <c r="G139" i="97"/>
  <c r="I58" i="93"/>
  <c r="D60" i="93"/>
  <c r="B60" i="93" s="1"/>
  <c r="H59" i="93"/>
  <c r="I59" i="93" s="1"/>
  <c r="E69" i="72"/>
  <c r="F69" i="72" s="1"/>
  <c r="G69" i="72" s="1"/>
  <c r="I68" i="46"/>
  <c r="B69" i="46"/>
  <c r="E69" i="46"/>
  <c r="F69" i="46" s="1"/>
  <c r="E71" i="24"/>
  <c r="F71" i="24" s="1"/>
  <c r="H71" i="24" s="1"/>
  <c r="B71" i="24"/>
  <c r="H69" i="27"/>
  <c r="D70" i="27"/>
  <c r="G64" i="61"/>
  <c r="D65" i="61"/>
  <c r="H64" i="61"/>
  <c r="E64" i="82"/>
  <c r="F64" i="82" s="1"/>
  <c r="B64" i="82"/>
  <c r="I61" i="88"/>
  <c r="E71" i="31"/>
  <c r="F71" i="31" s="1"/>
  <c r="G71" i="31" s="1"/>
  <c r="I58" i="95"/>
  <c r="I68" i="34"/>
  <c r="G60" i="84"/>
  <c r="I60" i="84" s="1"/>
  <c r="I69" i="42"/>
  <c r="G69" i="27"/>
  <c r="I59" i="94"/>
  <c r="I68" i="72"/>
  <c r="B62" i="80"/>
  <c r="F62" i="80"/>
  <c r="G62" i="80" s="1"/>
  <c r="E60" i="94"/>
  <c r="F60" i="94" s="1"/>
  <c r="B60" i="94"/>
  <c r="D61" i="91"/>
  <c r="E61" i="91" s="1"/>
  <c r="F61" i="91" s="1"/>
  <c r="I67" i="39"/>
  <c r="I59" i="83"/>
  <c r="H60" i="91"/>
  <c r="D64" i="75"/>
  <c r="E64" i="75" s="1"/>
  <c r="F64" i="75" s="1"/>
  <c r="E69" i="34"/>
  <c r="F69" i="34" s="1"/>
  <c r="B69" i="34"/>
  <c r="H65" i="53"/>
  <c r="I65" i="53" s="1"/>
  <c r="D66" i="53"/>
  <c r="E66" i="53" s="1"/>
  <c r="F66" i="53" s="1"/>
  <c r="D67" i="53" s="1"/>
  <c r="B62" i="90"/>
  <c r="E70" i="42"/>
  <c r="F70" i="42" s="1"/>
  <c r="G70" i="42" s="1"/>
  <c r="B70" i="42"/>
  <c r="G60" i="91"/>
  <c r="H63" i="75"/>
  <c r="I63" i="75" s="1"/>
  <c r="I61" i="90"/>
  <c r="F67" i="55"/>
  <c r="H67" i="55" s="1"/>
  <c r="B67" i="55"/>
  <c r="D61" i="84"/>
  <c r="E61" i="84" s="1"/>
  <c r="F61" i="84" s="1"/>
  <c r="D62" i="84" s="1"/>
  <c r="F72" i="71"/>
  <c r="E62" i="90"/>
  <c r="F62" i="90" s="1"/>
  <c r="D64" i="86"/>
  <c r="E64" i="86" s="1"/>
  <c r="F64" i="86" s="1"/>
  <c r="H63" i="86"/>
  <c r="G63" i="86"/>
  <c r="H60" i="81"/>
  <c r="D61" i="81"/>
  <c r="D63" i="76"/>
  <c r="I72" i="3"/>
  <c r="I73" i="3" s="1"/>
  <c r="E70" i="22"/>
  <c r="F70" i="22" s="1"/>
  <c r="B70" i="22"/>
  <c r="E62" i="85"/>
  <c r="F62" i="85" s="1"/>
  <c r="H62" i="85" s="1"/>
  <c r="B62" i="85"/>
  <c r="I65" i="60"/>
  <c r="B61" i="85"/>
  <c r="G61" i="85"/>
  <c r="H61" i="85"/>
  <c r="D68" i="39"/>
  <c r="E68" i="39" s="1"/>
  <c r="G60" i="81"/>
  <c r="H62" i="76"/>
  <c r="G69" i="22"/>
  <c r="D69" i="58"/>
  <c r="E69" i="58" s="1"/>
  <c r="H68" i="58"/>
  <c r="I68" i="58" s="1"/>
  <c r="E59" i="95"/>
  <c r="F59" i="95" s="1"/>
  <c r="B59" i="95"/>
  <c r="G58" i="96"/>
  <c r="I58" i="96" s="1"/>
  <c r="D59" i="96"/>
  <c r="E59" i="96" s="1"/>
  <c r="F59" i="96" s="1"/>
  <c r="G62" i="76"/>
  <c r="H69" i="22"/>
  <c r="I71" i="32"/>
  <c r="I64" i="54"/>
  <c r="I62" i="77"/>
  <c r="D67" i="60"/>
  <c r="G66" i="60"/>
  <c r="H66" i="60"/>
  <c r="H60" i="83"/>
  <c r="D61" i="83"/>
  <c r="G60" i="83"/>
  <c r="D65" i="64"/>
  <c r="G64" i="64"/>
  <c r="H64" i="64"/>
  <c r="D65" i="68"/>
  <c r="E65" i="68" s="1"/>
  <c r="F65" i="68" s="1"/>
  <c r="D66" i="68" s="1"/>
  <c r="D66" i="57"/>
  <c r="E66" i="57" s="1"/>
  <c r="D66" i="54"/>
  <c r="H69" i="19"/>
  <c r="D70" i="19"/>
  <c r="E70" i="19" s="1"/>
  <c r="D62" i="79"/>
  <c r="E62" i="79" s="1"/>
  <c r="D62" i="78"/>
  <c r="E62" i="78" s="1"/>
  <c r="D71" i="17"/>
  <c r="E71" i="17" s="1"/>
  <c r="H59" i="92"/>
  <c r="D60" i="92"/>
  <c r="D65" i="63"/>
  <c r="E65" i="63" s="1"/>
  <c r="F65" i="63" s="1"/>
  <c r="D66" i="56"/>
  <c r="E66" i="56" s="1"/>
  <c r="F66" i="56" s="1"/>
  <c r="D68" i="21"/>
  <c r="E68" i="21" s="1"/>
  <c r="F68" i="21" s="1"/>
  <c r="D69" i="21" s="1"/>
  <c r="B69" i="41"/>
  <c r="F71" i="30"/>
  <c r="B71" i="30"/>
  <c r="F72" i="32"/>
  <c r="G72" i="32" s="1"/>
  <c r="G73" i="32" s="1"/>
  <c r="B72" i="32"/>
  <c r="G69" i="19"/>
  <c r="E69" i="41"/>
  <c r="F69" i="41" s="1"/>
  <c r="G61" i="79"/>
  <c r="H68" i="44"/>
  <c r="G70" i="17"/>
  <c r="G59" i="92"/>
  <c r="E65" i="65"/>
  <c r="F65" i="65" s="1"/>
  <c r="B65" i="65"/>
  <c r="G64" i="63"/>
  <c r="B66" i="66"/>
  <c r="F66" i="66"/>
  <c r="D67" i="66" s="1"/>
  <c r="B67" i="66" s="1"/>
  <c r="B69" i="74"/>
  <c r="F69" i="74"/>
  <c r="D70" i="74" s="1"/>
  <c r="I70" i="30"/>
  <c r="E62" i="88"/>
  <c r="F62" i="88" s="1"/>
  <c r="B62" i="88"/>
  <c r="E72" i="69"/>
  <c r="E73" i="69" s="1"/>
  <c r="B72" i="69"/>
  <c r="B66" i="45"/>
  <c r="F66" i="45"/>
  <c r="H59" i="89"/>
  <c r="D60" i="89"/>
  <c r="G64" i="68"/>
  <c r="H72" i="28"/>
  <c r="G72" i="28"/>
  <c r="G73" i="28" s="1"/>
  <c r="H65" i="57"/>
  <c r="B65" i="54"/>
  <c r="G65" i="54"/>
  <c r="H65" i="54"/>
  <c r="H61" i="79"/>
  <c r="H61" i="78"/>
  <c r="B71" i="70"/>
  <c r="F71" i="70"/>
  <c r="D72" i="70" s="1"/>
  <c r="E63" i="77"/>
  <c r="F63" i="77" s="1"/>
  <c r="B63" i="77"/>
  <c r="H64" i="68"/>
  <c r="G65" i="56"/>
  <c r="I65" i="56" s="1"/>
  <c r="G65" i="57"/>
  <c r="E69" i="43"/>
  <c r="F69" i="43" s="1"/>
  <c r="B69" i="43"/>
  <c r="I68" i="41"/>
  <c r="G61" i="78"/>
  <c r="H70" i="17"/>
  <c r="I68" i="74"/>
  <c r="G59" i="89"/>
  <c r="I64" i="65"/>
  <c r="H64" i="63"/>
  <c r="I65" i="66"/>
  <c r="H67" i="21"/>
  <c r="I67" i="21" s="1"/>
  <c r="D145" i="53"/>
  <c r="E145" i="53" s="1"/>
  <c r="F145" i="53" s="1"/>
  <c r="G144" i="53"/>
  <c r="I144" i="53" s="1"/>
  <c r="E144" i="62"/>
  <c r="F144" i="62" s="1"/>
  <c r="E150" i="27"/>
  <c r="F150" i="27" s="1"/>
  <c r="I149" i="27"/>
  <c r="H149" i="27"/>
  <c r="J148" i="69"/>
  <c r="J142" i="61"/>
  <c r="E150" i="30"/>
  <c r="F150" i="30" s="1"/>
  <c r="G150" i="30" s="1"/>
  <c r="B72" i="23"/>
  <c r="D64" i="59"/>
  <c r="E64" i="59" s="1"/>
  <c r="B61" i="25"/>
  <c r="F61" i="25"/>
  <c r="G61" i="25" s="1"/>
  <c r="H146" i="43"/>
  <c r="I146" i="43"/>
  <c r="D68" i="73"/>
  <c r="E68" i="73" s="1"/>
  <c r="D148" i="41"/>
  <c r="G147" i="41"/>
  <c r="B60" i="87"/>
  <c r="J144" i="74"/>
  <c r="D69" i="18"/>
  <c r="E69" i="18" s="1"/>
  <c r="G67" i="73"/>
  <c r="I67" i="73" s="1"/>
  <c r="B61" i="33"/>
  <c r="H63" i="59"/>
  <c r="I63" i="59" s="1"/>
  <c r="E147" i="43"/>
  <c r="F147" i="43" s="1"/>
  <c r="B147" i="43"/>
  <c r="B59" i="13"/>
  <c r="J142" i="65"/>
  <c r="J140" i="78"/>
  <c r="J143" i="53"/>
  <c r="J143" i="58"/>
  <c r="J146" i="41"/>
  <c r="G68" i="18"/>
  <c r="I68" i="18" s="1"/>
  <c r="B63" i="62"/>
  <c r="F63" i="62"/>
  <c r="G63" i="62" s="1"/>
  <c r="E61" i="33"/>
  <c r="F61" i="33" s="1"/>
  <c r="F67" i="20"/>
  <c r="G67" i="20" s="1"/>
  <c r="B67" i="20"/>
  <c r="E60" i="87"/>
  <c r="F60" i="87" s="1"/>
  <c r="E59" i="13"/>
  <c r="F59" i="13" s="1"/>
  <c r="I72" i="29"/>
  <c r="I73" i="29" s="1"/>
  <c r="H73" i="29"/>
  <c r="E72" i="23"/>
  <c r="E73" i="23" s="1"/>
  <c r="B60" i="26"/>
  <c r="F60" i="26"/>
  <c r="H60" i="26" s="1"/>
  <c r="D144" i="60"/>
  <c r="B144" i="60" s="1"/>
  <c r="G143" i="60"/>
  <c r="F140" i="91"/>
  <c r="B140" i="91"/>
  <c r="B147" i="39"/>
  <c r="I140" i="81"/>
  <c r="H140" i="81"/>
  <c r="I147" i="19"/>
  <c r="H147" i="19"/>
  <c r="J147" i="17"/>
  <c r="J147" i="18"/>
  <c r="J147" i="31"/>
  <c r="D145" i="72"/>
  <c r="E145" i="72" s="1"/>
  <c r="G144" i="72"/>
  <c r="D140" i="84"/>
  <c r="E140" i="84"/>
  <c r="G139" i="84"/>
  <c r="H139" i="91"/>
  <c r="I139" i="91"/>
  <c r="J142" i="63"/>
  <c r="J142" i="60"/>
  <c r="G143" i="61"/>
  <c r="D144" i="61"/>
  <c r="B144" i="61" s="1"/>
  <c r="G142" i="66"/>
  <c r="D143" i="66"/>
  <c r="D140" i="86"/>
  <c r="E140" i="86"/>
  <c r="G139" i="86"/>
  <c r="I146" i="73"/>
  <c r="H146" i="73"/>
  <c r="D140" i="88"/>
  <c r="G139" i="88"/>
  <c r="E140" i="88"/>
  <c r="E148" i="22"/>
  <c r="F148" i="22" s="1"/>
  <c r="B148" i="22"/>
  <c r="G145" i="74"/>
  <c r="D146" i="74"/>
  <c r="B146" i="74" s="1"/>
  <c r="D141" i="85"/>
  <c r="G140" i="85"/>
  <c r="E141" i="85"/>
  <c r="I147" i="22"/>
  <c r="H147" i="22"/>
  <c r="G144" i="46"/>
  <c r="D145" i="46"/>
  <c r="J142" i="64"/>
  <c r="B149" i="32"/>
  <c r="E149" i="32"/>
  <c r="F149" i="32" s="1"/>
  <c r="J148" i="29"/>
  <c r="G144" i="58"/>
  <c r="D145" i="58"/>
  <c r="B145" i="58" s="1"/>
  <c r="D149" i="31"/>
  <c r="G148" i="31"/>
  <c r="H143" i="62"/>
  <c r="I143" i="62"/>
  <c r="G139" i="90"/>
  <c r="E140" i="90"/>
  <c r="D140" i="90"/>
  <c r="J143" i="72"/>
  <c r="D150" i="70"/>
  <c r="E150" i="70" s="1"/>
  <c r="G149" i="70"/>
  <c r="J140" i="79"/>
  <c r="G143" i="63"/>
  <c r="D144" i="63"/>
  <c r="E144" i="63" s="1"/>
  <c r="E147" i="39"/>
  <c r="F147" i="39" s="1"/>
  <c r="J143" i="46"/>
  <c r="D142" i="78"/>
  <c r="E142" i="78" s="1"/>
  <c r="G141" i="78"/>
  <c r="E147" i="73"/>
  <c r="F147" i="73" s="1"/>
  <c r="B147" i="73"/>
  <c r="B140" i="89"/>
  <c r="F140" i="89"/>
  <c r="H149" i="30"/>
  <c r="I149" i="30"/>
  <c r="E148" i="20"/>
  <c r="F148" i="20" s="1"/>
  <c r="E140" i="92"/>
  <c r="D140" i="92"/>
  <c r="G139" i="92"/>
  <c r="D150" i="69"/>
  <c r="E150" i="69" s="1"/>
  <c r="G149" i="69"/>
  <c r="G143" i="64"/>
  <c r="D144" i="64"/>
  <c r="B144" i="64" s="1"/>
  <c r="D143" i="68"/>
  <c r="E143" i="68" s="1"/>
  <c r="G142" i="68"/>
  <c r="J141" i="68"/>
  <c r="D147" i="45"/>
  <c r="E147" i="45" s="1"/>
  <c r="G146" i="45"/>
  <c r="H148" i="32"/>
  <c r="I148" i="32"/>
  <c r="I147" i="20"/>
  <c r="H147" i="20"/>
  <c r="J148" i="70"/>
  <c r="G149" i="29"/>
  <c r="D150" i="29"/>
  <c r="H146" i="39"/>
  <c r="I146" i="39"/>
  <c r="F141" i="81"/>
  <c r="B141" i="81"/>
  <c r="J141" i="66"/>
  <c r="D142" i="79"/>
  <c r="E142" i="79" s="1"/>
  <c r="G141" i="79"/>
  <c r="J145" i="45"/>
  <c r="H139" i="89"/>
  <c r="I139" i="89"/>
  <c r="G143" i="65"/>
  <c r="D144" i="65"/>
  <c r="E144" i="65" s="1"/>
  <c r="E148" i="19"/>
  <c r="F148" i="19" s="1"/>
  <c r="J143" i="59"/>
  <c r="J148" i="23"/>
  <c r="D150" i="23"/>
  <c r="B150" i="23" s="1"/>
  <c r="G149" i="23"/>
  <c r="G148" i="18"/>
  <c r="D149" i="18"/>
  <c r="B149" i="18" s="1"/>
  <c r="I145" i="56"/>
  <c r="H145" i="56"/>
  <c r="D145" i="59"/>
  <c r="G144" i="59"/>
  <c r="E146" i="56"/>
  <c r="F146" i="56" s="1"/>
  <c r="B146" i="56"/>
  <c r="D146" i="57"/>
  <c r="G145" i="57"/>
  <c r="G149" i="71"/>
  <c r="D150" i="71"/>
  <c r="B150" i="71" s="1"/>
  <c r="J145" i="44"/>
  <c r="J144" i="57"/>
  <c r="J148" i="71"/>
  <c r="D141" i="95"/>
  <c r="E141" i="95" s="1"/>
  <c r="G140" i="95"/>
  <c r="D149" i="34"/>
  <c r="E149" i="34" s="1"/>
  <c r="G148" i="34"/>
  <c r="D140" i="96"/>
  <c r="E140" i="96" s="1"/>
  <c r="G139" i="96"/>
  <c r="G150" i="28"/>
  <c r="D151" i="28"/>
  <c r="E151" i="28" s="1"/>
  <c r="G146" i="44"/>
  <c r="D147" i="44"/>
  <c r="E147" i="44" s="1"/>
  <c r="F141" i="83"/>
  <c r="B141" i="83"/>
  <c r="B142" i="75"/>
  <c r="F142" i="75"/>
  <c r="J141" i="67"/>
  <c r="D148" i="3"/>
  <c r="E148" i="3" s="1"/>
  <c r="G147" i="3"/>
  <c r="J146" i="3"/>
  <c r="G140" i="94"/>
  <c r="D141" i="94"/>
  <c r="E141" i="94" s="1"/>
  <c r="G142" i="67"/>
  <c r="D143" i="67"/>
  <c r="H144" i="55"/>
  <c r="I144" i="55"/>
  <c r="B139" i="33"/>
  <c r="B145" i="54"/>
  <c r="F145" i="54"/>
  <c r="I140" i="83"/>
  <c r="H140" i="83"/>
  <c r="I148" i="24"/>
  <c r="H148" i="24"/>
  <c r="F142" i="77"/>
  <c r="B142" i="77"/>
  <c r="G140" i="82"/>
  <c r="D141" i="82"/>
  <c r="E141" i="82" s="1"/>
  <c r="D140" i="87"/>
  <c r="G139" i="87"/>
  <c r="E140" i="87"/>
  <c r="I140" i="80"/>
  <c r="H140" i="80"/>
  <c r="B145" i="55"/>
  <c r="I138" i="13"/>
  <c r="H138" i="13"/>
  <c r="H144" i="54"/>
  <c r="I144" i="54"/>
  <c r="B140" i="93"/>
  <c r="B142" i="76"/>
  <c r="F142" i="76"/>
  <c r="F149" i="24"/>
  <c r="B149" i="24"/>
  <c r="B147" i="42"/>
  <c r="F147" i="42"/>
  <c r="H141" i="77"/>
  <c r="I141" i="77"/>
  <c r="F148" i="21"/>
  <c r="B148" i="21"/>
  <c r="J149" i="28"/>
  <c r="J147" i="34"/>
  <c r="E145" i="55"/>
  <c r="F145" i="55" s="1"/>
  <c r="I138" i="33"/>
  <c r="H138" i="33"/>
  <c r="B140" i="25"/>
  <c r="F140" i="25"/>
  <c r="I139" i="93"/>
  <c r="H139" i="93"/>
  <c r="H141" i="75"/>
  <c r="I141" i="75"/>
  <c r="H141" i="76"/>
  <c r="I141" i="76"/>
  <c r="D149" i="17"/>
  <c r="E149" i="17" s="1"/>
  <c r="G148" i="17"/>
  <c r="H146" i="42"/>
  <c r="I146" i="42"/>
  <c r="H147" i="21"/>
  <c r="I147" i="21"/>
  <c r="B141" i="80"/>
  <c r="F141" i="80"/>
  <c r="E139" i="33"/>
  <c r="F139" i="33" s="1"/>
  <c r="B139" i="13"/>
  <c r="F139" i="13"/>
  <c r="I139" i="25"/>
  <c r="H139" i="25"/>
  <c r="E140" i="93"/>
  <c r="F140" i="93" s="1"/>
  <c r="E66" i="67" l="1"/>
  <c r="F66" i="67" s="1"/>
  <c r="B66" i="67"/>
  <c r="D69" i="44"/>
  <c r="E69" i="44" s="1"/>
  <c r="F69" i="44" s="1"/>
  <c r="G69" i="44" s="1"/>
  <c r="G140" i="26"/>
  <c r="D141" i="26"/>
  <c r="J139" i="26"/>
  <c r="D62" i="98"/>
  <c r="G61" i="98"/>
  <c r="H72" i="99"/>
  <c r="H73" i="99" s="1"/>
  <c r="I60" i="98"/>
  <c r="H61" i="98"/>
  <c r="E60" i="93"/>
  <c r="F60" i="93" s="1"/>
  <c r="H60" i="93" s="1"/>
  <c r="D70" i="72"/>
  <c r="B70" i="72" s="1"/>
  <c r="D72" i="31"/>
  <c r="E72" i="31" s="1"/>
  <c r="E73" i="31" s="1"/>
  <c r="H71" i="31"/>
  <c r="I71" i="31" s="1"/>
  <c r="G139" i="99"/>
  <c r="E140" i="99"/>
  <c r="D140" i="99"/>
  <c r="H144" i="53"/>
  <c r="J144" i="53" s="1"/>
  <c r="H69" i="72"/>
  <c r="I69" i="72" s="1"/>
  <c r="I64" i="63"/>
  <c r="F72" i="31"/>
  <c r="H72" i="31" s="1"/>
  <c r="F140" i="97"/>
  <c r="B140" i="97"/>
  <c r="H139" i="98"/>
  <c r="I139" i="98"/>
  <c r="I139" i="97"/>
  <c r="H139" i="97"/>
  <c r="B140" i="98"/>
  <c r="F140" i="98"/>
  <c r="I60" i="91"/>
  <c r="I64" i="68"/>
  <c r="I64" i="64"/>
  <c r="D70" i="46"/>
  <c r="G69" i="46"/>
  <c r="H69" i="46"/>
  <c r="G71" i="24"/>
  <c r="I71" i="24" s="1"/>
  <c r="D72" i="24"/>
  <c r="D61" i="94"/>
  <c r="G60" i="94"/>
  <c r="H60" i="94"/>
  <c r="D65" i="82"/>
  <c r="H64" i="82"/>
  <c r="G64" i="82"/>
  <c r="E67" i="53"/>
  <c r="F67" i="53" s="1"/>
  <c r="B67" i="53"/>
  <c r="E65" i="61"/>
  <c r="F65" i="61" s="1"/>
  <c r="B65" i="61"/>
  <c r="H62" i="80"/>
  <c r="I62" i="80" s="1"/>
  <c r="D63" i="80"/>
  <c r="E70" i="27"/>
  <c r="F70" i="27" s="1"/>
  <c r="B70" i="27"/>
  <c r="I64" i="61"/>
  <c r="I69" i="27"/>
  <c r="D63" i="90"/>
  <c r="E63" i="90" s="1"/>
  <c r="H62" i="90"/>
  <c r="G62" i="90"/>
  <c r="D65" i="75"/>
  <c r="E65" i="75" s="1"/>
  <c r="F65" i="75" s="1"/>
  <c r="E62" i="84"/>
  <c r="F62" i="84" s="1"/>
  <c r="H62" i="84" s="1"/>
  <c r="B62" i="84"/>
  <c r="D62" i="91"/>
  <c r="B61" i="84"/>
  <c r="H61" i="84"/>
  <c r="G61" i="84"/>
  <c r="D68" i="55"/>
  <c r="E68" i="55" s="1"/>
  <c r="F68" i="55" s="1"/>
  <c r="H69" i="34"/>
  <c r="G69" i="34"/>
  <c r="D70" i="34"/>
  <c r="B64" i="75"/>
  <c r="G64" i="75"/>
  <c r="H64" i="75"/>
  <c r="H72" i="71"/>
  <c r="G72" i="71"/>
  <c r="G73" i="71" s="1"/>
  <c r="G67" i="55"/>
  <c r="I67" i="55" s="1"/>
  <c r="B66" i="53"/>
  <c r="G66" i="53"/>
  <c r="H66" i="53"/>
  <c r="H70" i="42"/>
  <c r="I70" i="42" s="1"/>
  <c r="D71" i="42"/>
  <c r="B61" i="91"/>
  <c r="H61" i="91"/>
  <c r="G61" i="91"/>
  <c r="G59" i="95"/>
  <c r="D60" i="95"/>
  <c r="H59" i="95"/>
  <c r="D71" i="22"/>
  <c r="E71" i="22" s="1"/>
  <c r="F71" i="22" s="1"/>
  <c r="D72" i="22" s="1"/>
  <c r="H70" i="22"/>
  <c r="G70" i="22"/>
  <c r="D65" i="86"/>
  <c r="B65" i="86" s="1"/>
  <c r="G71" i="70"/>
  <c r="I65" i="57"/>
  <c r="I69" i="22"/>
  <c r="B59" i="96"/>
  <c r="G59" i="96"/>
  <c r="H59" i="96"/>
  <c r="B68" i="39"/>
  <c r="F68" i="39"/>
  <c r="G68" i="39" s="1"/>
  <c r="G62" i="85"/>
  <c r="I62" i="85" s="1"/>
  <c r="D63" i="85"/>
  <c r="B63" i="76"/>
  <c r="I63" i="86"/>
  <c r="F72" i="69"/>
  <c r="H72" i="69" s="1"/>
  <c r="H73" i="69" s="1"/>
  <c r="I62" i="76"/>
  <c r="I61" i="85"/>
  <c r="E63" i="76"/>
  <c r="F63" i="76" s="1"/>
  <c r="D60" i="96"/>
  <c r="E60" i="96" s="1"/>
  <c r="F60" i="96" s="1"/>
  <c r="I60" i="83"/>
  <c r="B69" i="58"/>
  <c r="F69" i="58"/>
  <c r="G69" i="58" s="1"/>
  <c r="I60" i="81"/>
  <c r="E61" i="81"/>
  <c r="F61" i="81" s="1"/>
  <c r="G61" i="81" s="1"/>
  <c r="B61" i="81"/>
  <c r="B64" i="86"/>
  <c r="H64" i="86"/>
  <c r="G64" i="86"/>
  <c r="I61" i="79"/>
  <c r="I65" i="54"/>
  <c r="I68" i="44"/>
  <c r="I66" i="60"/>
  <c r="D66" i="63"/>
  <c r="E66" i="63" s="1"/>
  <c r="F66" i="63" s="1"/>
  <c r="E69" i="21"/>
  <c r="F69" i="21" s="1"/>
  <c r="B69" i="21"/>
  <c r="E66" i="68"/>
  <c r="F66" i="68" s="1"/>
  <c r="B66" i="68"/>
  <c r="D63" i="88"/>
  <c r="H62" i="88"/>
  <c r="G62" i="88"/>
  <c r="H69" i="43"/>
  <c r="D70" i="43"/>
  <c r="E70" i="43" s="1"/>
  <c r="H63" i="77"/>
  <c r="D64" i="77"/>
  <c r="D67" i="45"/>
  <c r="E67" i="45" s="1"/>
  <c r="G65" i="65"/>
  <c r="H65" i="65"/>
  <c r="D66" i="65"/>
  <c r="E66" i="65" s="1"/>
  <c r="D72" i="30"/>
  <c r="E72" i="30" s="1"/>
  <c r="E73" i="30" s="1"/>
  <c r="D70" i="41"/>
  <c r="B60" i="92"/>
  <c r="E70" i="72"/>
  <c r="F70" i="72" s="1"/>
  <c r="B145" i="53"/>
  <c r="G71" i="30"/>
  <c r="B66" i="56"/>
  <c r="G66" i="56"/>
  <c r="H66" i="56"/>
  <c r="E60" i="92"/>
  <c r="F60" i="92" s="1"/>
  <c r="H60" i="92" s="1"/>
  <c r="I69" i="19"/>
  <c r="B66" i="57"/>
  <c r="F66" i="57"/>
  <c r="H66" i="57" s="1"/>
  <c r="G60" i="26"/>
  <c r="I60" i="26" s="1"/>
  <c r="I59" i="89"/>
  <c r="H66" i="45"/>
  <c r="H72" i="32"/>
  <c r="H71" i="30"/>
  <c r="H69" i="41"/>
  <c r="I59" i="92"/>
  <c r="F62" i="79"/>
  <c r="B62" i="79"/>
  <c r="B66" i="54"/>
  <c r="E61" i="83"/>
  <c r="F61" i="83" s="1"/>
  <c r="B61" i="83"/>
  <c r="E70" i="74"/>
  <c r="F70" i="74" s="1"/>
  <c r="B70" i="74"/>
  <c r="D67" i="56"/>
  <c r="E67" i="56" s="1"/>
  <c r="B65" i="64"/>
  <c r="D151" i="30"/>
  <c r="E151" i="30" s="1"/>
  <c r="F151" i="30" s="1"/>
  <c r="E72" i="70"/>
  <c r="E73" i="70" s="1"/>
  <c r="B72" i="70"/>
  <c r="E60" i="89"/>
  <c r="F60" i="89" s="1"/>
  <c r="B60" i="89"/>
  <c r="H69" i="74"/>
  <c r="H66" i="66"/>
  <c r="G69" i="41"/>
  <c r="E67" i="66"/>
  <c r="F67" i="66" s="1"/>
  <c r="H67" i="66" s="1"/>
  <c r="I70" i="17"/>
  <c r="G69" i="43"/>
  <c r="G63" i="77"/>
  <c r="H71" i="70"/>
  <c r="I61" i="78"/>
  <c r="I72" i="28"/>
  <c r="I73" i="28" s="1"/>
  <c r="H73" i="28"/>
  <c r="G66" i="45"/>
  <c r="G69" i="74"/>
  <c r="G66" i="66"/>
  <c r="B68" i="21"/>
  <c r="G68" i="21"/>
  <c r="H68" i="21"/>
  <c r="B65" i="63"/>
  <c r="G65" i="63"/>
  <c r="H65" i="63"/>
  <c r="F71" i="17"/>
  <c r="D72" i="17" s="1"/>
  <c r="B71" i="17"/>
  <c r="B62" i="78"/>
  <c r="F62" i="78"/>
  <c r="B70" i="19"/>
  <c r="F70" i="19"/>
  <c r="E66" i="54"/>
  <c r="F66" i="54" s="1"/>
  <c r="B65" i="68"/>
  <c r="G65" i="68"/>
  <c r="H65" i="68"/>
  <c r="E65" i="64"/>
  <c r="F65" i="64" s="1"/>
  <c r="E67" i="60"/>
  <c r="F67" i="60" s="1"/>
  <c r="H67" i="60" s="1"/>
  <c r="B67" i="60"/>
  <c r="J149" i="27"/>
  <c r="E144" i="61"/>
  <c r="F144" i="61" s="1"/>
  <c r="E144" i="60"/>
  <c r="F144" i="60" s="1"/>
  <c r="E145" i="58"/>
  <c r="F145" i="58" s="1"/>
  <c r="D151" i="27"/>
  <c r="G150" i="27"/>
  <c r="E146" i="74"/>
  <c r="F146" i="74" s="1"/>
  <c r="E150" i="71"/>
  <c r="F150" i="71" s="1"/>
  <c r="J141" i="76"/>
  <c r="J144" i="54"/>
  <c r="E144" i="64"/>
  <c r="F144" i="64" s="1"/>
  <c r="G144" i="64" s="1"/>
  <c r="J149" i="30"/>
  <c r="J147" i="19"/>
  <c r="D60" i="13"/>
  <c r="E60" i="13" s="1"/>
  <c r="H59" i="13"/>
  <c r="G59" i="13"/>
  <c r="D62" i="33"/>
  <c r="H61" i="33"/>
  <c r="G61" i="33"/>
  <c r="D61" i="87"/>
  <c r="G60" i="87"/>
  <c r="H60" i="87"/>
  <c r="D68" i="20"/>
  <c r="E68" i="20" s="1"/>
  <c r="D64" i="62"/>
  <c r="E64" i="62" s="1"/>
  <c r="B148" i="41"/>
  <c r="E148" i="41"/>
  <c r="F148" i="41" s="1"/>
  <c r="H61" i="25"/>
  <c r="I61" i="25" s="1"/>
  <c r="J146" i="39"/>
  <c r="F69" i="18"/>
  <c r="H69" i="18" s="1"/>
  <c r="B69" i="18"/>
  <c r="G147" i="43"/>
  <c r="D148" i="43"/>
  <c r="B68" i="73"/>
  <c r="F68" i="73"/>
  <c r="H68" i="73" s="1"/>
  <c r="D62" i="25"/>
  <c r="E62" i="25" s="1"/>
  <c r="F72" i="23"/>
  <c r="J147" i="20"/>
  <c r="J147" i="22"/>
  <c r="D61" i="26"/>
  <c r="E61" i="26" s="1"/>
  <c r="H67" i="20"/>
  <c r="I67" i="20" s="1"/>
  <c r="H63" i="62"/>
  <c r="I63" i="62" s="1"/>
  <c r="I147" i="41"/>
  <c r="H147" i="41"/>
  <c r="J146" i="43"/>
  <c r="B64" i="59"/>
  <c r="F64" i="59"/>
  <c r="G64" i="59" s="1"/>
  <c r="D146" i="53"/>
  <c r="G145" i="53"/>
  <c r="D149" i="22"/>
  <c r="G148" i="22"/>
  <c r="D148" i="39"/>
  <c r="B148" i="39" s="1"/>
  <c r="G147" i="39"/>
  <c r="B144" i="65"/>
  <c r="F144" i="65"/>
  <c r="E149" i="31"/>
  <c r="F149" i="31" s="1"/>
  <c r="B149" i="31"/>
  <c r="E143" i="66"/>
  <c r="F143" i="66" s="1"/>
  <c r="B143" i="66"/>
  <c r="F140" i="84"/>
  <c r="B140" i="84"/>
  <c r="D141" i="91"/>
  <c r="E141" i="91" s="1"/>
  <c r="G140" i="91"/>
  <c r="H143" i="65"/>
  <c r="I143" i="65"/>
  <c r="J143" i="62"/>
  <c r="G149" i="32"/>
  <c r="D150" i="32"/>
  <c r="H144" i="46"/>
  <c r="I144" i="46"/>
  <c r="I140" i="85"/>
  <c r="H140" i="85"/>
  <c r="H145" i="74"/>
  <c r="I145" i="74"/>
  <c r="J146" i="73"/>
  <c r="H139" i="86"/>
  <c r="I139" i="86"/>
  <c r="H142" i="66"/>
  <c r="I142" i="66"/>
  <c r="I143" i="61"/>
  <c r="H143" i="61"/>
  <c r="H150" i="30"/>
  <c r="I150" i="30"/>
  <c r="F150" i="69"/>
  <c r="B150" i="69"/>
  <c r="G147" i="73"/>
  <c r="D148" i="73"/>
  <c r="E148" i="73" s="1"/>
  <c r="I143" i="63"/>
  <c r="H143" i="63"/>
  <c r="I139" i="90"/>
  <c r="H139" i="90"/>
  <c r="E145" i="46"/>
  <c r="F145" i="46" s="1"/>
  <c r="B145" i="46"/>
  <c r="J147" i="21"/>
  <c r="H141" i="79"/>
  <c r="I141" i="79"/>
  <c r="B150" i="29"/>
  <c r="E150" i="29"/>
  <c r="F150" i="29" s="1"/>
  <c r="H146" i="45"/>
  <c r="I146" i="45"/>
  <c r="I142" i="68"/>
  <c r="H142" i="68"/>
  <c r="I143" i="64"/>
  <c r="H143" i="64"/>
  <c r="I139" i="92"/>
  <c r="H139" i="92"/>
  <c r="D141" i="89"/>
  <c r="E141" i="89" s="1"/>
  <c r="G140" i="89"/>
  <c r="H141" i="78"/>
  <c r="I141" i="78"/>
  <c r="H149" i="70"/>
  <c r="I149" i="70"/>
  <c r="B140" i="90"/>
  <c r="F140" i="90"/>
  <c r="F141" i="85"/>
  <c r="B141" i="85"/>
  <c r="H139" i="88"/>
  <c r="I139" i="88"/>
  <c r="G144" i="62"/>
  <c r="D145" i="62"/>
  <c r="B145" i="62" s="1"/>
  <c r="I139" i="84"/>
  <c r="H139" i="84"/>
  <c r="I144" i="72"/>
  <c r="H144" i="72"/>
  <c r="H143" i="60"/>
  <c r="I143" i="60"/>
  <c r="G148" i="19"/>
  <c r="D149" i="19"/>
  <c r="B142" i="79"/>
  <c r="F142" i="79"/>
  <c r="G141" i="81"/>
  <c r="D142" i="81"/>
  <c r="E142" i="81" s="1"/>
  <c r="H149" i="29"/>
  <c r="I149" i="29"/>
  <c r="J148" i="32"/>
  <c r="B147" i="45"/>
  <c r="F147" i="45"/>
  <c r="F143" i="68"/>
  <c r="B143" i="68"/>
  <c r="I149" i="69"/>
  <c r="H149" i="69"/>
  <c r="B140" i="92"/>
  <c r="F140" i="92"/>
  <c r="D149" i="20"/>
  <c r="G148" i="20"/>
  <c r="B142" i="78"/>
  <c r="F142" i="78"/>
  <c r="F144" i="63"/>
  <c r="B144" i="63"/>
  <c r="F150" i="70"/>
  <c r="B150" i="70"/>
  <c r="H148" i="31"/>
  <c r="I148" i="31"/>
  <c r="H144" i="58"/>
  <c r="I144" i="58"/>
  <c r="F140" i="88"/>
  <c r="B140" i="88"/>
  <c r="F140" i="86"/>
  <c r="B140" i="86"/>
  <c r="B145" i="72"/>
  <c r="F145" i="72"/>
  <c r="G146" i="56"/>
  <c r="D147" i="56"/>
  <c r="J146" i="42"/>
  <c r="E145" i="59"/>
  <c r="F145" i="59" s="1"/>
  <c r="B145" i="59"/>
  <c r="E149" i="18"/>
  <c r="F149" i="18" s="1"/>
  <c r="I149" i="23"/>
  <c r="H149" i="23"/>
  <c r="I148" i="18"/>
  <c r="H148" i="18"/>
  <c r="H144" i="59"/>
  <c r="I144" i="59"/>
  <c r="J145" i="56"/>
  <c r="E150" i="23"/>
  <c r="F150" i="23" s="1"/>
  <c r="H145" i="57"/>
  <c r="I145" i="57"/>
  <c r="J148" i="24"/>
  <c r="E146" i="57"/>
  <c r="F146" i="57" s="1"/>
  <c r="B146" i="57"/>
  <c r="J141" i="77"/>
  <c r="H149" i="71"/>
  <c r="I149" i="71"/>
  <c r="D146" i="55"/>
  <c r="E146" i="55" s="1"/>
  <c r="G145" i="55"/>
  <c r="D140" i="33"/>
  <c r="E140" i="33" s="1"/>
  <c r="G139" i="33"/>
  <c r="G140" i="93"/>
  <c r="D141" i="93"/>
  <c r="E141" i="93" s="1"/>
  <c r="F149" i="17"/>
  <c r="B149" i="17"/>
  <c r="G148" i="21"/>
  <c r="D149" i="21"/>
  <c r="E149" i="21" s="1"/>
  <c r="G149" i="24"/>
  <c r="D150" i="24"/>
  <c r="G142" i="76"/>
  <c r="D143" i="76"/>
  <c r="E143" i="76" s="1"/>
  <c r="D143" i="77"/>
  <c r="E143" i="77" s="1"/>
  <c r="G142" i="77"/>
  <c r="B143" i="67"/>
  <c r="F147" i="44"/>
  <c r="B147" i="44"/>
  <c r="I150" i="28"/>
  <c r="H150" i="28"/>
  <c r="I140" i="95"/>
  <c r="H140" i="95"/>
  <c r="J139" i="25"/>
  <c r="D142" i="80"/>
  <c r="E142" i="80" s="1"/>
  <c r="G141" i="80"/>
  <c r="I139" i="87"/>
  <c r="H139" i="87"/>
  <c r="G145" i="54"/>
  <c r="D146" i="54"/>
  <c r="E146" i="54" s="1"/>
  <c r="J144" i="55"/>
  <c r="I142" i="67"/>
  <c r="H142" i="67"/>
  <c r="B141" i="94"/>
  <c r="F141" i="94"/>
  <c r="H146" i="44"/>
  <c r="I146" i="44"/>
  <c r="I148" i="34"/>
  <c r="H148" i="34"/>
  <c r="D140" i="13"/>
  <c r="E140" i="13" s="1"/>
  <c r="G139" i="13"/>
  <c r="G140" i="25"/>
  <c r="D141" i="25"/>
  <c r="E141" i="25" s="1"/>
  <c r="F140" i="87"/>
  <c r="B140" i="87"/>
  <c r="B141" i="82"/>
  <c r="F141" i="82"/>
  <c r="I140" i="94"/>
  <c r="H140" i="94"/>
  <c r="H147" i="3"/>
  <c r="I147" i="3"/>
  <c r="D142" i="83"/>
  <c r="E142" i="83" s="1"/>
  <c r="G141" i="83"/>
  <c r="H139" i="96"/>
  <c r="I139" i="96"/>
  <c r="B141" i="95"/>
  <c r="F141" i="95"/>
  <c r="I148" i="17"/>
  <c r="H148" i="17"/>
  <c r="J141" i="75"/>
  <c r="J138" i="33"/>
  <c r="D148" i="42"/>
  <c r="E148" i="42" s="1"/>
  <c r="G147" i="42"/>
  <c r="H140" i="82"/>
  <c r="I140" i="82"/>
  <c r="E143" i="67"/>
  <c r="F143" i="67" s="1"/>
  <c r="B148" i="3"/>
  <c r="F148" i="3"/>
  <c r="D143" i="75"/>
  <c r="E143" i="75" s="1"/>
  <c r="G142" i="75"/>
  <c r="B151" i="28"/>
  <c r="F151" i="28"/>
  <c r="B140" i="96"/>
  <c r="F140" i="96"/>
  <c r="F149" i="34"/>
  <c r="B149" i="34"/>
  <c r="G60" i="93" l="1"/>
  <c r="I61" i="98"/>
  <c r="G72" i="69"/>
  <c r="G73" i="69" s="1"/>
  <c r="I66" i="45"/>
  <c r="B72" i="31"/>
  <c r="I72" i="99"/>
  <c r="I73" i="99" s="1"/>
  <c r="G72" i="31"/>
  <c r="G73" i="31" s="1"/>
  <c r="B69" i="44"/>
  <c r="I64" i="75"/>
  <c r="D61" i="93"/>
  <c r="E61" i="93" s="1"/>
  <c r="F61" i="93" s="1"/>
  <c r="D62" i="93" s="1"/>
  <c r="E62" i="93" s="1"/>
  <c r="G66" i="67"/>
  <c r="D67" i="67"/>
  <c r="E62" i="98"/>
  <c r="F62" i="98" s="1"/>
  <c r="B62" i="98"/>
  <c r="H66" i="67"/>
  <c r="I66" i="67" s="1"/>
  <c r="E141" i="26"/>
  <c r="F141" i="26" s="1"/>
  <c r="B141" i="26"/>
  <c r="H140" i="26"/>
  <c r="I140" i="26"/>
  <c r="H73" i="31"/>
  <c r="I66" i="53"/>
  <c r="I69" i="46"/>
  <c r="D68" i="66"/>
  <c r="F140" i="99"/>
  <c r="B140" i="99"/>
  <c r="H139" i="99"/>
  <c r="I139" i="99"/>
  <c r="D141" i="98"/>
  <c r="G140" i="98"/>
  <c r="D141" i="97"/>
  <c r="G140" i="97"/>
  <c r="G67" i="53"/>
  <c r="D68" i="53"/>
  <c r="E68" i="53" s="1"/>
  <c r="H67" i="53"/>
  <c r="B70" i="46"/>
  <c r="E70" i="46"/>
  <c r="F70" i="46" s="1"/>
  <c r="E72" i="24"/>
  <c r="E73" i="24" s="1"/>
  <c r="B72" i="24"/>
  <c r="I69" i="34"/>
  <c r="D66" i="61"/>
  <c r="E66" i="61" s="1"/>
  <c r="H65" i="61"/>
  <c r="G65" i="61"/>
  <c r="D71" i="27"/>
  <c r="G70" i="27"/>
  <c r="B63" i="80"/>
  <c r="I65" i="68"/>
  <c r="H68" i="39"/>
  <c r="I68" i="39" s="1"/>
  <c r="H70" i="27"/>
  <c r="I64" i="82"/>
  <c r="I60" i="94"/>
  <c r="I65" i="63"/>
  <c r="I65" i="65"/>
  <c r="E63" i="80"/>
  <c r="F63" i="80" s="1"/>
  <c r="H63" i="80" s="1"/>
  <c r="E65" i="82"/>
  <c r="F65" i="82" s="1"/>
  <c r="G65" i="82" s="1"/>
  <c r="B65" i="82"/>
  <c r="E61" i="94"/>
  <c r="F61" i="94" s="1"/>
  <c r="H61" i="94" s="1"/>
  <c r="B61" i="94"/>
  <c r="D66" i="75"/>
  <c r="E66" i="75" s="1"/>
  <c r="D69" i="55"/>
  <c r="E69" i="55" s="1"/>
  <c r="H64" i="59"/>
  <c r="I64" i="59" s="1"/>
  <c r="G67" i="66"/>
  <c r="I67" i="66" s="1"/>
  <c r="I66" i="66"/>
  <c r="I59" i="96"/>
  <c r="I59" i="95"/>
  <c r="I61" i="91"/>
  <c r="B62" i="91"/>
  <c r="I61" i="84"/>
  <c r="G62" i="84"/>
  <c r="I62" i="84" s="1"/>
  <c r="B61" i="93"/>
  <c r="I62" i="90"/>
  <c r="E71" i="42"/>
  <c r="F71" i="42" s="1"/>
  <c r="B71" i="42"/>
  <c r="H73" i="71"/>
  <c r="I72" i="71"/>
  <c r="I73" i="71" s="1"/>
  <c r="E70" i="34"/>
  <c r="F70" i="34" s="1"/>
  <c r="B70" i="34"/>
  <c r="I60" i="93"/>
  <c r="B68" i="55"/>
  <c r="H68" i="55"/>
  <c r="G68" i="55"/>
  <c r="E62" i="91"/>
  <c r="F62" i="91" s="1"/>
  <c r="D63" i="84"/>
  <c r="E63" i="84" s="1"/>
  <c r="F63" i="84" s="1"/>
  <c r="B65" i="75"/>
  <c r="G65" i="75"/>
  <c r="H65" i="75"/>
  <c r="F63" i="90"/>
  <c r="D64" i="90" s="1"/>
  <c r="B63" i="90"/>
  <c r="D64" i="76"/>
  <c r="H63" i="76"/>
  <c r="G63" i="76"/>
  <c r="G70" i="72"/>
  <c r="D71" i="72"/>
  <c r="B71" i="72" s="1"/>
  <c r="G60" i="96"/>
  <c r="D61" i="96"/>
  <c r="E72" i="22"/>
  <c r="E73" i="22" s="1"/>
  <c r="B72" i="22"/>
  <c r="E63" i="85"/>
  <c r="F63" i="85" s="1"/>
  <c r="B63" i="85"/>
  <c r="E65" i="86"/>
  <c r="F65" i="86" s="1"/>
  <c r="H61" i="81"/>
  <c r="I61" i="81" s="1"/>
  <c r="D62" i="81"/>
  <c r="E62" i="81" s="1"/>
  <c r="B60" i="96"/>
  <c r="H60" i="96"/>
  <c r="B71" i="22"/>
  <c r="G71" i="22"/>
  <c r="H71" i="22"/>
  <c r="G67" i="60"/>
  <c r="I67" i="60" s="1"/>
  <c r="H71" i="17"/>
  <c r="I64" i="86"/>
  <c r="E60" i="95"/>
  <c r="F60" i="95" s="1"/>
  <c r="B60" i="95"/>
  <c r="G71" i="17"/>
  <c r="I66" i="56"/>
  <c r="H69" i="58"/>
  <c r="I69" i="58" s="1"/>
  <c r="D70" i="58"/>
  <c r="D69" i="39"/>
  <c r="I70" i="22"/>
  <c r="I63" i="77"/>
  <c r="D66" i="64"/>
  <c r="G65" i="64"/>
  <c r="H65" i="64"/>
  <c r="H66" i="68"/>
  <c r="D67" i="68"/>
  <c r="E67" i="68" s="1"/>
  <c r="F67" i="68" s="1"/>
  <c r="D68" i="68" s="1"/>
  <c r="B68" i="68" s="1"/>
  <c r="G66" i="68"/>
  <c r="D61" i="89"/>
  <c r="H60" i="89"/>
  <c r="G60" i="89"/>
  <c r="D70" i="21"/>
  <c r="E70" i="21" s="1"/>
  <c r="F70" i="21" s="1"/>
  <c r="H69" i="21"/>
  <c r="G69" i="21"/>
  <c r="H61" i="83"/>
  <c r="D62" i="83"/>
  <c r="E62" i="83" s="1"/>
  <c r="G61" i="83"/>
  <c r="D67" i="63"/>
  <c r="E67" i="63" s="1"/>
  <c r="D71" i="19"/>
  <c r="G70" i="74"/>
  <c r="D71" i="74"/>
  <c r="E71" i="74" s="1"/>
  <c r="D67" i="54"/>
  <c r="D63" i="79"/>
  <c r="E63" i="79" s="1"/>
  <c r="B63" i="88"/>
  <c r="B151" i="30"/>
  <c r="I71" i="70"/>
  <c r="H70" i="74"/>
  <c r="H66" i="54"/>
  <c r="D67" i="57"/>
  <c r="E67" i="57" s="1"/>
  <c r="D70" i="44"/>
  <c r="E70" i="44" s="1"/>
  <c r="D61" i="92"/>
  <c r="E61" i="92" s="1"/>
  <c r="D63" i="78"/>
  <c r="E63" i="78" s="1"/>
  <c r="I72" i="69"/>
  <c r="I73" i="69" s="1"/>
  <c r="G69" i="18"/>
  <c r="I69" i="18" s="1"/>
  <c r="G70" i="19"/>
  <c r="G62" i="78"/>
  <c r="I69" i="74"/>
  <c r="F72" i="70"/>
  <c r="F67" i="56"/>
  <c r="H67" i="56" s="1"/>
  <c r="B67" i="56"/>
  <c r="H62" i="79"/>
  <c r="I69" i="41"/>
  <c r="H69" i="44"/>
  <c r="I69" i="44" s="1"/>
  <c r="G60" i="92"/>
  <c r="I60" i="92" s="1"/>
  <c r="B72" i="30"/>
  <c r="F72" i="30"/>
  <c r="H72" i="30" s="1"/>
  <c r="H73" i="30" s="1"/>
  <c r="G72" i="30"/>
  <c r="G73" i="30" s="1"/>
  <c r="F67" i="45"/>
  <c r="H67" i="45" s="1"/>
  <c r="B67" i="45"/>
  <c r="B70" i="43"/>
  <c r="F70" i="43"/>
  <c r="H70" i="43" s="1"/>
  <c r="I62" i="88"/>
  <c r="I72" i="32"/>
  <c r="I73" i="32" s="1"/>
  <c r="H73" i="32"/>
  <c r="B70" i="41"/>
  <c r="H70" i="72"/>
  <c r="I60" i="87"/>
  <c r="D68" i="60"/>
  <c r="E68" i="60" s="1"/>
  <c r="F68" i="60" s="1"/>
  <c r="D69" i="60" s="1"/>
  <c r="H70" i="19"/>
  <c r="H62" i="78"/>
  <c r="E72" i="17"/>
  <c r="E73" i="17" s="1"/>
  <c r="B72" i="17"/>
  <c r="I68" i="21"/>
  <c r="G66" i="54"/>
  <c r="G62" i="79"/>
  <c r="I71" i="30"/>
  <c r="G66" i="57"/>
  <c r="I66" i="57" s="1"/>
  <c r="E70" i="41"/>
  <c r="F70" i="41" s="1"/>
  <c r="B66" i="65"/>
  <c r="F66" i="65"/>
  <c r="D67" i="65" s="1"/>
  <c r="B67" i="65" s="1"/>
  <c r="E64" i="77"/>
  <c r="F64" i="77" s="1"/>
  <c r="D65" i="77" s="1"/>
  <c r="B64" i="77"/>
  <c r="I69" i="43"/>
  <c r="E63" i="88"/>
  <c r="F63" i="88" s="1"/>
  <c r="H63" i="88" s="1"/>
  <c r="B66" i="63"/>
  <c r="H66" i="63"/>
  <c r="G66" i="63"/>
  <c r="J143" i="63"/>
  <c r="D145" i="64"/>
  <c r="B145" i="64" s="1"/>
  <c r="I150" i="27"/>
  <c r="H150" i="27"/>
  <c r="E151" i="27"/>
  <c r="F151" i="27" s="1"/>
  <c r="B151" i="27"/>
  <c r="J150" i="28"/>
  <c r="J149" i="71"/>
  <c r="J145" i="74"/>
  <c r="J144" i="46"/>
  <c r="J142" i="67"/>
  <c r="J149" i="70"/>
  <c r="E148" i="39"/>
  <c r="F148" i="39" s="1"/>
  <c r="I147" i="43"/>
  <c r="H147" i="43"/>
  <c r="B68" i="66"/>
  <c r="J148" i="31"/>
  <c r="J149" i="29"/>
  <c r="E145" i="62"/>
  <c r="F145" i="62" s="1"/>
  <c r="D146" i="62" s="1"/>
  <c r="B146" i="62" s="1"/>
  <c r="J147" i="41"/>
  <c r="B62" i="25"/>
  <c r="F62" i="25"/>
  <c r="H62" i="25" s="1"/>
  <c r="D69" i="73"/>
  <c r="E69" i="73" s="1"/>
  <c r="B68" i="53"/>
  <c r="D70" i="18"/>
  <c r="E70" i="18" s="1"/>
  <c r="G148" i="41"/>
  <c r="D149" i="41"/>
  <c r="F68" i="20"/>
  <c r="H68" i="20" s="1"/>
  <c r="B68" i="20"/>
  <c r="I61" i="33"/>
  <c r="I59" i="13"/>
  <c r="B61" i="26"/>
  <c r="F61" i="26"/>
  <c r="H61" i="26" s="1"/>
  <c r="H72" i="23"/>
  <c r="G72" i="23"/>
  <c r="G73" i="23" s="1"/>
  <c r="I72" i="31"/>
  <c r="I73" i="31" s="1"/>
  <c r="B61" i="87"/>
  <c r="B62" i="33"/>
  <c r="J144" i="58"/>
  <c r="J149" i="69"/>
  <c r="J146" i="45"/>
  <c r="D65" i="59"/>
  <c r="E65" i="59" s="1"/>
  <c r="G68" i="73"/>
  <c r="I68" i="73" s="1"/>
  <c r="E148" i="43"/>
  <c r="F148" i="43" s="1"/>
  <c r="B148" i="43"/>
  <c r="F64" i="62"/>
  <c r="G64" i="62" s="1"/>
  <c r="B64" i="62"/>
  <c r="E68" i="66"/>
  <c r="F68" i="66" s="1"/>
  <c r="E61" i="87"/>
  <c r="F61" i="87" s="1"/>
  <c r="E62" i="33"/>
  <c r="F62" i="33" s="1"/>
  <c r="H62" i="33" s="1"/>
  <c r="B60" i="13"/>
  <c r="F60" i="13"/>
  <c r="H60" i="13" s="1"/>
  <c r="G149" i="31"/>
  <c r="D150" i="31"/>
  <c r="G145" i="46"/>
  <c r="D146" i="46"/>
  <c r="B146" i="46" s="1"/>
  <c r="D141" i="88"/>
  <c r="E141" i="88" s="1"/>
  <c r="G140" i="88"/>
  <c r="G143" i="68"/>
  <c r="D144" i="68"/>
  <c r="B144" i="68" s="1"/>
  <c r="H141" i="81"/>
  <c r="I141" i="81"/>
  <c r="B141" i="91"/>
  <c r="F141" i="91"/>
  <c r="G143" i="66"/>
  <c r="D144" i="66"/>
  <c r="H148" i="22"/>
  <c r="I148" i="22"/>
  <c r="J144" i="59"/>
  <c r="G146" i="74"/>
  <c r="D147" i="74"/>
  <c r="D145" i="63"/>
  <c r="B145" i="63" s="1"/>
  <c r="G144" i="63"/>
  <c r="I148" i="20"/>
  <c r="H148" i="20"/>
  <c r="D148" i="45"/>
  <c r="G147" i="45"/>
  <c r="D143" i="79"/>
  <c r="E143" i="79" s="1"/>
  <c r="G142" i="79"/>
  <c r="D152" i="30"/>
  <c r="G151" i="30"/>
  <c r="J144" i="72"/>
  <c r="I140" i="89"/>
  <c r="H140" i="89"/>
  <c r="J142" i="68"/>
  <c r="D151" i="69"/>
  <c r="B151" i="69" s="1"/>
  <c r="G150" i="69"/>
  <c r="G150" i="71"/>
  <c r="D151" i="71"/>
  <c r="E149" i="22"/>
  <c r="F149" i="22" s="1"/>
  <c r="B149" i="22"/>
  <c r="H148" i="19"/>
  <c r="I148" i="19"/>
  <c r="G150" i="29"/>
  <c r="D151" i="29"/>
  <c r="B151" i="29" s="1"/>
  <c r="G145" i="72"/>
  <c r="D146" i="72"/>
  <c r="B146" i="72" s="1"/>
  <c r="G140" i="86"/>
  <c r="D141" i="86"/>
  <c r="E141" i="86" s="1"/>
  <c r="G142" i="78"/>
  <c r="D143" i="78"/>
  <c r="B143" i="78" s="1"/>
  <c r="B149" i="20"/>
  <c r="E149" i="20"/>
  <c r="F149" i="20" s="1"/>
  <c r="F142" i="81"/>
  <c r="B142" i="81"/>
  <c r="I144" i="62"/>
  <c r="H144" i="62"/>
  <c r="D142" i="85"/>
  <c r="E142" i="85" s="1"/>
  <c r="G141" i="85"/>
  <c r="F141" i="89"/>
  <c r="B141" i="89"/>
  <c r="J141" i="79"/>
  <c r="B148" i="73"/>
  <c r="F148" i="73"/>
  <c r="D145" i="60"/>
  <c r="G144" i="60"/>
  <c r="J143" i="61"/>
  <c r="E150" i="32"/>
  <c r="F150" i="32" s="1"/>
  <c r="B150" i="32"/>
  <c r="G140" i="84"/>
  <c r="D141" i="84"/>
  <c r="E141" i="84" s="1"/>
  <c r="H144" i="64"/>
  <c r="I144" i="64"/>
  <c r="I147" i="39"/>
  <c r="H147" i="39"/>
  <c r="H145" i="53"/>
  <c r="I145" i="53"/>
  <c r="D145" i="61"/>
  <c r="B145" i="61" s="1"/>
  <c r="G144" i="61"/>
  <c r="D146" i="58"/>
  <c r="G145" i="58"/>
  <c r="G150" i="70"/>
  <c r="D151" i="70"/>
  <c r="B151" i="70" s="1"/>
  <c r="D141" i="92"/>
  <c r="E141" i="92" s="1"/>
  <c r="G140" i="92"/>
  <c r="E149" i="19"/>
  <c r="F149" i="19" s="1"/>
  <c r="B149" i="19"/>
  <c r="J143" i="60"/>
  <c r="G140" i="90"/>
  <c r="D141" i="90"/>
  <c r="E141" i="90" s="1"/>
  <c r="J141" i="78"/>
  <c r="J143" i="64"/>
  <c r="I147" i="73"/>
  <c r="H147" i="73"/>
  <c r="J150" i="30"/>
  <c r="J142" i="66"/>
  <c r="I149" i="32"/>
  <c r="H149" i="32"/>
  <c r="J143" i="65"/>
  <c r="I140" i="91"/>
  <c r="H140" i="91"/>
  <c r="D145" i="65"/>
  <c r="G144" i="65"/>
  <c r="E146" i="53"/>
  <c r="F146" i="53" s="1"/>
  <c r="B146" i="53"/>
  <c r="G145" i="59"/>
  <c r="D146" i="59"/>
  <c r="B146" i="59" s="1"/>
  <c r="J148" i="18"/>
  <c r="H146" i="56"/>
  <c r="I146" i="56"/>
  <c r="G150" i="23"/>
  <c r="D151" i="23"/>
  <c r="J149" i="23"/>
  <c r="D150" i="18"/>
  <c r="G149" i="18"/>
  <c r="E147" i="56"/>
  <c r="F147" i="56" s="1"/>
  <c r="B147" i="56"/>
  <c r="G146" i="57"/>
  <c r="D147" i="57"/>
  <c r="B147" i="57" s="1"/>
  <c r="J148" i="34"/>
  <c r="J147" i="3"/>
  <c r="J145" i="57"/>
  <c r="G143" i="67"/>
  <c r="D144" i="67"/>
  <c r="E144" i="67" s="1"/>
  <c r="H142" i="75"/>
  <c r="I142" i="75"/>
  <c r="H147" i="42"/>
  <c r="I147" i="42"/>
  <c r="B142" i="83"/>
  <c r="F142" i="83"/>
  <c r="B140" i="13"/>
  <c r="F140" i="13"/>
  <c r="B146" i="54"/>
  <c r="F146" i="54"/>
  <c r="H142" i="77"/>
  <c r="I142" i="77"/>
  <c r="B150" i="24"/>
  <c r="I148" i="21"/>
  <c r="H148" i="21"/>
  <c r="F141" i="93"/>
  <c r="B141" i="93"/>
  <c r="G151" i="28"/>
  <c r="D152" i="28"/>
  <c r="E152" i="28" s="1"/>
  <c r="B143" i="75"/>
  <c r="F143" i="75"/>
  <c r="F148" i="42"/>
  <c r="B148" i="42"/>
  <c r="J148" i="17"/>
  <c r="G141" i="95"/>
  <c r="D142" i="95"/>
  <c r="E142" i="95" s="1"/>
  <c r="I141" i="80"/>
  <c r="H141" i="80"/>
  <c r="D148" i="44"/>
  <c r="E148" i="44" s="1"/>
  <c r="G147" i="44"/>
  <c r="B143" i="76"/>
  <c r="F143" i="76"/>
  <c r="E150" i="24"/>
  <c r="F150" i="24" s="1"/>
  <c r="D150" i="17"/>
  <c r="E150" i="17" s="1"/>
  <c r="G149" i="17"/>
  <c r="I140" i="93"/>
  <c r="H140" i="93"/>
  <c r="H139" i="33"/>
  <c r="I139" i="33"/>
  <c r="F146" i="55"/>
  <c r="B146" i="55"/>
  <c r="G148" i="3"/>
  <c r="D149" i="3"/>
  <c r="E149" i="3" s="1"/>
  <c r="D141" i="87"/>
  <c r="E141" i="87" s="1"/>
  <c r="G140" i="87"/>
  <c r="F141" i="25"/>
  <c r="B141" i="25"/>
  <c r="H139" i="13"/>
  <c r="I139" i="13"/>
  <c r="J146" i="44"/>
  <c r="H145" i="54"/>
  <c r="I145" i="54"/>
  <c r="F143" i="77"/>
  <c r="B143" i="77"/>
  <c r="I142" i="76"/>
  <c r="H142" i="76"/>
  <c r="H149" i="24"/>
  <c r="I149" i="24"/>
  <c r="B140" i="33"/>
  <c r="F140" i="33"/>
  <c r="G149" i="34"/>
  <c r="D150" i="34"/>
  <c r="D141" i="96"/>
  <c r="E141" i="96" s="1"/>
  <c r="G140" i="96"/>
  <c r="H141" i="83"/>
  <c r="I141" i="83"/>
  <c r="D142" i="82"/>
  <c r="E142" i="82" s="1"/>
  <c r="G141" i="82"/>
  <c r="I140" i="25"/>
  <c r="H140" i="25"/>
  <c r="D142" i="94"/>
  <c r="E142" i="94" s="1"/>
  <c r="G141" i="94"/>
  <c r="F142" i="80"/>
  <c r="B142" i="80"/>
  <c r="B149" i="21"/>
  <c r="F149" i="21"/>
  <c r="H145" i="55"/>
  <c r="I145" i="55"/>
  <c r="H61" i="93" l="1"/>
  <c r="G61" i="93"/>
  <c r="D63" i="98"/>
  <c r="B63" i="98" s="1"/>
  <c r="H62" i="98"/>
  <c r="G62" i="98"/>
  <c r="E67" i="67"/>
  <c r="F67" i="67" s="1"/>
  <c r="B67" i="67"/>
  <c r="J140" i="26"/>
  <c r="D142" i="26"/>
  <c r="G141" i="26"/>
  <c r="I70" i="72"/>
  <c r="D141" i="99"/>
  <c r="E141" i="99" s="1"/>
  <c r="G140" i="99"/>
  <c r="I61" i="93"/>
  <c r="I70" i="74"/>
  <c r="E71" i="72"/>
  <c r="F71" i="72" s="1"/>
  <c r="D72" i="72" s="1"/>
  <c r="E72" i="72" s="1"/>
  <c r="E73" i="72" s="1"/>
  <c r="F68" i="53"/>
  <c r="H68" i="53" s="1"/>
  <c r="I67" i="53"/>
  <c r="G67" i="45"/>
  <c r="I67" i="45" s="1"/>
  <c r="F72" i="24"/>
  <c r="H72" i="24" s="1"/>
  <c r="H73" i="24" s="1"/>
  <c r="H140" i="97"/>
  <c r="I140" i="97"/>
  <c r="B141" i="97"/>
  <c r="H140" i="98"/>
  <c r="I140" i="98"/>
  <c r="E141" i="97"/>
  <c r="F141" i="97" s="1"/>
  <c r="E141" i="98"/>
  <c r="F141" i="98" s="1"/>
  <c r="B141" i="98"/>
  <c r="E145" i="64"/>
  <c r="F145" i="64" s="1"/>
  <c r="G145" i="62"/>
  <c r="I145" i="62" s="1"/>
  <c r="I65" i="75"/>
  <c r="G63" i="80"/>
  <c r="I63" i="80" s="1"/>
  <c r="E67" i="65"/>
  <c r="F67" i="65" s="1"/>
  <c r="G66" i="65"/>
  <c r="H70" i="46"/>
  <c r="G70" i="46"/>
  <c r="D71" i="46"/>
  <c r="H66" i="65"/>
  <c r="I62" i="78"/>
  <c r="D62" i="94"/>
  <c r="D66" i="82"/>
  <c r="E66" i="82" s="1"/>
  <c r="F66" i="82" s="1"/>
  <c r="G61" i="94"/>
  <c r="I61" i="94" s="1"/>
  <c r="H65" i="82"/>
  <c r="I65" i="82" s="1"/>
  <c r="D64" i="80"/>
  <c r="E64" i="80" s="1"/>
  <c r="F64" i="80" s="1"/>
  <c r="I70" i="27"/>
  <c r="I65" i="61"/>
  <c r="E71" i="27"/>
  <c r="F71" i="27" s="1"/>
  <c r="B71" i="27"/>
  <c r="B66" i="61"/>
  <c r="F66" i="61"/>
  <c r="H66" i="61" s="1"/>
  <c r="H63" i="84"/>
  <c r="D64" i="84"/>
  <c r="D63" i="91"/>
  <c r="B63" i="91" s="1"/>
  <c r="G62" i="91"/>
  <c r="H62" i="91"/>
  <c r="G70" i="34"/>
  <c r="D71" i="34"/>
  <c r="H70" i="34"/>
  <c r="H71" i="42"/>
  <c r="D72" i="42"/>
  <c r="G71" i="42"/>
  <c r="F72" i="22"/>
  <c r="I63" i="76"/>
  <c r="G63" i="90"/>
  <c r="I68" i="55"/>
  <c r="H63" i="90"/>
  <c r="B63" i="84"/>
  <c r="G63" i="84"/>
  <c r="F69" i="55"/>
  <c r="H69" i="55" s="1"/>
  <c r="B69" i="55"/>
  <c r="F72" i="17"/>
  <c r="G72" i="17" s="1"/>
  <c r="G73" i="17" s="1"/>
  <c r="I61" i="83"/>
  <c r="E64" i="90"/>
  <c r="F64" i="90" s="1"/>
  <c r="G64" i="90" s="1"/>
  <c r="B64" i="90"/>
  <c r="F62" i="93"/>
  <c r="G62" i="93" s="1"/>
  <c r="B62" i="93"/>
  <c r="B66" i="75"/>
  <c r="F66" i="75"/>
  <c r="H66" i="75" s="1"/>
  <c r="H60" i="95"/>
  <c r="D61" i="95"/>
  <c r="E61" i="95" s="1"/>
  <c r="G60" i="95"/>
  <c r="H63" i="85"/>
  <c r="D64" i="85"/>
  <c r="E64" i="85" s="1"/>
  <c r="G63" i="85"/>
  <c r="B69" i="39"/>
  <c r="I71" i="17"/>
  <c r="I71" i="22"/>
  <c r="E61" i="96"/>
  <c r="F61" i="96" s="1"/>
  <c r="B61" i="96"/>
  <c r="E69" i="39"/>
  <c r="F69" i="39" s="1"/>
  <c r="D70" i="39" s="1"/>
  <c r="F62" i="81"/>
  <c r="D63" i="81" s="1"/>
  <c r="B62" i="81"/>
  <c r="D66" i="86"/>
  <c r="H65" i="86"/>
  <c r="G65" i="86"/>
  <c r="E70" i="58"/>
  <c r="F70" i="58" s="1"/>
  <c r="B70" i="58"/>
  <c r="B64" i="76"/>
  <c r="I60" i="96"/>
  <c r="E64" i="76"/>
  <c r="F64" i="76" s="1"/>
  <c r="I65" i="64"/>
  <c r="E68" i="68"/>
  <c r="F68" i="68" s="1"/>
  <c r="H68" i="68" s="1"/>
  <c r="I66" i="63"/>
  <c r="H64" i="77"/>
  <c r="I70" i="19"/>
  <c r="D71" i="43"/>
  <c r="E71" i="43" s="1"/>
  <c r="I72" i="30"/>
  <c r="I73" i="30" s="1"/>
  <c r="B67" i="57"/>
  <c r="F67" i="57"/>
  <c r="F71" i="74"/>
  <c r="B71" i="74"/>
  <c r="I69" i="21"/>
  <c r="I60" i="89"/>
  <c r="B67" i="68"/>
  <c r="G67" i="68"/>
  <c r="H67" i="68"/>
  <c r="F61" i="92"/>
  <c r="B61" i="92"/>
  <c r="B63" i="79"/>
  <c r="F63" i="79"/>
  <c r="D64" i="79" s="1"/>
  <c r="B62" i="83"/>
  <c r="F62" i="83"/>
  <c r="G62" i="83" s="1"/>
  <c r="D71" i="41"/>
  <c r="E69" i="60"/>
  <c r="F69" i="60" s="1"/>
  <c r="B69" i="60"/>
  <c r="H70" i="41"/>
  <c r="I62" i="79"/>
  <c r="G72" i="70"/>
  <c r="G73" i="70" s="1"/>
  <c r="H72" i="70"/>
  <c r="I66" i="54"/>
  <c r="B67" i="54"/>
  <c r="B67" i="63"/>
  <c r="F67" i="63"/>
  <c r="D71" i="21"/>
  <c r="E71" i="21" s="1"/>
  <c r="E61" i="89"/>
  <c r="F61" i="89" s="1"/>
  <c r="B61" i="89"/>
  <c r="B66" i="64"/>
  <c r="E65" i="77"/>
  <c r="F65" i="77" s="1"/>
  <c r="B65" i="77"/>
  <c r="G67" i="56"/>
  <c r="I67" i="56" s="1"/>
  <c r="D68" i="56"/>
  <c r="B71" i="19"/>
  <c r="D64" i="88"/>
  <c r="E64" i="88" s="1"/>
  <c r="F64" i="88" s="1"/>
  <c r="G64" i="77"/>
  <c r="B68" i="60"/>
  <c r="H68" i="60"/>
  <c r="G68" i="60"/>
  <c r="G70" i="41"/>
  <c r="G70" i="43"/>
  <c r="I70" i="43" s="1"/>
  <c r="D68" i="45"/>
  <c r="E68" i="45" s="1"/>
  <c r="F63" i="78"/>
  <c r="G63" i="78" s="1"/>
  <c r="B63" i="78"/>
  <c r="F70" i="44"/>
  <c r="H70" i="44" s="1"/>
  <c r="B70" i="44"/>
  <c r="G63" i="88"/>
  <c r="I63" i="88" s="1"/>
  <c r="E67" i="54"/>
  <c r="F67" i="54" s="1"/>
  <c r="E71" i="19"/>
  <c r="F71" i="19" s="1"/>
  <c r="B70" i="21"/>
  <c r="H70" i="21"/>
  <c r="G70" i="21"/>
  <c r="I66" i="68"/>
  <c r="E66" i="64"/>
  <c r="F66" i="64" s="1"/>
  <c r="E151" i="70"/>
  <c r="F151" i="70" s="1"/>
  <c r="D152" i="70" s="1"/>
  <c r="E146" i="72"/>
  <c r="F146" i="72" s="1"/>
  <c r="G146" i="72" s="1"/>
  <c r="E143" i="78"/>
  <c r="F143" i="78" s="1"/>
  <c r="E151" i="69"/>
  <c r="F151" i="69" s="1"/>
  <c r="E144" i="68"/>
  <c r="F144" i="68" s="1"/>
  <c r="D152" i="27"/>
  <c r="G151" i="27"/>
  <c r="J150" i="27"/>
  <c r="J145" i="54"/>
  <c r="J145" i="53"/>
  <c r="J144" i="64"/>
  <c r="J148" i="22"/>
  <c r="J139" i="33"/>
  <c r="J144" i="62"/>
  <c r="J149" i="24"/>
  <c r="G148" i="39"/>
  <c r="D149" i="39"/>
  <c r="E146" i="62"/>
  <c r="F146" i="62" s="1"/>
  <c r="D147" i="62" s="1"/>
  <c r="B147" i="62" s="1"/>
  <c r="D62" i="87"/>
  <c r="E62" i="87" s="1"/>
  <c r="H61" i="87"/>
  <c r="G61" i="87"/>
  <c r="H71" i="72"/>
  <c r="G68" i="68"/>
  <c r="D69" i="66"/>
  <c r="E69" i="66" s="1"/>
  <c r="G68" i="66"/>
  <c r="H68" i="66"/>
  <c r="D68" i="65"/>
  <c r="G67" i="65"/>
  <c r="H67" i="65"/>
  <c r="J146" i="56"/>
  <c r="E145" i="63"/>
  <c r="F145" i="63" s="1"/>
  <c r="D146" i="63" s="1"/>
  <c r="D61" i="13"/>
  <c r="D65" i="62"/>
  <c r="E65" i="62" s="1"/>
  <c r="D149" i="43"/>
  <c r="G148" i="43"/>
  <c r="B65" i="59"/>
  <c r="F65" i="59"/>
  <c r="H65" i="59" s="1"/>
  <c r="D63" i="33"/>
  <c r="I72" i="23"/>
  <c r="I73" i="23" s="1"/>
  <c r="H73" i="23"/>
  <c r="D62" i="26"/>
  <c r="E62" i="26" s="1"/>
  <c r="B70" i="18"/>
  <c r="F70" i="18"/>
  <c r="D63" i="25"/>
  <c r="H64" i="62"/>
  <c r="I64" i="62" s="1"/>
  <c r="D69" i="20"/>
  <c r="E69" i="20" s="1"/>
  <c r="B149" i="41"/>
  <c r="E149" i="41"/>
  <c r="F149" i="41" s="1"/>
  <c r="G60" i="13"/>
  <c r="I60" i="13" s="1"/>
  <c r="G62" i="33"/>
  <c r="I62" i="33" s="1"/>
  <c r="G61" i="26"/>
  <c r="I61" i="26" s="1"/>
  <c r="G68" i="20"/>
  <c r="I68" i="20" s="1"/>
  <c r="H148" i="41"/>
  <c r="I148" i="41"/>
  <c r="B69" i="73"/>
  <c r="F69" i="73"/>
  <c r="G69" i="73" s="1"/>
  <c r="G62" i="25"/>
  <c r="I62" i="25" s="1"/>
  <c r="J147" i="43"/>
  <c r="G149" i="19"/>
  <c r="D150" i="19"/>
  <c r="D150" i="22"/>
  <c r="B150" i="22" s="1"/>
  <c r="G149" i="22"/>
  <c r="G150" i="32"/>
  <c r="D151" i="32"/>
  <c r="B141" i="84"/>
  <c r="F141" i="84"/>
  <c r="I147" i="45"/>
  <c r="H147" i="45"/>
  <c r="I146" i="74"/>
  <c r="H146" i="74"/>
  <c r="J149" i="32"/>
  <c r="J147" i="73"/>
  <c r="F141" i="90"/>
  <c r="B141" i="90"/>
  <c r="I145" i="58"/>
  <c r="H145" i="58"/>
  <c r="J147" i="39"/>
  <c r="H140" i="84"/>
  <c r="I140" i="84"/>
  <c r="D149" i="73"/>
  <c r="B149" i="73" s="1"/>
  <c r="G148" i="73"/>
  <c r="D142" i="89"/>
  <c r="E142" i="89" s="1"/>
  <c r="G141" i="89"/>
  <c r="F141" i="86"/>
  <c r="B141" i="86"/>
  <c r="I150" i="71"/>
  <c r="H150" i="71"/>
  <c r="H151" i="30"/>
  <c r="I151" i="30"/>
  <c r="H142" i="79"/>
  <c r="I142" i="79"/>
  <c r="B148" i="45"/>
  <c r="E148" i="45"/>
  <c r="F148" i="45" s="1"/>
  <c r="I144" i="63"/>
  <c r="H144" i="63"/>
  <c r="H143" i="66"/>
  <c r="I143" i="66"/>
  <c r="H145" i="62"/>
  <c r="I140" i="88"/>
  <c r="H140" i="88"/>
  <c r="I145" i="46"/>
  <c r="H145" i="46"/>
  <c r="G146" i="53"/>
  <c r="D147" i="53"/>
  <c r="B141" i="92"/>
  <c r="F141" i="92"/>
  <c r="I150" i="70"/>
  <c r="H150" i="70"/>
  <c r="H144" i="61"/>
  <c r="I144" i="61"/>
  <c r="D150" i="20"/>
  <c r="G149" i="20"/>
  <c r="H142" i="78"/>
  <c r="I142" i="78"/>
  <c r="E144" i="66"/>
  <c r="F144" i="66" s="1"/>
  <c r="B144" i="66"/>
  <c r="I140" i="90"/>
  <c r="H140" i="90"/>
  <c r="E146" i="58"/>
  <c r="F146" i="58" s="1"/>
  <c r="B146" i="58"/>
  <c r="I141" i="85"/>
  <c r="H141" i="85"/>
  <c r="I140" i="86"/>
  <c r="H140" i="86"/>
  <c r="I145" i="72"/>
  <c r="H145" i="72"/>
  <c r="H150" i="29"/>
  <c r="I150" i="29"/>
  <c r="E152" i="30"/>
  <c r="F152" i="30" s="1"/>
  <c r="B152" i="30"/>
  <c r="D142" i="91"/>
  <c r="E142" i="91" s="1"/>
  <c r="G141" i="91"/>
  <c r="F141" i="88"/>
  <c r="B141" i="88"/>
  <c r="E150" i="31"/>
  <c r="F150" i="31" s="1"/>
  <c r="B150" i="31"/>
  <c r="E145" i="65"/>
  <c r="F145" i="65" s="1"/>
  <c r="B145" i="65"/>
  <c r="E145" i="60"/>
  <c r="F145" i="60" s="1"/>
  <c r="B145" i="60"/>
  <c r="E151" i="71"/>
  <c r="F151" i="71" s="1"/>
  <c r="B151" i="71"/>
  <c r="J148" i="21"/>
  <c r="H144" i="65"/>
  <c r="I144" i="65"/>
  <c r="H140" i="92"/>
  <c r="I140" i="92"/>
  <c r="E145" i="61"/>
  <c r="F145" i="61" s="1"/>
  <c r="H144" i="60"/>
  <c r="I144" i="60"/>
  <c r="F142" i="85"/>
  <c r="B142" i="85"/>
  <c r="D143" i="81"/>
  <c r="B143" i="81" s="1"/>
  <c r="G142" i="81"/>
  <c r="E151" i="29"/>
  <c r="F151" i="29" s="1"/>
  <c r="J148" i="19"/>
  <c r="H150" i="69"/>
  <c r="I150" i="69"/>
  <c r="B143" i="79"/>
  <c r="F143" i="79"/>
  <c r="J148" i="20"/>
  <c r="E147" i="74"/>
  <c r="F147" i="74" s="1"/>
  <c r="B147" i="74"/>
  <c r="I143" i="68"/>
  <c r="H143" i="68"/>
  <c r="E146" i="46"/>
  <c r="F146" i="46" s="1"/>
  <c r="I149" i="31"/>
  <c r="H149" i="31"/>
  <c r="J142" i="75"/>
  <c r="E151" i="23"/>
  <c r="F151" i="23" s="1"/>
  <c r="B151" i="23"/>
  <c r="I149" i="18"/>
  <c r="H149" i="18"/>
  <c r="I150" i="23"/>
  <c r="H150" i="23"/>
  <c r="E146" i="59"/>
  <c r="F146" i="59" s="1"/>
  <c r="D148" i="56"/>
  <c r="G147" i="56"/>
  <c r="E150" i="18"/>
  <c r="F150" i="18" s="1"/>
  <c r="B150" i="18"/>
  <c r="H145" i="59"/>
  <c r="I145" i="59"/>
  <c r="E147" i="57"/>
  <c r="F147" i="57" s="1"/>
  <c r="J140" i="25"/>
  <c r="H146" i="57"/>
  <c r="I146" i="57"/>
  <c r="G150" i="24"/>
  <c r="D151" i="24"/>
  <c r="E151" i="24" s="1"/>
  <c r="J145" i="55"/>
  <c r="G149" i="21"/>
  <c r="D150" i="21"/>
  <c r="E150" i="21" s="1"/>
  <c r="H141" i="82"/>
  <c r="I141" i="82"/>
  <c r="H149" i="34"/>
  <c r="I149" i="34"/>
  <c r="J142" i="76"/>
  <c r="G141" i="25"/>
  <c r="D142" i="25"/>
  <c r="E142" i="25" s="1"/>
  <c r="H147" i="44"/>
  <c r="I147" i="44"/>
  <c r="B152" i="28"/>
  <c r="F152" i="28"/>
  <c r="D141" i="13"/>
  <c r="E141" i="13" s="1"/>
  <c r="G140" i="13"/>
  <c r="D143" i="83"/>
  <c r="E143" i="83" s="1"/>
  <c r="G142" i="83"/>
  <c r="B142" i="94"/>
  <c r="F142" i="94"/>
  <c r="F142" i="82"/>
  <c r="B142" i="82"/>
  <c r="B141" i="96"/>
  <c r="F141" i="96"/>
  <c r="F149" i="3"/>
  <c r="B149" i="3"/>
  <c r="I149" i="17"/>
  <c r="H149" i="17"/>
  <c r="D144" i="76"/>
  <c r="E144" i="76" s="1"/>
  <c r="G143" i="76"/>
  <c r="B148" i="44"/>
  <c r="F148" i="44"/>
  <c r="F142" i="95"/>
  <c r="B142" i="95"/>
  <c r="G148" i="42"/>
  <c r="D149" i="42"/>
  <c r="E149" i="42" s="1"/>
  <c r="D144" i="75"/>
  <c r="E144" i="75" s="1"/>
  <c r="G143" i="75"/>
  <c r="I151" i="28"/>
  <c r="H151" i="28"/>
  <c r="J142" i="77"/>
  <c r="G142" i="80"/>
  <c r="D143" i="80"/>
  <c r="E143" i="80" s="1"/>
  <c r="B150" i="34"/>
  <c r="G143" i="77"/>
  <c r="D144" i="77"/>
  <c r="I140" i="87"/>
  <c r="H140" i="87"/>
  <c r="I148" i="3"/>
  <c r="H148" i="3"/>
  <c r="G146" i="55"/>
  <c r="D147" i="55"/>
  <c r="E147" i="55" s="1"/>
  <c r="I141" i="95"/>
  <c r="H141" i="95"/>
  <c r="J147" i="42"/>
  <c r="F144" i="67"/>
  <c r="B144" i="67"/>
  <c r="H141" i="94"/>
  <c r="I141" i="94"/>
  <c r="I140" i="96"/>
  <c r="H140" i="96"/>
  <c r="E150" i="34"/>
  <c r="F150" i="34" s="1"/>
  <c r="G140" i="33"/>
  <c r="D141" i="33"/>
  <c r="E141" i="33" s="1"/>
  <c r="B141" i="87"/>
  <c r="F141" i="87"/>
  <c r="B150" i="17"/>
  <c r="F150" i="17"/>
  <c r="D142" i="93"/>
  <c r="E142" i="93" s="1"/>
  <c r="G141" i="93"/>
  <c r="G146" i="54"/>
  <c r="D147" i="54"/>
  <c r="I143" i="67"/>
  <c r="H143" i="67"/>
  <c r="H72" i="17" l="1"/>
  <c r="E63" i="98"/>
  <c r="F63" i="98" s="1"/>
  <c r="I62" i="98"/>
  <c r="H67" i="67"/>
  <c r="D68" i="67"/>
  <c r="B68" i="67" s="1"/>
  <c r="D69" i="68"/>
  <c r="E68" i="67"/>
  <c r="F68" i="67" s="1"/>
  <c r="G68" i="67" s="1"/>
  <c r="G67" i="67"/>
  <c r="I67" i="67" s="1"/>
  <c r="H141" i="26"/>
  <c r="I141" i="26"/>
  <c r="J141" i="26" s="1"/>
  <c r="B142" i="26"/>
  <c r="E142" i="26"/>
  <c r="F142" i="26" s="1"/>
  <c r="G72" i="24"/>
  <c r="G73" i="24" s="1"/>
  <c r="D147" i="72"/>
  <c r="B147" i="72" s="1"/>
  <c r="G71" i="72"/>
  <c r="G68" i="53"/>
  <c r="I68" i="53" s="1"/>
  <c r="D69" i="53"/>
  <c r="E69" i="53" s="1"/>
  <c r="I72" i="24"/>
  <c r="I73" i="24" s="1"/>
  <c r="H140" i="99"/>
  <c r="I140" i="99"/>
  <c r="B141" i="99"/>
  <c r="F141" i="99"/>
  <c r="I63" i="84"/>
  <c r="I66" i="65"/>
  <c r="G65" i="59"/>
  <c r="G141" i="98"/>
  <c r="D142" i="98"/>
  <c r="D142" i="97"/>
  <c r="G141" i="97"/>
  <c r="G145" i="63"/>
  <c r="G146" i="62"/>
  <c r="G145" i="64"/>
  <c r="D146" i="64"/>
  <c r="G151" i="70"/>
  <c r="H151" i="70" s="1"/>
  <c r="I60" i="95"/>
  <c r="I65" i="86"/>
  <c r="H63" i="78"/>
  <c r="I63" i="78" s="1"/>
  <c r="B71" i="46"/>
  <c r="E71" i="46"/>
  <c r="F71" i="46" s="1"/>
  <c r="I70" i="46"/>
  <c r="G70" i="44"/>
  <c r="I70" i="44" s="1"/>
  <c r="I71" i="42"/>
  <c r="D67" i="82"/>
  <c r="E67" i="82" s="1"/>
  <c r="F67" i="82" s="1"/>
  <c r="D68" i="82" s="1"/>
  <c r="B68" i="82" s="1"/>
  <c r="G71" i="27"/>
  <c r="D72" i="27"/>
  <c r="H71" i="27"/>
  <c r="D65" i="80"/>
  <c r="E65" i="80" s="1"/>
  <c r="B62" i="94"/>
  <c r="G66" i="61"/>
  <c r="I66" i="61" s="1"/>
  <c r="D67" i="61"/>
  <c r="B64" i="80"/>
  <c r="G64" i="80"/>
  <c r="H64" i="80"/>
  <c r="B66" i="82"/>
  <c r="H66" i="82"/>
  <c r="G66" i="82"/>
  <c r="E63" i="91"/>
  <c r="F63" i="91" s="1"/>
  <c r="E62" i="94"/>
  <c r="F62" i="94" s="1"/>
  <c r="H62" i="94" s="1"/>
  <c r="G69" i="39"/>
  <c r="G69" i="55"/>
  <c r="I69" i="55" s="1"/>
  <c r="D70" i="55"/>
  <c r="E71" i="34"/>
  <c r="F71" i="34" s="1"/>
  <c r="B71" i="34"/>
  <c r="H69" i="39"/>
  <c r="D67" i="75"/>
  <c r="E72" i="42"/>
  <c r="E73" i="42" s="1"/>
  <c r="B72" i="42"/>
  <c r="D63" i="93"/>
  <c r="E63" i="93" s="1"/>
  <c r="F63" i="93" s="1"/>
  <c r="D65" i="90"/>
  <c r="E64" i="84"/>
  <c r="F64" i="84" s="1"/>
  <c r="B64" i="84"/>
  <c r="I63" i="85"/>
  <c r="G66" i="75"/>
  <c r="I66" i="75" s="1"/>
  <c r="H62" i="93"/>
  <c r="I62" i="93" s="1"/>
  <c r="H64" i="90"/>
  <c r="I64" i="90" s="1"/>
  <c r="I63" i="90"/>
  <c r="H72" i="22"/>
  <c r="G72" i="22"/>
  <c r="G73" i="22" s="1"/>
  <c r="I70" i="34"/>
  <c r="I62" i="91"/>
  <c r="H70" i="58"/>
  <c r="D71" i="58"/>
  <c r="G70" i="58"/>
  <c r="D62" i="96"/>
  <c r="E62" i="96" s="1"/>
  <c r="H61" i="96"/>
  <c r="G61" i="96"/>
  <c r="H64" i="76"/>
  <c r="D65" i="76"/>
  <c r="G64" i="76"/>
  <c r="I68" i="60"/>
  <c r="B66" i="86"/>
  <c r="E66" i="86"/>
  <c r="F66" i="86" s="1"/>
  <c r="G62" i="81"/>
  <c r="H63" i="79"/>
  <c r="E70" i="39"/>
  <c r="F70" i="39" s="1"/>
  <c r="G70" i="39" s="1"/>
  <c r="B70" i="39"/>
  <c r="H62" i="81"/>
  <c r="I62" i="81" s="1"/>
  <c r="E63" i="81"/>
  <c r="F63" i="81" s="1"/>
  <c r="B63" i="81"/>
  <c r="B64" i="85"/>
  <c r="F64" i="85"/>
  <c r="G64" i="85" s="1"/>
  <c r="F61" i="95"/>
  <c r="G61" i="95" s="1"/>
  <c r="B61" i="95"/>
  <c r="D72" i="19"/>
  <c r="E72" i="19" s="1"/>
  <c r="E73" i="19" s="1"/>
  <c r="G71" i="19"/>
  <c r="H71" i="19"/>
  <c r="G61" i="89"/>
  <c r="D62" i="89"/>
  <c r="H61" i="89"/>
  <c r="D66" i="77"/>
  <c r="E66" i="77" s="1"/>
  <c r="H65" i="77"/>
  <c r="G65" i="77"/>
  <c r="D65" i="88"/>
  <c r="D67" i="64"/>
  <c r="E67" i="64" s="1"/>
  <c r="F67" i="64" s="1"/>
  <c r="H66" i="64"/>
  <c r="G66" i="64"/>
  <c r="B71" i="41"/>
  <c r="D62" i="92"/>
  <c r="E62" i="92" s="1"/>
  <c r="F62" i="92" s="1"/>
  <c r="D63" i="92" s="1"/>
  <c r="D68" i="57"/>
  <c r="I72" i="17"/>
  <c r="I73" i="17" s="1"/>
  <c r="H73" i="17"/>
  <c r="E64" i="79"/>
  <c r="F64" i="79" s="1"/>
  <c r="B64" i="79"/>
  <c r="D68" i="54"/>
  <c r="E68" i="54" s="1"/>
  <c r="G71" i="74"/>
  <c r="D72" i="74"/>
  <c r="E72" i="74" s="1"/>
  <c r="E73" i="74" s="1"/>
  <c r="B68" i="56"/>
  <c r="H67" i="54"/>
  <c r="I70" i="41"/>
  <c r="D70" i="60"/>
  <c r="E70" i="60" s="1"/>
  <c r="F70" i="60" s="1"/>
  <c r="H71" i="74"/>
  <c r="F71" i="43"/>
  <c r="D72" i="43" s="1"/>
  <c r="B71" i="43"/>
  <c r="I65" i="59"/>
  <c r="D71" i="44"/>
  <c r="E71" i="44" s="1"/>
  <c r="F68" i="45"/>
  <c r="H68" i="45" s="1"/>
  <c r="B68" i="45"/>
  <c r="E68" i="56"/>
  <c r="F68" i="56" s="1"/>
  <c r="F71" i="21"/>
  <c r="D72" i="21" s="1"/>
  <c r="B71" i="21"/>
  <c r="I72" i="70"/>
  <c r="I73" i="70" s="1"/>
  <c r="H73" i="70"/>
  <c r="H69" i="60"/>
  <c r="H61" i="92"/>
  <c r="I67" i="68"/>
  <c r="H67" i="57"/>
  <c r="I64" i="77"/>
  <c r="I70" i="21"/>
  <c r="D64" i="78"/>
  <c r="E64" i="78" s="1"/>
  <c r="B64" i="88"/>
  <c r="H64" i="88"/>
  <c r="G64" i="88"/>
  <c r="D68" i="63"/>
  <c r="E68" i="63" s="1"/>
  <c r="H67" i="63"/>
  <c r="G67" i="63"/>
  <c r="G67" i="54"/>
  <c r="G69" i="60"/>
  <c r="E71" i="41"/>
  <c r="F71" i="41" s="1"/>
  <c r="D72" i="41" s="1"/>
  <c r="H62" i="83"/>
  <c r="I62" i="83" s="1"/>
  <c r="D63" i="83"/>
  <c r="G63" i="79"/>
  <c r="G61" i="92"/>
  <c r="G67" i="57"/>
  <c r="G143" i="78"/>
  <c r="I143" i="78" s="1"/>
  <c r="D144" i="78"/>
  <c r="B144" i="78" s="1"/>
  <c r="J143" i="66"/>
  <c r="E143" i="81"/>
  <c r="F143" i="81" s="1"/>
  <c r="E152" i="27"/>
  <c r="F152" i="27" s="1"/>
  <c r="B152" i="27"/>
  <c r="J151" i="30"/>
  <c r="I151" i="27"/>
  <c r="H151" i="27"/>
  <c r="J143" i="68"/>
  <c r="J149" i="31"/>
  <c r="J144" i="65"/>
  <c r="J150" i="29"/>
  <c r="J142" i="78"/>
  <c r="J144" i="61"/>
  <c r="B149" i="39"/>
  <c r="E149" i="39"/>
  <c r="F149" i="39" s="1"/>
  <c r="J148" i="41"/>
  <c r="I148" i="39"/>
  <c r="H148" i="39"/>
  <c r="J144" i="63"/>
  <c r="J150" i="71"/>
  <c r="J150" i="70"/>
  <c r="J145" i="58"/>
  <c r="G149" i="41"/>
  <c r="D150" i="41"/>
  <c r="D71" i="18"/>
  <c r="E71" i="18" s="1"/>
  <c r="B63" i="33"/>
  <c r="B61" i="13"/>
  <c r="B68" i="65"/>
  <c r="B69" i="68"/>
  <c r="I71" i="72"/>
  <c r="E149" i="73"/>
  <c r="F149" i="73" s="1"/>
  <c r="D150" i="73" s="1"/>
  <c r="E150" i="73" s="1"/>
  <c r="H69" i="73"/>
  <c r="I69" i="73" s="1"/>
  <c r="B63" i="25"/>
  <c r="H70" i="18"/>
  <c r="I148" i="43"/>
  <c r="H148" i="43"/>
  <c r="F65" i="62"/>
  <c r="G65" i="62" s="1"/>
  <c r="B65" i="62"/>
  <c r="E61" i="13"/>
  <c r="F61" i="13" s="1"/>
  <c r="G61" i="13" s="1"/>
  <c r="I67" i="65"/>
  <c r="I68" i="66"/>
  <c r="I68" i="68"/>
  <c r="I61" i="87"/>
  <c r="J145" i="72"/>
  <c r="E147" i="72"/>
  <c r="F147" i="72" s="1"/>
  <c r="G147" i="72" s="1"/>
  <c r="F69" i="20"/>
  <c r="H69" i="20" s="1"/>
  <c r="B69" i="20"/>
  <c r="E63" i="25"/>
  <c r="F63" i="25" s="1"/>
  <c r="D66" i="59"/>
  <c r="E149" i="43"/>
  <c r="F149" i="43" s="1"/>
  <c r="B149" i="43"/>
  <c r="D70" i="73"/>
  <c r="G70" i="18"/>
  <c r="B62" i="26"/>
  <c r="F62" i="26"/>
  <c r="H62" i="26" s="1"/>
  <c r="B69" i="53"/>
  <c r="F69" i="53"/>
  <c r="H69" i="53" s="1"/>
  <c r="E63" i="33"/>
  <c r="F63" i="33" s="1"/>
  <c r="E68" i="65"/>
  <c r="F68" i="65" s="1"/>
  <c r="B69" i="66"/>
  <c r="F69" i="66"/>
  <c r="E69" i="68"/>
  <c r="F69" i="68" s="1"/>
  <c r="F72" i="72"/>
  <c r="H72" i="72" s="1"/>
  <c r="B72" i="72"/>
  <c r="F62" i="87"/>
  <c r="B62" i="87"/>
  <c r="D145" i="66"/>
  <c r="G144" i="66"/>
  <c r="D146" i="65"/>
  <c r="B146" i="65" s="1"/>
  <c r="G145" i="65"/>
  <c r="G143" i="79"/>
  <c r="D144" i="79"/>
  <c r="E144" i="79" s="1"/>
  <c r="D152" i="71"/>
  <c r="G151" i="71"/>
  <c r="E152" i="70"/>
  <c r="F152" i="70" s="1"/>
  <c r="B152" i="70"/>
  <c r="I146" i="53"/>
  <c r="H146" i="53"/>
  <c r="J150" i="23"/>
  <c r="J149" i="18"/>
  <c r="G146" i="46"/>
  <c r="D147" i="46"/>
  <c r="B147" i="46" s="1"/>
  <c r="G147" i="74"/>
  <c r="D148" i="74"/>
  <c r="G151" i="29"/>
  <c r="D152" i="29"/>
  <c r="B152" i="29" s="1"/>
  <c r="G145" i="61"/>
  <c r="D146" i="61"/>
  <c r="B146" i="61" s="1"/>
  <c r="G150" i="31"/>
  <c r="D151" i="31"/>
  <c r="G141" i="88"/>
  <c r="D142" i="88"/>
  <c r="E142" i="88" s="1"/>
  <c r="D153" i="30"/>
  <c r="G152" i="30"/>
  <c r="H143" i="78"/>
  <c r="G141" i="92"/>
  <c r="D142" i="92"/>
  <c r="E142" i="92" s="1"/>
  <c r="D145" i="68"/>
  <c r="E145" i="68" s="1"/>
  <c r="G144" i="68"/>
  <c r="D142" i="86"/>
  <c r="E142" i="86" s="1"/>
  <c r="G141" i="86"/>
  <c r="I150" i="32"/>
  <c r="H150" i="32"/>
  <c r="B150" i="19"/>
  <c r="D146" i="60"/>
  <c r="G145" i="60"/>
  <c r="D147" i="58"/>
  <c r="B147" i="58" s="1"/>
  <c r="G146" i="58"/>
  <c r="I146" i="62"/>
  <c r="H146" i="62"/>
  <c r="G148" i="45"/>
  <c r="D149" i="45"/>
  <c r="B149" i="45" s="1"/>
  <c r="H145" i="63"/>
  <c r="I145" i="63"/>
  <c r="E151" i="32"/>
  <c r="F151" i="32" s="1"/>
  <c r="B151" i="32"/>
  <c r="J145" i="59"/>
  <c r="J150" i="69"/>
  <c r="G142" i="85"/>
  <c r="D143" i="85"/>
  <c r="B143" i="85" s="1"/>
  <c r="I141" i="91"/>
  <c r="H141" i="91"/>
  <c r="I149" i="20"/>
  <c r="H149" i="20"/>
  <c r="J145" i="46"/>
  <c r="J145" i="62"/>
  <c r="J142" i="79"/>
  <c r="H141" i="89"/>
  <c r="I141" i="89"/>
  <c r="H148" i="73"/>
  <c r="I148" i="73"/>
  <c r="D142" i="90"/>
  <c r="E142" i="90" s="1"/>
  <c r="G141" i="90"/>
  <c r="J146" i="74"/>
  <c r="J147" i="45"/>
  <c r="E150" i="22"/>
  <c r="F150" i="22" s="1"/>
  <c r="H149" i="19"/>
  <c r="I149" i="19"/>
  <c r="F142" i="91"/>
  <c r="B142" i="91"/>
  <c r="D152" i="69"/>
  <c r="B152" i="69" s="1"/>
  <c r="G151" i="69"/>
  <c r="B150" i="20"/>
  <c r="F142" i="89"/>
  <c r="B142" i="89"/>
  <c r="I142" i="81"/>
  <c r="H142" i="81"/>
  <c r="J144" i="60"/>
  <c r="I151" i="70"/>
  <c r="H146" i="72"/>
  <c r="I146" i="72"/>
  <c r="E150" i="20"/>
  <c r="F150" i="20" s="1"/>
  <c r="E147" i="53"/>
  <c r="F147" i="53" s="1"/>
  <c r="B147" i="53"/>
  <c r="E146" i="63"/>
  <c r="F146" i="63" s="1"/>
  <c r="B146" i="63"/>
  <c r="D142" i="84"/>
  <c r="E142" i="84" s="1"/>
  <c r="G141" i="84"/>
  <c r="E147" i="62"/>
  <c r="F147" i="62" s="1"/>
  <c r="H149" i="22"/>
  <c r="I149" i="22"/>
  <c r="E150" i="19"/>
  <c r="F150" i="19" s="1"/>
  <c r="G151" i="23"/>
  <c r="D152" i="23"/>
  <c r="G150" i="18"/>
  <c r="D151" i="18"/>
  <c r="B151" i="18" s="1"/>
  <c r="B148" i="56"/>
  <c r="D147" i="59"/>
  <c r="E147" i="59" s="1"/>
  <c r="G146" i="59"/>
  <c r="J143" i="67"/>
  <c r="H147" i="56"/>
  <c r="I147" i="56"/>
  <c r="E148" i="56"/>
  <c r="F148" i="56" s="1"/>
  <c r="J147" i="44"/>
  <c r="J146" i="57"/>
  <c r="G147" i="57"/>
  <c r="D148" i="57"/>
  <c r="J151" i="28"/>
  <c r="J149" i="17"/>
  <c r="J149" i="34"/>
  <c r="G150" i="34"/>
  <c r="D151" i="34"/>
  <c r="E151" i="34" s="1"/>
  <c r="D151" i="17"/>
  <c r="E151" i="17" s="1"/>
  <c r="G150" i="17"/>
  <c r="I146" i="55"/>
  <c r="H146" i="55"/>
  <c r="B144" i="77"/>
  <c r="I142" i="80"/>
  <c r="H142" i="80"/>
  <c r="H143" i="75"/>
  <c r="I143" i="75"/>
  <c r="H148" i="42"/>
  <c r="I148" i="42"/>
  <c r="G148" i="44"/>
  <c r="D149" i="44"/>
  <c r="B144" i="76"/>
  <c r="F144" i="76"/>
  <c r="D150" i="3"/>
  <c r="E150" i="3" s="1"/>
  <c r="G149" i="3"/>
  <c r="F142" i="25"/>
  <c r="B142" i="25"/>
  <c r="B147" i="54"/>
  <c r="I146" i="54"/>
  <c r="H146" i="54"/>
  <c r="I141" i="93"/>
  <c r="H141" i="93"/>
  <c r="F141" i="33"/>
  <c r="B141" i="33"/>
  <c r="E144" i="77"/>
  <c r="F144" i="77" s="1"/>
  <c r="H142" i="83"/>
  <c r="I142" i="83"/>
  <c r="H141" i="25"/>
  <c r="I141" i="25"/>
  <c r="B150" i="21"/>
  <c r="F150" i="21"/>
  <c r="E147" i="54"/>
  <c r="F147" i="54" s="1"/>
  <c r="D142" i="87"/>
  <c r="E142" i="87" s="1"/>
  <c r="G141" i="87"/>
  <c r="H140" i="33"/>
  <c r="I140" i="33"/>
  <c r="D145" i="67"/>
  <c r="G144" i="67"/>
  <c r="I143" i="77"/>
  <c r="H143" i="77"/>
  <c r="B144" i="75"/>
  <c r="F144" i="75"/>
  <c r="G142" i="82"/>
  <c r="D143" i="82"/>
  <c r="E143" i="82" s="1"/>
  <c r="G142" i="94"/>
  <c r="D143" i="94"/>
  <c r="I140" i="13"/>
  <c r="H140" i="13"/>
  <c r="F151" i="24"/>
  <c r="B151" i="24"/>
  <c r="B142" i="93"/>
  <c r="F142" i="93"/>
  <c r="B147" i="55"/>
  <c r="F147" i="55"/>
  <c r="J148" i="3"/>
  <c r="B143" i="80"/>
  <c r="F143" i="80"/>
  <c r="B149" i="42"/>
  <c r="F149" i="42"/>
  <c r="G142" i="95"/>
  <c r="D143" i="95"/>
  <c r="E143" i="95" s="1"/>
  <c r="H143" i="76"/>
  <c r="I143" i="76"/>
  <c r="G141" i="96"/>
  <c r="D142" i="96"/>
  <c r="E142" i="96" s="1"/>
  <c r="B143" i="83"/>
  <c r="F143" i="83"/>
  <c r="B141" i="13"/>
  <c r="F141" i="13"/>
  <c r="G152" i="28"/>
  <c r="D153" i="28"/>
  <c r="I149" i="21"/>
  <c r="H149" i="21"/>
  <c r="H150" i="24"/>
  <c r="I150" i="24"/>
  <c r="H68" i="67" l="1"/>
  <c r="D64" i="98"/>
  <c r="G63" i="98"/>
  <c r="D69" i="67"/>
  <c r="E69" i="67" s="1"/>
  <c r="F69" i="67" s="1"/>
  <c r="H63" i="98"/>
  <c r="G142" i="26"/>
  <c r="D143" i="26"/>
  <c r="I69" i="39"/>
  <c r="G141" i="99"/>
  <c r="D142" i="99"/>
  <c r="I63" i="79"/>
  <c r="D148" i="72"/>
  <c r="B148" i="72" s="1"/>
  <c r="H141" i="97"/>
  <c r="I141" i="97"/>
  <c r="B142" i="97"/>
  <c r="E142" i="98"/>
  <c r="F142" i="98" s="1"/>
  <c r="B142" i="98"/>
  <c r="E142" i="97"/>
  <c r="F142" i="97" s="1"/>
  <c r="H141" i="98"/>
  <c r="I141" i="98"/>
  <c r="G149" i="73"/>
  <c r="I149" i="73" s="1"/>
  <c r="E146" i="64"/>
  <c r="F146" i="64" s="1"/>
  <c r="B146" i="64"/>
  <c r="I145" i="64"/>
  <c r="H145" i="64"/>
  <c r="E152" i="29"/>
  <c r="F152" i="29" s="1"/>
  <c r="D153" i="29" s="1"/>
  <c r="B153" i="29" s="1"/>
  <c r="H64" i="85"/>
  <c r="I66" i="82"/>
  <c r="E68" i="82"/>
  <c r="F68" i="82" s="1"/>
  <c r="H68" i="82" s="1"/>
  <c r="D72" i="46"/>
  <c r="G71" i="46"/>
  <c r="H71" i="46"/>
  <c r="H63" i="91"/>
  <c r="D64" i="91"/>
  <c r="G63" i="91"/>
  <c r="E72" i="27"/>
  <c r="E73" i="27" s="1"/>
  <c r="B72" i="27"/>
  <c r="I61" i="96"/>
  <c r="I70" i="58"/>
  <c r="F72" i="42"/>
  <c r="H72" i="42" s="1"/>
  <c r="H73" i="42" s="1"/>
  <c r="I64" i="80"/>
  <c r="G62" i="94"/>
  <c r="I62" i="94" s="1"/>
  <c r="B65" i="80"/>
  <c r="F65" i="80"/>
  <c r="D63" i="94"/>
  <c r="E63" i="94" s="1"/>
  <c r="E67" i="61"/>
  <c r="F67" i="61" s="1"/>
  <c r="B67" i="61"/>
  <c r="I71" i="27"/>
  <c r="B67" i="82"/>
  <c r="G67" i="82"/>
  <c r="H67" i="82"/>
  <c r="H64" i="84"/>
  <c r="D65" i="84"/>
  <c r="G64" i="84"/>
  <c r="G71" i="34"/>
  <c r="D72" i="34"/>
  <c r="H71" i="34"/>
  <c r="G68" i="45"/>
  <c r="I68" i="45" s="1"/>
  <c r="B65" i="90"/>
  <c r="B67" i="75"/>
  <c r="D64" i="93"/>
  <c r="E64" i="93" s="1"/>
  <c r="E70" i="55"/>
  <c r="F70" i="55" s="1"/>
  <c r="B70" i="55"/>
  <c r="I64" i="85"/>
  <c r="I64" i="76"/>
  <c r="H73" i="22"/>
  <c r="I72" i="22"/>
  <c r="I73" i="22" s="1"/>
  <c r="B63" i="93"/>
  <c r="G63" i="93"/>
  <c r="H63" i="93"/>
  <c r="G62" i="26"/>
  <c r="I62" i="26" s="1"/>
  <c r="E65" i="90"/>
  <c r="F65" i="90" s="1"/>
  <c r="E67" i="75"/>
  <c r="F67" i="75" s="1"/>
  <c r="G63" i="81"/>
  <c r="D64" i="81"/>
  <c r="H63" i="81"/>
  <c r="G72" i="72"/>
  <c r="G73" i="72" s="1"/>
  <c r="G71" i="21"/>
  <c r="H71" i="41"/>
  <c r="D62" i="95"/>
  <c r="E62" i="95" s="1"/>
  <c r="D67" i="86"/>
  <c r="G66" i="86"/>
  <c r="H66" i="86"/>
  <c r="B65" i="76"/>
  <c r="E71" i="58"/>
  <c r="F71" i="58" s="1"/>
  <c r="B71" i="58"/>
  <c r="G69" i="53"/>
  <c r="I69" i="53" s="1"/>
  <c r="I69" i="60"/>
  <c r="H70" i="39"/>
  <c r="I70" i="39" s="1"/>
  <c r="D71" i="39"/>
  <c r="E71" i="39" s="1"/>
  <c r="E65" i="76"/>
  <c r="F65" i="76" s="1"/>
  <c r="B62" i="96"/>
  <c r="F62" i="96"/>
  <c r="H62" i="96" s="1"/>
  <c r="H61" i="95"/>
  <c r="I61" i="95" s="1"/>
  <c r="D65" i="85"/>
  <c r="E65" i="85" s="1"/>
  <c r="F65" i="85" s="1"/>
  <c r="D66" i="85" s="1"/>
  <c r="I65" i="77"/>
  <c r="I66" i="64"/>
  <c r="I64" i="88"/>
  <c r="I67" i="57"/>
  <c r="D69" i="56"/>
  <c r="E69" i="56" s="1"/>
  <c r="F69" i="56" s="1"/>
  <c r="D70" i="56" s="1"/>
  <c r="H68" i="56"/>
  <c r="G68" i="56"/>
  <c r="E63" i="92"/>
  <c r="F63" i="92" s="1"/>
  <c r="H63" i="92" s="1"/>
  <c r="B63" i="92"/>
  <c r="D68" i="64"/>
  <c r="E68" i="64" s="1"/>
  <c r="F68" i="64" s="1"/>
  <c r="D65" i="79"/>
  <c r="E65" i="79" s="1"/>
  <c r="G64" i="79"/>
  <c r="H64" i="79"/>
  <c r="E63" i="83"/>
  <c r="F63" i="83" s="1"/>
  <c r="G63" i="83" s="1"/>
  <c r="B63" i="83"/>
  <c r="B68" i="57"/>
  <c r="B65" i="88"/>
  <c r="I71" i="19"/>
  <c r="H65" i="62"/>
  <c r="I65" i="62" s="1"/>
  <c r="F64" i="78"/>
  <c r="D65" i="78" s="1"/>
  <c r="B64" i="78"/>
  <c r="B71" i="44"/>
  <c r="F71" i="44"/>
  <c r="H71" i="44" s="1"/>
  <c r="G71" i="43"/>
  <c r="B70" i="60"/>
  <c r="G70" i="60"/>
  <c r="H70" i="60"/>
  <c r="I68" i="67"/>
  <c r="I61" i="89"/>
  <c r="E72" i="41"/>
  <c r="E73" i="41" s="1"/>
  <c r="B72" i="41"/>
  <c r="I61" i="92"/>
  <c r="E72" i="21"/>
  <c r="E73" i="21" s="1"/>
  <c r="B72" i="21"/>
  <c r="E72" i="43"/>
  <c r="E73" i="43" s="1"/>
  <c r="B72" i="43"/>
  <c r="B62" i="92"/>
  <c r="G62" i="92"/>
  <c r="H62" i="92"/>
  <c r="B67" i="64"/>
  <c r="G67" i="64"/>
  <c r="H67" i="64"/>
  <c r="E62" i="89"/>
  <c r="F62" i="89" s="1"/>
  <c r="H62" i="89" s="1"/>
  <c r="B62" i="89"/>
  <c r="F68" i="63"/>
  <c r="B68" i="63"/>
  <c r="D71" i="60"/>
  <c r="E71" i="60" s="1"/>
  <c r="I67" i="63"/>
  <c r="H71" i="21"/>
  <c r="D69" i="45"/>
  <c r="H71" i="43"/>
  <c r="I71" i="74"/>
  <c r="I67" i="54"/>
  <c r="B72" i="74"/>
  <c r="F72" i="74"/>
  <c r="G72" i="74" s="1"/>
  <c r="G73" i="74" s="1"/>
  <c r="F68" i="54"/>
  <c r="G68" i="54" s="1"/>
  <c r="B68" i="54"/>
  <c r="E68" i="57"/>
  <c r="F68" i="57" s="1"/>
  <c r="G71" i="41"/>
  <c r="E65" i="88"/>
  <c r="F65" i="88" s="1"/>
  <c r="B66" i="77"/>
  <c r="F66" i="77"/>
  <c r="H66" i="77" s="1"/>
  <c r="F72" i="19"/>
  <c r="G72" i="19" s="1"/>
  <c r="G73" i="19" s="1"/>
  <c r="B72" i="19"/>
  <c r="E144" i="78"/>
  <c r="F144" i="78" s="1"/>
  <c r="G144" i="78" s="1"/>
  <c r="E143" i="85"/>
  <c r="F143" i="85" s="1"/>
  <c r="J151" i="27"/>
  <c r="D153" i="27"/>
  <c r="G152" i="27"/>
  <c r="J148" i="43"/>
  <c r="J149" i="20"/>
  <c r="E149" i="45"/>
  <c r="F149" i="45" s="1"/>
  <c r="D150" i="45" s="1"/>
  <c r="B150" i="45" s="1"/>
  <c r="J145" i="63"/>
  <c r="J143" i="78"/>
  <c r="D150" i="39"/>
  <c r="G149" i="39"/>
  <c r="J148" i="39"/>
  <c r="D69" i="65"/>
  <c r="H68" i="65"/>
  <c r="G68" i="65"/>
  <c r="D64" i="33"/>
  <c r="G63" i="33"/>
  <c r="H63" i="33"/>
  <c r="D64" i="25"/>
  <c r="E64" i="25" s="1"/>
  <c r="H63" i="25"/>
  <c r="G63" i="25"/>
  <c r="D70" i="68"/>
  <c r="E70" i="68" s="1"/>
  <c r="G69" i="68"/>
  <c r="H69" i="68"/>
  <c r="D63" i="87"/>
  <c r="E63" i="87" s="1"/>
  <c r="I72" i="72"/>
  <c r="I73" i="72" s="1"/>
  <c r="H73" i="72"/>
  <c r="D70" i="66"/>
  <c r="E70" i="66" s="1"/>
  <c r="B70" i="73"/>
  <c r="G149" i="43"/>
  <c r="D150" i="43"/>
  <c r="B66" i="59"/>
  <c r="G69" i="20"/>
  <c r="I69" i="20" s="1"/>
  <c r="I70" i="18"/>
  <c r="H61" i="13"/>
  <c r="I61" i="13" s="1"/>
  <c r="E150" i="41"/>
  <c r="F150" i="41" s="1"/>
  <c r="B150" i="41"/>
  <c r="J146" i="72"/>
  <c r="G62" i="87"/>
  <c r="G69" i="66"/>
  <c r="D70" i="53"/>
  <c r="E70" i="53" s="1"/>
  <c r="D63" i="26"/>
  <c r="E63" i="26" s="1"/>
  <c r="E70" i="73"/>
  <c r="F70" i="73" s="1"/>
  <c r="D66" i="62"/>
  <c r="H149" i="41"/>
  <c r="I149" i="41"/>
  <c r="H62" i="87"/>
  <c r="H69" i="66"/>
  <c r="E66" i="59"/>
  <c r="F66" i="59" s="1"/>
  <c r="D70" i="20"/>
  <c r="E70" i="20" s="1"/>
  <c r="D62" i="13"/>
  <c r="F71" i="18"/>
  <c r="H71" i="18" s="1"/>
  <c r="B71" i="18"/>
  <c r="D151" i="19"/>
  <c r="G150" i="19"/>
  <c r="G146" i="63"/>
  <c r="D147" i="63"/>
  <c r="D151" i="20"/>
  <c r="E151" i="20" s="1"/>
  <c r="G150" i="20"/>
  <c r="G152" i="70"/>
  <c r="D153" i="70"/>
  <c r="J151" i="70"/>
  <c r="G142" i="89"/>
  <c r="D143" i="89"/>
  <c r="E143" i="89" s="1"/>
  <c r="H151" i="69"/>
  <c r="I151" i="69"/>
  <c r="J149" i="19"/>
  <c r="G143" i="81"/>
  <c r="D144" i="81"/>
  <c r="J146" i="62"/>
  <c r="I145" i="60"/>
  <c r="H145" i="60"/>
  <c r="H144" i="68"/>
  <c r="I144" i="68"/>
  <c r="I141" i="92"/>
  <c r="H141" i="92"/>
  <c r="B142" i="88"/>
  <c r="F142" i="88"/>
  <c r="H150" i="31"/>
  <c r="I150" i="31"/>
  <c r="B144" i="79"/>
  <c r="F144" i="79"/>
  <c r="I145" i="65"/>
  <c r="H145" i="65"/>
  <c r="J149" i="22"/>
  <c r="I141" i="84"/>
  <c r="H141" i="84"/>
  <c r="F142" i="90"/>
  <c r="B142" i="90"/>
  <c r="D152" i="32"/>
  <c r="G151" i="32"/>
  <c r="E147" i="58"/>
  <c r="F147" i="58" s="1"/>
  <c r="E146" i="60"/>
  <c r="F146" i="60" s="1"/>
  <c r="B146" i="60"/>
  <c r="J150" i="32"/>
  <c r="H141" i="86"/>
  <c r="I141" i="86"/>
  <c r="F145" i="68"/>
  <c r="B145" i="68"/>
  <c r="E146" i="61"/>
  <c r="F146" i="61" s="1"/>
  <c r="I151" i="29"/>
  <c r="H151" i="29"/>
  <c r="E147" i="46"/>
  <c r="F147" i="46" s="1"/>
  <c r="I143" i="79"/>
  <c r="H143" i="79"/>
  <c r="F142" i="84"/>
  <c r="B142" i="84"/>
  <c r="G150" i="22"/>
  <c r="D151" i="22"/>
  <c r="B151" i="22" s="1"/>
  <c r="J148" i="73"/>
  <c r="I148" i="45"/>
  <c r="H148" i="45"/>
  <c r="H146" i="58"/>
  <c r="I146" i="58"/>
  <c r="B142" i="86"/>
  <c r="F142" i="86"/>
  <c r="F142" i="92"/>
  <c r="B142" i="92"/>
  <c r="H152" i="30"/>
  <c r="I152" i="30"/>
  <c r="I141" i="88"/>
  <c r="H141" i="88"/>
  <c r="E148" i="74"/>
  <c r="F148" i="74" s="1"/>
  <c r="B148" i="74"/>
  <c r="I146" i="46"/>
  <c r="H146" i="46"/>
  <c r="J146" i="53"/>
  <c r="H151" i="71"/>
  <c r="I151" i="71"/>
  <c r="I144" i="66"/>
  <c r="H144" i="66"/>
  <c r="G147" i="62"/>
  <c r="D148" i="62"/>
  <c r="G147" i="53"/>
  <c r="D148" i="53"/>
  <c r="E152" i="69"/>
  <c r="F152" i="69" s="1"/>
  <c r="G142" i="91"/>
  <c r="D143" i="91"/>
  <c r="H141" i="90"/>
  <c r="I141" i="90"/>
  <c r="H142" i="85"/>
  <c r="I142" i="85"/>
  <c r="F150" i="73"/>
  <c r="B150" i="73"/>
  <c r="I147" i="72"/>
  <c r="H147" i="72"/>
  <c r="E153" i="30"/>
  <c r="F153" i="30" s="1"/>
  <c r="B153" i="30"/>
  <c r="E151" i="31"/>
  <c r="F151" i="31" s="1"/>
  <c r="B151" i="31"/>
  <c r="H145" i="61"/>
  <c r="I145" i="61"/>
  <c r="H147" i="74"/>
  <c r="I147" i="74"/>
  <c r="E152" i="71"/>
  <c r="F152" i="71" s="1"/>
  <c r="B152" i="71"/>
  <c r="E146" i="65"/>
  <c r="F146" i="65" s="1"/>
  <c r="E145" i="66"/>
  <c r="F145" i="66" s="1"/>
  <c r="B145" i="66"/>
  <c r="G148" i="56"/>
  <c r="D149" i="56"/>
  <c r="J147" i="56"/>
  <c r="I150" i="18"/>
  <c r="H150" i="18"/>
  <c r="B147" i="59"/>
  <c r="F147" i="59"/>
  <c r="B152" i="23"/>
  <c r="J143" i="77"/>
  <c r="J148" i="42"/>
  <c r="E151" i="18"/>
  <c r="F151" i="18" s="1"/>
  <c r="H151" i="23"/>
  <c r="I151" i="23"/>
  <c r="J150" i="24"/>
  <c r="I146" i="59"/>
  <c r="H146" i="59"/>
  <c r="E152" i="23"/>
  <c r="F152" i="23" s="1"/>
  <c r="I147" i="57"/>
  <c r="H147" i="57"/>
  <c r="J140" i="33"/>
  <c r="J141" i="25"/>
  <c r="J143" i="75"/>
  <c r="E148" i="57"/>
  <c r="F148" i="57" s="1"/>
  <c r="B148" i="57"/>
  <c r="D148" i="54"/>
  <c r="E148" i="54" s="1"/>
  <c r="G147" i="54"/>
  <c r="G144" i="77"/>
  <c r="D145" i="77"/>
  <c r="E145" i="77" s="1"/>
  <c r="G143" i="80"/>
  <c r="D144" i="80"/>
  <c r="E144" i="80" s="1"/>
  <c r="G147" i="55"/>
  <c r="D148" i="55"/>
  <c r="E148" i="55" s="1"/>
  <c r="B143" i="94"/>
  <c r="I142" i="82"/>
  <c r="H142" i="82"/>
  <c r="G144" i="75"/>
  <c r="D145" i="75"/>
  <c r="E145" i="75" s="1"/>
  <c r="B145" i="67"/>
  <c r="D143" i="25"/>
  <c r="E143" i="25" s="1"/>
  <c r="G142" i="25"/>
  <c r="B150" i="3"/>
  <c r="F150" i="3"/>
  <c r="B149" i="44"/>
  <c r="I152" i="28"/>
  <c r="H152" i="28"/>
  <c r="H142" i="94"/>
  <c r="I142" i="94"/>
  <c r="G141" i="33"/>
  <c r="D142" i="33"/>
  <c r="E142" i="33" s="1"/>
  <c r="J146" i="54"/>
  <c r="G144" i="76"/>
  <c r="D145" i="76"/>
  <c r="E145" i="76" s="1"/>
  <c r="H148" i="44"/>
  <c r="I148" i="44"/>
  <c r="J146" i="55"/>
  <c r="I150" i="17"/>
  <c r="H150" i="17"/>
  <c r="B153" i="28"/>
  <c r="G149" i="42"/>
  <c r="D150" i="42"/>
  <c r="E150" i="42" s="1"/>
  <c r="F142" i="96"/>
  <c r="B142" i="96"/>
  <c r="J149" i="21"/>
  <c r="D142" i="13"/>
  <c r="E142" i="13" s="1"/>
  <c r="G141" i="13"/>
  <c r="H141" i="96"/>
  <c r="I141" i="96"/>
  <c r="B143" i="95"/>
  <c r="F143" i="95"/>
  <c r="D143" i="93"/>
  <c r="E143" i="93" s="1"/>
  <c r="G142" i="93"/>
  <c r="G151" i="24"/>
  <c r="D152" i="24"/>
  <c r="E152" i="24" s="1"/>
  <c r="E145" i="67"/>
  <c r="F145" i="67" s="1"/>
  <c r="I141" i="87"/>
  <c r="H141" i="87"/>
  <c r="G150" i="21"/>
  <c r="D151" i="21"/>
  <c r="E151" i="21" s="1"/>
  <c r="B151" i="17"/>
  <c r="F151" i="17"/>
  <c r="B151" i="34"/>
  <c r="F151" i="34"/>
  <c r="G143" i="83"/>
  <c r="D144" i="83"/>
  <c r="E144" i="83" s="1"/>
  <c r="E153" i="28"/>
  <c r="F153" i="28" s="1"/>
  <c r="J143" i="76"/>
  <c r="I142" i="95"/>
  <c r="H142" i="95"/>
  <c r="E143" i="94"/>
  <c r="F143" i="94" s="1"/>
  <c r="F143" i="82"/>
  <c r="B143" i="82"/>
  <c r="H144" i="67"/>
  <c r="I144" i="67"/>
  <c r="B142" i="87"/>
  <c r="F142" i="87"/>
  <c r="I149" i="3"/>
  <c r="H149" i="3"/>
  <c r="E149" i="44"/>
  <c r="F149" i="44" s="1"/>
  <c r="I150" i="34"/>
  <c r="H150" i="34"/>
  <c r="G68" i="82" l="1"/>
  <c r="H149" i="73"/>
  <c r="B69" i="67"/>
  <c r="B64" i="98"/>
  <c r="E64" i="98"/>
  <c r="F64" i="98" s="1"/>
  <c r="H64" i="98"/>
  <c r="I63" i="98"/>
  <c r="E143" i="26"/>
  <c r="F143" i="26" s="1"/>
  <c r="B143" i="26"/>
  <c r="I142" i="26"/>
  <c r="H142" i="26"/>
  <c r="E148" i="72"/>
  <c r="F148" i="72" s="1"/>
  <c r="G148" i="72" s="1"/>
  <c r="G152" i="29"/>
  <c r="H152" i="29" s="1"/>
  <c r="B142" i="99"/>
  <c r="E142" i="99"/>
  <c r="F142" i="99" s="1"/>
  <c r="I141" i="99"/>
  <c r="H141" i="99"/>
  <c r="D69" i="82"/>
  <c r="E69" i="82" s="1"/>
  <c r="F69" i="82" s="1"/>
  <c r="D70" i="82" s="1"/>
  <c r="I69" i="66"/>
  <c r="I71" i="46"/>
  <c r="G71" i="44"/>
  <c r="I71" i="44" s="1"/>
  <c r="I71" i="41"/>
  <c r="F72" i="21"/>
  <c r="H72" i="21" s="1"/>
  <c r="D145" i="78"/>
  <c r="B145" i="78" s="1"/>
  <c r="I152" i="29"/>
  <c r="J152" i="29" s="1"/>
  <c r="D143" i="97"/>
  <c r="G142" i="97"/>
  <c r="D143" i="98"/>
  <c r="G142" i="98"/>
  <c r="G146" i="64"/>
  <c r="D147" i="64"/>
  <c r="E153" i="29"/>
  <c r="F153" i="29" s="1"/>
  <c r="J145" i="64"/>
  <c r="E150" i="45"/>
  <c r="F150" i="45" s="1"/>
  <c r="E72" i="46"/>
  <c r="E73" i="46" s="1"/>
  <c r="B72" i="46"/>
  <c r="G72" i="42"/>
  <c r="G73" i="42" s="1"/>
  <c r="I71" i="34"/>
  <c r="F72" i="27"/>
  <c r="G72" i="27" s="1"/>
  <c r="G73" i="27" s="1"/>
  <c r="H68" i="54"/>
  <c r="I68" i="54" s="1"/>
  <c r="H64" i="78"/>
  <c r="I63" i="93"/>
  <c r="I67" i="82"/>
  <c r="I63" i="81"/>
  <c r="H67" i="61"/>
  <c r="D68" i="61"/>
  <c r="B63" i="94"/>
  <c r="F63" i="94"/>
  <c r="D64" i="94" s="1"/>
  <c r="E64" i="91"/>
  <c r="F64" i="91" s="1"/>
  <c r="B64" i="91"/>
  <c r="G67" i="61"/>
  <c r="G65" i="80"/>
  <c r="H65" i="80"/>
  <c r="D66" i="80"/>
  <c r="I63" i="91"/>
  <c r="H70" i="55"/>
  <c r="D71" i="55"/>
  <c r="G70" i="55"/>
  <c r="H65" i="90"/>
  <c r="D66" i="90"/>
  <c r="E66" i="90" s="1"/>
  <c r="F66" i="90" s="1"/>
  <c r="G65" i="90"/>
  <c r="I66" i="86"/>
  <c r="D68" i="75"/>
  <c r="E68" i="75" s="1"/>
  <c r="F68" i="75" s="1"/>
  <c r="D69" i="75" s="1"/>
  <c r="F64" i="93"/>
  <c r="H64" i="93" s="1"/>
  <c r="B64" i="93"/>
  <c r="H72" i="19"/>
  <c r="H73" i="19" s="1"/>
  <c r="H67" i="75"/>
  <c r="E65" i="84"/>
  <c r="F65" i="84" s="1"/>
  <c r="D66" i="84" s="1"/>
  <c r="B65" i="84"/>
  <c r="I70" i="60"/>
  <c r="I64" i="79"/>
  <c r="G67" i="75"/>
  <c r="E72" i="34"/>
  <c r="E73" i="34" s="1"/>
  <c r="B72" i="34"/>
  <c r="I64" i="84"/>
  <c r="D66" i="76"/>
  <c r="E66" i="76" s="1"/>
  <c r="F66" i="76" s="1"/>
  <c r="G65" i="76"/>
  <c r="H65" i="76"/>
  <c r="G71" i="58"/>
  <c r="H71" i="58"/>
  <c r="D72" i="58"/>
  <c r="E72" i="58" s="1"/>
  <c r="E73" i="58" s="1"/>
  <c r="E66" i="85"/>
  <c r="F66" i="85" s="1"/>
  <c r="D67" i="85" s="1"/>
  <c r="B66" i="85"/>
  <c r="E67" i="86"/>
  <c r="F67" i="86" s="1"/>
  <c r="B67" i="86"/>
  <c r="F72" i="43"/>
  <c r="G62" i="96"/>
  <c r="I62" i="96" s="1"/>
  <c r="D63" i="96"/>
  <c r="I68" i="82"/>
  <c r="E64" i="81"/>
  <c r="F64" i="81" s="1"/>
  <c r="G64" i="81" s="1"/>
  <c r="B64" i="81"/>
  <c r="B65" i="85"/>
  <c r="H65" i="85"/>
  <c r="G65" i="85"/>
  <c r="B71" i="39"/>
  <c r="F71" i="39"/>
  <c r="G71" i="39" s="1"/>
  <c r="B62" i="95"/>
  <c r="F62" i="95"/>
  <c r="H62" i="95" s="1"/>
  <c r="I63" i="33"/>
  <c r="D69" i="64"/>
  <c r="E69" i="64" s="1"/>
  <c r="F69" i="64" s="1"/>
  <c r="D66" i="88"/>
  <c r="H65" i="88"/>
  <c r="G65" i="88"/>
  <c r="D69" i="57"/>
  <c r="H68" i="57"/>
  <c r="G68" i="57"/>
  <c r="D70" i="67"/>
  <c r="G69" i="67"/>
  <c r="H69" i="67"/>
  <c r="E70" i="56"/>
  <c r="F70" i="56" s="1"/>
  <c r="B70" i="56"/>
  <c r="I62" i="87"/>
  <c r="I71" i="21"/>
  <c r="H73" i="21"/>
  <c r="H68" i="63"/>
  <c r="D69" i="63"/>
  <c r="D63" i="89"/>
  <c r="E63" i="89" s="1"/>
  <c r="F63" i="89" s="1"/>
  <c r="D64" i="89" s="1"/>
  <c r="H63" i="83"/>
  <c r="I63" i="83" s="1"/>
  <c r="D64" i="83"/>
  <c r="E64" i="83" s="1"/>
  <c r="I68" i="56"/>
  <c r="D67" i="77"/>
  <c r="E67" i="77" s="1"/>
  <c r="F67" i="77" s="1"/>
  <c r="G66" i="77"/>
  <c r="I66" i="77" s="1"/>
  <c r="H72" i="74"/>
  <c r="I71" i="43"/>
  <c r="G62" i="89"/>
  <c r="I62" i="89" s="1"/>
  <c r="I62" i="92"/>
  <c r="F72" i="41"/>
  <c r="D72" i="44"/>
  <c r="E72" i="44" s="1"/>
  <c r="E73" i="44" s="1"/>
  <c r="G64" i="78"/>
  <c r="G68" i="63"/>
  <c r="F65" i="79"/>
  <c r="G65" i="79" s="1"/>
  <c r="B65" i="79"/>
  <c r="B69" i="45"/>
  <c r="G63" i="92"/>
  <c r="I63" i="92" s="1"/>
  <c r="D64" i="92"/>
  <c r="I69" i="68"/>
  <c r="D69" i="54"/>
  <c r="E69" i="54" s="1"/>
  <c r="F69" i="54" s="1"/>
  <c r="E69" i="45"/>
  <c r="F69" i="45" s="1"/>
  <c r="B71" i="60"/>
  <c r="F71" i="60"/>
  <c r="G71" i="60" s="1"/>
  <c r="I67" i="64"/>
  <c r="E65" i="78"/>
  <c r="F65" i="78" s="1"/>
  <c r="D66" i="78" s="1"/>
  <c r="B65" i="78"/>
  <c r="B68" i="64"/>
  <c r="H68" i="64"/>
  <c r="G68" i="64"/>
  <c r="B69" i="56"/>
  <c r="H69" i="56"/>
  <c r="G69" i="56"/>
  <c r="G149" i="45"/>
  <c r="I152" i="27"/>
  <c r="H152" i="27"/>
  <c r="E153" i="27"/>
  <c r="F153" i="27" s="1"/>
  <c r="B153" i="27"/>
  <c r="J145" i="61"/>
  <c r="J151" i="71"/>
  <c r="E151" i="22"/>
  <c r="F151" i="22" s="1"/>
  <c r="G151" i="22" s="1"/>
  <c r="H149" i="39"/>
  <c r="I149" i="39"/>
  <c r="J149" i="41"/>
  <c r="B150" i="39"/>
  <c r="E150" i="39"/>
  <c r="F150" i="39" s="1"/>
  <c r="D67" i="59"/>
  <c r="E67" i="59" s="1"/>
  <c r="G66" i="59"/>
  <c r="H66" i="59"/>
  <c r="D71" i="73"/>
  <c r="E71" i="73" s="1"/>
  <c r="G70" i="73"/>
  <c r="H70" i="73"/>
  <c r="J144" i="66"/>
  <c r="J144" i="68"/>
  <c r="B66" i="62"/>
  <c r="B64" i="33"/>
  <c r="B69" i="65"/>
  <c r="D72" i="18"/>
  <c r="E72" i="18" s="1"/>
  <c r="E73" i="18" s="1"/>
  <c r="G150" i="41"/>
  <c r="D151" i="41"/>
  <c r="E150" i="43"/>
  <c r="F150" i="43" s="1"/>
  <c r="B150" i="43"/>
  <c r="B70" i="66"/>
  <c r="F70" i="66"/>
  <c r="H70" i="66" s="1"/>
  <c r="B63" i="87"/>
  <c r="F63" i="87"/>
  <c r="H63" i="87" s="1"/>
  <c r="F70" i="68"/>
  <c r="H70" i="68" s="1"/>
  <c r="B70" i="68"/>
  <c r="B64" i="25"/>
  <c r="F64" i="25"/>
  <c r="G64" i="25" s="1"/>
  <c r="E64" i="33"/>
  <c r="F64" i="33" s="1"/>
  <c r="E69" i="65"/>
  <c r="F69" i="65" s="1"/>
  <c r="B62" i="13"/>
  <c r="B63" i="26"/>
  <c r="F63" i="26"/>
  <c r="G63" i="26" s="1"/>
  <c r="I149" i="43"/>
  <c r="H149" i="43"/>
  <c r="J143" i="79"/>
  <c r="J145" i="65"/>
  <c r="J145" i="60"/>
  <c r="G71" i="18"/>
  <c r="I71" i="18" s="1"/>
  <c r="E62" i="13"/>
  <c r="F62" i="13" s="1"/>
  <c r="B70" i="20"/>
  <c r="F70" i="20"/>
  <c r="E66" i="62"/>
  <c r="F66" i="62" s="1"/>
  <c r="F70" i="53"/>
  <c r="H70" i="53" s="1"/>
  <c r="B70" i="53"/>
  <c r="I63" i="25"/>
  <c r="I68" i="65"/>
  <c r="D153" i="71"/>
  <c r="G152" i="71"/>
  <c r="D146" i="66"/>
  <c r="G145" i="66"/>
  <c r="G148" i="74"/>
  <c r="D149" i="74"/>
  <c r="G151" i="31"/>
  <c r="D152" i="31"/>
  <c r="G153" i="30"/>
  <c r="D154" i="30"/>
  <c r="J147" i="72"/>
  <c r="I142" i="91"/>
  <c r="H142" i="91"/>
  <c r="B148" i="62"/>
  <c r="E148" i="62"/>
  <c r="F148" i="62" s="1"/>
  <c r="J146" i="46"/>
  <c r="G147" i="46"/>
  <c r="D148" i="46"/>
  <c r="B148" i="46" s="1"/>
  <c r="D144" i="85"/>
  <c r="G143" i="85"/>
  <c r="G144" i="79"/>
  <c r="D145" i="79"/>
  <c r="B145" i="79" s="1"/>
  <c r="D143" i="88"/>
  <c r="G142" i="88"/>
  <c r="B143" i="89"/>
  <c r="F143" i="89"/>
  <c r="E153" i="70"/>
  <c r="F153" i="70" s="1"/>
  <c r="B153" i="70"/>
  <c r="E147" i="63"/>
  <c r="F147" i="63" s="1"/>
  <c r="B147" i="63"/>
  <c r="D147" i="65"/>
  <c r="G146" i="65"/>
  <c r="J147" i="74"/>
  <c r="G152" i="69"/>
  <c r="D153" i="69"/>
  <c r="H147" i="62"/>
  <c r="I147" i="62"/>
  <c r="D143" i="92"/>
  <c r="E143" i="92" s="1"/>
  <c r="G142" i="92"/>
  <c r="J149" i="73"/>
  <c r="J148" i="45"/>
  <c r="H150" i="22"/>
  <c r="I150" i="22"/>
  <c r="D143" i="84"/>
  <c r="E143" i="84" s="1"/>
  <c r="G142" i="84"/>
  <c r="D148" i="58"/>
  <c r="B148" i="58" s="1"/>
  <c r="G147" i="58"/>
  <c r="E144" i="81"/>
  <c r="F144" i="81" s="1"/>
  <c r="B144" i="81"/>
  <c r="J151" i="69"/>
  <c r="H142" i="89"/>
  <c r="I142" i="89"/>
  <c r="H152" i="70"/>
  <c r="I152" i="70"/>
  <c r="I146" i="63"/>
  <c r="H146" i="63"/>
  <c r="G150" i="73"/>
  <c r="D151" i="73"/>
  <c r="E148" i="53"/>
  <c r="F148" i="53" s="1"/>
  <c r="B148" i="53"/>
  <c r="J152" i="30"/>
  <c r="D143" i="86"/>
  <c r="E143" i="86" s="1"/>
  <c r="G142" i="86"/>
  <c r="J146" i="58"/>
  <c r="H144" i="78"/>
  <c r="I144" i="78"/>
  <c r="J151" i="29"/>
  <c r="G145" i="68"/>
  <c r="D146" i="68"/>
  <c r="B146" i="68" s="1"/>
  <c r="I151" i="32"/>
  <c r="H151" i="32"/>
  <c r="G142" i="90"/>
  <c r="D143" i="90"/>
  <c r="E143" i="90" s="1"/>
  <c r="J150" i="31"/>
  <c r="H143" i="81"/>
  <c r="I143" i="81"/>
  <c r="H150" i="20"/>
  <c r="I150" i="20"/>
  <c r="H150" i="19"/>
  <c r="I150" i="19"/>
  <c r="E143" i="91"/>
  <c r="F143" i="91" s="1"/>
  <c r="B143" i="91"/>
  <c r="I147" i="53"/>
  <c r="H147" i="53"/>
  <c r="D147" i="61"/>
  <c r="G146" i="61"/>
  <c r="D147" i="60"/>
  <c r="E147" i="60" s="1"/>
  <c r="G146" i="60"/>
  <c r="E152" i="32"/>
  <c r="F152" i="32" s="1"/>
  <c r="B152" i="32"/>
  <c r="B151" i="20"/>
  <c r="F151" i="20"/>
  <c r="E151" i="19"/>
  <c r="F151" i="19" s="1"/>
  <c r="B151" i="19"/>
  <c r="D153" i="23"/>
  <c r="G152" i="23"/>
  <c r="G151" i="18"/>
  <c r="D152" i="18"/>
  <c r="E152" i="18" s="1"/>
  <c r="G147" i="59"/>
  <c r="D148" i="59"/>
  <c r="J151" i="23"/>
  <c r="J150" i="18"/>
  <c r="E149" i="56"/>
  <c r="F149" i="56" s="1"/>
  <c r="B149" i="56"/>
  <c r="J149" i="3"/>
  <c r="J146" i="59"/>
  <c r="D151" i="45"/>
  <c r="B151" i="45" s="1"/>
  <c r="G150" i="45"/>
  <c r="H148" i="56"/>
  <c r="I148" i="56"/>
  <c r="J150" i="17"/>
  <c r="G148" i="57"/>
  <c r="D149" i="57"/>
  <c r="E149" i="57" s="1"/>
  <c r="J147" i="57"/>
  <c r="J144" i="67"/>
  <c r="D144" i="94"/>
  <c r="E144" i="94" s="1"/>
  <c r="G143" i="94"/>
  <c r="G149" i="44"/>
  <c r="D150" i="44"/>
  <c r="E150" i="44" s="1"/>
  <c r="D154" i="28"/>
  <c r="E154" i="28" s="1"/>
  <c r="E155" i="28" s="1"/>
  <c r="G153" i="28"/>
  <c r="G145" i="67"/>
  <c r="D146" i="67"/>
  <c r="E146" i="67" s="1"/>
  <c r="J150" i="34"/>
  <c r="G143" i="82"/>
  <c r="D144" i="82"/>
  <c r="E144" i="82" s="1"/>
  <c r="G151" i="17"/>
  <c r="D152" i="17"/>
  <c r="E152" i="17" s="1"/>
  <c r="B151" i="21"/>
  <c r="F151" i="21"/>
  <c r="G143" i="95"/>
  <c r="D144" i="95"/>
  <c r="E144" i="95" s="1"/>
  <c r="I141" i="13"/>
  <c r="H141" i="13"/>
  <c r="B145" i="75"/>
  <c r="F145" i="75"/>
  <c r="I143" i="80"/>
  <c r="H143" i="80"/>
  <c r="B144" i="83"/>
  <c r="F144" i="83"/>
  <c r="H150" i="21"/>
  <c r="I150" i="21"/>
  <c r="F152" i="24"/>
  <c r="B152" i="24"/>
  <c r="I142" i="93"/>
  <c r="H142" i="93"/>
  <c r="G142" i="96"/>
  <c r="D143" i="96"/>
  <c r="E143" i="96" s="1"/>
  <c r="F145" i="76"/>
  <c r="B145" i="76"/>
  <c r="J152" i="28"/>
  <c r="I144" i="75"/>
  <c r="H144" i="75"/>
  <c r="D152" i="34"/>
  <c r="E152" i="34" s="1"/>
  <c r="G151" i="34"/>
  <c r="I151" i="24"/>
  <c r="H151" i="24"/>
  <c r="F142" i="13"/>
  <c r="B142" i="13"/>
  <c r="B150" i="42"/>
  <c r="F150" i="42"/>
  <c r="H144" i="76"/>
  <c r="I144" i="76"/>
  <c r="B142" i="33"/>
  <c r="F142" i="33"/>
  <c r="I142" i="25"/>
  <c r="H142" i="25"/>
  <c r="F148" i="55"/>
  <c r="B148" i="55"/>
  <c r="F145" i="77"/>
  <c r="B145" i="77"/>
  <c r="H147" i="54"/>
  <c r="I147" i="54"/>
  <c r="G142" i="87"/>
  <c r="D143" i="87"/>
  <c r="E143" i="87" s="1"/>
  <c r="H143" i="83"/>
  <c r="I143" i="83"/>
  <c r="F143" i="93"/>
  <c r="B143" i="93"/>
  <c r="I149" i="42"/>
  <c r="H149" i="42"/>
  <c r="J148" i="44"/>
  <c r="H141" i="33"/>
  <c r="I141" i="33"/>
  <c r="D151" i="3"/>
  <c r="E151" i="3" s="1"/>
  <c r="G150" i="3"/>
  <c r="B143" i="25"/>
  <c r="F143" i="25"/>
  <c r="H147" i="55"/>
  <c r="I147" i="55"/>
  <c r="B144" i="80"/>
  <c r="F144" i="80"/>
  <c r="I144" i="77"/>
  <c r="H144" i="77"/>
  <c r="F148" i="54"/>
  <c r="B148" i="54"/>
  <c r="D65" i="98" l="1"/>
  <c r="G64" i="98"/>
  <c r="I64" i="98" s="1"/>
  <c r="E145" i="78"/>
  <c r="F145" i="78" s="1"/>
  <c r="J142" i="26"/>
  <c r="G143" i="26"/>
  <c r="D144" i="26"/>
  <c r="D149" i="72"/>
  <c r="G72" i="21"/>
  <c r="G73" i="21" s="1"/>
  <c r="B69" i="82"/>
  <c r="I72" i="42"/>
  <c r="I73" i="42" s="1"/>
  <c r="H72" i="27"/>
  <c r="I72" i="27" s="1"/>
  <c r="I73" i="27" s="1"/>
  <c r="I72" i="19"/>
  <c r="I73" i="19" s="1"/>
  <c r="G142" i="99"/>
  <c r="D143" i="99"/>
  <c r="I64" i="78"/>
  <c r="F72" i="46"/>
  <c r="G72" i="46" s="1"/>
  <c r="G73" i="46" s="1"/>
  <c r="I142" i="98"/>
  <c r="H142" i="98"/>
  <c r="B143" i="98"/>
  <c r="I142" i="97"/>
  <c r="H142" i="97"/>
  <c r="E143" i="98"/>
  <c r="F143" i="98" s="1"/>
  <c r="E143" i="97"/>
  <c r="F143" i="97" s="1"/>
  <c r="B143" i="97"/>
  <c r="D154" i="29"/>
  <c r="G153" i="29"/>
  <c r="E147" i="64"/>
  <c r="F147" i="64" s="1"/>
  <c r="B147" i="64"/>
  <c r="H146" i="64"/>
  <c r="I146" i="64"/>
  <c r="D152" i="22"/>
  <c r="B152" i="22" s="1"/>
  <c r="H63" i="94"/>
  <c r="G64" i="93"/>
  <c r="I64" i="93" s="1"/>
  <c r="I65" i="80"/>
  <c r="G70" i="68"/>
  <c r="I70" i="68" s="1"/>
  <c r="I65" i="90"/>
  <c r="I70" i="55"/>
  <c r="F72" i="34"/>
  <c r="H72" i="34" s="1"/>
  <c r="G64" i="91"/>
  <c r="H64" i="91"/>
  <c r="D65" i="91"/>
  <c r="B68" i="61"/>
  <c r="G66" i="85"/>
  <c r="E64" i="94"/>
  <c r="F64" i="94" s="1"/>
  <c r="G64" i="94" s="1"/>
  <c r="B64" i="94"/>
  <c r="I67" i="61"/>
  <c r="E66" i="80"/>
  <c r="F66" i="80" s="1"/>
  <c r="D67" i="80" s="1"/>
  <c r="B66" i="80"/>
  <c r="G63" i="94"/>
  <c r="E68" i="61"/>
  <c r="F68" i="61" s="1"/>
  <c r="G68" i="61" s="1"/>
  <c r="E70" i="82"/>
  <c r="F70" i="82" s="1"/>
  <c r="B70" i="82"/>
  <c r="H65" i="84"/>
  <c r="D65" i="93"/>
  <c r="E65" i="93" s="1"/>
  <c r="F65" i="93" s="1"/>
  <c r="E66" i="84"/>
  <c r="F66" i="84" s="1"/>
  <c r="H66" i="84" s="1"/>
  <c r="B66" i="84"/>
  <c r="E69" i="75"/>
  <c r="F69" i="75" s="1"/>
  <c r="H69" i="75" s="1"/>
  <c r="B69" i="75"/>
  <c r="H66" i="90"/>
  <c r="D67" i="90"/>
  <c r="E71" i="55"/>
  <c r="F71" i="55" s="1"/>
  <c r="B71" i="55"/>
  <c r="G65" i="84"/>
  <c r="I67" i="75"/>
  <c r="B68" i="75"/>
  <c r="H68" i="75"/>
  <c r="G68" i="75"/>
  <c r="B66" i="90"/>
  <c r="G66" i="90"/>
  <c r="D67" i="76"/>
  <c r="E67" i="76" s="1"/>
  <c r="F67" i="76" s="1"/>
  <c r="D68" i="76" s="1"/>
  <c r="H63" i="26"/>
  <c r="I63" i="26" s="1"/>
  <c r="G63" i="87"/>
  <c r="I63" i="87" s="1"/>
  <c r="I69" i="67"/>
  <c r="H64" i="81"/>
  <c r="I64" i="81" s="1"/>
  <c r="D65" i="81"/>
  <c r="E65" i="81" s="1"/>
  <c r="F65" i="81" s="1"/>
  <c r="H71" i="39"/>
  <c r="E63" i="96"/>
  <c r="F63" i="96" s="1"/>
  <c r="B63" i="96"/>
  <c r="D68" i="86"/>
  <c r="G67" i="86"/>
  <c r="H67" i="86"/>
  <c r="G69" i="82"/>
  <c r="H66" i="85"/>
  <c r="I71" i="58"/>
  <c r="I65" i="85"/>
  <c r="H69" i="82"/>
  <c r="B66" i="76"/>
  <c r="H66" i="76"/>
  <c r="G66" i="76"/>
  <c r="G62" i="95"/>
  <c r="I62" i="95" s="1"/>
  <c r="D63" i="95"/>
  <c r="E63" i="95" s="1"/>
  <c r="D72" i="39"/>
  <c r="E72" i="39" s="1"/>
  <c r="E73" i="39" s="1"/>
  <c r="H72" i="43"/>
  <c r="G72" i="43"/>
  <c r="G73" i="43" s="1"/>
  <c r="E67" i="85"/>
  <c r="F67" i="85" s="1"/>
  <c r="B67" i="85"/>
  <c r="F72" i="58"/>
  <c r="G72" i="58" s="1"/>
  <c r="G73" i="58" s="1"/>
  <c r="B72" i="58"/>
  <c r="I65" i="76"/>
  <c r="I68" i="64"/>
  <c r="I68" i="57"/>
  <c r="I68" i="63"/>
  <c r="D70" i="45"/>
  <c r="E70" i="45" s="1"/>
  <c r="H69" i="45"/>
  <c r="G69" i="45"/>
  <c r="D68" i="77"/>
  <c r="E68" i="77" s="1"/>
  <c r="D71" i="56"/>
  <c r="H70" i="56"/>
  <c r="G70" i="56"/>
  <c r="D70" i="64"/>
  <c r="E70" i="64" s="1"/>
  <c r="I72" i="74"/>
  <c r="I73" i="74" s="1"/>
  <c r="H73" i="74"/>
  <c r="B70" i="67"/>
  <c r="H64" i="25"/>
  <c r="I69" i="56"/>
  <c r="G65" i="78"/>
  <c r="E64" i="89"/>
  <c r="F64" i="89" s="1"/>
  <c r="B64" i="89"/>
  <c r="E70" i="67"/>
  <c r="F70" i="67" s="1"/>
  <c r="E69" i="57"/>
  <c r="F69" i="57" s="1"/>
  <c r="B69" i="57"/>
  <c r="E66" i="78"/>
  <c r="F66" i="78" s="1"/>
  <c r="G66" i="78" s="1"/>
  <c r="B66" i="78"/>
  <c r="H65" i="78"/>
  <c r="I65" i="78" s="1"/>
  <c r="H71" i="60"/>
  <c r="D72" i="60"/>
  <c r="D70" i="54"/>
  <c r="E70" i="54" s="1"/>
  <c r="F70" i="54" s="1"/>
  <c r="D66" i="79"/>
  <c r="E66" i="79" s="1"/>
  <c r="B72" i="44"/>
  <c r="F72" i="44"/>
  <c r="B67" i="77"/>
  <c r="G67" i="77"/>
  <c r="H67" i="77"/>
  <c r="B64" i="83"/>
  <c r="F64" i="83"/>
  <c r="G64" i="83" s="1"/>
  <c r="B63" i="89"/>
  <c r="H63" i="89"/>
  <c r="G63" i="89"/>
  <c r="B69" i="64"/>
  <c r="G69" i="64"/>
  <c r="H69" i="64"/>
  <c r="B64" i="92"/>
  <c r="E66" i="88"/>
  <c r="F66" i="88" s="1"/>
  <c r="B66" i="88"/>
  <c r="I66" i="59"/>
  <c r="B69" i="54"/>
  <c r="H69" i="54"/>
  <c r="G69" i="54"/>
  <c r="E64" i="92"/>
  <c r="F64" i="92" s="1"/>
  <c r="H65" i="79"/>
  <c r="I65" i="79" s="1"/>
  <c r="H72" i="41"/>
  <c r="G72" i="41"/>
  <c r="G73" i="41" s="1"/>
  <c r="E69" i="63"/>
  <c r="F69" i="63" s="1"/>
  <c r="B69" i="63"/>
  <c r="I65" i="88"/>
  <c r="H149" i="45"/>
  <c r="I149" i="45"/>
  <c r="D154" i="27"/>
  <c r="G153" i="27"/>
  <c r="J152" i="27"/>
  <c r="J149" i="39"/>
  <c r="G150" i="39"/>
  <c r="D151" i="39"/>
  <c r="B151" i="39" s="1"/>
  <c r="J147" i="62"/>
  <c r="J148" i="56"/>
  <c r="D67" i="62"/>
  <c r="E67" i="62" s="1"/>
  <c r="G66" i="62"/>
  <c r="H66" i="62"/>
  <c r="D70" i="65"/>
  <c r="H69" i="65"/>
  <c r="G69" i="65"/>
  <c r="D65" i="33"/>
  <c r="E65" i="33" s="1"/>
  <c r="G64" i="33"/>
  <c r="H64" i="33"/>
  <c r="D63" i="13"/>
  <c r="E63" i="13" s="1"/>
  <c r="G62" i="13"/>
  <c r="H62" i="13"/>
  <c r="J147" i="53"/>
  <c r="J151" i="32"/>
  <c r="E148" i="58"/>
  <c r="F148" i="58" s="1"/>
  <c r="D149" i="58" s="1"/>
  <c r="B149" i="58" s="1"/>
  <c r="D65" i="25"/>
  <c r="E65" i="25" s="1"/>
  <c r="D64" i="87"/>
  <c r="E64" i="87" s="1"/>
  <c r="G70" i="66"/>
  <c r="I70" i="66" s="1"/>
  <c r="E146" i="68"/>
  <c r="F146" i="68" s="1"/>
  <c r="G146" i="68" s="1"/>
  <c r="J144" i="78"/>
  <c r="D71" i="20"/>
  <c r="E71" i="20" s="1"/>
  <c r="G150" i="43"/>
  <c r="D151" i="43"/>
  <c r="F71" i="73"/>
  <c r="H71" i="73" s="1"/>
  <c r="B71" i="73"/>
  <c r="J150" i="20"/>
  <c r="D71" i="53"/>
  <c r="E71" i="53" s="1"/>
  <c r="G70" i="20"/>
  <c r="J149" i="43"/>
  <c r="D71" i="66"/>
  <c r="E71" i="66" s="1"/>
  <c r="E151" i="41"/>
  <c r="F151" i="41" s="1"/>
  <c r="B151" i="41"/>
  <c r="B72" i="18"/>
  <c r="F72" i="18"/>
  <c r="H72" i="18" s="1"/>
  <c r="I70" i="73"/>
  <c r="G70" i="53"/>
  <c r="I70" i="53" s="1"/>
  <c r="H70" i="20"/>
  <c r="D64" i="26"/>
  <c r="E64" i="26" s="1"/>
  <c r="I64" i="25"/>
  <c r="D71" i="68"/>
  <c r="E71" i="68" s="1"/>
  <c r="I150" i="41"/>
  <c r="H150" i="41"/>
  <c r="B67" i="59"/>
  <c r="F67" i="59"/>
  <c r="G67" i="59" s="1"/>
  <c r="G145" i="78"/>
  <c r="D146" i="78"/>
  <c r="D153" i="32"/>
  <c r="G152" i="32"/>
  <c r="D154" i="70"/>
  <c r="G153" i="70"/>
  <c r="F147" i="60"/>
  <c r="B147" i="60"/>
  <c r="I145" i="68"/>
  <c r="H145" i="68"/>
  <c r="E151" i="73"/>
  <c r="F151" i="73" s="1"/>
  <c r="B151" i="73"/>
  <c r="J146" i="63"/>
  <c r="E153" i="69"/>
  <c r="F153" i="69" s="1"/>
  <c r="B153" i="69"/>
  <c r="I146" i="65"/>
  <c r="H146" i="65"/>
  <c r="I142" i="88"/>
  <c r="H142" i="88"/>
  <c r="I144" i="79"/>
  <c r="H144" i="79"/>
  <c r="I148" i="72"/>
  <c r="H148" i="72"/>
  <c r="E152" i="31"/>
  <c r="F152" i="31" s="1"/>
  <c r="B152" i="31"/>
  <c r="H145" i="66"/>
  <c r="I145" i="66"/>
  <c r="G151" i="20"/>
  <c r="D152" i="20"/>
  <c r="I146" i="61"/>
  <c r="H146" i="61"/>
  <c r="J150" i="19"/>
  <c r="F143" i="90"/>
  <c r="B143" i="90"/>
  <c r="H150" i="73"/>
  <c r="I150" i="73"/>
  <c r="J152" i="70"/>
  <c r="I142" i="84"/>
  <c r="H142" i="84"/>
  <c r="F143" i="92"/>
  <c r="B143" i="92"/>
  <c r="I152" i="69"/>
  <c r="H152" i="69"/>
  <c r="B147" i="65"/>
  <c r="E143" i="88"/>
  <c r="F143" i="88" s="1"/>
  <c r="B143" i="88"/>
  <c r="I143" i="85"/>
  <c r="H143" i="85"/>
  <c r="E148" i="46"/>
  <c r="F148" i="46" s="1"/>
  <c r="D149" i="62"/>
  <c r="G148" i="62"/>
  <c r="H151" i="31"/>
  <c r="I151" i="31"/>
  <c r="E146" i="66"/>
  <c r="F146" i="66" s="1"/>
  <c r="B146" i="66"/>
  <c r="H146" i="60"/>
  <c r="I146" i="60"/>
  <c r="E147" i="61"/>
  <c r="F147" i="61" s="1"/>
  <c r="B147" i="61"/>
  <c r="I151" i="22"/>
  <c r="H151" i="22"/>
  <c r="D144" i="91"/>
  <c r="E144" i="91" s="1"/>
  <c r="G143" i="91"/>
  <c r="I142" i="86"/>
  <c r="H142" i="86"/>
  <c r="D149" i="53"/>
  <c r="B149" i="53" s="1"/>
  <c r="G148" i="53"/>
  <c r="G144" i="81"/>
  <c r="D145" i="81"/>
  <c r="I147" i="58"/>
  <c r="H147" i="58"/>
  <c r="F143" i="84"/>
  <c r="B143" i="84"/>
  <c r="D144" i="89"/>
  <c r="E144" i="89" s="1"/>
  <c r="G143" i="89"/>
  <c r="E144" i="85"/>
  <c r="F144" i="85" s="1"/>
  <c r="B144" i="85"/>
  <c r="E154" i="30"/>
  <c r="E155" i="30" s="1"/>
  <c r="B154" i="30"/>
  <c r="E149" i="74"/>
  <c r="F149" i="74" s="1"/>
  <c r="B149" i="74"/>
  <c r="H152" i="71"/>
  <c r="I152" i="71"/>
  <c r="G151" i="19"/>
  <c r="D152" i="19"/>
  <c r="I142" i="90"/>
  <c r="H142" i="90"/>
  <c r="B143" i="86"/>
  <c r="F143" i="86"/>
  <c r="J150" i="22"/>
  <c r="H142" i="92"/>
  <c r="I142" i="92"/>
  <c r="E147" i="65"/>
  <c r="F147" i="65" s="1"/>
  <c r="D148" i="63"/>
  <c r="B148" i="63" s="1"/>
  <c r="G147" i="63"/>
  <c r="E145" i="79"/>
  <c r="F145" i="79" s="1"/>
  <c r="E149" i="72"/>
  <c r="F149" i="72" s="1"/>
  <c r="B149" i="72"/>
  <c r="I147" i="46"/>
  <c r="H147" i="46"/>
  <c r="I153" i="30"/>
  <c r="H153" i="30"/>
  <c r="I148" i="74"/>
  <c r="H148" i="74"/>
  <c r="E153" i="71"/>
  <c r="F153" i="71" s="1"/>
  <c r="B153" i="71"/>
  <c r="D150" i="56"/>
  <c r="G149" i="56"/>
  <c r="J141" i="33"/>
  <c r="J142" i="25"/>
  <c r="E151" i="45"/>
  <c r="F151" i="45" s="1"/>
  <c r="H150" i="45"/>
  <c r="I150" i="45"/>
  <c r="B152" i="18"/>
  <c r="F152" i="18"/>
  <c r="E148" i="59"/>
  <c r="F148" i="59" s="1"/>
  <c r="B148" i="59"/>
  <c r="H151" i="18"/>
  <c r="I151" i="18"/>
  <c r="I152" i="23"/>
  <c r="H152" i="23"/>
  <c r="I147" i="59"/>
  <c r="H147" i="59"/>
  <c r="E153" i="23"/>
  <c r="F153" i="23" s="1"/>
  <c r="B153" i="23"/>
  <c r="J144" i="76"/>
  <c r="F149" i="57"/>
  <c r="B149" i="57"/>
  <c r="J147" i="54"/>
  <c r="I148" i="57"/>
  <c r="H148" i="57"/>
  <c r="J144" i="77"/>
  <c r="J147" i="55"/>
  <c r="I150" i="3"/>
  <c r="H150" i="3"/>
  <c r="J149" i="42"/>
  <c r="D144" i="93"/>
  <c r="E144" i="93" s="1"/>
  <c r="G143" i="93"/>
  <c r="J144" i="75"/>
  <c r="F143" i="96"/>
  <c r="B143" i="96"/>
  <c r="J150" i="21"/>
  <c r="D145" i="83"/>
  <c r="E145" i="83" s="1"/>
  <c r="G144" i="83"/>
  <c r="F144" i="95"/>
  <c r="B144" i="95"/>
  <c r="D152" i="21"/>
  <c r="E152" i="21" s="1"/>
  <c r="G151" i="21"/>
  <c r="I143" i="82"/>
  <c r="H143" i="82"/>
  <c r="I153" i="28"/>
  <c r="H153" i="28"/>
  <c r="B144" i="94"/>
  <c r="F144" i="94"/>
  <c r="G148" i="54"/>
  <c r="D149" i="54"/>
  <c r="E149" i="54" s="1"/>
  <c r="G143" i="25"/>
  <c r="D144" i="25"/>
  <c r="B151" i="3"/>
  <c r="F151" i="3"/>
  <c r="D149" i="55"/>
  <c r="E149" i="55" s="1"/>
  <c r="G148" i="55"/>
  <c r="G142" i="13"/>
  <c r="D143" i="13"/>
  <c r="E143" i="13" s="1"/>
  <c r="H151" i="34"/>
  <c r="I151" i="34"/>
  <c r="H142" i="96"/>
  <c r="I142" i="96"/>
  <c r="H143" i="95"/>
  <c r="I143" i="95"/>
  <c r="F146" i="67"/>
  <c r="B146" i="67"/>
  <c r="B154" i="28"/>
  <c r="F154" i="28"/>
  <c r="G154" i="28" s="1"/>
  <c r="D145" i="80"/>
  <c r="E145" i="80" s="1"/>
  <c r="G144" i="80"/>
  <c r="B143" i="87"/>
  <c r="F143" i="87"/>
  <c r="G150" i="42"/>
  <c r="D151" i="42"/>
  <c r="B152" i="34"/>
  <c r="F152" i="34"/>
  <c r="B152" i="17"/>
  <c r="F152" i="17"/>
  <c r="H145" i="67"/>
  <c r="I145" i="67"/>
  <c r="F150" i="44"/>
  <c r="B150" i="44"/>
  <c r="I143" i="94"/>
  <c r="H143" i="94"/>
  <c r="H142" i="87"/>
  <c r="I142" i="87"/>
  <c r="G145" i="77"/>
  <c r="D146" i="77"/>
  <c r="E146" i="77" s="1"/>
  <c r="G142" i="33"/>
  <c r="D143" i="33"/>
  <c r="E143" i="33" s="1"/>
  <c r="J151" i="24"/>
  <c r="G145" i="76"/>
  <c r="D146" i="76"/>
  <c r="G152" i="24"/>
  <c r="D153" i="24"/>
  <c r="D146" i="75"/>
  <c r="G145" i="75"/>
  <c r="H151" i="17"/>
  <c r="I151" i="17"/>
  <c r="B144" i="82"/>
  <c r="F144" i="82"/>
  <c r="I149" i="44"/>
  <c r="H149" i="44"/>
  <c r="G72" i="34" l="1"/>
  <c r="G73" i="34" s="1"/>
  <c r="E65" i="98"/>
  <c r="F65" i="98" s="1"/>
  <c r="B65" i="98"/>
  <c r="H73" i="27"/>
  <c r="I72" i="21"/>
  <c r="I73" i="21" s="1"/>
  <c r="B144" i="26"/>
  <c r="E144" i="26"/>
  <c r="F144" i="26" s="1"/>
  <c r="H143" i="26"/>
  <c r="I143" i="26"/>
  <c r="H72" i="46"/>
  <c r="E143" i="99"/>
  <c r="F143" i="99" s="1"/>
  <c r="B143" i="99"/>
  <c r="H142" i="99"/>
  <c r="I142" i="99"/>
  <c r="I63" i="94"/>
  <c r="H64" i="94"/>
  <c r="I64" i="94" s="1"/>
  <c r="I68" i="75"/>
  <c r="E152" i="22"/>
  <c r="F152" i="22" s="1"/>
  <c r="G152" i="22" s="1"/>
  <c r="I70" i="20"/>
  <c r="D144" i="97"/>
  <c r="E144" i="97" s="1"/>
  <c r="G143" i="97"/>
  <c r="D144" i="98"/>
  <c r="G143" i="98"/>
  <c r="G148" i="58"/>
  <c r="I148" i="58" s="1"/>
  <c r="J146" i="64"/>
  <c r="D148" i="64"/>
  <c r="B148" i="64" s="1"/>
  <c r="G147" i="64"/>
  <c r="I153" i="29"/>
  <c r="H153" i="29"/>
  <c r="B154" i="29"/>
  <c r="E154" i="29"/>
  <c r="I66" i="90"/>
  <c r="I64" i="91"/>
  <c r="I66" i="85"/>
  <c r="G70" i="82"/>
  <c r="D71" i="82"/>
  <c r="E71" i="82" s="1"/>
  <c r="F71" i="82" s="1"/>
  <c r="H73" i="46"/>
  <c r="I72" i="46"/>
  <c r="I73" i="46" s="1"/>
  <c r="D70" i="63"/>
  <c r="B70" i="63" s="1"/>
  <c r="E67" i="80"/>
  <c r="F67" i="80" s="1"/>
  <c r="B67" i="80"/>
  <c r="B65" i="91"/>
  <c r="E65" i="91"/>
  <c r="F65" i="91" s="1"/>
  <c r="I69" i="54"/>
  <c r="G66" i="80"/>
  <c r="D65" i="94"/>
  <c r="E65" i="94" s="1"/>
  <c r="H68" i="61"/>
  <c r="I68" i="61" s="1"/>
  <c r="H67" i="59"/>
  <c r="I67" i="59" s="1"/>
  <c r="G71" i="73"/>
  <c r="I71" i="73" s="1"/>
  <c r="H70" i="82"/>
  <c r="I66" i="76"/>
  <c r="I67" i="86"/>
  <c r="D69" i="61"/>
  <c r="E69" i="61" s="1"/>
  <c r="F69" i="61" s="1"/>
  <c r="H66" i="80"/>
  <c r="H71" i="55"/>
  <c r="D72" i="55"/>
  <c r="G71" i="55"/>
  <c r="D66" i="93"/>
  <c r="E66" i="93" s="1"/>
  <c r="F66" i="93" s="1"/>
  <c r="D67" i="93" s="1"/>
  <c r="E67" i="90"/>
  <c r="F67" i="90" s="1"/>
  <c r="H67" i="90" s="1"/>
  <c r="B67" i="90"/>
  <c r="D70" i="75"/>
  <c r="E70" i="75" s="1"/>
  <c r="B65" i="93"/>
  <c r="G65" i="93"/>
  <c r="H65" i="93"/>
  <c r="H72" i="58"/>
  <c r="I72" i="58" s="1"/>
  <c r="I73" i="58" s="1"/>
  <c r="G66" i="84"/>
  <c r="I66" i="84" s="1"/>
  <c r="D67" i="84"/>
  <c r="I65" i="84"/>
  <c r="I63" i="89"/>
  <c r="I69" i="82"/>
  <c r="G69" i="75"/>
  <c r="I69" i="75" s="1"/>
  <c r="H73" i="34"/>
  <c r="I72" i="34"/>
  <c r="I73" i="34" s="1"/>
  <c r="G63" i="96"/>
  <c r="D64" i="96"/>
  <c r="E64" i="96" s="1"/>
  <c r="H63" i="96"/>
  <c r="E68" i="76"/>
  <c r="F68" i="76" s="1"/>
  <c r="G68" i="76" s="1"/>
  <c r="B68" i="76"/>
  <c r="G67" i="85"/>
  <c r="D68" i="85"/>
  <c r="H73" i="58"/>
  <c r="B72" i="39"/>
  <c r="F72" i="39"/>
  <c r="H72" i="39" s="1"/>
  <c r="H73" i="39" s="1"/>
  <c r="E68" i="86"/>
  <c r="F68" i="86" s="1"/>
  <c r="B68" i="86"/>
  <c r="D66" i="81"/>
  <c r="E66" i="81" s="1"/>
  <c r="B67" i="76"/>
  <c r="G67" i="76"/>
  <c r="H67" i="76"/>
  <c r="I70" i="56"/>
  <c r="H67" i="85"/>
  <c r="I72" i="43"/>
  <c r="I73" i="43" s="1"/>
  <c r="H73" i="43"/>
  <c r="B63" i="95"/>
  <c r="F63" i="95"/>
  <c r="D64" i="95" s="1"/>
  <c r="I71" i="39"/>
  <c r="B65" i="81"/>
  <c r="H65" i="81"/>
  <c r="G65" i="81"/>
  <c r="I69" i="64"/>
  <c r="I67" i="77"/>
  <c r="D65" i="89"/>
  <c r="H64" i="89"/>
  <c r="G64" i="89"/>
  <c r="D71" i="54"/>
  <c r="D70" i="57"/>
  <c r="G69" i="57"/>
  <c r="H69" i="57"/>
  <c r="D71" i="67"/>
  <c r="E71" i="67" s="1"/>
  <c r="H70" i="67"/>
  <c r="G70" i="67"/>
  <c r="H64" i="92"/>
  <c r="D65" i="92"/>
  <c r="E65" i="92" s="1"/>
  <c r="G64" i="92"/>
  <c r="G66" i="88"/>
  <c r="D67" i="88"/>
  <c r="E67" i="88" s="1"/>
  <c r="H66" i="88"/>
  <c r="B72" i="60"/>
  <c r="I66" i="62"/>
  <c r="G69" i="63"/>
  <c r="G72" i="44"/>
  <c r="G73" i="44" s="1"/>
  <c r="H72" i="44"/>
  <c r="I71" i="60"/>
  <c r="E71" i="56"/>
  <c r="F71" i="56" s="1"/>
  <c r="B71" i="56"/>
  <c r="I69" i="45"/>
  <c r="I64" i="33"/>
  <c r="H69" i="63"/>
  <c r="B70" i="54"/>
  <c r="H70" i="54"/>
  <c r="G70" i="54"/>
  <c r="F70" i="64"/>
  <c r="B70" i="64"/>
  <c r="I72" i="41"/>
  <c r="I73" i="41" s="1"/>
  <c r="H73" i="41"/>
  <c r="D65" i="83"/>
  <c r="D67" i="78"/>
  <c r="I62" i="13"/>
  <c r="H64" i="83"/>
  <c r="I64" i="83" s="1"/>
  <c r="B66" i="79"/>
  <c r="F66" i="79"/>
  <c r="H66" i="79" s="1"/>
  <c r="E72" i="60"/>
  <c r="E73" i="60" s="1"/>
  <c r="H66" i="78"/>
  <c r="I66" i="78" s="1"/>
  <c r="F68" i="77"/>
  <c r="D69" i="77" s="1"/>
  <c r="B68" i="77"/>
  <c r="B70" i="45"/>
  <c r="F70" i="45"/>
  <c r="D147" i="68"/>
  <c r="E147" i="68" s="1"/>
  <c r="F147" i="68" s="1"/>
  <c r="J149" i="45"/>
  <c r="H153" i="27"/>
  <c r="I153" i="27"/>
  <c r="B154" i="27"/>
  <c r="E154" i="27"/>
  <c r="J151" i="22"/>
  <c r="J145" i="68"/>
  <c r="J147" i="58"/>
  <c r="E149" i="58"/>
  <c r="F149" i="58" s="1"/>
  <c r="D150" i="58" s="1"/>
  <c r="B150" i="58" s="1"/>
  <c r="E151" i="39"/>
  <c r="F151" i="39" s="1"/>
  <c r="E148" i="63"/>
  <c r="F148" i="63" s="1"/>
  <c r="G148" i="63" s="1"/>
  <c r="I150" i="39"/>
  <c r="H150" i="39"/>
  <c r="H73" i="18"/>
  <c r="E149" i="53"/>
  <c r="F149" i="53" s="1"/>
  <c r="G149" i="53" s="1"/>
  <c r="J151" i="31"/>
  <c r="J144" i="79"/>
  <c r="J146" i="65"/>
  <c r="D72" i="73"/>
  <c r="E72" i="73" s="1"/>
  <c r="E73" i="73" s="1"/>
  <c r="I150" i="43"/>
  <c r="H150" i="43"/>
  <c r="I69" i="65"/>
  <c r="F154" i="30"/>
  <c r="G154" i="30" s="1"/>
  <c r="H154" i="30" s="1"/>
  <c r="H155" i="30" s="1"/>
  <c r="D68" i="59"/>
  <c r="E68" i="59" s="1"/>
  <c r="G72" i="18"/>
  <c r="G73" i="18" s="1"/>
  <c r="B71" i="20"/>
  <c r="F71" i="20"/>
  <c r="H71" i="20" s="1"/>
  <c r="B63" i="13"/>
  <c r="F63" i="13"/>
  <c r="G63" i="13" s="1"/>
  <c r="B65" i="33"/>
  <c r="F65" i="33"/>
  <c r="H65" i="33" s="1"/>
  <c r="B70" i="65"/>
  <c r="J146" i="61"/>
  <c r="J148" i="72"/>
  <c r="J150" i="41"/>
  <c r="B71" i="68"/>
  <c r="F71" i="68"/>
  <c r="G71" i="68" s="1"/>
  <c r="F65" i="25"/>
  <c r="G65" i="25" s="1"/>
  <c r="B65" i="25"/>
  <c r="E70" i="65"/>
  <c r="F70" i="65" s="1"/>
  <c r="B64" i="26"/>
  <c r="F64" i="26"/>
  <c r="G64" i="26" s="1"/>
  <c r="D152" i="41"/>
  <c r="G151" i="41"/>
  <c r="B71" i="66"/>
  <c r="F71" i="66"/>
  <c r="G71" i="66" s="1"/>
  <c r="F71" i="53"/>
  <c r="G71" i="53" s="1"/>
  <c r="B71" i="53"/>
  <c r="E151" i="43"/>
  <c r="F151" i="43" s="1"/>
  <c r="B151" i="43"/>
  <c r="B64" i="87"/>
  <c r="F64" i="87"/>
  <c r="F67" i="62"/>
  <c r="G67" i="62" s="1"/>
  <c r="B67" i="62"/>
  <c r="G149" i="74"/>
  <c r="D150" i="74"/>
  <c r="G152" i="31"/>
  <c r="D153" i="31"/>
  <c r="D154" i="71"/>
  <c r="G153" i="71"/>
  <c r="G146" i="66"/>
  <c r="D147" i="66"/>
  <c r="G147" i="65"/>
  <c r="D148" i="65"/>
  <c r="B148" i="65" s="1"/>
  <c r="J148" i="74"/>
  <c r="J147" i="46"/>
  <c r="D146" i="79"/>
  <c r="B146" i="79" s="1"/>
  <c r="G145" i="79"/>
  <c r="D144" i="86"/>
  <c r="B144" i="86" s="1"/>
  <c r="G143" i="86"/>
  <c r="I151" i="19"/>
  <c r="H151" i="19"/>
  <c r="I143" i="89"/>
  <c r="H143" i="89"/>
  <c r="G143" i="84"/>
  <c r="D144" i="84"/>
  <c r="B144" i="84" s="1"/>
  <c r="H144" i="81"/>
  <c r="I144" i="81"/>
  <c r="I143" i="91"/>
  <c r="H143" i="91"/>
  <c r="J146" i="60"/>
  <c r="H148" i="62"/>
  <c r="I148" i="62"/>
  <c r="J152" i="69"/>
  <c r="G143" i="90"/>
  <c r="D144" i="90"/>
  <c r="E144" i="90" s="1"/>
  <c r="J145" i="66"/>
  <c r="E153" i="32"/>
  <c r="F153" i="32" s="1"/>
  <c r="B153" i="32"/>
  <c r="J152" i="71"/>
  <c r="G147" i="61"/>
  <c r="D148" i="61"/>
  <c r="B149" i="62"/>
  <c r="E149" i="62"/>
  <c r="F149" i="62" s="1"/>
  <c r="J150" i="73"/>
  <c r="D154" i="69"/>
  <c r="G153" i="69"/>
  <c r="H153" i="70"/>
  <c r="I153" i="70"/>
  <c r="B146" i="78"/>
  <c r="J151" i="18"/>
  <c r="J153" i="30"/>
  <c r="G149" i="72"/>
  <c r="D150" i="72"/>
  <c r="H147" i="63"/>
  <c r="I147" i="63"/>
  <c r="G144" i="85"/>
  <c r="D145" i="85"/>
  <c r="B144" i="89"/>
  <c r="F144" i="89"/>
  <c r="I148" i="53"/>
  <c r="H148" i="53"/>
  <c r="B144" i="91"/>
  <c r="F144" i="91"/>
  <c r="D149" i="46"/>
  <c r="B149" i="46" s="1"/>
  <c r="G148" i="46"/>
  <c r="G143" i="88"/>
  <c r="D144" i="88"/>
  <c r="B144" i="88" s="1"/>
  <c r="D144" i="92"/>
  <c r="G143" i="92"/>
  <c r="E152" i="20"/>
  <c r="F152" i="20" s="1"/>
  <c r="B152" i="20"/>
  <c r="G151" i="73"/>
  <c r="D152" i="73"/>
  <c r="E154" i="70"/>
  <c r="E155" i="70" s="1"/>
  <c r="B154" i="70"/>
  <c r="H145" i="78"/>
  <c r="I145" i="78"/>
  <c r="E152" i="19"/>
  <c r="F152" i="19" s="1"/>
  <c r="B152" i="19"/>
  <c r="E145" i="81"/>
  <c r="F145" i="81" s="1"/>
  <c r="B145" i="81"/>
  <c r="I146" i="68"/>
  <c r="H146" i="68"/>
  <c r="I151" i="20"/>
  <c r="H151" i="20"/>
  <c r="G147" i="60"/>
  <c r="D148" i="60"/>
  <c r="H152" i="32"/>
  <c r="I152" i="32"/>
  <c r="E146" i="78"/>
  <c r="F146" i="78" s="1"/>
  <c r="G148" i="59"/>
  <c r="D149" i="59"/>
  <c r="B149" i="59" s="1"/>
  <c r="J152" i="23"/>
  <c r="G152" i="18"/>
  <c r="D153" i="18"/>
  <c r="B153" i="18" s="1"/>
  <c r="J150" i="45"/>
  <c r="H149" i="56"/>
  <c r="I149" i="56"/>
  <c r="G151" i="45"/>
  <c r="D152" i="45"/>
  <c r="B152" i="45" s="1"/>
  <c r="E150" i="56"/>
  <c r="F150" i="56" s="1"/>
  <c r="B150" i="56"/>
  <c r="J151" i="17"/>
  <c r="J147" i="59"/>
  <c r="D154" i="23"/>
  <c r="E154" i="23" s="1"/>
  <c r="E155" i="23" s="1"/>
  <c r="G153" i="23"/>
  <c r="J153" i="28"/>
  <c r="J148" i="57"/>
  <c r="D150" i="57"/>
  <c r="G149" i="57"/>
  <c r="B146" i="75"/>
  <c r="B146" i="76"/>
  <c r="H145" i="77"/>
  <c r="I145" i="77"/>
  <c r="D151" i="44"/>
  <c r="G150" i="44"/>
  <c r="B151" i="42"/>
  <c r="H144" i="80"/>
  <c r="I144" i="80"/>
  <c r="B144" i="25"/>
  <c r="B152" i="21"/>
  <c r="F152" i="21"/>
  <c r="F145" i="83"/>
  <c r="B145" i="83"/>
  <c r="B153" i="24"/>
  <c r="J149" i="44"/>
  <c r="H152" i="24"/>
  <c r="I152" i="24"/>
  <c r="H145" i="76"/>
  <c r="I145" i="76"/>
  <c r="H150" i="42"/>
  <c r="I150" i="42"/>
  <c r="F143" i="13"/>
  <c r="B143" i="13"/>
  <c r="B149" i="55"/>
  <c r="F149" i="55"/>
  <c r="E144" i="25"/>
  <c r="F144" i="25" s="1"/>
  <c r="I148" i="54"/>
  <c r="H148" i="54"/>
  <c r="D145" i="94"/>
  <c r="E145" i="94" s="1"/>
  <c r="G144" i="94"/>
  <c r="B144" i="93"/>
  <c r="F144" i="93"/>
  <c r="J150" i="3"/>
  <c r="G144" i="82"/>
  <c r="D145" i="82"/>
  <c r="E146" i="75"/>
  <c r="F146" i="75" s="1"/>
  <c r="E153" i="24"/>
  <c r="F153" i="24" s="1"/>
  <c r="F143" i="33"/>
  <c r="B143" i="33"/>
  <c r="D144" i="87"/>
  <c r="G143" i="87"/>
  <c r="F145" i="80"/>
  <c r="B145" i="80"/>
  <c r="G146" i="67"/>
  <c r="D147" i="67"/>
  <c r="E147" i="67" s="1"/>
  <c r="I142" i="13"/>
  <c r="H142" i="13"/>
  <c r="D152" i="3"/>
  <c r="E152" i="3" s="1"/>
  <c r="G151" i="3"/>
  <c r="H143" i="25"/>
  <c r="I143" i="25"/>
  <c r="H151" i="21"/>
  <c r="I151" i="21"/>
  <c r="G144" i="95"/>
  <c r="D145" i="95"/>
  <c r="E145" i="95" s="1"/>
  <c r="H144" i="83"/>
  <c r="I144" i="83"/>
  <c r="E146" i="76"/>
  <c r="F146" i="76" s="1"/>
  <c r="H145" i="75"/>
  <c r="I145" i="75"/>
  <c r="H142" i="33"/>
  <c r="I142" i="33"/>
  <c r="F146" i="77"/>
  <c r="B146" i="77"/>
  <c r="J145" i="67"/>
  <c r="G152" i="17"/>
  <c r="D153" i="17"/>
  <c r="E153" i="17" s="1"/>
  <c r="D153" i="34"/>
  <c r="E153" i="34" s="1"/>
  <c r="G152" i="34"/>
  <c r="E151" i="42"/>
  <c r="F151" i="42" s="1"/>
  <c r="I154" i="28"/>
  <c r="H154" i="28"/>
  <c r="H155" i="28" s="1"/>
  <c r="J151" i="34"/>
  <c r="I148" i="55"/>
  <c r="H148" i="55"/>
  <c r="F149" i="54"/>
  <c r="B149" i="54"/>
  <c r="G143" i="96"/>
  <c r="D144" i="96"/>
  <c r="E144" i="96" s="1"/>
  <c r="H143" i="93"/>
  <c r="I143" i="93"/>
  <c r="J143" i="26" l="1"/>
  <c r="H65" i="98"/>
  <c r="D66" i="98"/>
  <c r="G65" i="98"/>
  <c r="I65" i="98" s="1"/>
  <c r="H148" i="58"/>
  <c r="G72" i="39"/>
  <c r="G73" i="39" s="1"/>
  <c r="D145" i="26"/>
  <c r="G144" i="26"/>
  <c r="I66" i="80"/>
  <c r="D144" i="99"/>
  <c r="G143" i="99"/>
  <c r="D153" i="22"/>
  <c r="B153" i="22" s="1"/>
  <c r="I67" i="85"/>
  <c r="B71" i="82"/>
  <c r="B147" i="68"/>
  <c r="D150" i="53"/>
  <c r="E150" i="53" s="1"/>
  <c r="F150" i="53" s="1"/>
  <c r="B144" i="98"/>
  <c r="E144" i="98"/>
  <c r="F144" i="98" s="1"/>
  <c r="I143" i="97"/>
  <c r="H143" i="97"/>
  <c r="H143" i="98"/>
  <c r="I143" i="98"/>
  <c r="F144" i="97"/>
  <c r="B144" i="97"/>
  <c r="J153" i="29"/>
  <c r="E155" i="29"/>
  <c r="F154" i="29"/>
  <c r="G154" i="29" s="1"/>
  <c r="E148" i="64"/>
  <c r="F148" i="64" s="1"/>
  <c r="H147" i="64"/>
  <c r="I147" i="64"/>
  <c r="G149" i="58"/>
  <c r="I149" i="58" s="1"/>
  <c r="E144" i="88"/>
  <c r="F144" i="88" s="1"/>
  <c r="I70" i="82"/>
  <c r="I70" i="54"/>
  <c r="I71" i="55"/>
  <c r="D70" i="61"/>
  <c r="B70" i="61" s="1"/>
  <c r="D68" i="80"/>
  <c r="G67" i="80"/>
  <c r="H67" i="80"/>
  <c r="D66" i="91"/>
  <c r="B66" i="91" s="1"/>
  <c r="H65" i="91"/>
  <c r="G65" i="91"/>
  <c r="I69" i="63"/>
  <c r="B69" i="61"/>
  <c r="H69" i="61"/>
  <c r="G69" i="61"/>
  <c r="E70" i="63"/>
  <c r="F70" i="63" s="1"/>
  <c r="B65" i="94"/>
  <c r="F65" i="94"/>
  <c r="G65" i="94" s="1"/>
  <c r="E67" i="93"/>
  <c r="F67" i="93" s="1"/>
  <c r="H67" i="93" s="1"/>
  <c r="B67" i="93"/>
  <c r="I63" i="96"/>
  <c r="G63" i="95"/>
  <c r="I65" i="93"/>
  <c r="F70" i="75"/>
  <c r="B70" i="75"/>
  <c r="E67" i="84"/>
  <c r="F67" i="84" s="1"/>
  <c r="B67" i="84"/>
  <c r="E72" i="55"/>
  <c r="E73" i="55" s="1"/>
  <c r="B72" i="55"/>
  <c r="I64" i="92"/>
  <c r="I72" i="39"/>
  <c r="I73" i="39" s="1"/>
  <c r="G67" i="90"/>
  <c r="I67" i="90" s="1"/>
  <c r="D68" i="90"/>
  <c r="B66" i="93"/>
  <c r="H66" i="93"/>
  <c r="G66" i="93"/>
  <c r="G68" i="86"/>
  <c r="D69" i="86"/>
  <c r="H68" i="86"/>
  <c r="E64" i="95"/>
  <c r="F64" i="95" s="1"/>
  <c r="B64" i="95"/>
  <c r="B66" i="81"/>
  <c r="F66" i="81"/>
  <c r="I65" i="81"/>
  <c r="I67" i="76"/>
  <c r="H68" i="76"/>
  <c r="I68" i="76" s="1"/>
  <c r="D69" i="76"/>
  <c r="E69" i="76" s="1"/>
  <c r="H68" i="77"/>
  <c r="E68" i="85"/>
  <c r="F68" i="85" s="1"/>
  <c r="B68" i="85"/>
  <c r="F64" i="96"/>
  <c r="B64" i="96"/>
  <c r="H71" i="68"/>
  <c r="I71" i="68" s="1"/>
  <c r="H63" i="95"/>
  <c r="I66" i="88"/>
  <c r="I69" i="57"/>
  <c r="D72" i="56"/>
  <c r="G71" i="56"/>
  <c r="H71" i="56"/>
  <c r="B67" i="78"/>
  <c r="B71" i="54"/>
  <c r="H71" i="53"/>
  <c r="I71" i="53" s="1"/>
  <c r="E69" i="77"/>
  <c r="F69" i="77" s="1"/>
  <c r="B69" i="77"/>
  <c r="B65" i="83"/>
  <c r="B65" i="92"/>
  <c r="F65" i="92"/>
  <c r="H65" i="92" s="1"/>
  <c r="I70" i="67"/>
  <c r="D71" i="45"/>
  <c r="D71" i="64"/>
  <c r="E71" i="64" s="1"/>
  <c r="G70" i="45"/>
  <c r="E65" i="83"/>
  <c r="F65" i="83" s="1"/>
  <c r="H70" i="64"/>
  <c r="F72" i="60"/>
  <c r="B67" i="88"/>
  <c r="F67" i="88"/>
  <c r="H67" i="88" s="1"/>
  <c r="E70" i="57"/>
  <c r="F70" i="57" s="1"/>
  <c r="B70" i="57"/>
  <c r="I64" i="89"/>
  <c r="D67" i="79"/>
  <c r="E67" i="79" s="1"/>
  <c r="F67" i="79" s="1"/>
  <c r="D68" i="79" s="1"/>
  <c r="I154" i="30"/>
  <c r="I155" i="30" s="1"/>
  <c r="H70" i="45"/>
  <c r="G68" i="77"/>
  <c r="G66" i="79"/>
  <c r="I66" i="79" s="1"/>
  <c r="E67" i="78"/>
  <c r="F67" i="78" s="1"/>
  <c r="D68" i="78" s="1"/>
  <c r="G70" i="64"/>
  <c r="I72" i="44"/>
  <c r="I73" i="44" s="1"/>
  <c r="H73" i="44"/>
  <c r="B71" i="67"/>
  <c r="F71" i="67"/>
  <c r="E71" i="54"/>
  <c r="F71" i="54" s="1"/>
  <c r="H71" i="54" s="1"/>
  <c r="E65" i="89"/>
  <c r="F65" i="89" s="1"/>
  <c r="B65" i="89"/>
  <c r="J153" i="27"/>
  <c r="D149" i="63"/>
  <c r="B149" i="63" s="1"/>
  <c r="J148" i="62"/>
  <c r="E144" i="84"/>
  <c r="F144" i="84" s="1"/>
  <c r="E155" i="27"/>
  <c r="F154" i="27"/>
  <c r="G154" i="27" s="1"/>
  <c r="E144" i="86"/>
  <c r="F144" i="86" s="1"/>
  <c r="J151" i="20"/>
  <c r="J143" i="25"/>
  <c r="J149" i="56"/>
  <c r="D152" i="39"/>
  <c r="G151" i="39"/>
  <c r="J151" i="21"/>
  <c r="J150" i="39"/>
  <c r="G151" i="43"/>
  <c r="D152" i="43"/>
  <c r="B152" i="43" s="1"/>
  <c r="D71" i="65"/>
  <c r="E71" i="65" s="1"/>
  <c r="H70" i="65"/>
  <c r="G70" i="65"/>
  <c r="D72" i="82"/>
  <c r="E72" i="82" s="1"/>
  <c r="E73" i="82" s="1"/>
  <c r="H71" i="82"/>
  <c r="G71" i="82"/>
  <c r="J148" i="58"/>
  <c r="J148" i="53"/>
  <c r="D72" i="53"/>
  <c r="E72" i="53" s="1"/>
  <c r="E73" i="53" s="1"/>
  <c r="D72" i="66"/>
  <c r="E152" i="41"/>
  <c r="F152" i="41" s="1"/>
  <c r="B152" i="41"/>
  <c r="D72" i="20"/>
  <c r="E72" i="20" s="1"/>
  <c r="E73" i="20" s="1"/>
  <c r="D65" i="87"/>
  <c r="D65" i="26"/>
  <c r="E65" i="26" s="1"/>
  <c r="D66" i="33"/>
  <c r="E66" i="33" s="1"/>
  <c r="D64" i="13"/>
  <c r="E64" i="13" s="1"/>
  <c r="B68" i="59"/>
  <c r="F68" i="59"/>
  <c r="G68" i="59" s="1"/>
  <c r="F72" i="73"/>
  <c r="G72" i="73" s="1"/>
  <c r="G73" i="73" s="1"/>
  <c r="B72" i="73"/>
  <c r="J145" i="78"/>
  <c r="D68" i="62"/>
  <c r="E68" i="62" s="1"/>
  <c r="H64" i="87"/>
  <c r="D66" i="25"/>
  <c r="E66" i="25" s="1"/>
  <c r="D72" i="68"/>
  <c r="G65" i="33"/>
  <c r="I65" i="33" s="1"/>
  <c r="E149" i="46"/>
  <c r="F149" i="46" s="1"/>
  <c r="D150" i="46" s="1"/>
  <c r="H67" i="62"/>
  <c r="I67" i="62" s="1"/>
  <c r="G64" i="87"/>
  <c r="H71" i="66"/>
  <c r="I71" i="66" s="1"/>
  <c r="I151" i="41"/>
  <c r="H151" i="41"/>
  <c r="H64" i="26"/>
  <c r="I64" i="26" s="1"/>
  <c r="H65" i="25"/>
  <c r="I65" i="25" s="1"/>
  <c r="H63" i="13"/>
  <c r="I63" i="13" s="1"/>
  <c r="G71" i="20"/>
  <c r="I71" i="20" s="1"/>
  <c r="J150" i="43"/>
  <c r="I72" i="18"/>
  <c r="I73" i="18" s="1"/>
  <c r="D146" i="81"/>
  <c r="G145" i="81"/>
  <c r="G146" i="78"/>
  <c r="D147" i="78"/>
  <c r="G152" i="19"/>
  <c r="D153" i="19"/>
  <c r="G152" i="20"/>
  <c r="D153" i="20"/>
  <c r="B153" i="20" s="1"/>
  <c r="I148" i="46"/>
  <c r="H148" i="46"/>
  <c r="D148" i="68"/>
  <c r="B148" i="68" s="1"/>
  <c r="G147" i="68"/>
  <c r="H144" i="85"/>
  <c r="I144" i="85"/>
  <c r="J153" i="70"/>
  <c r="I149" i="53"/>
  <c r="H149" i="53"/>
  <c r="D154" i="32"/>
  <c r="G153" i="32"/>
  <c r="I152" i="22"/>
  <c r="H152" i="22"/>
  <c r="E147" i="66"/>
  <c r="F147" i="66" s="1"/>
  <c r="B147" i="66"/>
  <c r="E153" i="31"/>
  <c r="F153" i="31" s="1"/>
  <c r="B153" i="31"/>
  <c r="H147" i="60"/>
  <c r="I147" i="60"/>
  <c r="J146" i="68"/>
  <c r="E152" i="73"/>
  <c r="F152" i="73" s="1"/>
  <c r="B152" i="73"/>
  <c r="G144" i="89"/>
  <c r="D145" i="89"/>
  <c r="B145" i="89" s="1"/>
  <c r="E150" i="72"/>
  <c r="F150" i="72" s="1"/>
  <c r="B150" i="72"/>
  <c r="E150" i="58"/>
  <c r="F150" i="58" s="1"/>
  <c r="E148" i="61"/>
  <c r="F148" i="61" s="1"/>
  <c r="B148" i="61"/>
  <c r="B144" i="90"/>
  <c r="F144" i="90"/>
  <c r="I143" i="84"/>
  <c r="H143" i="84"/>
  <c r="J151" i="19"/>
  <c r="E146" i="79"/>
  <c r="F146" i="79" s="1"/>
  <c r="E148" i="65"/>
  <c r="F148" i="65" s="1"/>
  <c r="H146" i="66"/>
  <c r="I146" i="66"/>
  <c r="H152" i="31"/>
  <c r="I152" i="31"/>
  <c r="E149" i="59"/>
  <c r="F149" i="59" s="1"/>
  <c r="G149" i="59" s="1"/>
  <c r="J152" i="32"/>
  <c r="I151" i="73"/>
  <c r="H151" i="73"/>
  <c r="H143" i="92"/>
  <c r="I143" i="92"/>
  <c r="I143" i="88"/>
  <c r="H143" i="88"/>
  <c r="G144" i="91"/>
  <c r="D145" i="91"/>
  <c r="H149" i="72"/>
  <c r="I149" i="72"/>
  <c r="I153" i="69"/>
  <c r="H153" i="69"/>
  <c r="I147" i="61"/>
  <c r="H147" i="61"/>
  <c r="I143" i="90"/>
  <c r="H143" i="90"/>
  <c r="I145" i="79"/>
  <c r="H145" i="79"/>
  <c r="I153" i="71"/>
  <c r="H153" i="71"/>
  <c r="E150" i="74"/>
  <c r="F150" i="74" s="1"/>
  <c r="B150" i="74"/>
  <c r="E148" i="60"/>
  <c r="F148" i="60" s="1"/>
  <c r="B148" i="60"/>
  <c r="J150" i="42"/>
  <c r="F154" i="70"/>
  <c r="G154" i="70" s="1"/>
  <c r="E144" i="92"/>
  <c r="F144" i="92" s="1"/>
  <c r="B144" i="92"/>
  <c r="E145" i="85"/>
  <c r="F145" i="85" s="1"/>
  <c r="B145" i="85"/>
  <c r="J147" i="63"/>
  <c r="E154" i="69"/>
  <c r="E155" i="69" s="1"/>
  <c r="B154" i="69"/>
  <c r="D150" i="62"/>
  <c r="G149" i="62"/>
  <c r="H148" i="63"/>
  <c r="I148" i="63"/>
  <c r="I143" i="86"/>
  <c r="H143" i="86"/>
  <c r="I147" i="65"/>
  <c r="H147" i="65"/>
  <c r="E154" i="71"/>
  <c r="E155" i="71" s="1"/>
  <c r="B154" i="71"/>
  <c r="I149" i="74"/>
  <c r="H149" i="74"/>
  <c r="D151" i="56"/>
  <c r="G150" i="56"/>
  <c r="I153" i="23"/>
  <c r="H153" i="23"/>
  <c r="H151" i="45"/>
  <c r="I151" i="45"/>
  <c r="E153" i="18"/>
  <c r="F153" i="18" s="1"/>
  <c r="B154" i="23"/>
  <c r="F154" i="23"/>
  <c r="G154" i="23" s="1"/>
  <c r="J148" i="55"/>
  <c r="J148" i="54"/>
  <c r="E152" i="45"/>
  <c r="F152" i="45" s="1"/>
  <c r="H152" i="18"/>
  <c r="I152" i="18"/>
  <c r="I148" i="59"/>
  <c r="H148" i="59"/>
  <c r="J152" i="24"/>
  <c r="B150" i="57"/>
  <c r="J145" i="77"/>
  <c r="E150" i="57"/>
  <c r="F150" i="57" s="1"/>
  <c r="I149" i="57"/>
  <c r="H149" i="57"/>
  <c r="G146" i="75"/>
  <c r="D147" i="75"/>
  <c r="E147" i="75" s="1"/>
  <c r="D152" i="42"/>
  <c r="E152" i="42" s="1"/>
  <c r="G151" i="42"/>
  <c r="G146" i="76"/>
  <c r="D147" i="76"/>
  <c r="E147" i="76" s="1"/>
  <c r="D154" i="24"/>
  <c r="E154" i="24" s="1"/>
  <c r="E155" i="24" s="1"/>
  <c r="G153" i="24"/>
  <c r="G144" i="25"/>
  <c r="D145" i="25"/>
  <c r="E145" i="25" s="1"/>
  <c r="D150" i="54"/>
  <c r="E150" i="54" s="1"/>
  <c r="G149" i="54"/>
  <c r="I143" i="96"/>
  <c r="H143" i="96"/>
  <c r="J154" i="28"/>
  <c r="J155" i="28" s="1"/>
  <c r="I155" i="28"/>
  <c r="I152" i="34"/>
  <c r="H152" i="34"/>
  <c r="F153" i="17"/>
  <c r="B153" i="17"/>
  <c r="G146" i="77"/>
  <c r="D147" i="77"/>
  <c r="E147" i="77" s="1"/>
  <c r="F145" i="95"/>
  <c r="B145" i="95"/>
  <c r="I146" i="67"/>
  <c r="H146" i="67"/>
  <c r="I143" i="87"/>
  <c r="H143" i="87"/>
  <c r="B145" i="82"/>
  <c r="D145" i="93"/>
  <c r="E145" i="93" s="1"/>
  <c r="G144" i="93"/>
  <c r="I144" i="94"/>
  <c r="H144" i="94"/>
  <c r="H150" i="44"/>
  <c r="I150" i="44"/>
  <c r="I152" i="17"/>
  <c r="H152" i="17"/>
  <c r="I144" i="95"/>
  <c r="H144" i="95"/>
  <c r="B144" i="87"/>
  <c r="D144" i="33"/>
  <c r="E144" i="33" s="1"/>
  <c r="G143" i="33"/>
  <c r="I144" i="82"/>
  <c r="H144" i="82"/>
  <c r="D144" i="13"/>
  <c r="G143" i="13"/>
  <c r="D153" i="21"/>
  <c r="E153" i="21" s="1"/>
  <c r="G152" i="21"/>
  <c r="B151" i="44"/>
  <c r="F153" i="34"/>
  <c r="B153" i="34"/>
  <c r="I151" i="3"/>
  <c r="H151" i="3"/>
  <c r="D146" i="80"/>
  <c r="G145" i="80"/>
  <c r="F145" i="94"/>
  <c r="B145" i="94"/>
  <c r="D150" i="55"/>
  <c r="E150" i="55" s="1"/>
  <c r="G149" i="55"/>
  <c r="G145" i="83"/>
  <c r="D146" i="83"/>
  <c r="E146" i="83" s="1"/>
  <c r="B144" i="96"/>
  <c r="F144" i="96"/>
  <c r="J142" i="33"/>
  <c r="J145" i="75"/>
  <c r="B152" i="3"/>
  <c r="F152" i="3"/>
  <c r="B147" i="67"/>
  <c r="F147" i="67"/>
  <c r="E144" i="87"/>
  <c r="F144" i="87" s="1"/>
  <c r="E145" i="82"/>
  <c r="F145" i="82" s="1"/>
  <c r="J145" i="76"/>
  <c r="E151" i="44"/>
  <c r="F151" i="44" s="1"/>
  <c r="E66" i="98" l="1"/>
  <c r="B66" i="98"/>
  <c r="F66" i="98"/>
  <c r="I144" i="26"/>
  <c r="H144" i="26"/>
  <c r="E145" i="26"/>
  <c r="F145" i="26" s="1"/>
  <c r="B145" i="26"/>
  <c r="H149" i="58"/>
  <c r="J149" i="58" s="1"/>
  <c r="E153" i="22"/>
  <c r="F153" i="22" s="1"/>
  <c r="H143" i="99"/>
  <c r="I143" i="99"/>
  <c r="E144" i="99"/>
  <c r="F144" i="99" s="1"/>
  <c r="B144" i="99"/>
  <c r="B150" i="53"/>
  <c r="G149" i="46"/>
  <c r="H149" i="46" s="1"/>
  <c r="I68" i="77"/>
  <c r="I65" i="91"/>
  <c r="H68" i="59"/>
  <c r="I68" i="59" s="1"/>
  <c r="E149" i="63"/>
  <c r="F149" i="63" s="1"/>
  <c r="D150" i="63" s="1"/>
  <c r="D145" i="98"/>
  <c r="G144" i="98"/>
  <c r="D145" i="97"/>
  <c r="G144" i="97"/>
  <c r="G144" i="88"/>
  <c r="I144" i="88" s="1"/>
  <c r="D145" i="88"/>
  <c r="E145" i="88" s="1"/>
  <c r="F145" i="88" s="1"/>
  <c r="E153" i="20"/>
  <c r="F153" i="20" s="1"/>
  <c r="G153" i="20" s="1"/>
  <c r="H153" i="20" s="1"/>
  <c r="E148" i="68"/>
  <c r="F148" i="68" s="1"/>
  <c r="D149" i="64"/>
  <c r="B149" i="64" s="1"/>
  <c r="G148" i="64"/>
  <c r="I154" i="29"/>
  <c r="H154" i="29"/>
  <c r="H155" i="29" s="1"/>
  <c r="J147" i="64"/>
  <c r="J154" i="30"/>
  <c r="J155" i="30" s="1"/>
  <c r="D150" i="59"/>
  <c r="E150" i="59" s="1"/>
  <c r="F150" i="59" s="1"/>
  <c r="I63" i="95"/>
  <c r="E66" i="91"/>
  <c r="F66" i="91" s="1"/>
  <c r="G65" i="92"/>
  <c r="I65" i="92" s="1"/>
  <c r="H65" i="94"/>
  <c r="I65" i="94" s="1"/>
  <c r="D66" i="94"/>
  <c r="I69" i="61"/>
  <c r="I67" i="80"/>
  <c r="E68" i="80"/>
  <c r="F68" i="80" s="1"/>
  <c r="B68" i="80"/>
  <c r="I66" i="93"/>
  <c r="D71" i="63"/>
  <c r="G70" i="63"/>
  <c r="H70" i="63"/>
  <c r="E70" i="61"/>
  <c r="F70" i="61" s="1"/>
  <c r="I71" i="56"/>
  <c r="G67" i="84"/>
  <c r="D68" i="84"/>
  <c r="D71" i="75"/>
  <c r="E71" i="75" s="1"/>
  <c r="D68" i="93"/>
  <c r="E68" i="93" s="1"/>
  <c r="F68" i="93" s="1"/>
  <c r="E68" i="90"/>
  <c r="F68" i="90" s="1"/>
  <c r="G68" i="90" s="1"/>
  <c r="B68" i="90"/>
  <c r="H67" i="84"/>
  <c r="H70" i="75"/>
  <c r="F72" i="55"/>
  <c r="G70" i="75"/>
  <c r="G67" i="93"/>
  <c r="I67" i="93" s="1"/>
  <c r="G68" i="85"/>
  <c r="D69" i="85"/>
  <c r="E69" i="85" s="1"/>
  <c r="F69" i="85" s="1"/>
  <c r="H68" i="85"/>
  <c r="H72" i="73"/>
  <c r="I72" i="73" s="1"/>
  <c r="I73" i="73" s="1"/>
  <c r="D67" i="81"/>
  <c r="D65" i="95"/>
  <c r="E65" i="95" s="1"/>
  <c r="F65" i="95" s="1"/>
  <c r="B69" i="86"/>
  <c r="G64" i="96"/>
  <c r="D65" i="96"/>
  <c r="E65" i="96" s="1"/>
  <c r="B69" i="76"/>
  <c r="F69" i="76"/>
  <c r="H69" i="76" s="1"/>
  <c r="H64" i="95"/>
  <c r="E69" i="86"/>
  <c r="F69" i="86" s="1"/>
  <c r="H66" i="81"/>
  <c r="G67" i="88"/>
  <c r="I67" i="88" s="1"/>
  <c r="H64" i="96"/>
  <c r="G66" i="81"/>
  <c r="G64" i="95"/>
  <c r="I68" i="86"/>
  <c r="E68" i="79"/>
  <c r="F68" i="79" s="1"/>
  <c r="B68" i="79"/>
  <c r="D66" i="89"/>
  <c r="E66" i="89" s="1"/>
  <c r="F66" i="89" s="1"/>
  <c r="D67" i="89" s="1"/>
  <c r="G65" i="89"/>
  <c r="H65" i="89"/>
  <c r="D72" i="67"/>
  <c r="E72" i="67" s="1"/>
  <c r="E73" i="67" s="1"/>
  <c r="H70" i="57"/>
  <c r="D71" i="57"/>
  <c r="E71" i="57" s="1"/>
  <c r="H72" i="60"/>
  <c r="G72" i="60"/>
  <c r="G73" i="60" s="1"/>
  <c r="H65" i="83"/>
  <c r="D66" i="83"/>
  <c r="E66" i="83" s="1"/>
  <c r="D70" i="77"/>
  <c r="E70" i="77" s="1"/>
  <c r="I71" i="82"/>
  <c r="I70" i="65"/>
  <c r="D72" i="54"/>
  <c r="E72" i="54" s="1"/>
  <c r="E73" i="54" s="1"/>
  <c r="I70" i="45"/>
  <c r="I70" i="64"/>
  <c r="B71" i="64"/>
  <c r="F71" i="64"/>
  <c r="H71" i="64" s="1"/>
  <c r="H69" i="77"/>
  <c r="G71" i="54"/>
  <c r="I71" i="54" s="1"/>
  <c r="G67" i="78"/>
  <c r="G71" i="67"/>
  <c r="E68" i="78"/>
  <c r="F68" i="78" s="1"/>
  <c r="B68" i="78"/>
  <c r="B67" i="79"/>
  <c r="G67" i="79"/>
  <c r="H67" i="79"/>
  <c r="G70" i="57"/>
  <c r="D68" i="88"/>
  <c r="E68" i="88" s="1"/>
  <c r="B71" i="45"/>
  <c r="D66" i="92"/>
  <c r="G65" i="83"/>
  <c r="G69" i="77"/>
  <c r="H67" i="78"/>
  <c r="E72" i="56"/>
  <c r="E73" i="56" s="1"/>
  <c r="B72" i="56"/>
  <c r="H71" i="67"/>
  <c r="E71" i="45"/>
  <c r="F71" i="45" s="1"/>
  <c r="H154" i="27"/>
  <c r="H155" i="27" s="1"/>
  <c r="I154" i="27"/>
  <c r="J145" i="79"/>
  <c r="J147" i="61"/>
  <c r="J151" i="41"/>
  <c r="J152" i="31"/>
  <c r="J147" i="65"/>
  <c r="J148" i="63"/>
  <c r="F154" i="69"/>
  <c r="G154" i="69" s="1"/>
  <c r="I154" i="69" s="1"/>
  <c r="I155" i="69" s="1"/>
  <c r="J151" i="45"/>
  <c r="H151" i="39"/>
  <c r="I151" i="39"/>
  <c r="B152" i="39"/>
  <c r="E152" i="39"/>
  <c r="F152" i="39" s="1"/>
  <c r="D153" i="41"/>
  <c r="G152" i="41"/>
  <c r="J152" i="34"/>
  <c r="B65" i="87"/>
  <c r="B72" i="66"/>
  <c r="B72" i="68"/>
  <c r="F66" i="25"/>
  <c r="G66" i="25" s="1"/>
  <c r="B66" i="25"/>
  <c r="F68" i="62"/>
  <c r="G68" i="62" s="1"/>
  <c r="B68" i="62"/>
  <c r="D69" i="59"/>
  <c r="B64" i="13"/>
  <c r="F64" i="13"/>
  <c r="E65" i="87"/>
  <c r="F65" i="87" s="1"/>
  <c r="F72" i="20"/>
  <c r="G72" i="20" s="1"/>
  <c r="G73" i="20" s="1"/>
  <c r="B72" i="20"/>
  <c r="E72" i="66"/>
  <c r="E73" i="66" s="1"/>
  <c r="F72" i="82"/>
  <c r="H72" i="82" s="1"/>
  <c r="B72" i="82"/>
  <c r="I151" i="43"/>
  <c r="H151" i="43"/>
  <c r="E72" i="68"/>
  <c r="E73" i="68" s="1"/>
  <c r="I64" i="87"/>
  <c r="F65" i="26"/>
  <c r="G65" i="26" s="1"/>
  <c r="B65" i="26"/>
  <c r="F71" i="65"/>
  <c r="H71" i="65" s="1"/>
  <c r="B71" i="65"/>
  <c r="J148" i="59"/>
  <c r="J146" i="66"/>
  <c r="J147" i="60"/>
  <c r="F66" i="33"/>
  <c r="H66" i="33" s="1"/>
  <c r="B66" i="33"/>
  <c r="B72" i="53"/>
  <c r="F72" i="53"/>
  <c r="H72" i="53" s="1"/>
  <c r="E152" i="43"/>
  <c r="F152" i="43" s="1"/>
  <c r="D151" i="74"/>
  <c r="G150" i="74"/>
  <c r="G153" i="31"/>
  <c r="D154" i="31"/>
  <c r="G144" i="92"/>
  <c r="D145" i="92"/>
  <c r="G148" i="60"/>
  <c r="D149" i="60"/>
  <c r="B149" i="60" s="1"/>
  <c r="D148" i="66"/>
  <c r="B148" i="66" s="1"/>
  <c r="G147" i="66"/>
  <c r="D149" i="61"/>
  <c r="G148" i="61"/>
  <c r="G150" i="72"/>
  <c r="D151" i="72"/>
  <c r="G152" i="73"/>
  <c r="D153" i="73"/>
  <c r="B153" i="73" s="1"/>
  <c r="F154" i="71"/>
  <c r="G154" i="71" s="1"/>
  <c r="H149" i="62"/>
  <c r="I149" i="62"/>
  <c r="G145" i="85"/>
  <c r="D146" i="85"/>
  <c r="E150" i="46"/>
  <c r="F150" i="46" s="1"/>
  <c r="B150" i="46"/>
  <c r="H154" i="70"/>
  <c r="H155" i="70" s="1"/>
  <c r="I154" i="70"/>
  <c r="J149" i="72"/>
  <c r="H144" i="91"/>
  <c r="I144" i="91"/>
  <c r="D147" i="79"/>
  <c r="B147" i="79" s="1"/>
  <c r="G146" i="79"/>
  <c r="G144" i="90"/>
  <c r="D145" i="90"/>
  <c r="I144" i="89"/>
  <c r="H144" i="89"/>
  <c r="E154" i="32"/>
  <c r="E155" i="32" s="1"/>
  <c r="B154" i="32"/>
  <c r="H152" i="19"/>
  <c r="I152" i="19"/>
  <c r="D151" i="53"/>
  <c r="G150" i="53"/>
  <c r="E150" i="62"/>
  <c r="F150" i="62" s="1"/>
  <c r="B150" i="62"/>
  <c r="G150" i="58"/>
  <c r="D151" i="58"/>
  <c r="E147" i="78"/>
  <c r="F147" i="78" s="1"/>
  <c r="B147" i="78"/>
  <c r="J149" i="74"/>
  <c r="G144" i="84"/>
  <c r="D145" i="84"/>
  <c r="J153" i="71"/>
  <c r="G144" i="86"/>
  <c r="D145" i="86"/>
  <c r="J151" i="73"/>
  <c r="E145" i="89"/>
  <c r="F145" i="89" s="1"/>
  <c r="J152" i="22"/>
  <c r="J149" i="53"/>
  <c r="J148" i="46"/>
  <c r="I152" i="20"/>
  <c r="H152" i="20"/>
  <c r="H146" i="78"/>
  <c r="I146" i="78"/>
  <c r="I145" i="81"/>
  <c r="H145" i="81"/>
  <c r="G153" i="22"/>
  <c r="D154" i="22"/>
  <c r="J153" i="69"/>
  <c r="E145" i="91"/>
  <c r="F145" i="91" s="1"/>
  <c r="B145" i="91"/>
  <c r="D149" i="65"/>
  <c r="B149" i="65" s="1"/>
  <c r="G148" i="65"/>
  <c r="H153" i="32"/>
  <c r="I153" i="32"/>
  <c r="H147" i="68"/>
  <c r="I147" i="68"/>
  <c r="E153" i="19"/>
  <c r="F153" i="19" s="1"/>
  <c r="B153" i="19"/>
  <c r="E146" i="81"/>
  <c r="F146" i="81" s="1"/>
  <c r="B146" i="81"/>
  <c r="D153" i="45"/>
  <c r="B153" i="45" s="1"/>
  <c r="G152" i="45"/>
  <c r="J153" i="23"/>
  <c r="J152" i="18"/>
  <c r="H149" i="59"/>
  <c r="I149" i="59"/>
  <c r="I150" i="56"/>
  <c r="H150" i="56"/>
  <c r="H154" i="23"/>
  <c r="H155" i="23" s="1"/>
  <c r="I154" i="23"/>
  <c r="I155" i="23" s="1"/>
  <c r="G153" i="18"/>
  <c r="D154" i="18"/>
  <c r="E151" i="56"/>
  <c r="F151" i="56" s="1"/>
  <c r="B151" i="56"/>
  <c r="G150" i="57"/>
  <c r="D151" i="57"/>
  <c r="B151" i="57" s="1"/>
  <c r="J152" i="17"/>
  <c r="J146" i="67"/>
  <c r="J149" i="57"/>
  <c r="I153" i="20"/>
  <c r="G144" i="87"/>
  <c r="D145" i="87"/>
  <c r="E145" i="87" s="1"/>
  <c r="D146" i="82"/>
  <c r="E146" i="82" s="1"/>
  <c r="G145" i="82"/>
  <c r="D152" i="44"/>
  <c r="E152" i="44" s="1"/>
  <c r="G151" i="44"/>
  <c r="B146" i="80"/>
  <c r="G153" i="34"/>
  <c r="D154" i="34"/>
  <c r="E154" i="34" s="1"/>
  <c r="E155" i="34" s="1"/>
  <c r="B144" i="13"/>
  <c r="J150" i="44"/>
  <c r="G145" i="95"/>
  <c r="D146" i="95"/>
  <c r="E146" i="95" s="1"/>
  <c r="F147" i="77"/>
  <c r="B147" i="77"/>
  <c r="H153" i="24"/>
  <c r="I153" i="24"/>
  <c r="F146" i="83"/>
  <c r="B146" i="83"/>
  <c r="B150" i="55"/>
  <c r="F150" i="55"/>
  <c r="B153" i="21"/>
  <c r="F153" i="21"/>
  <c r="H143" i="33"/>
  <c r="I143" i="33"/>
  <c r="F145" i="93"/>
  <c r="B145" i="93"/>
  <c r="H146" i="77"/>
  <c r="I146" i="77"/>
  <c r="G153" i="17"/>
  <c r="D154" i="17"/>
  <c r="E154" i="17" s="1"/>
  <c r="E155" i="17" s="1"/>
  <c r="H149" i="54"/>
  <c r="I149" i="54"/>
  <c r="F145" i="25"/>
  <c r="B145" i="25"/>
  <c r="F154" i="24"/>
  <c r="G154" i="24" s="1"/>
  <c r="B154" i="24"/>
  <c r="I146" i="75"/>
  <c r="H146" i="75"/>
  <c r="G152" i="3"/>
  <c r="D153" i="3"/>
  <c r="E153" i="3" s="1"/>
  <c r="H145" i="83"/>
  <c r="I145" i="83"/>
  <c r="I145" i="80"/>
  <c r="H145" i="80"/>
  <c r="J151" i="3"/>
  <c r="E144" i="13"/>
  <c r="F144" i="13" s="1"/>
  <c r="I144" i="25"/>
  <c r="H144" i="25"/>
  <c r="F147" i="76"/>
  <c r="B147" i="76"/>
  <c r="H151" i="42"/>
  <c r="I151" i="42"/>
  <c r="D148" i="67"/>
  <c r="E148" i="67" s="1"/>
  <c r="G147" i="67"/>
  <c r="G144" i="96"/>
  <c r="D145" i="96"/>
  <c r="E145" i="96" s="1"/>
  <c r="H149" i="55"/>
  <c r="I149" i="55"/>
  <c r="G145" i="94"/>
  <c r="D146" i="94"/>
  <c r="E146" i="94" s="1"/>
  <c r="E146" i="80"/>
  <c r="F146" i="80" s="1"/>
  <c r="H152" i="21"/>
  <c r="I152" i="21"/>
  <c r="I143" i="13"/>
  <c r="H143" i="13"/>
  <c r="F144" i="33"/>
  <c r="B144" i="33"/>
  <c r="H144" i="93"/>
  <c r="I144" i="93"/>
  <c r="B150" i="54"/>
  <c r="F150" i="54"/>
  <c r="H146" i="76"/>
  <c r="I146" i="76"/>
  <c r="F152" i="42"/>
  <c r="B152" i="42"/>
  <c r="F147" i="75"/>
  <c r="B147" i="75"/>
  <c r="G66" i="98" l="1"/>
  <c r="D67" i="98"/>
  <c r="H66" i="98"/>
  <c r="I66" i="98" s="1"/>
  <c r="J144" i="26"/>
  <c r="D146" i="26"/>
  <c r="G145" i="26"/>
  <c r="G66" i="33"/>
  <c r="G149" i="63"/>
  <c r="I149" i="63" s="1"/>
  <c r="I149" i="46"/>
  <c r="H144" i="88"/>
  <c r="I65" i="83"/>
  <c r="G144" i="99"/>
  <c r="D145" i="99"/>
  <c r="B145" i="88"/>
  <c r="D154" i="20"/>
  <c r="B150" i="59"/>
  <c r="I144" i="97"/>
  <c r="H144" i="97"/>
  <c r="E145" i="97"/>
  <c r="F145" i="97" s="1"/>
  <c r="B145" i="97"/>
  <c r="H144" i="98"/>
  <c r="I144" i="98"/>
  <c r="E145" i="98"/>
  <c r="F145" i="98" s="1"/>
  <c r="B145" i="98"/>
  <c r="G148" i="68"/>
  <c r="D149" i="68"/>
  <c r="H154" i="69"/>
  <c r="H155" i="69" s="1"/>
  <c r="E149" i="64"/>
  <c r="F149" i="64" s="1"/>
  <c r="G149" i="64" s="1"/>
  <c r="I155" i="29"/>
  <c r="J154" i="29"/>
  <c r="J155" i="29" s="1"/>
  <c r="H148" i="64"/>
  <c r="I148" i="64"/>
  <c r="G66" i="91"/>
  <c r="H66" i="91"/>
  <c r="D67" i="91"/>
  <c r="G69" i="76"/>
  <c r="I69" i="76" s="1"/>
  <c r="G71" i="65"/>
  <c r="I67" i="84"/>
  <c r="D69" i="80"/>
  <c r="E69" i="80" s="1"/>
  <c r="F69" i="80" s="1"/>
  <c r="H68" i="80"/>
  <c r="G68" i="80"/>
  <c r="B66" i="94"/>
  <c r="H73" i="73"/>
  <c r="E71" i="63"/>
  <c r="F71" i="63" s="1"/>
  <c r="B71" i="63"/>
  <c r="E66" i="94"/>
  <c r="F66" i="94" s="1"/>
  <c r="I64" i="96"/>
  <c r="G70" i="61"/>
  <c r="H70" i="61"/>
  <c r="D71" i="61"/>
  <c r="I70" i="75"/>
  <c r="I70" i="63"/>
  <c r="D69" i="93"/>
  <c r="E69" i="93" s="1"/>
  <c r="H66" i="25"/>
  <c r="F72" i="56"/>
  <c r="G72" i="56" s="1"/>
  <c r="G73" i="56" s="1"/>
  <c r="I64" i="95"/>
  <c r="G72" i="55"/>
  <c r="G73" i="55" s="1"/>
  <c r="H72" i="55"/>
  <c r="D69" i="90"/>
  <c r="B68" i="93"/>
  <c r="G68" i="93"/>
  <c r="H68" i="93"/>
  <c r="E68" i="84"/>
  <c r="F68" i="84" s="1"/>
  <c r="H68" i="84" s="1"/>
  <c r="B68" i="84"/>
  <c r="I66" i="81"/>
  <c r="I71" i="67"/>
  <c r="I67" i="78"/>
  <c r="I68" i="85"/>
  <c r="H68" i="90"/>
  <c r="I68" i="90" s="1"/>
  <c r="B71" i="75"/>
  <c r="F71" i="75"/>
  <c r="G71" i="75" s="1"/>
  <c r="D69" i="79"/>
  <c r="H68" i="79"/>
  <c r="D66" i="95"/>
  <c r="E66" i="95" s="1"/>
  <c r="F66" i="95" s="1"/>
  <c r="D67" i="95" s="1"/>
  <c r="D70" i="85"/>
  <c r="E70" i="85" s="1"/>
  <c r="F70" i="85" s="1"/>
  <c r="D71" i="85" s="1"/>
  <c r="G71" i="64"/>
  <c r="I71" i="64" s="1"/>
  <c r="H69" i="86"/>
  <c r="D70" i="86"/>
  <c r="G69" i="86"/>
  <c r="B67" i="81"/>
  <c r="G72" i="53"/>
  <c r="G73" i="53" s="1"/>
  <c r="G72" i="82"/>
  <c r="G73" i="82" s="1"/>
  <c r="H72" i="20"/>
  <c r="I72" i="20" s="1"/>
  <c r="I73" i="20" s="1"/>
  <c r="B65" i="96"/>
  <c r="F65" i="96"/>
  <c r="B65" i="95"/>
  <c r="H65" i="95"/>
  <c r="G65" i="95"/>
  <c r="B69" i="85"/>
  <c r="H69" i="85"/>
  <c r="G69" i="85"/>
  <c r="H65" i="26"/>
  <c r="I65" i="26" s="1"/>
  <c r="D70" i="76"/>
  <c r="E70" i="76" s="1"/>
  <c r="E67" i="81"/>
  <c r="F67" i="81" s="1"/>
  <c r="D68" i="81" s="1"/>
  <c r="H71" i="45"/>
  <c r="D72" i="45"/>
  <c r="G71" i="45"/>
  <c r="E67" i="89"/>
  <c r="F67" i="89" s="1"/>
  <c r="B67" i="89"/>
  <c r="B66" i="92"/>
  <c r="H68" i="78"/>
  <c r="D69" i="78"/>
  <c r="E69" i="78" s="1"/>
  <c r="F69" i="78" s="1"/>
  <c r="D70" i="78" s="1"/>
  <c r="I70" i="57"/>
  <c r="I66" i="33"/>
  <c r="B68" i="88"/>
  <c r="F68" i="88"/>
  <c r="G68" i="88" s="1"/>
  <c r="B72" i="54"/>
  <c r="F72" i="54"/>
  <c r="H72" i="54" s="1"/>
  <c r="F66" i="83"/>
  <c r="G66" i="83" s="1"/>
  <c r="B66" i="83"/>
  <c r="I72" i="60"/>
  <c r="I73" i="60" s="1"/>
  <c r="H73" i="60"/>
  <c r="G68" i="78"/>
  <c r="D72" i="64"/>
  <c r="E72" i="64" s="1"/>
  <c r="E73" i="64" s="1"/>
  <c r="B72" i="67"/>
  <c r="F72" i="67"/>
  <c r="B66" i="89"/>
  <c r="H66" i="89"/>
  <c r="G66" i="89"/>
  <c r="E66" i="92"/>
  <c r="F66" i="92" s="1"/>
  <c r="I67" i="79"/>
  <c r="I69" i="77"/>
  <c r="F70" i="77"/>
  <c r="H70" i="77" s="1"/>
  <c r="B70" i="77"/>
  <c r="B71" i="57"/>
  <c r="F71" i="57"/>
  <c r="D72" i="57" s="1"/>
  <c r="I65" i="89"/>
  <c r="G68" i="79"/>
  <c r="J151" i="43"/>
  <c r="J151" i="42"/>
  <c r="J149" i="62"/>
  <c r="J154" i="27"/>
  <c r="J155" i="27" s="1"/>
  <c r="I155" i="27"/>
  <c r="J151" i="39"/>
  <c r="G152" i="39"/>
  <c r="D153" i="39"/>
  <c r="E148" i="66"/>
  <c r="F148" i="66" s="1"/>
  <c r="G148" i="66" s="1"/>
  <c r="J153" i="32"/>
  <c r="D66" i="87"/>
  <c r="E66" i="87" s="1"/>
  <c r="G65" i="87"/>
  <c r="H65" i="87"/>
  <c r="I72" i="82"/>
  <c r="I73" i="82" s="1"/>
  <c r="H73" i="82"/>
  <c r="D65" i="13"/>
  <c r="E65" i="13" s="1"/>
  <c r="B69" i="59"/>
  <c r="I66" i="25"/>
  <c r="J147" i="68"/>
  <c r="J152" i="20"/>
  <c r="I71" i="65"/>
  <c r="G64" i="13"/>
  <c r="H68" i="62"/>
  <c r="I68" i="62" s="1"/>
  <c r="F72" i="66"/>
  <c r="J149" i="46"/>
  <c r="J146" i="78"/>
  <c r="D67" i="33"/>
  <c r="E67" i="33" s="1"/>
  <c r="D72" i="65"/>
  <c r="D66" i="26"/>
  <c r="E66" i="26" s="1"/>
  <c r="F72" i="68"/>
  <c r="I152" i="41"/>
  <c r="H152" i="41"/>
  <c r="D153" i="43"/>
  <c r="G152" i="43"/>
  <c r="H73" i="53"/>
  <c r="H64" i="13"/>
  <c r="E69" i="59"/>
  <c r="F69" i="59" s="1"/>
  <c r="D69" i="62"/>
  <c r="D67" i="25"/>
  <c r="E67" i="25" s="1"/>
  <c r="E153" i="41"/>
  <c r="F153" i="41" s="1"/>
  <c r="B153" i="41"/>
  <c r="G146" i="81"/>
  <c r="D147" i="81"/>
  <c r="G147" i="78"/>
  <c r="D148" i="78"/>
  <c r="G153" i="19"/>
  <c r="D154" i="19"/>
  <c r="B154" i="19" s="1"/>
  <c r="E153" i="45"/>
  <c r="F153" i="45" s="1"/>
  <c r="G153" i="45" s="1"/>
  <c r="E149" i="65"/>
  <c r="F149" i="65" s="1"/>
  <c r="D146" i="91"/>
  <c r="B146" i="91" s="1"/>
  <c r="G145" i="91"/>
  <c r="E154" i="22"/>
  <c r="E155" i="22" s="1"/>
  <c r="B154" i="22"/>
  <c r="I144" i="86"/>
  <c r="H144" i="86"/>
  <c r="I144" i="84"/>
  <c r="H144" i="84"/>
  <c r="E150" i="63"/>
  <c r="F150" i="63" s="1"/>
  <c r="B150" i="63"/>
  <c r="E151" i="53"/>
  <c r="F151" i="53" s="1"/>
  <c r="B151" i="53"/>
  <c r="F154" i="32"/>
  <c r="G154" i="32" s="1"/>
  <c r="H146" i="79"/>
  <c r="I146" i="79"/>
  <c r="I154" i="71"/>
  <c r="H154" i="71"/>
  <c r="H155" i="71" s="1"/>
  <c r="E151" i="72"/>
  <c r="F151" i="72" s="1"/>
  <c r="B151" i="72"/>
  <c r="E154" i="31"/>
  <c r="E155" i="31" s="1"/>
  <c r="B154" i="31"/>
  <c r="I148" i="65"/>
  <c r="H148" i="65"/>
  <c r="H153" i="22"/>
  <c r="I153" i="22"/>
  <c r="G145" i="89"/>
  <c r="D146" i="89"/>
  <c r="E146" i="89" s="1"/>
  <c r="E151" i="58"/>
  <c r="F151" i="58" s="1"/>
  <c r="B151" i="58"/>
  <c r="E145" i="90"/>
  <c r="F145" i="90" s="1"/>
  <c r="B145" i="90"/>
  <c r="J154" i="70"/>
  <c r="J155" i="70" s="1"/>
  <c r="I155" i="70"/>
  <c r="E153" i="73"/>
  <c r="F153" i="73" s="1"/>
  <c r="H150" i="72"/>
  <c r="I150" i="72"/>
  <c r="H147" i="66"/>
  <c r="I147" i="66"/>
  <c r="I148" i="60"/>
  <c r="H148" i="60"/>
  <c r="H153" i="31"/>
  <c r="I153" i="31"/>
  <c r="H150" i="58"/>
  <c r="I150" i="58"/>
  <c r="G150" i="62"/>
  <c r="D151" i="62"/>
  <c r="D146" i="88"/>
  <c r="B146" i="88" s="1"/>
  <c r="G145" i="88"/>
  <c r="H144" i="90"/>
  <c r="I144" i="90"/>
  <c r="E146" i="85"/>
  <c r="F146" i="85" s="1"/>
  <c r="B146" i="85"/>
  <c r="H148" i="61"/>
  <c r="I148" i="61"/>
  <c r="E145" i="92"/>
  <c r="F145" i="92" s="1"/>
  <c r="B145" i="92"/>
  <c r="H150" i="74"/>
  <c r="I150" i="74"/>
  <c r="J154" i="23"/>
  <c r="J155" i="23" s="1"/>
  <c r="J149" i="59"/>
  <c r="E145" i="86"/>
  <c r="F145" i="86" s="1"/>
  <c r="B145" i="86"/>
  <c r="E145" i="84"/>
  <c r="F145" i="84" s="1"/>
  <c r="B145" i="84"/>
  <c r="I150" i="53"/>
  <c r="H150" i="53"/>
  <c r="J152" i="19"/>
  <c r="E147" i="79"/>
  <c r="F147" i="79" s="1"/>
  <c r="G150" i="46"/>
  <c r="D151" i="46"/>
  <c r="B151" i="46" s="1"/>
  <c r="H145" i="85"/>
  <c r="I145" i="85"/>
  <c r="H152" i="73"/>
  <c r="I152" i="73"/>
  <c r="E149" i="61"/>
  <c r="F149" i="61" s="1"/>
  <c r="B149" i="61"/>
  <c r="E149" i="60"/>
  <c r="F149" i="60" s="1"/>
  <c r="I144" i="92"/>
  <c r="H144" i="92"/>
  <c r="E151" i="74"/>
  <c r="F151" i="74" s="1"/>
  <c r="B151" i="74"/>
  <c r="D151" i="59"/>
  <c r="G150" i="59"/>
  <c r="D152" i="56"/>
  <c r="E152" i="56" s="1"/>
  <c r="G151" i="56"/>
  <c r="E154" i="18"/>
  <c r="E155" i="18" s="1"/>
  <c r="B154" i="18"/>
  <c r="J150" i="56"/>
  <c r="H152" i="45"/>
  <c r="I152" i="45"/>
  <c r="J146" i="77"/>
  <c r="I153" i="18"/>
  <c r="H153" i="18"/>
  <c r="J146" i="76"/>
  <c r="J146" i="75"/>
  <c r="J153" i="20"/>
  <c r="E151" i="57"/>
  <c r="F151" i="57" s="1"/>
  <c r="H150" i="57"/>
  <c r="I150" i="57"/>
  <c r="D147" i="80"/>
  <c r="E147" i="80" s="1"/>
  <c r="G146" i="80"/>
  <c r="G144" i="13"/>
  <c r="D145" i="13"/>
  <c r="H145" i="94"/>
  <c r="I145" i="94"/>
  <c r="J152" i="21"/>
  <c r="J149" i="55"/>
  <c r="B145" i="96"/>
  <c r="F145" i="96"/>
  <c r="H147" i="67"/>
  <c r="I147" i="67"/>
  <c r="G147" i="76"/>
  <c r="D148" i="76"/>
  <c r="E148" i="76" s="1"/>
  <c r="J149" i="54"/>
  <c r="I153" i="17"/>
  <c r="H153" i="17"/>
  <c r="J143" i="33"/>
  <c r="G146" i="83"/>
  <c r="D147" i="83"/>
  <c r="J153" i="24"/>
  <c r="H145" i="95"/>
  <c r="I145" i="95"/>
  <c r="H153" i="34"/>
  <c r="I153" i="34"/>
  <c r="I145" i="82"/>
  <c r="H145" i="82"/>
  <c r="I144" i="87"/>
  <c r="H144" i="87"/>
  <c r="G150" i="54"/>
  <c r="D151" i="54"/>
  <c r="E151" i="54" s="1"/>
  <c r="I144" i="96"/>
  <c r="H144" i="96"/>
  <c r="F148" i="67"/>
  <c r="B148" i="67"/>
  <c r="B153" i="3"/>
  <c r="F153" i="3"/>
  <c r="I154" i="24"/>
  <c r="H154" i="24"/>
  <c r="H155" i="24" s="1"/>
  <c r="D151" i="55"/>
  <c r="E151" i="55" s="1"/>
  <c r="G150" i="55"/>
  <c r="I151" i="44"/>
  <c r="H151" i="44"/>
  <c r="B146" i="82"/>
  <c r="F146" i="82"/>
  <c r="G147" i="75"/>
  <c r="D148" i="75"/>
  <c r="D153" i="42"/>
  <c r="E153" i="42" s="1"/>
  <c r="G152" i="42"/>
  <c r="G144" i="33"/>
  <c r="D145" i="33"/>
  <c r="E145" i="33" s="1"/>
  <c r="B146" i="94"/>
  <c r="F146" i="94"/>
  <c r="J144" i="25"/>
  <c r="I152" i="3"/>
  <c r="H152" i="3"/>
  <c r="G153" i="21"/>
  <c r="D154" i="21"/>
  <c r="E154" i="21" s="1"/>
  <c r="E155" i="21" s="1"/>
  <c r="G147" i="77"/>
  <c r="D148" i="77"/>
  <c r="E148" i="77" s="1"/>
  <c r="F152" i="44"/>
  <c r="B152" i="44"/>
  <c r="G145" i="25"/>
  <c r="D146" i="25"/>
  <c r="F154" i="17"/>
  <c r="G154" i="17" s="1"/>
  <c r="B154" i="17"/>
  <c r="G145" i="93"/>
  <c r="D146" i="93"/>
  <c r="E146" i="93" s="1"/>
  <c r="B146" i="95"/>
  <c r="F146" i="95"/>
  <c r="B154" i="34"/>
  <c r="F154" i="34"/>
  <c r="G154" i="34" s="1"/>
  <c r="B145" i="87"/>
  <c r="F145" i="87"/>
  <c r="E67" i="98" l="1"/>
  <c r="F67" i="98" s="1"/>
  <c r="D68" i="98" s="1"/>
  <c r="B67" i="98"/>
  <c r="G67" i="98"/>
  <c r="H67" i="98"/>
  <c r="I67" i="98" s="1"/>
  <c r="H149" i="63"/>
  <c r="I145" i="26"/>
  <c r="H145" i="26"/>
  <c r="B146" i="26"/>
  <c r="E146" i="26"/>
  <c r="F146" i="26" s="1"/>
  <c r="I66" i="91"/>
  <c r="D149" i="66"/>
  <c r="E149" i="66" s="1"/>
  <c r="F149" i="66" s="1"/>
  <c r="B145" i="99"/>
  <c r="E145" i="99"/>
  <c r="F145" i="99" s="1"/>
  <c r="H144" i="99"/>
  <c r="I144" i="99"/>
  <c r="J154" i="69"/>
  <c r="J155" i="69" s="1"/>
  <c r="E154" i="20"/>
  <c r="B154" i="20"/>
  <c r="E69" i="79"/>
  <c r="F69" i="79" s="1"/>
  <c r="H72" i="56"/>
  <c r="H73" i="56" s="1"/>
  <c r="G145" i="98"/>
  <c r="D146" i="98"/>
  <c r="E146" i="98" s="1"/>
  <c r="G145" i="97"/>
  <c r="D146" i="97"/>
  <c r="D150" i="64"/>
  <c r="B150" i="64" s="1"/>
  <c r="J148" i="64"/>
  <c r="B149" i="68"/>
  <c r="E149" i="68"/>
  <c r="F149" i="68" s="1"/>
  <c r="H148" i="68"/>
  <c r="I148" i="68"/>
  <c r="I149" i="64"/>
  <c r="H149" i="64"/>
  <c r="I65" i="95"/>
  <c r="E67" i="91"/>
  <c r="F67" i="91" s="1"/>
  <c r="D68" i="91" s="1"/>
  <c r="B67" i="91"/>
  <c r="B69" i="79"/>
  <c r="I70" i="61"/>
  <c r="I72" i="53"/>
  <c r="I73" i="53" s="1"/>
  <c r="D67" i="94"/>
  <c r="E67" i="94" s="1"/>
  <c r="F67" i="94" s="1"/>
  <c r="H66" i="94"/>
  <c r="G66" i="94"/>
  <c r="D70" i="80"/>
  <c r="E70" i="80" s="1"/>
  <c r="F70" i="80" s="1"/>
  <c r="H71" i="63"/>
  <c r="G71" i="63"/>
  <c r="D72" i="63"/>
  <c r="I68" i="80"/>
  <c r="H73" i="20"/>
  <c r="G72" i="54"/>
  <c r="G73" i="54" s="1"/>
  <c r="I68" i="79"/>
  <c r="I68" i="93"/>
  <c r="B71" i="61"/>
  <c r="E71" i="61"/>
  <c r="F71" i="61" s="1"/>
  <c r="B69" i="80"/>
  <c r="H69" i="80"/>
  <c r="G69" i="80"/>
  <c r="D72" i="75"/>
  <c r="E72" i="75" s="1"/>
  <c r="E73" i="75" s="1"/>
  <c r="B69" i="90"/>
  <c r="G68" i="84"/>
  <c r="I68" i="84" s="1"/>
  <c r="D69" i="84"/>
  <c r="I72" i="55"/>
  <c r="I73" i="55" s="1"/>
  <c r="H73" i="55"/>
  <c r="H71" i="75"/>
  <c r="E69" i="90"/>
  <c r="F69" i="90" s="1"/>
  <c r="G69" i="90" s="1"/>
  <c r="B69" i="93"/>
  <c r="F69" i="93"/>
  <c r="H69" i="93" s="1"/>
  <c r="E71" i="85"/>
  <c r="F71" i="85" s="1"/>
  <c r="H71" i="85" s="1"/>
  <c r="B71" i="85"/>
  <c r="E67" i="95"/>
  <c r="F67" i="95" s="1"/>
  <c r="B67" i="95"/>
  <c r="H68" i="88"/>
  <c r="I68" i="88" s="1"/>
  <c r="F70" i="76"/>
  <c r="H70" i="76" s="1"/>
  <c r="B70" i="76"/>
  <c r="G65" i="96"/>
  <c r="D66" i="96"/>
  <c r="I69" i="86"/>
  <c r="B66" i="95"/>
  <c r="G66" i="95"/>
  <c r="H66" i="95"/>
  <c r="I69" i="85"/>
  <c r="H65" i="96"/>
  <c r="G67" i="81"/>
  <c r="B70" i="86"/>
  <c r="E70" i="86"/>
  <c r="F70" i="86" s="1"/>
  <c r="E68" i="81"/>
  <c r="F68" i="81" s="1"/>
  <c r="H68" i="81" s="1"/>
  <c r="B68" i="81"/>
  <c r="H67" i="81"/>
  <c r="B70" i="85"/>
  <c r="G70" i="85"/>
  <c r="H70" i="85"/>
  <c r="D68" i="89"/>
  <c r="G67" i="89"/>
  <c r="H67" i="89"/>
  <c r="H66" i="92"/>
  <c r="D67" i="92"/>
  <c r="E67" i="92" s="1"/>
  <c r="F67" i="92" s="1"/>
  <c r="D68" i="92" s="1"/>
  <c r="G66" i="92"/>
  <c r="H73" i="54"/>
  <c r="I65" i="87"/>
  <c r="G71" i="57"/>
  <c r="I66" i="89"/>
  <c r="B72" i="64"/>
  <c r="F72" i="64"/>
  <c r="E72" i="57"/>
  <c r="E73" i="57" s="1"/>
  <c r="B72" i="57"/>
  <c r="D67" i="83"/>
  <c r="E67" i="83" s="1"/>
  <c r="F67" i="83" s="1"/>
  <c r="D69" i="88"/>
  <c r="E70" i="78"/>
  <c r="F70" i="78" s="1"/>
  <c r="B70" i="78"/>
  <c r="E72" i="45"/>
  <c r="E73" i="45" s="1"/>
  <c r="B72" i="45"/>
  <c r="I64" i="13"/>
  <c r="H71" i="57"/>
  <c r="G70" i="77"/>
  <c r="I70" i="77" s="1"/>
  <c r="D71" i="77"/>
  <c r="E71" i="77" s="1"/>
  <c r="F71" i="77" s="1"/>
  <c r="D72" i="77" s="1"/>
  <c r="G72" i="67"/>
  <c r="G73" i="67" s="1"/>
  <c r="H72" i="67"/>
  <c r="I68" i="78"/>
  <c r="H66" i="83"/>
  <c r="B69" i="78"/>
  <c r="H69" i="78"/>
  <c r="G69" i="78"/>
  <c r="I71" i="45"/>
  <c r="D154" i="45"/>
  <c r="E154" i="45" s="1"/>
  <c r="E155" i="45" s="1"/>
  <c r="J150" i="72"/>
  <c r="J147" i="66"/>
  <c r="J152" i="41"/>
  <c r="J152" i="45"/>
  <c r="E153" i="39"/>
  <c r="F153" i="39" s="1"/>
  <c r="B153" i="39"/>
  <c r="J150" i="74"/>
  <c r="F154" i="22"/>
  <c r="G154" i="22" s="1"/>
  <c r="H154" i="22" s="1"/>
  <c r="H155" i="22" s="1"/>
  <c r="H152" i="39"/>
  <c r="I152" i="39"/>
  <c r="D70" i="59"/>
  <c r="E70" i="59" s="1"/>
  <c r="G69" i="59"/>
  <c r="H69" i="59"/>
  <c r="B69" i="62"/>
  <c r="B72" i="65"/>
  <c r="H72" i="66"/>
  <c r="G72" i="66"/>
  <c r="G73" i="66" s="1"/>
  <c r="J150" i="57"/>
  <c r="J152" i="73"/>
  <c r="E151" i="46"/>
  <c r="F151" i="46" s="1"/>
  <c r="G151" i="46" s="1"/>
  <c r="J149" i="63"/>
  <c r="E146" i="88"/>
  <c r="F146" i="88" s="1"/>
  <c r="D147" i="88" s="1"/>
  <c r="J146" i="79"/>
  <c r="E69" i="62"/>
  <c r="F69" i="62" s="1"/>
  <c r="H152" i="43"/>
  <c r="I152" i="43"/>
  <c r="D154" i="41"/>
  <c r="G153" i="41"/>
  <c r="E153" i="43"/>
  <c r="F153" i="43" s="1"/>
  <c r="B153" i="43"/>
  <c r="H72" i="68"/>
  <c r="G72" i="68"/>
  <c r="G73" i="68" s="1"/>
  <c r="B66" i="26"/>
  <c r="F66" i="26"/>
  <c r="G66" i="26" s="1"/>
  <c r="B67" i="33"/>
  <c r="F67" i="33"/>
  <c r="G67" i="33" s="1"/>
  <c r="F65" i="13"/>
  <c r="G65" i="13" s="1"/>
  <c r="B65" i="13"/>
  <c r="F154" i="31"/>
  <c r="G154" i="31" s="1"/>
  <c r="I154" i="31" s="1"/>
  <c r="B67" i="25"/>
  <c r="F67" i="25"/>
  <c r="G67" i="25" s="1"/>
  <c r="E72" i="65"/>
  <c r="E73" i="65" s="1"/>
  <c r="B66" i="87"/>
  <c r="F66" i="87"/>
  <c r="G66" i="87" s="1"/>
  <c r="D150" i="61"/>
  <c r="G149" i="61"/>
  <c r="G150" i="63"/>
  <c r="D151" i="63"/>
  <c r="G145" i="92"/>
  <c r="D146" i="92"/>
  <c r="B146" i="92" s="1"/>
  <c r="H150" i="46"/>
  <c r="I150" i="46"/>
  <c r="J150" i="53"/>
  <c r="J148" i="61"/>
  <c r="H145" i="88"/>
  <c r="I145" i="88"/>
  <c r="J150" i="58"/>
  <c r="J153" i="31"/>
  <c r="G153" i="73"/>
  <c r="D154" i="73"/>
  <c r="D152" i="58"/>
  <c r="E152" i="58" s="1"/>
  <c r="G151" i="58"/>
  <c r="J148" i="65"/>
  <c r="G151" i="53"/>
  <c r="D152" i="53"/>
  <c r="E146" i="91"/>
  <c r="F146" i="91" s="1"/>
  <c r="E148" i="78"/>
  <c r="F148" i="78" s="1"/>
  <c r="B148" i="78"/>
  <c r="G147" i="79"/>
  <c r="D148" i="79"/>
  <c r="J153" i="22"/>
  <c r="I148" i="66"/>
  <c r="H148" i="66"/>
  <c r="H145" i="91"/>
  <c r="I145" i="91"/>
  <c r="E154" i="19"/>
  <c r="I147" i="78"/>
  <c r="H147" i="78"/>
  <c r="G151" i="74"/>
  <c r="D152" i="74"/>
  <c r="B152" i="74" s="1"/>
  <c r="D150" i="60"/>
  <c r="G149" i="60"/>
  <c r="D146" i="86"/>
  <c r="G145" i="86"/>
  <c r="G146" i="85"/>
  <c r="D147" i="85"/>
  <c r="B151" i="62"/>
  <c r="E151" i="62"/>
  <c r="F151" i="62" s="1"/>
  <c r="F146" i="89"/>
  <c r="B146" i="89"/>
  <c r="G151" i="72"/>
  <c r="D152" i="72"/>
  <c r="J154" i="71"/>
  <c r="J155" i="71" s="1"/>
  <c r="I155" i="71"/>
  <c r="H154" i="32"/>
  <c r="H155" i="32" s="1"/>
  <c r="I154" i="32"/>
  <c r="E147" i="81"/>
  <c r="F147" i="81" s="1"/>
  <c r="B147" i="81"/>
  <c r="D146" i="84"/>
  <c r="B146" i="84" s="1"/>
  <c r="G145" i="84"/>
  <c r="H150" i="62"/>
  <c r="I150" i="62"/>
  <c r="J148" i="60"/>
  <c r="D146" i="90"/>
  <c r="G145" i="90"/>
  <c r="H145" i="89"/>
  <c r="I145" i="89"/>
  <c r="G149" i="65"/>
  <c r="D150" i="65"/>
  <c r="H153" i="19"/>
  <c r="I153" i="19"/>
  <c r="I146" i="81"/>
  <c r="H146" i="81"/>
  <c r="J153" i="18"/>
  <c r="H153" i="45"/>
  <c r="I153" i="45"/>
  <c r="F152" i="56"/>
  <c r="B152" i="56"/>
  <c r="H150" i="59"/>
  <c r="I150" i="59"/>
  <c r="J147" i="67"/>
  <c r="F154" i="18"/>
  <c r="G154" i="18" s="1"/>
  <c r="H151" i="56"/>
  <c r="I151" i="56"/>
  <c r="E151" i="59"/>
  <c r="F151" i="59" s="1"/>
  <c r="B151" i="59"/>
  <c r="D152" i="57"/>
  <c r="G151" i="57"/>
  <c r="B146" i="25"/>
  <c r="H150" i="54"/>
  <c r="I150" i="54"/>
  <c r="B151" i="55"/>
  <c r="F151" i="55"/>
  <c r="H147" i="76"/>
  <c r="I147" i="76"/>
  <c r="B145" i="13"/>
  <c r="H154" i="34"/>
  <c r="H155" i="34" s="1"/>
  <c r="I154" i="34"/>
  <c r="E146" i="25"/>
  <c r="F146" i="25" s="1"/>
  <c r="H147" i="77"/>
  <c r="I147" i="77"/>
  <c r="I153" i="21"/>
  <c r="H153" i="21"/>
  <c r="H144" i="33"/>
  <c r="I144" i="33"/>
  <c r="H152" i="42"/>
  <c r="I152" i="42"/>
  <c r="H147" i="75"/>
  <c r="I147" i="75"/>
  <c r="J151" i="44"/>
  <c r="I146" i="83"/>
  <c r="H146" i="83"/>
  <c r="G145" i="96"/>
  <c r="D146" i="96"/>
  <c r="E146" i="96" s="1"/>
  <c r="H144" i="13"/>
  <c r="I144" i="13"/>
  <c r="B147" i="83"/>
  <c r="G152" i="44"/>
  <c r="D153" i="44"/>
  <c r="E153" i="44" s="1"/>
  <c r="F154" i="21"/>
  <c r="G154" i="21" s="1"/>
  <c r="B154" i="21"/>
  <c r="B148" i="75"/>
  <c r="G153" i="3"/>
  <c r="D154" i="3"/>
  <c r="D149" i="67"/>
  <c r="E149" i="67" s="1"/>
  <c r="G148" i="67"/>
  <c r="E147" i="83"/>
  <c r="F147" i="83" s="1"/>
  <c r="F147" i="80"/>
  <c r="B147" i="80"/>
  <c r="F146" i="93"/>
  <c r="B146" i="93"/>
  <c r="H154" i="17"/>
  <c r="H155" i="17" s="1"/>
  <c r="I154" i="17"/>
  <c r="J152" i="3"/>
  <c r="D147" i="94"/>
  <c r="E147" i="94" s="1"/>
  <c r="G146" i="94"/>
  <c r="E148" i="75"/>
  <c r="F148" i="75" s="1"/>
  <c r="D147" i="82"/>
  <c r="E147" i="82" s="1"/>
  <c r="G146" i="82"/>
  <c r="I150" i="55"/>
  <c r="H150" i="55"/>
  <c r="F151" i="54"/>
  <c r="B151" i="54"/>
  <c r="J153" i="34"/>
  <c r="J153" i="17"/>
  <c r="E145" i="13"/>
  <c r="F145" i="13" s="1"/>
  <c r="H146" i="80"/>
  <c r="I146" i="80"/>
  <c r="H145" i="93"/>
  <c r="I145" i="93"/>
  <c r="B148" i="76"/>
  <c r="F148" i="76"/>
  <c r="B153" i="42"/>
  <c r="F153" i="42"/>
  <c r="G145" i="87"/>
  <c r="D146" i="87"/>
  <c r="E146" i="87" s="1"/>
  <c r="D147" i="95"/>
  <c r="E147" i="95" s="1"/>
  <c r="G146" i="95"/>
  <c r="H145" i="25"/>
  <c r="I145" i="25"/>
  <c r="B148" i="77"/>
  <c r="F148" i="77"/>
  <c r="F145" i="33"/>
  <c r="B145" i="33"/>
  <c r="J154" i="24"/>
  <c r="J155" i="24" s="1"/>
  <c r="I155" i="24"/>
  <c r="B154" i="45" l="1"/>
  <c r="I72" i="56"/>
  <c r="I73" i="56" s="1"/>
  <c r="E68" i="98"/>
  <c r="F68" i="98"/>
  <c r="B68" i="98"/>
  <c r="G146" i="26"/>
  <c r="D147" i="26"/>
  <c r="J145" i="26"/>
  <c r="B149" i="66"/>
  <c r="D146" i="99"/>
  <c r="E146" i="99" s="1"/>
  <c r="G145" i="99"/>
  <c r="G146" i="88"/>
  <c r="H146" i="88" s="1"/>
  <c r="E150" i="64"/>
  <c r="F150" i="64" s="1"/>
  <c r="G150" i="64" s="1"/>
  <c r="E155" i="20"/>
  <c r="F154" i="20"/>
  <c r="G154" i="20" s="1"/>
  <c r="H69" i="79"/>
  <c r="D70" i="79"/>
  <c r="E70" i="79" s="1"/>
  <c r="G69" i="79"/>
  <c r="D152" i="46"/>
  <c r="B152" i="46" s="1"/>
  <c r="I145" i="97"/>
  <c r="H145" i="97"/>
  <c r="B146" i="98"/>
  <c r="F146" i="98"/>
  <c r="E146" i="97"/>
  <c r="F146" i="97" s="1"/>
  <c r="B146" i="97"/>
  <c r="H145" i="98"/>
  <c r="I145" i="98"/>
  <c r="J148" i="68"/>
  <c r="G149" i="68"/>
  <c r="D150" i="68"/>
  <c r="J149" i="64"/>
  <c r="I154" i="22"/>
  <c r="J154" i="22" s="1"/>
  <c r="J155" i="22" s="1"/>
  <c r="I65" i="96"/>
  <c r="G67" i="91"/>
  <c r="H67" i="91"/>
  <c r="E68" i="91"/>
  <c r="F68" i="91" s="1"/>
  <c r="G68" i="91" s="1"/>
  <c r="B68" i="91"/>
  <c r="I71" i="63"/>
  <c r="G67" i="94"/>
  <c r="D68" i="94"/>
  <c r="G69" i="93"/>
  <c r="I66" i="94"/>
  <c r="I72" i="54"/>
  <c r="I73" i="54" s="1"/>
  <c r="I70" i="85"/>
  <c r="I69" i="80"/>
  <c r="G70" i="80"/>
  <c r="B70" i="80"/>
  <c r="H70" i="80"/>
  <c r="G71" i="61"/>
  <c r="D72" i="61"/>
  <c r="B72" i="61" s="1"/>
  <c r="H71" i="61"/>
  <c r="B72" i="63"/>
  <c r="E72" i="63"/>
  <c r="D71" i="80"/>
  <c r="E71" i="80" s="1"/>
  <c r="F71" i="80" s="1"/>
  <c r="D72" i="80" s="1"/>
  <c r="B67" i="94"/>
  <c r="H67" i="94"/>
  <c r="I69" i="93"/>
  <c r="F72" i="45"/>
  <c r="G72" i="45" s="1"/>
  <c r="G73" i="45" s="1"/>
  <c r="F72" i="57"/>
  <c r="H72" i="57" s="1"/>
  <c r="H73" i="57" s="1"/>
  <c r="I71" i="75"/>
  <c r="D70" i="93"/>
  <c r="E70" i="93" s="1"/>
  <c r="H69" i="90"/>
  <c r="I69" i="90" s="1"/>
  <c r="F72" i="75"/>
  <c r="H72" i="75" s="1"/>
  <c r="B72" i="75"/>
  <c r="D70" i="90"/>
  <c r="E70" i="90" s="1"/>
  <c r="F70" i="90" s="1"/>
  <c r="E69" i="84"/>
  <c r="F69" i="84" s="1"/>
  <c r="G69" i="84" s="1"/>
  <c r="B69" i="84"/>
  <c r="G67" i="95"/>
  <c r="D68" i="95"/>
  <c r="H67" i="95"/>
  <c r="D69" i="81"/>
  <c r="B66" i="96"/>
  <c r="G70" i="86"/>
  <c r="H70" i="86"/>
  <c r="D71" i="86"/>
  <c r="G70" i="76"/>
  <c r="I70" i="76" s="1"/>
  <c r="D71" i="76"/>
  <c r="I67" i="81"/>
  <c r="G68" i="81"/>
  <c r="I68" i="81" s="1"/>
  <c r="G71" i="85"/>
  <c r="I71" i="85" s="1"/>
  <c r="D72" i="85"/>
  <c r="E72" i="85" s="1"/>
  <c r="E73" i="85" s="1"/>
  <c r="I66" i="95"/>
  <c r="E66" i="96"/>
  <c r="F66" i="96" s="1"/>
  <c r="I69" i="78"/>
  <c r="I67" i="89"/>
  <c r="D68" i="83"/>
  <c r="E68" i="92"/>
  <c r="F68" i="92" s="1"/>
  <c r="B68" i="92"/>
  <c r="B69" i="88"/>
  <c r="I66" i="92"/>
  <c r="I69" i="59"/>
  <c r="B70" i="79"/>
  <c r="I71" i="57"/>
  <c r="G72" i="64"/>
  <c r="G73" i="64" s="1"/>
  <c r="H72" i="64"/>
  <c r="H73" i="67"/>
  <c r="I72" i="67"/>
  <c r="I73" i="67" s="1"/>
  <c r="H67" i="33"/>
  <c r="I67" i="33" s="1"/>
  <c r="E72" i="77"/>
  <c r="E73" i="77" s="1"/>
  <c r="B72" i="77"/>
  <c r="B67" i="83"/>
  <c r="G67" i="83"/>
  <c r="H67" i="83"/>
  <c r="I66" i="83"/>
  <c r="H70" i="78"/>
  <c r="D71" i="78"/>
  <c r="E71" i="78" s="1"/>
  <c r="F71" i="78" s="1"/>
  <c r="D72" i="78" s="1"/>
  <c r="H66" i="26"/>
  <c r="I66" i="26" s="1"/>
  <c r="B71" i="77"/>
  <c r="H71" i="77"/>
  <c r="G71" i="77"/>
  <c r="G70" i="78"/>
  <c r="E69" i="88"/>
  <c r="F69" i="88" s="1"/>
  <c r="B67" i="92"/>
  <c r="H67" i="92"/>
  <c r="G67" i="92"/>
  <c r="E68" i="89"/>
  <c r="F68" i="89" s="1"/>
  <c r="B68" i="89"/>
  <c r="H154" i="31"/>
  <c r="H155" i="31" s="1"/>
  <c r="J147" i="78"/>
  <c r="J152" i="39"/>
  <c r="J147" i="77"/>
  <c r="D154" i="39"/>
  <c r="G153" i="39"/>
  <c r="D70" i="62"/>
  <c r="E70" i="62" s="1"/>
  <c r="H69" i="62"/>
  <c r="G69" i="62"/>
  <c r="D67" i="87"/>
  <c r="E67" i="87" s="1"/>
  <c r="D68" i="25"/>
  <c r="G153" i="43"/>
  <c r="D154" i="43"/>
  <c r="E154" i="41"/>
  <c r="E155" i="41" s="1"/>
  <c r="B154" i="41"/>
  <c r="J152" i="43"/>
  <c r="H66" i="87"/>
  <c r="I66" i="87" s="1"/>
  <c r="D66" i="13"/>
  <c r="E66" i="13" s="1"/>
  <c r="J150" i="62"/>
  <c r="H67" i="25"/>
  <c r="I67" i="25" s="1"/>
  <c r="H65" i="13"/>
  <c r="I65" i="13" s="1"/>
  <c r="D68" i="33"/>
  <c r="E68" i="33" s="1"/>
  <c r="D67" i="26"/>
  <c r="E67" i="26" s="1"/>
  <c r="I72" i="68"/>
  <c r="I73" i="68" s="1"/>
  <c r="H73" i="68"/>
  <c r="H153" i="41"/>
  <c r="I153" i="41"/>
  <c r="I72" i="66"/>
  <c r="I73" i="66" s="1"/>
  <c r="H73" i="66"/>
  <c r="F72" i="65"/>
  <c r="B70" i="59"/>
  <c r="F70" i="59"/>
  <c r="G70" i="59" s="1"/>
  <c r="G147" i="81"/>
  <c r="D148" i="81"/>
  <c r="H149" i="65"/>
  <c r="I149" i="65"/>
  <c r="E146" i="90"/>
  <c r="F146" i="90" s="1"/>
  <c r="B146" i="90"/>
  <c r="E146" i="84"/>
  <c r="F146" i="84" s="1"/>
  <c r="J154" i="32"/>
  <c r="J155" i="32" s="1"/>
  <c r="I155" i="32"/>
  <c r="E152" i="72"/>
  <c r="F152" i="72" s="1"/>
  <c r="B152" i="72"/>
  <c r="G151" i="62"/>
  <c r="D152" i="62"/>
  <c r="H145" i="86"/>
  <c r="I145" i="86"/>
  <c r="E155" i="19"/>
  <c r="F154" i="19"/>
  <c r="G154" i="19" s="1"/>
  <c r="J148" i="66"/>
  <c r="I147" i="79"/>
  <c r="H147" i="79"/>
  <c r="G146" i="91"/>
  <c r="D147" i="91"/>
  <c r="D150" i="66"/>
  <c r="G149" i="66"/>
  <c r="I155" i="31"/>
  <c r="E151" i="63"/>
  <c r="F151" i="63" s="1"/>
  <c r="B151" i="63"/>
  <c r="J153" i="19"/>
  <c r="H145" i="84"/>
  <c r="I145" i="84"/>
  <c r="I151" i="72"/>
  <c r="H151" i="72"/>
  <c r="G146" i="89"/>
  <c r="D147" i="89"/>
  <c r="B147" i="89" s="1"/>
  <c r="E146" i="86"/>
  <c r="F146" i="86" s="1"/>
  <c r="B146" i="86"/>
  <c r="I149" i="60"/>
  <c r="H149" i="60"/>
  <c r="I151" i="74"/>
  <c r="H151" i="74"/>
  <c r="G148" i="78"/>
  <c r="D149" i="78"/>
  <c r="B149" i="78" s="1"/>
  <c r="E152" i="53"/>
  <c r="F152" i="53" s="1"/>
  <c r="B152" i="53"/>
  <c r="F152" i="58"/>
  <c r="B152" i="58"/>
  <c r="E146" i="92"/>
  <c r="F146" i="92" s="1"/>
  <c r="H150" i="63"/>
  <c r="I150" i="63"/>
  <c r="E147" i="85"/>
  <c r="F147" i="85" s="1"/>
  <c r="B147" i="85"/>
  <c r="E150" i="60"/>
  <c r="F150" i="60" s="1"/>
  <c r="B150" i="60"/>
  <c r="H151" i="53"/>
  <c r="I151" i="53"/>
  <c r="E154" i="73"/>
  <c r="E155" i="73" s="1"/>
  <c r="B154" i="73"/>
  <c r="I149" i="61"/>
  <c r="H149" i="61"/>
  <c r="E150" i="65"/>
  <c r="F150" i="65" s="1"/>
  <c r="B150" i="65"/>
  <c r="H145" i="90"/>
  <c r="I145" i="90"/>
  <c r="E147" i="88"/>
  <c r="F147" i="88" s="1"/>
  <c r="B147" i="88"/>
  <c r="H146" i="85"/>
  <c r="I146" i="85"/>
  <c r="I151" i="46"/>
  <c r="H151" i="46"/>
  <c r="E152" i="74"/>
  <c r="F152" i="74" s="1"/>
  <c r="E148" i="79"/>
  <c r="F148" i="79" s="1"/>
  <c r="B148" i="79"/>
  <c r="H151" i="58"/>
  <c r="I151" i="58"/>
  <c r="I153" i="73"/>
  <c r="H153" i="73"/>
  <c r="J150" i="46"/>
  <c r="H145" i="92"/>
  <c r="I145" i="92"/>
  <c r="E150" i="61"/>
  <c r="F150" i="61" s="1"/>
  <c r="B150" i="61"/>
  <c r="J151" i="56"/>
  <c r="J150" i="59"/>
  <c r="G151" i="59"/>
  <c r="D152" i="59"/>
  <c r="E152" i="59" s="1"/>
  <c r="J147" i="75"/>
  <c r="J144" i="33"/>
  <c r="I154" i="18"/>
  <c r="H154" i="18"/>
  <c r="H155" i="18" s="1"/>
  <c r="F154" i="45"/>
  <c r="G154" i="45" s="1"/>
  <c r="D153" i="56"/>
  <c r="G152" i="56"/>
  <c r="J153" i="45"/>
  <c r="J152" i="42"/>
  <c r="H151" i="57"/>
  <c r="I151" i="57"/>
  <c r="E152" i="57"/>
  <c r="F152" i="57" s="1"/>
  <c r="B152" i="57"/>
  <c r="J150" i="55"/>
  <c r="G145" i="13"/>
  <c r="D146" i="13"/>
  <c r="E146" i="13" s="1"/>
  <c r="G147" i="83"/>
  <c r="D148" i="83"/>
  <c r="E148" i="83" s="1"/>
  <c r="G146" i="25"/>
  <c r="D147" i="25"/>
  <c r="G148" i="75"/>
  <c r="D149" i="75"/>
  <c r="E149" i="75" s="1"/>
  <c r="G145" i="33"/>
  <c r="D146" i="33"/>
  <c r="E146" i="33" s="1"/>
  <c r="H146" i="82"/>
  <c r="I146" i="82"/>
  <c r="H146" i="94"/>
  <c r="I146" i="94"/>
  <c r="G146" i="93"/>
  <c r="D147" i="93"/>
  <c r="B154" i="3"/>
  <c r="J147" i="76"/>
  <c r="D149" i="77"/>
  <c r="G148" i="77"/>
  <c r="H146" i="95"/>
  <c r="I146" i="95"/>
  <c r="B146" i="87"/>
  <c r="F146" i="87"/>
  <c r="G148" i="76"/>
  <c r="D149" i="76"/>
  <c r="E149" i="76" s="1"/>
  <c r="B147" i="82"/>
  <c r="F147" i="82"/>
  <c r="B147" i="94"/>
  <c r="F147" i="94"/>
  <c r="J154" i="17"/>
  <c r="J155" i="17" s="1"/>
  <c r="I155" i="17"/>
  <c r="H148" i="67"/>
  <c r="I148" i="67"/>
  <c r="I153" i="3"/>
  <c r="H153" i="3"/>
  <c r="F153" i="44"/>
  <c r="B153" i="44"/>
  <c r="I145" i="87"/>
  <c r="H145" i="87"/>
  <c r="G147" i="80"/>
  <c r="D148" i="80"/>
  <c r="E148" i="80" s="1"/>
  <c r="F149" i="67"/>
  <c r="B149" i="67"/>
  <c r="H152" i="44"/>
  <c r="I152" i="44"/>
  <c r="B146" i="96"/>
  <c r="F146" i="96"/>
  <c r="J153" i="21"/>
  <c r="J154" i="34"/>
  <c r="J155" i="34" s="1"/>
  <c r="I155" i="34"/>
  <c r="G151" i="55"/>
  <c r="D152" i="55"/>
  <c r="E152" i="55" s="1"/>
  <c r="J150" i="54"/>
  <c r="J145" i="25"/>
  <c r="B147" i="95"/>
  <c r="F147" i="95"/>
  <c r="D154" i="42"/>
  <c r="E154" i="42" s="1"/>
  <c r="E155" i="42" s="1"/>
  <c r="G153" i="42"/>
  <c r="D152" i="54"/>
  <c r="E152" i="54" s="1"/>
  <c r="G151" i="54"/>
  <c r="E154" i="3"/>
  <c r="E155" i="3" s="1"/>
  <c r="I154" i="21"/>
  <c r="H154" i="21"/>
  <c r="H155" i="21" s="1"/>
  <c r="H145" i="96"/>
  <c r="I145" i="96"/>
  <c r="I146" i="88" l="1"/>
  <c r="D69" i="98"/>
  <c r="H68" i="98"/>
  <c r="I68" i="98" s="1"/>
  <c r="E69" i="98"/>
  <c r="G68" i="98"/>
  <c r="B147" i="26"/>
  <c r="E147" i="26"/>
  <c r="F147" i="26" s="1"/>
  <c r="I146" i="26"/>
  <c r="H146" i="26"/>
  <c r="I67" i="91"/>
  <c r="D151" i="64"/>
  <c r="B151" i="64" s="1"/>
  <c r="E152" i="46"/>
  <c r="F152" i="46" s="1"/>
  <c r="D153" i="46" s="1"/>
  <c r="B153" i="46" s="1"/>
  <c r="I67" i="94"/>
  <c r="I69" i="79"/>
  <c r="G72" i="57"/>
  <c r="G73" i="57" s="1"/>
  <c r="H145" i="99"/>
  <c r="I145" i="99"/>
  <c r="F146" i="99"/>
  <c r="B146" i="99"/>
  <c r="I155" i="22"/>
  <c r="H154" i="20"/>
  <c r="H155" i="20" s="1"/>
  <c r="I154" i="20"/>
  <c r="F70" i="79"/>
  <c r="D71" i="79" s="1"/>
  <c r="E71" i="79" s="1"/>
  <c r="F71" i="79" s="1"/>
  <c r="H72" i="45"/>
  <c r="I72" i="45" s="1"/>
  <c r="I73" i="45" s="1"/>
  <c r="D147" i="98"/>
  <c r="G146" i="98"/>
  <c r="D147" i="97"/>
  <c r="G146" i="97"/>
  <c r="E150" i="68"/>
  <c r="F150" i="68" s="1"/>
  <c r="B150" i="68"/>
  <c r="H149" i="68"/>
  <c r="I149" i="68"/>
  <c r="H150" i="64"/>
  <c r="I150" i="64"/>
  <c r="D69" i="91"/>
  <c r="E69" i="91" s="1"/>
  <c r="F69" i="91" s="1"/>
  <c r="D70" i="91" s="1"/>
  <c r="H68" i="91"/>
  <c r="I68" i="91" s="1"/>
  <c r="I70" i="86"/>
  <c r="I71" i="61"/>
  <c r="E72" i="80"/>
  <c r="E73" i="80" s="1"/>
  <c r="B72" i="80"/>
  <c r="J154" i="31"/>
  <c r="J155" i="31" s="1"/>
  <c r="G72" i="75"/>
  <c r="G73" i="75" s="1"/>
  <c r="B71" i="80"/>
  <c r="H71" i="80"/>
  <c r="G71" i="80"/>
  <c r="E72" i="61"/>
  <c r="E73" i="61" s="1"/>
  <c r="I70" i="80"/>
  <c r="E68" i="94"/>
  <c r="F68" i="94" s="1"/>
  <c r="H68" i="94" s="1"/>
  <c r="B68" i="94"/>
  <c r="I70" i="78"/>
  <c r="E73" i="63"/>
  <c r="F72" i="63"/>
  <c r="D70" i="84"/>
  <c r="E70" i="84" s="1"/>
  <c r="F70" i="84" s="1"/>
  <c r="B70" i="93"/>
  <c r="F70" i="93"/>
  <c r="H70" i="93" s="1"/>
  <c r="H69" i="84"/>
  <c r="I69" i="84" s="1"/>
  <c r="H70" i="90"/>
  <c r="D71" i="90"/>
  <c r="H73" i="75"/>
  <c r="B70" i="90"/>
  <c r="G70" i="90"/>
  <c r="I70" i="90" s="1"/>
  <c r="E72" i="78"/>
  <c r="E73" i="78" s="1"/>
  <c r="H66" i="96"/>
  <c r="D67" i="96"/>
  <c r="E67" i="96" s="1"/>
  <c r="G66" i="96"/>
  <c r="I67" i="92"/>
  <c r="E71" i="76"/>
  <c r="F71" i="76" s="1"/>
  <c r="B71" i="76"/>
  <c r="B69" i="81"/>
  <c r="E71" i="86"/>
  <c r="F71" i="86" s="1"/>
  <c r="B71" i="86"/>
  <c r="E69" i="81"/>
  <c r="F69" i="81" s="1"/>
  <c r="I67" i="95"/>
  <c r="B72" i="85"/>
  <c r="F72" i="85"/>
  <c r="H72" i="85" s="1"/>
  <c r="E68" i="95"/>
  <c r="F68" i="95" s="1"/>
  <c r="B68" i="95"/>
  <c r="D69" i="92"/>
  <c r="G68" i="92"/>
  <c r="H68" i="92"/>
  <c r="H69" i="88"/>
  <c r="D70" i="88"/>
  <c r="G69" i="88"/>
  <c r="D69" i="89"/>
  <c r="I72" i="64"/>
  <c r="I73" i="64" s="1"/>
  <c r="H73" i="64"/>
  <c r="H68" i="89"/>
  <c r="I71" i="77"/>
  <c r="B71" i="78"/>
  <c r="G71" i="78"/>
  <c r="H71" i="78"/>
  <c r="F72" i="77"/>
  <c r="B68" i="83"/>
  <c r="B72" i="78"/>
  <c r="G68" i="89"/>
  <c r="I67" i="83"/>
  <c r="E68" i="83"/>
  <c r="F68" i="83" s="1"/>
  <c r="J153" i="41"/>
  <c r="F154" i="73"/>
  <c r="G154" i="73" s="1"/>
  <c r="I154" i="73" s="1"/>
  <c r="I155" i="73" s="1"/>
  <c r="J149" i="60"/>
  <c r="I153" i="39"/>
  <c r="H153" i="39"/>
  <c r="E154" i="39"/>
  <c r="B154" i="39"/>
  <c r="E149" i="78"/>
  <c r="F149" i="78" s="1"/>
  <c r="G149" i="78" s="1"/>
  <c r="E154" i="43"/>
  <c r="E155" i="43" s="1"/>
  <c r="B154" i="43"/>
  <c r="B68" i="25"/>
  <c r="D71" i="59"/>
  <c r="E71" i="59" s="1"/>
  <c r="F66" i="13"/>
  <c r="H66" i="13" s="1"/>
  <c r="B66" i="13"/>
  <c r="F154" i="41"/>
  <c r="G154" i="41" s="1"/>
  <c r="I153" i="43"/>
  <c r="H153" i="43"/>
  <c r="E68" i="25"/>
  <c r="F68" i="25" s="1"/>
  <c r="I69" i="62"/>
  <c r="J151" i="46"/>
  <c r="J151" i="72"/>
  <c r="H70" i="59"/>
  <c r="I70" i="59" s="1"/>
  <c r="G72" i="65"/>
  <c r="G73" i="65" s="1"/>
  <c r="H72" i="65"/>
  <c r="B68" i="33"/>
  <c r="F68" i="33"/>
  <c r="G68" i="33" s="1"/>
  <c r="F67" i="26"/>
  <c r="G67" i="26" s="1"/>
  <c r="B67" i="26"/>
  <c r="F67" i="87"/>
  <c r="B67" i="87"/>
  <c r="B70" i="62"/>
  <c r="F70" i="62"/>
  <c r="G70" i="62" s="1"/>
  <c r="G150" i="61"/>
  <c r="D151" i="61"/>
  <c r="B151" i="61" s="1"/>
  <c r="D148" i="88"/>
  <c r="G147" i="88"/>
  <c r="D151" i="65"/>
  <c r="G150" i="65"/>
  <c r="G152" i="53"/>
  <c r="D153" i="53"/>
  <c r="G150" i="60"/>
  <c r="D151" i="60"/>
  <c r="J151" i="58"/>
  <c r="J149" i="61"/>
  <c r="J151" i="53"/>
  <c r="E147" i="89"/>
  <c r="F147" i="89" s="1"/>
  <c r="I146" i="91"/>
  <c r="H146" i="91"/>
  <c r="I154" i="19"/>
  <c r="H154" i="19"/>
  <c r="H155" i="19" s="1"/>
  <c r="B152" i="62"/>
  <c r="E152" i="62"/>
  <c r="F152" i="62" s="1"/>
  <c r="G152" i="74"/>
  <c r="D153" i="74"/>
  <c r="J150" i="63"/>
  <c r="G152" i="58"/>
  <c r="D153" i="58"/>
  <c r="I149" i="66"/>
  <c r="H149" i="66"/>
  <c r="H151" i="62"/>
  <c r="I151" i="62"/>
  <c r="D147" i="90"/>
  <c r="G146" i="90"/>
  <c r="B148" i="81"/>
  <c r="G148" i="79"/>
  <c r="D149" i="79"/>
  <c r="G147" i="85"/>
  <c r="D148" i="85"/>
  <c r="J151" i="74"/>
  <c r="D147" i="86"/>
  <c r="G146" i="86"/>
  <c r="H146" i="89"/>
  <c r="I146" i="89"/>
  <c r="D152" i="63"/>
  <c r="G151" i="63"/>
  <c r="E150" i="66"/>
  <c r="F150" i="66" s="1"/>
  <c r="B150" i="66"/>
  <c r="J147" i="79"/>
  <c r="G152" i="72"/>
  <c r="D153" i="72"/>
  <c r="I147" i="81"/>
  <c r="H147" i="81"/>
  <c r="J153" i="73"/>
  <c r="G146" i="92"/>
  <c r="D147" i="92"/>
  <c r="H148" i="78"/>
  <c r="I148" i="78"/>
  <c r="E147" i="91"/>
  <c r="F147" i="91" s="1"/>
  <c r="B147" i="91"/>
  <c r="G146" i="84"/>
  <c r="D147" i="84"/>
  <c r="J149" i="65"/>
  <c r="E148" i="81"/>
  <c r="F148" i="81" s="1"/>
  <c r="J153" i="3"/>
  <c r="J151" i="57"/>
  <c r="I154" i="45"/>
  <c r="H154" i="45"/>
  <c r="H155" i="45" s="1"/>
  <c r="H151" i="59"/>
  <c r="I151" i="59"/>
  <c r="I152" i="56"/>
  <c r="H152" i="56"/>
  <c r="J154" i="18"/>
  <c r="J155" i="18" s="1"/>
  <c r="I155" i="18"/>
  <c r="E153" i="56"/>
  <c r="F153" i="56" s="1"/>
  <c r="B153" i="56"/>
  <c r="F152" i="59"/>
  <c r="B152" i="59"/>
  <c r="D153" i="57"/>
  <c r="E153" i="57" s="1"/>
  <c r="G152" i="57"/>
  <c r="D148" i="95"/>
  <c r="E148" i="95" s="1"/>
  <c r="G147" i="95"/>
  <c r="H151" i="55"/>
  <c r="I151" i="55"/>
  <c r="J152" i="44"/>
  <c r="G153" i="44"/>
  <c r="D154" i="44"/>
  <c r="E154" i="44" s="1"/>
  <c r="E155" i="44" s="1"/>
  <c r="B149" i="77"/>
  <c r="H145" i="33"/>
  <c r="I145" i="33"/>
  <c r="B147" i="25"/>
  <c r="B152" i="54"/>
  <c r="F152" i="54"/>
  <c r="H153" i="42"/>
  <c r="I153" i="42"/>
  <c r="B148" i="80"/>
  <c r="F148" i="80"/>
  <c r="G147" i="94"/>
  <c r="D148" i="94"/>
  <c r="E148" i="94" s="1"/>
  <c r="B149" i="76"/>
  <c r="F149" i="76"/>
  <c r="B147" i="93"/>
  <c r="B149" i="75"/>
  <c r="F149" i="75"/>
  <c r="H146" i="25"/>
  <c r="I146" i="25"/>
  <c r="G146" i="96"/>
  <c r="D147" i="96"/>
  <c r="E147" i="96" s="1"/>
  <c r="H147" i="80"/>
  <c r="I147" i="80"/>
  <c r="H148" i="76"/>
  <c r="I148" i="76"/>
  <c r="G146" i="87"/>
  <c r="D147" i="87"/>
  <c r="E147" i="87" s="1"/>
  <c r="H148" i="77"/>
  <c r="I148" i="77"/>
  <c r="F154" i="3"/>
  <c r="G154" i="3" s="1"/>
  <c r="I146" i="93"/>
  <c r="H146" i="93"/>
  <c r="I148" i="75"/>
  <c r="H148" i="75"/>
  <c r="B148" i="83"/>
  <c r="F148" i="83"/>
  <c r="F146" i="13"/>
  <c r="B146" i="13"/>
  <c r="J154" i="21"/>
  <c r="J155" i="21" s="1"/>
  <c r="I155" i="21"/>
  <c r="H151" i="54"/>
  <c r="I151" i="54"/>
  <c r="B154" i="42"/>
  <c r="F154" i="42"/>
  <c r="G154" i="42" s="1"/>
  <c r="B152" i="55"/>
  <c r="F152" i="55"/>
  <c r="G149" i="67"/>
  <c r="D150" i="67"/>
  <c r="E150" i="67" s="1"/>
  <c r="J148" i="67"/>
  <c r="G147" i="82"/>
  <c r="D148" i="82"/>
  <c r="E148" i="82" s="1"/>
  <c r="E149" i="77"/>
  <c r="F149" i="77" s="1"/>
  <c r="E147" i="93"/>
  <c r="F147" i="93" s="1"/>
  <c r="B146" i="33"/>
  <c r="F146" i="33"/>
  <c r="E147" i="25"/>
  <c r="F147" i="25" s="1"/>
  <c r="I147" i="83"/>
  <c r="H147" i="83"/>
  <c r="I145" i="13"/>
  <c r="H145" i="13"/>
  <c r="G152" i="46" l="1"/>
  <c r="H73" i="45"/>
  <c r="F69" i="98"/>
  <c r="H69" i="98" s="1"/>
  <c r="B69" i="98"/>
  <c r="G70" i="79"/>
  <c r="H70" i="79"/>
  <c r="I70" i="79" s="1"/>
  <c r="B71" i="79"/>
  <c r="I72" i="57"/>
  <c r="I73" i="57" s="1"/>
  <c r="J146" i="26"/>
  <c r="D148" i="26"/>
  <c r="G147" i="26"/>
  <c r="E151" i="64"/>
  <c r="F151" i="64" s="1"/>
  <c r="D152" i="64" s="1"/>
  <c r="D147" i="99"/>
  <c r="G146" i="99"/>
  <c r="H154" i="73"/>
  <c r="H155" i="73" s="1"/>
  <c r="J154" i="20"/>
  <c r="J155" i="20" s="1"/>
  <c r="I155" i="20"/>
  <c r="F72" i="80"/>
  <c r="H72" i="80" s="1"/>
  <c r="H73" i="80" s="1"/>
  <c r="D150" i="78"/>
  <c r="E150" i="78" s="1"/>
  <c r="F150" i="78" s="1"/>
  <c r="J150" i="64"/>
  <c r="J149" i="68"/>
  <c r="I146" i="97"/>
  <c r="H146" i="97"/>
  <c r="E147" i="97"/>
  <c r="F147" i="97" s="1"/>
  <c r="B147" i="97"/>
  <c r="H146" i="98"/>
  <c r="I146" i="98"/>
  <c r="E147" i="98"/>
  <c r="F147" i="98" s="1"/>
  <c r="B147" i="98"/>
  <c r="G150" i="68"/>
  <c r="D151" i="68"/>
  <c r="G151" i="64"/>
  <c r="J148" i="78"/>
  <c r="G68" i="94"/>
  <c r="I68" i="94" s="1"/>
  <c r="G70" i="93"/>
  <c r="I70" i="93" s="1"/>
  <c r="E70" i="91"/>
  <c r="F70" i="91" s="1"/>
  <c r="G70" i="91" s="1"/>
  <c r="B70" i="91"/>
  <c r="B69" i="91"/>
  <c r="H69" i="91"/>
  <c r="G69" i="91"/>
  <c r="I71" i="80"/>
  <c r="G72" i="80"/>
  <c r="G73" i="80" s="1"/>
  <c r="H68" i="33"/>
  <c r="I68" i="33" s="1"/>
  <c r="F72" i="61"/>
  <c r="G66" i="13"/>
  <c r="G72" i="85"/>
  <c r="G73" i="85" s="1"/>
  <c r="D69" i="94"/>
  <c r="E69" i="94" s="1"/>
  <c r="F69" i="94" s="1"/>
  <c r="H72" i="63"/>
  <c r="G72" i="63"/>
  <c r="G73" i="63" s="1"/>
  <c r="I72" i="75"/>
  <c r="I73" i="75" s="1"/>
  <c r="D71" i="84"/>
  <c r="E71" i="90"/>
  <c r="F71" i="90" s="1"/>
  <c r="B71" i="90"/>
  <c r="B70" i="84"/>
  <c r="G70" i="84"/>
  <c r="H70" i="84"/>
  <c r="D71" i="93"/>
  <c r="E71" i="93" s="1"/>
  <c r="F71" i="93" s="1"/>
  <c r="G68" i="95"/>
  <c r="D69" i="95"/>
  <c r="H68" i="95"/>
  <c r="H71" i="86"/>
  <c r="G71" i="86"/>
  <c r="D72" i="86"/>
  <c r="G71" i="76"/>
  <c r="D72" i="76"/>
  <c r="H71" i="76"/>
  <c r="H69" i="81"/>
  <c r="D70" i="81"/>
  <c r="G69" i="81"/>
  <c r="F67" i="96"/>
  <c r="H67" i="96" s="1"/>
  <c r="B67" i="96"/>
  <c r="H73" i="85"/>
  <c r="H67" i="26"/>
  <c r="I67" i="26" s="1"/>
  <c r="I66" i="96"/>
  <c r="F72" i="78"/>
  <c r="I69" i="88"/>
  <c r="D69" i="83"/>
  <c r="E69" i="83" s="1"/>
  <c r="F69" i="83" s="1"/>
  <c r="D70" i="83" s="1"/>
  <c r="G68" i="83"/>
  <c r="H68" i="83"/>
  <c r="D72" i="79"/>
  <c r="E72" i="79" s="1"/>
  <c r="E73" i="79" s="1"/>
  <c r="I71" i="78"/>
  <c r="H71" i="79"/>
  <c r="I68" i="92"/>
  <c r="H72" i="77"/>
  <c r="G72" i="77"/>
  <c r="G73" i="77" s="1"/>
  <c r="H70" i="62"/>
  <c r="I70" i="62" s="1"/>
  <c r="I68" i="89"/>
  <c r="G71" i="79"/>
  <c r="E70" i="88"/>
  <c r="F70" i="88" s="1"/>
  <c r="D71" i="88" s="1"/>
  <c r="B70" i="88"/>
  <c r="B69" i="92"/>
  <c r="B69" i="89"/>
  <c r="E69" i="89"/>
  <c r="F69" i="89" s="1"/>
  <c r="E69" i="92"/>
  <c r="F69" i="92" s="1"/>
  <c r="E155" i="39"/>
  <c r="F154" i="39"/>
  <c r="G154" i="39" s="1"/>
  <c r="J153" i="39"/>
  <c r="D69" i="25"/>
  <c r="E69" i="25" s="1"/>
  <c r="H68" i="25"/>
  <c r="G68" i="25"/>
  <c r="J151" i="62"/>
  <c r="D68" i="87"/>
  <c r="B71" i="59"/>
  <c r="F71" i="59"/>
  <c r="G71" i="59" s="1"/>
  <c r="J152" i="56"/>
  <c r="D71" i="62"/>
  <c r="E71" i="62" s="1"/>
  <c r="H67" i="87"/>
  <c r="D69" i="33"/>
  <c r="E69" i="33" s="1"/>
  <c r="I72" i="65"/>
  <c r="I73" i="65" s="1"/>
  <c r="H73" i="65"/>
  <c r="J153" i="43"/>
  <c r="D67" i="13"/>
  <c r="E67" i="13" s="1"/>
  <c r="F154" i="43"/>
  <c r="G154" i="43" s="1"/>
  <c r="G67" i="87"/>
  <c r="D68" i="26"/>
  <c r="E68" i="26" s="1"/>
  <c r="H154" i="41"/>
  <c r="H155" i="41" s="1"/>
  <c r="I154" i="41"/>
  <c r="I66" i="13"/>
  <c r="G150" i="66"/>
  <c r="D151" i="66"/>
  <c r="D148" i="91"/>
  <c r="B148" i="91" s="1"/>
  <c r="G147" i="91"/>
  <c r="G152" i="62"/>
  <c r="D153" i="62"/>
  <c r="B153" i="62" s="1"/>
  <c r="G148" i="81"/>
  <c r="D149" i="81"/>
  <c r="B149" i="81" s="1"/>
  <c r="E148" i="85"/>
  <c r="F148" i="85" s="1"/>
  <c r="B148" i="85"/>
  <c r="J154" i="19"/>
  <c r="J155" i="19" s="1"/>
  <c r="I155" i="19"/>
  <c r="H152" i="53"/>
  <c r="I152" i="53"/>
  <c r="E148" i="88"/>
  <c r="F148" i="88" s="1"/>
  <c r="B148" i="88"/>
  <c r="H146" i="84"/>
  <c r="I146" i="84"/>
  <c r="H152" i="72"/>
  <c r="I152" i="72"/>
  <c r="J151" i="54"/>
  <c r="J151" i="55"/>
  <c r="H151" i="63"/>
  <c r="I151" i="63"/>
  <c r="I146" i="86"/>
  <c r="H146" i="86"/>
  <c r="H147" i="85"/>
  <c r="I147" i="85"/>
  <c r="H149" i="78"/>
  <c r="I149" i="78"/>
  <c r="E153" i="46"/>
  <c r="F153" i="46" s="1"/>
  <c r="E151" i="60"/>
  <c r="F151" i="60" s="1"/>
  <c r="B151" i="60"/>
  <c r="H150" i="65"/>
  <c r="I150" i="65"/>
  <c r="E151" i="61"/>
  <c r="F151" i="61" s="1"/>
  <c r="E147" i="92"/>
  <c r="F147" i="92" s="1"/>
  <c r="B147" i="92"/>
  <c r="E152" i="63"/>
  <c r="F152" i="63" s="1"/>
  <c r="B152" i="63"/>
  <c r="E147" i="86"/>
  <c r="F147" i="86" s="1"/>
  <c r="B147" i="86"/>
  <c r="E149" i="79"/>
  <c r="F149" i="79" s="1"/>
  <c r="B149" i="79"/>
  <c r="I146" i="90"/>
  <c r="H146" i="90"/>
  <c r="E153" i="58"/>
  <c r="F153" i="58" s="1"/>
  <c r="B153" i="58"/>
  <c r="H152" i="46"/>
  <c r="I152" i="46"/>
  <c r="E153" i="74"/>
  <c r="F153" i="74" s="1"/>
  <c r="B153" i="74"/>
  <c r="H150" i="60"/>
  <c r="I150" i="60"/>
  <c r="E151" i="65"/>
  <c r="F151" i="65" s="1"/>
  <c r="B151" i="65"/>
  <c r="J153" i="42"/>
  <c r="E147" i="84"/>
  <c r="F147" i="84" s="1"/>
  <c r="B147" i="84"/>
  <c r="I146" i="92"/>
  <c r="H146" i="92"/>
  <c r="E153" i="72"/>
  <c r="F153" i="72" s="1"/>
  <c r="B153" i="72"/>
  <c r="I148" i="79"/>
  <c r="H148" i="79"/>
  <c r="E147" i="90"/>
  <c r="F147" i="90" s="1"/>
  <c r="B147" i="90"/>
  <c r="J149" i="66"/>
  <c r="I152" i="58"/>
  <c r="H152" i="58"/>
  <c r="H152" i="74"/>
  <c r="I152" i="74"/>
  <c r="G147" i="89"/>
  <c r="D148" i="89"/>
  <c r="E153" i="53"/>
  <c r="F153" i="53" s="1"/>
  <c r="B153" i="53"/>
  <c r="I147" i="88"/>
  <c r="H147" i="88"/>
  <c r="H150" i="61"/>
  <c r="I150" i="61"/>
  <c r="D154" i="56"/>
  <c r="G153" i="56"/>
  <c r="J148" i="77"/>
  <c r="D153" i="59"/>
  <c r="G152" i="59"/>
  <c r="J154" i="45"/>
  <c r="J155" i="45" s="1"/>
  <c r="I155" i="45"/>
  <c r="J151" i="59"/>
  <c r="J145" i="33"/>
  <c r="H152" i="57"/>
  <c r="I152" i="57"/>
  <c r="B153" i="57"/>
  <c r="F153" i="57"/>
  <c r="G147" i="93"/>
  <c r="D148" i="93"/>
  <c r="E148" i="93" s="1"/>
  <c r="D150" i="77"/>
  <c r="E150" i="77" s="1"/>
  <c r="G149" i="77"/>
  <c r="G147" i="25"/>
  <c r="D148" i="25"/>
  <c r="E148" i="25" s="1"/>
  <c r="I154" i="42"/>
  <c r="H154" i="42"/>
  <c r="H155" i="42" s="1"/>
  <c r="I154" i="3"/>
  <c r="H154" i="3"/>
  <c r="H155" i="3" s="1"/>
  <c r="J148" i="76"/>
  <c r="G149" i="75"/>
  <c r="D150" i="75"/>
  <c r="E150" i="75" s="1"/>
  <c r="H147" i="94"/>
  <c r="I147" i="94"/>
  <c r="H153" i="44"/>
  <c r="I153" i="44"/>
  <c r="B148" i="82"/>
  <c r="F148" i="82"/>
  <c r="B150" i="67"/>
  <c r="F150" i="67"/>
  <c r="G146" i="13"/>
  <c r="D147" i="13"/>
  <c r="E147" i="13" s="1"/>
  <c r="D149" i="80"/>
  <c r="E149" i="80" s="1"/>
  <c r="G148" i="80"/>
  <c r="D153" i="54"/>
  <c r="E153" i="54" s="1"/>
  <c r="G152" i="54"/>
  <c r="B148" i="95"/>
  <c r="F148" i="95"/>
  <c r="H147" i="82"/>
  <c r="I147" i="82"/>
  <c r="I149" i="67"/>
  <c r="H149" i="67"/>
  <c r="D153" i="55"/>
  <c r="E153" i="55" s="1"/>
  <c r="G152" i="55"/>
  <c r="G148" i="83"/>
  <c r="D149" i="83"/>
  <c r="E149" i="83" s="1"/>
  <c r="F147" i="87"/>
  <c r="B147" i="87"/>
  <c r="F147" i="96"/>
  <c r="B147" i="96"/>
  <c r="J146" i="25"/>
  <c r="D150" i="76"/>
  <c r="G149" i="76"/>
  <c r="G146" i="33"/>
  <c r="D147" i="33"/>
  <c r="E147" i="33" s="1"/>
  <c r="J148" i="75"/>
  <c r="I146" i="87"/>
  <c r="H146" i="87"/>
  <c r="I146" i="96"/>
  <c r="H146" i="96"/>
  <c r="B148" i="94"/>
  <c r="F148" i="94"/>
  <c r="B154" i="44"/>
  <c r="F154" i="44"/>
  <c r="G154" i="44" s="1"/>
  <c r="I147" i="95"/>
  <c r="H147" i="95"/>
  <c r="G69" i="98" l="1"/>
  <c r="I69" i="98" s="1"/>
  <c r="D70" i="98"/>
  <c r="E70" i="98" s="1"/>
  <c r="H147" i="26"/>
  <c r="I147" i="26"/>
  <c r="B148" i="26"/>
  <c r="E148" i="26"/>
  <c r="F148" i="26" s="1"/>
  <c r="J154" i="73"/>
  <c r="J155" i="73" s="1"/>
  <c r="H146" i="99"/>
  <c r="I146" i="99"/>
  <c r="E147" i="99"/>
  <c r="F147" i="99" s="1"/>
  <c r="B147" i="99"/>
  <c r="B150" i="78"/>
  <c r="D148" i="98"/>
  <c r="G147" i="98"/>
  <c r="D148" i="97"/>
  <c r="G147" i="97"/>
  <c r="B151" i="68"/>
  <c r="E151" i="68"/>
  <c r="F151" i="68" s="1"/>
  <c r="H150" i="68"/>
  <c r="I150" i="68"/>
  <c r="E152" i="64"/>
  <c r="F152" i="64" s="1"/>
  <c r="B152" i="64"/>
  <c r="I151" i="64"/>
  <c r="H151" i="64"/>
  <c r="H70" i="91"/>
  <c r="I70" i="91" s="1"/>
  <c r="I69" i="91"/>
  <c r="D71" i="91"/>
  <c r="E71" i="91" s="1"/>
  <c r="F71" i="91" s="1"/>
  <c r="I72" i="80"/>
  <c r="I73" i="80" s="1"/>
  <c r="D70" i="94"/>
  <c r="E70" i="94" s="1"/>
  <c r="F70" i="94" s="1"/>
  <c r="I72" i="85"/>
  <c r="I73" i="85" s="1"/>
  <c r="I68" i="95"/>
  <c r="H72" i="61"/>
  <c r="G72" i="61"/>
  <c r="G73" i="61" s="1"/>
  <c r="I72" i="63"/>
  <c r="I73" i="63" s="1"/>
  <c r="H73" i="63"/>
  <c r="B69" i="94"/>
  <c r="G69" i="94"/>
  <c r="H69" i="94"/>
  <c r="D72" i="90"/>
  <c r="H71" i="90"/>
  <c r="G71" i="90"/>
  <c r="D72" i="93"/>
  <c r="E72" i="93" s="1"/>
  <c r="E73" i="93" s="1"/>
  <c r="B71" i="93"/>
  <c r="H71" i="93"/>
  <c r="G71" i="93"/>
  <c r="B71" i="84"/>
  <c r="I70" i="84"/>
  <c r="E71" i="84"/>
  <c r="F71" i="84" s="1"/>
  <c r="D72" i="84" s="1"/>
  <c r="G67" i="96"/>
  <c r="I67" i="96" s="1"/>
  <c r="D68" i="96"/>
  <c r="I71" i="76"/>
  <c r="H72" i="78"/>
  <c r="G72" i="78"/>
  <c r="G73" i="78" s="1"/>
  <c r="E72" i="76"/>
  <c r="E73" i="76" s="1"/>
  <c r="B72" i="76"/>
  <c r="E70" i="81"/>
  <c r="F70" i="81" s="1"/>
  <c r="B70" i="81"/>
  <c r="E72" i="86"/>
  <c r="E73" i="86" s="1"/>
  <c r="B72" i="86"/>
  <c r="E69" i="95"/>
  <c r="F69" i="95" s="1"/>
  <c r="B69" i="95"/>
  <c r="I69" i="81"/>
  <c r="I71" i="86"/>
  <c r="D70" i="92"/>
  <c r="E70" i="92" s="1"/>
  <c r="F70" i="92" s="1"/>
  <c r="D71" i="92" s="1"/>
  <c r="H69" i="92"/>
  <c r="G69" i="92"/>
  <c r="E70" i="83"/>
  <c r="F70" i="83" s="1"/>
  <c r="D71" i="83" s="1"/>
  <c r="B70" i="83"/>
  <c r="I71" i="79"/>
  <c r="E71" i="88"/>
  <c r="F71" i="88" s="1"/>
  <c r="B71" i="88"/>
  <c r="I68" i="83"/>
  <c r="I67" i="87"/>
  <c r="D70" i="89"/>
  <c r="E70" i="89" s="1"/>
  <c r="G69" i="89"/>
  <c r="G70" i="88"/>
  <c r="B72" i="79"/>
  <c r="F72" i="79"/>
  <c r="G72" i="79" s="1"/>
  <c r="G73" i="79" s="1"/>
  <c r="H69" i="89"/>
  <c r="H70" i="88"/>
  <c r="I72" i="77"/>
  <c r="I73" i="77" s="1"/>
  <c r="H73" i="77"/>
  <c r="B69" i="83"/>
  <c r="H69" i="83"/>
  <c r="G69" i="83"/>
  <c r="J148" i="79"/>
  <c r="E149" i="81"/>
  <c r="F149" i="81" s="1"/>
  <c r="D150" i="81" s="1"/>
  <c r="B150" i="81" s="1"/>
  <c r="I154" i="39"/>
  <c r="H154" i="39"/>
  <c r="H155" i="39" s="1"/>
  <c r="J149" i="78"/>
  <c r="F68" i="26"/>
  <c r="G68" i="26" s="1"/>
  <c r="B68" i="26"/>
  <c r="D72" i="59"/>
  <c r="J150" i="61"/>
  <c r="J150" i="60"/>
  <c r="J151" i="63"/>
  <c r="J152" i="72"/>
  <c r="E153" i="62"/>
  <c r="F153" i="62" s="1"/>
  <c r="D154" i="62" s="1"/>
  <c r="B154" i="62" s="1"/>
  <c r="J154" i="41"/>
  <c r="J155" i="41" s="1"/>
  <c r="I155" i="41"/>
  <c r="H154" i="43"/>
  <c r="H155" i="43" s="1"/>
  <c r="I154" i="43"/>
  <c r="B68" i="87"/>
  <c r="F69" i="25"/>
  <c r="G69" i="25" s="1"/>
  <c r="B69" i="25"/>
  <c r="E68" i="87"/>
  <c r="F68" i="87" s="1"/>
  <c r="F67" i="13"/>
  <c r="G67" i="13" s="1"/>
  <c r="B67" i="13"/>
  <c r="B69" i="33"/>
  <c r="F69" i="33"/>
  <c r="G69" i="33" s="1"/>
  <c r="B71" i="62"/>
  <c r="F71" i="62"/>
  <c r="H71" i="62" s="1"/>
  <c r="H71" i="59"/>
  <c r="I71" i="59" s="1"/>
  <c r="I68" i="25"/>
  <c r="G151" i="65"/>
  <c r="D152" i="65"/>
  <c r="G153" i="53"/>
  <c r="D154" i="53"/>
  <c r="D150" i="79"/>
  <c r="G149" i="79"/>
  <c r="G147" i="92"/>
  <c r="D148" i="92"/>
  <c r="B148" i="92" s="1"/>
  <c r="D148" i="84"/>
  <c r="B148" i="84" s="1"/>
  <c r="G147" i="84"/>
  <c r="G147" i="90"/>
  <c r="D148" i="90"/>
  <c r="G148" i="85"/>
  <c r="D149" i="85"/>
  <c r="H147" i="91"/>
  <c r="I147" i="91"/>
  <c r="E148" i="89"/>
  <c r="F148" i="89" s="1"/>
  <c r="B148" i="89"/>
  <c r="D154" i="72"/>
  <c r="G153" i="72"/>
  <c r="G147" i="86"/>
  <c r="D148" i="86"/>
  <c r="B148" i="86" s="1"/>
  <c r="D153" i="63"/>
  <c r="G152" i="63"/>
  <c r="D152" i="60"/>
  <c r="B152" i="60" s="1"/>
  <c r="G151" i="60"/>
  <c r="D154" i="46"/>
  <c r="E154" i="46" s="1"/>
  <c r="E155" i="46" s="1"/>
  <c r="G153" i="46"/>
  <c r="G148" i="88"/>
  <c r="D149" i="88"/>
  <c r="G150" i="78"/>
  <c r="D151" i="78"/>
  <c r="I147" i="89"/>
  <c r="H147" i="89"/>
  <c r="J152" i="58"/>
  <c r="D154" i="58"/>
  <c r="G153" i="58"/>
  <c r="D152" i="61"/>
  <c r="G151" i="61"/>
  <c r="I152" i="62"/>
  <c r="H152" i="62"/>
  <c r="E151" i="66"/>
  <c r="F151" i="66" s="1"/>
  <c r="B151" i="66"/>
  <c r="G153" i="74"/>
  <c r="D154" i="74"/>
  <c r="J152" i="74"/>
  <c r="J152" i="46"/>
  <c r="J150" i="65"/>
  <c r="J152" i="53"/>
  <c r="H148" i="81"/>
  <c r="I148" i="81"/>
  <c r="E148" i="91"/>
  <c r="F148" i="91" s="1"/>
  <c r="I150" i="66"/>
  <c r="H150" i="66"/>
  <c r="E153" i="59"/>
  <c r="F153" i="59" s="1"/>
  <c r="B153" i="59"/>
  <c r="H153" i="56"/>
  <c r="I153" i="56"/>
  <c r="H152" i="59"/>
  <c r="I152" i="59"/>
  <c r="E154" i="56"/>
  <c r="E155" i="56" s="1"/>
  <c r="B154" i="56"/>
  <c r="J152" i="57"/>
  <c r="J149" i="67"/>
  <c r="D154" i="57"/>
  <c r="G153" i="57"/>
  <c r="B150" i="76"/>
  <c r="B147" i="33"/>
  <c r="F147" i="33"/>
  <c r="H149" i="76"/>
  <c r="I149" i="76"/>
  <c r="D148" i="96"/>
  <c r="E148" i="96" s="1"/>
  <c r="G147" i="96"/>
  <c r="D148" i="87"/>
  <c r="E148" i="87" s="1"/>
  <c r="G147" i="87"/>
  <c r="F153" i="55"/>
  <c r="B153" i="55"/>
  <c r="F150" i="75"/>
  <c r="B150" i="75"/>
  <c r="H147" i="25"/>
  <c r="I147" i="25"/>
  <c r="G148" i="94"/>
  <c r="D149" i="94"/>
  <c r="E149" i="94" s="1"/>
  <c r="H146" i="33"/>
  <c r="I146" i="33"/>
  <c r="E150" i="76"/>
  <c r="F150" i="76" s="1"/>
  <c r="H152" i="54"/>
  <c r="I152" i="54"/>
  <c r="B149" i="80"/>
  <c r="F149" i="80"/>
  <c r="D151" i="67"/>
  <c r="E151" i="67" s="1"/>
  <c r="G150" i="67"/>
  <c r="G148" i="82"/>
  <c r="D149" i="82"/>
  <c r="E149" i="82" s="1"/>
  <c r="J153" i="44"/>
  <c r="H149" i="75"/>
  <c r="I149" i="75"/>
  <c r="I149" i="77"/>
  <c r="H149" i="77"/>
  <c r="B148" i="93"/>
  <c r="F148" i="93"/>
  <c r="I154" i="44"/>
  <c r="H154" i="44"/>
  <c r="H155" i="44" s="1"/>
  <c r="B149" i="83"/>
  <c r="F149" i="83"/>
  <c r="H152" i="55"/>
  <c r="I152" i="55"/>
  <c r="F153" i="54"/>
  <c r="B153" i="54"/>
  <c r="B147" i="13"/>
  <c r="F147" i="13"/>
  <c r="H147" i="93"/>
  <c r="I147" i="93"/>
  <c r="H148" i="83"/>
  <c r="I148" i="83"/>
  <c r="D149" i="95"/>
  <c r="E149" i="95" s="1"/>
  <c r="G148" i="95"/>
  <c r="I148" i="80"/>
  <c r="H148" i="80"/>
  <c r="H146" i="13"/>
  <c r="I146" i="13"/>
  <c r="J154" i="3"/>
  <c r="J155" i="3" s="1"/>
  <c r="I155" i="3"/>
  <c r="J154" i="42"/>
  <c r="J155" i="42" s="1"/>
  <c r="I155" i="42"/>
  <c r="F148" i="25"/>
  <c r="B148" i="25"/>
  <c r="B150" i="77"/>
  <c r="F150" i="77"/>
  <c r="F70" i="98" l="1"/>
  <c r="B70" i="98"/>
  <c r="H70" i="98"/>
  <c r="J147" i="26"/>
  <c r="D149" i="26"/>
  <c r="B149" i="26" s="1"/>
  <c r="G148" i="26"/>
  <c r="G149" i="81"/>
  <c r="D148" i="99"/>
  <c r="B148" i="99" s="1"/>
  <c r="G147" i="99"/>
  <c r="E154" i="62"/>
  <c r="E155" i="62" s="1"/>
  <c r="I147" i="97"/>
  <c r="H147" i="97"/>
  <c r="B148" i="97"/>
  <c r="H147" i="98"/>
  <c r="I147" i="98"/>
  <c r="J150" i="68"/>
  <c r="E148" i="97"/>
  <c r="F148" i="97" s="1"/>
  <c r="E148" i="98"/>
  <c r="F148" i="98" s="1"/>
  <c r="B148" i="98"/>
  <c r="G151" i="68"/>
  <c r="D152" i="68"/>
  <c r="J151" i="64"/>
  <c r="D153" i="64"/>
  <c r="G152" i="64"/>
  <c r="I69" i="94"/>
  <c r="D72" i="91"/>
  <c r="B71" i="91"/>
  <c r="G71" i="91"/>
  <c r="H71" i="91"/>
  <c r="D71" i="94"/>
  <c r="E71" i="94" s="1"/>
  <c r="F71" i="94" s="1"/>
  <c r="I72" i="61"/>
  <c r="I73" i="61" s="1"/>
  <c r="H73" i="61"/>
  <c r="B70" i="94"/>
  <c r="H70" i="94"/>
  <c r="G70" i="94"/>
  <c r="G71" i="84"/>
  <c r="I71" i="93"/>
  <c r="G70" i="83"/>
  <c r="H71" i="84"/>
  <c r="I71" i="90"/>
  <c r="E72" i="84"/>
  <c r="E73" i="84" s="1"/>
  <c r="B72" i="84"/>
  <c r="B72" i="93"/>
  <c r="F72" i="93"/>
  <c r="H72" i="93" s="1"/>
  <c r="H73" i="93" s="1"/>
  <c r="E72" i="90"/>
  <c r="E73" i="90" s="1"/>
  <c r="B72" i="90"/>
  <c r="G69" i="95"/>
  <c r="D70" i="95"/>
  <c r="H69" i="95"/>
  <c r="G70" i="81"/>
  <c r="D71" i="81"/>
  <c r="H70" i="81"/>
  <c r="I69" i="83"/>
  <c r="E68" i="96"/>
  <c r="F68" i="96" s="1"/>
  <c r="B68" i="96"/>
  <c r="F72" i="86"/>
  <c r="F72" i="76"/>
  <c r="I72" i="78"/>
  <c r="I73" i="78" s="1"/>
  <c r="H73" i="78"/>
  <c r="D72" i="88"/>
  <c r="G71" i="88"/>
  <c r="H71" i="88"/>
  <c r="E71" i="92"/>
  <c r="F71" i="92" s="1"/>
  <c r="G71" i="92" s="1"/>
  <c r="B71" i="92"/>
  <c r="H69" i="33"/>
  <c r="I69" i="33" s="1"/>
  <c r="I69" i="89"/>
  <c r="B70" i="89"/>
  <c r="F70" i="89"/>
  <c r="G70" i="89" s="1"/>
  <c r="E71" i="83"/>
  <c r="F71" i="83" s="1"/>
  <c r="B71" i="83"/>
  <c r="I69" i="92"/>
  <c r="H72" i="79"/>
  <c r="I70" i="88"/>
  <c r="H70" i="83"/>
  <c r="I70" i="83" s="1"/>
  <c r="B70" i="92"/>
  <c r="H70" i="92"/>
  <c r="G70" i="92"/>
  <c r="G153" i="62"/>
  <c r="J152" i="62"/>
  <c r="E148" i="84"/>
  <c r="F148" i="84" s="1"/>
  <c r="G148" i="84" s="1"/>
  <c r="J154" i="39"/>
  <c r="J155" i="39" s="1"/>
  <c r="I155" i="39"/>
  <c r="D69" i="87"/>
  <c r="H68" i="87"/>
  <c r="G68" i="87"/>
  <c r="D72" i="62"/>
  <c r="J154" i="43"/>
  <c r="J155" i="43" s="1"/>
  <c r="I155" i="43"/>
  <c r="D68" i="13"/>
  <c r="E68" i="13" s="1"/>
  <c r="D70" i="25"/>
  <c r="E70" i="25" s="1"/>
  <c r="B72" i="59"/>
  <c r="D69" i="26"/>
  <c r="J147" i="25"/>
  <c r="J150" i="66"/>
  <c r="E148" i="86"/>
  <c r="F148" i="86" s="1"/>
  <c r="G148" i="86" s="1"/>
  <c r="G71" i="62"/>
  <c r="I71" i="62" s="1"/>
  <c r="D70" i="33"/>
  <c r="E70" i="33" s="1"/>
  <c r="H67" i="13"/>
  <c r="I67" i="13" s="1"/>
  <c r="H69" i="25"/>
  <c r="I69" i="25" s="1"/>
  <c r="E72" i="59"/>
  <c r="E73" i="59" s="1"/>
  <c r="H68" i="26"/>
  <c r="I68" i="26" s="1"/>
  <c r="D149" i="89"/>
  <c r="G148" i="89"/>
  <c r="G151" i="66"/>
  <c r="D152" i="66"/>
  <c r="B154" i="74"/>
  <c r="H151" i="60"/>
  <c r="I151" i="60"/>
  <c r="H153" i="72"/>
  <c r="I153" i="72"/>
  <c r="E154" i="53"/>
  <c r="E155" i="53" s="1"/>
  <c r="B154" i="53"/>
  <c r="H153" i="74"/>
  <c r="I153" i="74"/>
  <c r="H153" i="58"/>
  <c r="I153" i="58"/>
  <c r="E150" i="81"/>
  <c r="F150" i="81" s="1"/>
  <c r="H150" i="78"/>
  <c r="I150" i="78"/>
  <c r="H153" i="46"/>
  <c r="I153" i="46"/>
  <c r="B154" i="72"/>
  <c r="I148" i="85"/>
  <c r="H148" i="85"/>
  <c r="I147" i="84"/>
  <c r="H147" i="84"/>
  <c r="I147" i="92"/>
  <c r="H147" i="92"/>
  <c r="H153" i="53"/>
  <c r="I153" i="53"/>
  <c r="E151" i="78"/>
  <c r="F151" i="78" s="1"/>
  <c r="B151" i="78"/>
  <c r="E149" i="85"/>
  <c r="F149" i="85" s="1"/>
  <c r="B149" i="85"/>
  <c r="E154" i="58"/>
  <c r="E155" i="58" s="1"/>
  <c r="B154" i="58"/>
  <c r="E149" i="88"/>
  <c r="F149" i="88" s="1"/>
  <c r="B149" i="88"/>
  <c r="B154" i="46"/>
  <c r="F154" i="46"/>
  <c r="G154" i="46" s="1"/>
  <c r="I152" i="63"/>
  <c r="H152" i="63"/>
  <c r="H147" i="86"/>
  <c r="I147" i="86"/>
  <c r="E148" i="90"/>
  <c r="F148" i="90" s="1"/>
  <c r="B148" i="90"/>
  <c r="I149" i="79"/>
  <c r="H149" i="79"/>
  <c r="E152" i="65"/>
  <c r="F152" i="65" s="1"/>
  <c r="B152" i="65"/>
  <c r="E152" i="61"/>
  <c r="F152" i="61" s="1"/>
  <c r="B152" i="61"/>
  <c r="F154" i="56"/>
  <c r="G154" i="56" s="1"/>
  <c r="H154" i="56" s="1"/>
  <c r="H155" i="56" s="1"/>
  <c r="G148" i="91"/>
  <c r="D149" i="91"/>
  <c r="B149" i="91" s="1"/>
  <c r="E154" i="74"/>
  <c r="E155" i="74" s="1"/>
  <c r="I151" i="61"/>
  <c r="H151" i="61"/>
  <c r="H149" i="81"/>
  <c r="I149" i="81"/>
  <c r="I148" i="88"/>
  <c r="H148" i="88"/>
  <c r="E152" i="60"/>
  <c r="F152" i="60" s="1"/>
  <c r="E153" i="63"/>
  <c r="F153" i="63" s="1"/>
  <c r="B153" i="63"/>
  <c r="E154" i="72"/>
  <c r="E155" i="72" s="1"/>
  <c r="I147" i="90"/>
  <c r="H147" i="90"/>
  <c r="E148" i="92"/>
  <c r="F148" i="92" s="1"/>
  <c r="E150" i="79"/>
  <c r="F150" i="79" s="1"/>
  <c r="B150" i="79"/>
  <c r="H151" i="65"/>
  <c r="I151" i="65"/>
  <c r="G153" i="59"/>
  <c r="D154" i="59"/>
  <c r="J153" i="56"/>
  <c r="J152" i="55"/>
  <c r="J152" i="59"/>
  <c r="J149" i="77"/>
  <c r="B154" i="57"/>
  <c r="J149" i="75"/>
  <c r="J149" i="76"/>
  <c r="H153" i="57"/>
  <c r="I153" i="57"/>
  <c r="J152" i="54"/>
  <c r="E154" i="57"/>
  <c r="E155" i="57" s="1"/>
  <c r="G150" i="76"/>
  <c r="D151" i="76"/>
  <c r="E151" i="76" s="1"/>
  <c r="I148" i="95"/>
  <c r="H148" i="95"/>
  <c r="G153" i="54"/>
  <c r="D154" i="54"/>
  <c r="J154" i="44"/>
  <c r="J155" i="44" s="1"/>
  <c r="I155" i="44"/>
  <c r="G153" i="55"/>
  <c r="D154" i="55"/>
  <c r="E154" i="55" s="1"/>
  <c r="E155" i="55" s="1"/>
  <c r="H147" i="96"/>
  <c r="I147" i="96"/>
  <c r="G148" i="25"/>
  <c r="D149" i="25"/>
  <c r="E149" i="25" s="1"/>
  <c r="D150" i="83"/>
  <c r="E150" i="83" s="1"/>
  <c r="G149" i="83"/>
  <c r="D149" i="93"/>
  <c r="E149" i="93" s="1"/>
  <c r="G148" i="93"/>
  <c r="H150" i="67"/>
  <c r="I150" i="67"/>
  <c r="G147" i="33"/>
  <c r="D148" i="33"/>
  <c r="E148" i="33" s="1"/>
  <c r="B149" i="95"/>
  <c r="F149" i="95"/>
  <c r="F149" i="82"/>
  <c r="B149" i="82"/>
  <c r="B151" i="67"/>
  <c r="F151" i="67"/>
  <c r="G149" i="80"/>
  <c r="D150" i="80"/>
  <c r="E150" i="80" s="1"/>
  <c r="J146" i="33"/>
  <c r="F149" i="94"/>
  <c r="B149" i="94"/>
  <c r="I147" i="87"/>
  <c r="H147" i="87"/>
  <c r="F148" i="96"/>
  <c r="B148" i="96"/>
  <c r="D151" i="77"/>
  <c r="E151" i="77" s="1"/>
  <c r="G150" i="77"/>
  <c r="D148" i="13"/>
  <c r="G147" i="13"/>
  <c r="I148" i="82"/>
  <c r="H148" i="82"/>
  <c r="I148" i="94"/>
  <c r="H148" i="94"/>
  <c r="D151" i="75"/>
  <c r="G150" i="75"/>
  <c r="F148" i="87"/>
  <c r="B148" i="87"/>
  <c r="G70" i="98" l="1"/>
  <c r="I70" i="98" s="1"/>
  <c r="D71" i="98"/>
  <c r="E149" i="26"/>
  <c r="F149" i="26" s="1"/>
  <c r="H148" i="26"/>
  <c r="I148" i="26"/>
  <c r="E148" i="99"/>
  <c r="F148" i="99" s="1"/>
  <c r="G148" i="99" s="1"/>
  <c r="I148" i="99" s="1"/>
  <c r="H147" i="99"/>
  <c r="I147" i="99"/>
  <c r="F154" i="62"/>
  <c r="G154" i="62" s="1"/>
  <c r="I154" i="62" s="1"/>
  <c r="F72" i="90"/>
  <c r="G72" i="90" s="1"/>
  <c r="G73" i="90" s="1"/>
  <c r="I71" i="88"/>
  <c r="D149" i="84"/>
  <c r="B149" i="84" s="1"/>
  <c r="D149" i="97"/>
  <c r="B149" i="97" s="1"/>
  <c r="G148" i="97"/>
  <c r="D149" i="98"/>
  <c r="G148" i="98"/>
  <c r="B152" i="68"/>
  <c r="E152" i="68"/>
  <c r="F152" i="68" s="1"/>
  <c r="H151" i="68"/>
  <c r="I151" i="68"/>
  <c r="H152" i="64"/>
  <c r="I152" i="64"/>
  <c r="E153" i="64"/>
  <c r="F153" i="64" s="1"/>
  <c r="B153" i="64"/>
  <c r="G72" i="93"/>
  <c r="G73" i="93" s="1"/>
  <c r="D149" i="86"/>
  <c r="B149" i="86" s="1"/>
  <c r="B72" i="91"/>
  <c r="I71" i="91"/>
  <c r="E72" i="91"/>
  <c r="E73" i="91" s="1"/>
  <c r="I71" i="84"/>
  <c r="D72" i="94"/>
  <c r="E72" i="94" s="1"/>
  <c r="E73" i="94" s="1"/>
  <c r="I70" i="94"/>
  <c r="B71" i="94"/>
  <c r="H71" i="94"/>
  <c r="G71" i="94"/>
  <c r="F72" i="84"/>
  <c r="I154" i="56"/>
  <c r="I155" i="56" s="1"/>
  <c r="I69" i="95"/>
  <c r="H68" i="96"/>
  <c r="D69" i="96"/>
  <c r="E69" i="96" s="1"/>
  <c r="F69" i="96" s="1"/>
  <c r="D70" i="96" s="1"/>
  <c r="G68" i="96"/>
  <c r="G72" i="86"/>
  <c r="G73" i="86" s="1"/>
  <c r="H72" i="86"/>
  <c r="G72" i="76"/>
  <c r="G73" i="76" s="1"/>
  <c r="H72" i="76"/>
  <c r="I70" i="81"/>
  <c r="E70" i="95"/>
  <c r="F70" i="95" s="1"/>
  <c r="D71" i="95" s="1"/>
  <c r="B70" i="95"/>
  <c r="E71" i="81"/>
  <c r="F71" i="81" s="1"/>
  <c r="H71" i="81" s="1"/>
  <c r="B71" i="81"/>
  <c r="I70" i="92"/>
  <c r="H71" i="83"/>
  <c r="D72" i="83"/>
  <c r="E72" i="83" s="1"/>
  <c r="E73" i="83" s="1"/>
  <c r="G71" i="83"/>
  <c r="I68" i="87"/>
  <c r="H71" i="92"/>
  <c r="I71" i="92" s="1"/>
  <c r="D72" i="92"/>
  <c r="B72" i="88"/>
  <c r="I72" i="79"/>
  <c r="I73" i="79" s="1"/>
  <c r="H73" i="79"/>
  <c r="H70" i="89"/>
  <c r="D71" i="89"/>
  <c r="E71" i="89" s="1"/>
  <c r="E72" i="88"/>
  <c r="E73" i="88" s="1"/>
  <c r="H153" i="62"/>
  <c r="I153" i="62"/>
  <c r="J153" i="74"/>
  <c r="J153" i="72"/>
  <c r="B69" i="26"/>
  <c r="B72" i="62"/>
  <c r="J151" i="61"/>
  <c r="F70" i="33"/>
  <c r="G70" i="33" s="1"/>
  <c r="B70" i="33"/>
  <c r="B69" i="87"/>
  <c r="B70" i="25"/>
  <c r="F70" i="25"/>
  <c r="H70" i="25" s="1"/>
  <c r="F68" i="13"/>
  <c r="H68" i="13" s="1"/>
  <c r="B68" i="13"/>
  <c r="E69" i="87"/>
  <c r="F69" i="87" s="1"/>
  <c r="J151" i="65"/>
  <c r="F154" i="53"/>
  <c r="G154" i="53" s="1"/>
  <c r="I154" i="53" s="1"/>
  <c r="E69" i="26"/>
  <c r="F69" i="26" s="1"/>
  <c r="F72" i="59"/>
  <c r="E72" i="62"/>
  <c r="E73" i="62" s="1"/>
  <c r="D154" i="63"/>
  <c r="G153" i="63"/>
  <c r="G152" i="65"/>
  <c r="D153" i="65"/>
  <c r="B153" i="65" s="1"/>
  <c r="G148" i="90"/>
  <c r="D149" i="90"/>
  <c r="I148" i="91"/>
  <c r="H148" i="91"/>
  <c r="H148" i="84"/>
  <c r="I148" i="84"/>
  <c r="G152" i="60"/>
  <c r="D153" i="60"/>
  <c r="J152" i="63"/>
  <c r="D150" i="88"/>
  <c r="G149" i="88"/>
  <c r="J153" i="46"/>
  <c r="G150" i="81"/>
  <c r="D151" i="81"/>
  <c r="F154" i="74"/>
  <c r="G154" i="74" s="1"/>
  <c r="H148" i="89"/>
  <c r="I148" i="89"/>
  <c r="D149" i="92"/>
  <c r="B149" i="92" s="1"/>
  <c r="G148" i="92"/>
  <c r="E149" i="91"/>
  <c r="F149" i="91" s="1"/>
  <c r="J149" i="79"/>
  <c r="I154" i="46"/>
  <c r="H154" i="46"/>
  <c r="H155" i="46" s="1"/>
  <c r="G149" i="85"/>
  <c r="D150" i="85"/>
  <c r="J153" i="58"/>
  <c r="I148" i="86"/>
  <c r="H148" i="86"/>
  <c r="B149" i="89"/>
  <c r="D151" i="79"/>
  <c r="G150" i="79"/>
  <c r="G152" i="61"/>
  <c r="D153" i="61"/>
  <c r="D152" i="78"/>
  <c r="G151" i="78"/>
  <c r="H151" i="66"/>
  <c r="I151" i="66"/>
  <c r="F154" i="58"/>
  <c r="G154" i="58" s="1"/>
  <c r="J153" i="53"/>
  <c r="F154" i="72"/>
  <c r="G154" i="72" s="1"/>
  <c r="J150" i="78"/>
  <c r="J151" i="60"/>
  <c r="E152" i="66"/>
  <c r="F152" i="66" s="1"/>
  <c r="B152" i="66"/>
  <c r="E149" i="89"/>
  <c r="F149" i="89" s="1"/>
  <c r="F154" i="57"/>
  <c r="G154" i="57" s="1"/>
  <c r="I154" i="57" s="1"/>
  <c r="I153" i="59"/>
  <c r="H153" i="59"/>
  <c r="E154" i="59"/>
  <c r="E155" i="59" s="1"/>
  <c r="B154" i="59"/>
  <c r="J153" i="57"/>
  <c r="J150" i="67"/>
  <c r="B151" i="75"/>
  <c r="B148" i="13"/>
  <c r="H147" i="33"/>
  <c r="I147" i="33"/>
  <c r="I149" i="83"/>
  <c r="H149" i="83"/>
  <c r="H148" i="25"/>
  <c r="I148" i="25"/>
  <c r="B154" i="54"/>
  <c r="D149" i="87"/>
  <c r="G148" i="87"/>
  <c r="F150" i="80"/>
  <c r="B150" i="80"/>
  <c r="B149" i="93"/>
  <c r="F149" i="93"/>
  <c r="F154" i="55"/>
  <c r="G154" i="55" s="1"/>
  <c r="B154" i="55"/>
  <c r="E154" i="54"/>
  <c r="E155" i="54" s="1"/>
  <c r="I150" i="77"/>
  <c r="H150" i="77"/>
  <c r="E151" i="75"/>
  <c r="F151" i="75" s="1"/>
  <c r="E148" i="13"/>
  <c r="F148" i="13" s="1"/>
  <c r="G148" i="96"/>
  <c r="D149" i="96"/>
  <c r="E149" i="96" s="1"/>
  <c r="G149" i="94"/>
  <c r="D150" i="94"/>
  <c r="E150" i="94" s="1"/>
  <c r="I149" i="80"/>
  <c r="H149" i="80"/>
  <c r="D150" i="82"/>
  <c r="E150" i="82" s="1"/>
  <c r="G149" i="82"/>
  <c r="F150" i="83"/>
  <c r="B150" i="83"/>
  <c r="H153" i="55"/>
  <c r="I153" i="55"/>
  <c r="I153" i="54"/>
  <c r="H153" i="54"/>
  <c r="F151" i="76"/>
  <c r="B151" i="76"/>
  <c r="H150" i="75"/>
  <c r="I150" i="75"/>
  <c r="H147" i="13"/>
  <c r="I147" i="13"/>
  <c r="B151" i="77"/>
  <c r="F151" i="77"/>
  <c r="G151" i="67"/>
  <c r="D152" i="67"/>
  <c r="E152" i="67" s="1"/>
  <c r="G149" i="95"/>
  <c r="D150" i="95"/>
  <c r="E150" i="95" s="1"/>
  <c r="B148" i="33"/>
  <c r="F148" i="33"/>
  <c r="I148" i="93"/>
  <c r="H148" i="93"/>
  <c r="B149" i="25"/>
  <c r="F149" i="25"/>
  <c r="I150" i="76"/>
  <c r="H150" i="76"/>
  <c r="J148" i="26" l="1"/>
  <c r="E71" i="98"/>
  <c r="F71" i="98" s="1"/>
  <c r="D72" i="98" s="1"/>
  <c r="H71" i="98"/>
  <c r="B71" i="98"/>
  <c r="H148" i="99"/>
  <c r="D149" i="99"/>
  <c r="E149" i="99" s="1"/>
  <c r="F149" i="99" s="1"/>
  <c r="D150" i="99" s="1"/>
  <c r="E150" i="99" s="1"/>
  <c r="G149" i="26"/>
  <c r="D150" i="26"/>
  <c r="H72" i="90"/>
  <c r="H154" i="62"/>
  <c r="I72" i="93"/>
  <c r="I73" i="93" s="1"/>
  <c r="E149" i="97"/>
  <c r="F149" i="97" s="1"/>
  <c r="D150" i="97" s="1"/>
  <c r="E149" i="84"/>
  <c r="F149" i="84" s="1"/>
  <c r="D150" i="84" s="1"/>
  <c r="E149" i="86"/>
  <c r="F149" i="86" s="1"/>
  <c r="G149" i="86" s="1"/>
  <c r="I149" i="86" s="1"/>
  <c r="H155" i="62"/>
  <c r="J154" i="56"/>
  <c r="J155" i="56" s="1"/>
  <c r="J152" i="64"/>
  <c r="E149" i="98"/>
  <c r="F149" i="98" s="1"/>
  <c r="B149" i="98"/>
  <c r="I148" i="97"/>
  <c r="H148" i="97"/>
  <c r="J151" i="68"/>
  <c r="H148" i="98"/>
  <c r="I148" i="98"/>
  <c r="G152" i="68"/>
  <c r="D153" i="68"/>
  <c r="G153" i="64"/>
  <c r="D154" i="64"/>
  <c r="B154" i="64" s="1"/>
  <c r="J153" i="62"/>
  <c r="F72" i="91"/>
  <c r="I68" i="96"/>
  <c r="I71" i="94"/>
  <c r="B72" i="94"/>
  <c r="F72" i="94"/>
  <c r="H72" i="84"/>
  <c r="G72" i="84"/>
  <c r="G73" i="84" s="1"/>
  <c r="I72" i="90"/>
  <c r="I73" i="90" s="1"/>
  <c r="H73" i="90"/>
  <c r="E70" i="96"/>
  <c r="F70" i="96" s="1"/>
  <c r="B70" i="96"/>
  <c r="G70" i="95"/>
  <c r="I72" i="76"/>
  <c r="I73" i="76" s="1"/>
  <c r="H73" i="76"/>
  <c r="H70" i="95"/>
  <c r="E71" i="95"/>
  <c r="F71" i="95" s="1"/>
  <c r="B71" i="95"/>
  <c r="H73" i="86"/>
  <c r="I72" i="86"/>
  <c r="I73" i="86" s="1"/>
  <c r="B69" i="96"/>
  <c r="H69" i="96"/>
  <c r="G69" i="96"/>
  <c r="G71" i="81"/>
  <c r="I71" i="81" s="1"/>
  <c r="D72" i="81"/>
  <c r="F71" i="89"/>
  <c r="G71" i="89" s="1"/>
  <c r="B71" i="89"/>
  <c r="E72" i="92"/>
  <c r="E73" i="92" s="1"/>
  <c r="B72" i="92"/>
  <c r="I70" i="89"/>
  <c r="B72" i="83"/>
  <c r="F72" i="83"/>
  <c r="H72" i="83" s="1"/>
  <c r="F72" i="88"/>
  <c r="I71" i="83"/>
  <c r="H154" i="53"/>
  <c r="H155" i="53" s="1"/>
  <c r="H154" i="57"/>
  <c r="H155" i="57" s="1"/>
  <c r="F154" i="59"/>
  <c r="G154" i="59" s="1"/>
  <c r="H154" i="59" s="1"/>
  <c r="H155" i="59" s="1"/>
  <c r="D70" i="26"/>
  <c r="E70" i="26" s="1"/>
  <c r="H69" i="26"/>
  <c r="G69" i="26"/>
  <c r="D70" i="87"/>
  <c r="E70" i="87" s="1"/>
  <c r="G69" i="87"/>
  <c r="H69" i="87"/>
  <c r="D71" i="25"/>
  <c r="E71" i="25" s="1"/>
  <c r="J150" i="76"/>
  <c r="H72" i="59"/>
  <c r="G72" i="59"/>
  <c r="G73" i="59" s="1"/>
  <c r="D69" i="13"/>
  <c r="E69" i="13" s="1"/>
  <c r="G68" i="13"/>
  <c r="I68" i="13" s="1"/>
  <c r="D71" i="33"/>
  <c r="E71" i="33" s="1"/>
  <c r="J154" i="46"/>
  <c r="J155" i="46" s="1"/>
  <c r="G70" i="25"/>
  <c r="I70" i="25" s="1"/>
  <c r="H70" i="33"/>
  <c r="I70" i="33" s="1"/>
  <c r="F72" i="62"/>
  <c r="I155" i="57"/>
  <c r="D150" i="89"/>
  <c r="G149" i="89"/>
  <c r="D153" i="66"/>
  <c r="B153" i="66" s="1"/>
  <c r="G152" i="66"/>
  <c r="E152" i="78"/>
  <c r="F152" i="78" s="1"/>
  <c r="B152" i="78"/>
  <c r="I155" i="53"/>
  <c r="E153" i="60"/>
  <c r="F153" i="60" s="1"/>
  <c r="B153" i="60"/>
  <c r="I154" i="58"/>
  <c r="H154" i="58"/>
  <c r="H155" i="58" s="1"/>
  <c r="H152" i="61"/>
  <c r="I152" i="61"/>
  <c r="B150" i="84"/>
  <c r="D150" i="91"/>
  <c r="G149" i="91"/>
  <c r="E151" i="81"/>
  <c r="F151" i="81" s="1"/>
  <c r="B151" i="81"/>
  <c r="H149" i="88"/>
  <c r="I149" i="88"/>
  <c r="H152" i="60"/>
  <c r="I152" i="60"/>
  <c r="H148" i="90"/>
  <c r="I148" i="90"/>
  <c r="H153" i="63"/>
  <c r="I153" i="63"/>
  <c r="I154" i="72"/>
  <c r="H154" i="72"/>
  <c r="H155" i="72" s="1"/>
  <c r="E151" i="79"/>
  <c r="F151" i="79" s="1"/>
  <c r="B151" i="79"/>
  <c r="H149" i="85"/>
  <c r="I149" i="85"/>
  <c r="H148" i="92"/>
  <c r="I148" i="92"/>
  <c r="I155" i="46"/>
  <c r="E153" i="61"/>
  <c r="F153" i="61" s="1"/>
  <c r="B153" i="61"/>
  <c r="I154" i="74"/>
  <c r="H154" i="74"/>
  <c r="H155" i="74" s="1"/>
  <c r="E149" i="90"/>
  <c r="F149" i="90" s="1"/>
  <c r="B149" i="90"/>
  <c r="H152" i="65"/>
  <c r="I152" i="65"/>
  <c r="J151" i="66"/>
  <c r="I151" i="78"/>
  <c r="H151" i="78"/>
  <c r="I150" i="79"/>
  <c r="H150" i="79"/>
  <c r="E150" i="85"/>
  <c r="F150" i="85" s="1"/>
  <c r="B150" i="85"/>
  <c r="E149" i="92"/>
  <c r="F149" i="92" s="1"/>
  <c r="I150" i="81"/>
  <c r="H150" i="81"/>
  <c r="E150" i="88"/>
  <c r="F150" i="88" s="1"/>
  <c r="B150" i="88"/>
  <c r="E153" i="65"/>
  <c r="F153" i="65" s="1"/>
  <c r="E154" i="63"/>
  <c r="E155" i="63" s="1"/>
  <c r="B154" i="63"/>
  <c r="J154" i="62"/>
  <c r="I155" i="62"/>
  <c r="J153" i="59"/>
  <c r="J148" i="25"/>
  <c r="G148" i="13"/>
  <c r="D149" i="13"/>
  <c r="E149" i="13" s="1"/>
  <c r="G151" i="75"/>
  <c r="D152" i="75"/>
  <c r="D149" i="33"/>
  <c r="E149" i="33" s="1"/>
  <c r="G148" i="33"/>
  <c r="H149" i="95"/>
  <c r="I149" i="95"/>
  <c r="I151" i="67"/>
  <c r="H151" i="67"/>
  <c r="D152" i="76"/>
  <c r="E152" i="76" s="1"/>
  <c r="G151" i="76"/>
  <c r="B149" i="87"/>
  <c r="I149" i="82"/>
  <c r="H149" i="82"/>
  <c r="B149" i="96"/>
  <c r="F149" i="96"/>
  <c r="H154" i="55"/>
  <c r="H155" i="55" s="1"/>
  <c r="I154" i="55"/>
  <c r="D151" i="80"/>
  <c r="E151" i="80" s="1"/>
  <c r="G150" i="80"/>
  <c r="F154" i="54"/>
  <c r="G154" i="54" s="1"/>
  <c r="D150" i="25"/>
  <c r="E150" i="25" s="1"/>
  <c r="G149" i="25"/>
  <c r="J153" i="54"/>
  <c r="D151" i="83"/>
  <c r="G150" i="83"/>
  <c r="F150" i="82"/>
  <c r="B150" i="82"/>
  <c r="F150" i="94"/>
  <c r="B150" i="94"/>
  <c r="H148" i="96"/>
  <c r="I148" i="96"/>
  <c r="J150" i="77"/>
  <c r="G149" i="93"/>
  <c r="D150" i="93"/>
  <c r="E150" i="93" s="1"/>
  <c r="E149" i="87"/>
  <c r="F149" i="87" s="1"/>
  <c r="F150" i="95"/>
  <c r="B150" i="95"/>
  <c r="F152" i="67"/>
  <c r="B152" i="67"/>
  <c r="D152" i="77"/>
  <c r="E152" i="77" s="1"/>
  <c r="G151" i="77"/>
  <c r="J150" i="75"/>
  <c r="J153" i="55"/>
  <c r="H149" i="94"/>
  <c r="I149" i="94"/>
  <c r="I148" i="87"/>
  <c r="H148" i="87"/>
  <c r="J147" i="33"/>
  <c r="G149" i="99" l="1"/>
  <c r="G71" i="98"/>
  <c r="I71" i="98"/>
  <c r="E72" i="98"/>
  <c r="E73" i="98" s="1"/>
  <c r="B72" i="98"/>
  <c r="E150" i="26"/>
  <c r="F150" i="26" s="1"/>
  <c r="B150" i="26"/>
  <c r="B149" i="99"/>
  <c r="I149" i="26"/>
  <c r="H149" i="26"/>
  <c r="E150" i="84"/>
  <c r="F150" i="84" s="1"/>
  <c r="G150" i="84" s="1"/>
  <c r="G149" i="97"/>
  <c r="H149" i="97" s="1"/>
  <c r="H149" i="86"/>
  <c r="J155" i="62"/>
  <c r="D150" i="86"/>
  <c r="H149" i="99"/>
  <c r="I149" i="99"/>
  <c r="F150" i="99"/>
  <c r="B150" i="99"/>
  <c r="G149" i="84"/>
  <c r="I149" i="84" s="1"/>
  <c r="I149" i="97"/>
  <c r="G149" i="98"/>
  <c r="D150" i="98"/>
  <c r="E150" i="97"/>
  <c r="F150" i="97" s="1"/>
  <c r="B150" i="97"/>
  <c r="B153" i="68"/>
  <c r="E153" i="68"/>
  <c r="F153" i="68" s="1"/>
  <c r="H152" i="68"/>
  <c r="I152" i="68"/>
  <c r="E154" i="64"/>
  <c r="H153" i="64"/>
  <c r="I153" i="64"/>
  <c r="G72" i="91"/>
  <c r="G73" i="91" s="1"/>
  <c r="H72" i="91"/>
  <c r="H72" i="94"/>
  <c r="G72" i="94"/>
  <c r="G73" i="94" s="1"/>
  <c r="H73" i="84"/>
  <c r="I72" i="84"/>
  <c r="I73" i="84" s="1"/>
  <c r="D71" i="96"/>
  <c r="E71" i="96" s="1"/>
  <c r="G70" i="96"/>
  <c r="H70" i="96"/>
  <c r="E72" i="81"/>
  <c r="E73" i="81" s="1"/>
  <c r="B72" i="81"/>
  <c r="G71" i="95"/>
  <c r="D72" i="95"/>
  <c r="E72" i="95" s="1"/>
  <c r="E73" i="95" s="1"/>
  <c r="I69" i="96"/>
  <c r="H71" i="95"/>
  <c r="I70" i="95"/>
  <c r="H73" i="83"/>
  <c r="G72" i="83"/>
  <c r="G73" i="83" s="1"/>
  <c r="J154" i="53"/>
  <c r="J155" i="53" s="1"/>
  <c r="I69" i="26"/>
  <c r="G72" i="88"/>
  <c r="G73" i="88" s="1"/>
  <c r="H72" i="88"/>
  <c r="F72" i="92"/>
  <c r="H71" i="89"/>
  <c r="D72" i="89"/>
  <c r="E72" i="89" s="1"/>
  <c r="E73" i="89" s="1"/>
  <c r="I154" i="59"/>
  <c r="J154" i="59" s="1"/>
  <c r="J155" i="59" s="1"/>
  <c r="J152" i="65"/>
  <c r="J150" i="79"/>
  <c r="J154" i="57"/>
  <c r="J155" i="57" s="1"/>
  <c r="E153" i="66"/>
  <c r="F153" i="66" s="1"/>
  <c r="J152" i="61"/>
  <c r="G72" i="62"/>
  <c r="G73" i="62" s="1"/>
  <c r="H72" i="62"/>
  <c r="I69" i="87"/>
  <c r="B71" i="33"/>
  <c r="F71" i="33"/>
  <c r="H71" i="33" s="1"/>
  <c r="B69" i="13"/>
  <c r="F69" i="13"/>
  <c r="H69" i="13" s="1"/>
  <c r="F71" i="25"/>
  <c r="G71" i="25" s="1"/>
  <c r="B71" i="25"/>
  <c r="F70" i="26"/>
  <c r="H70" i="26" s="1"/>
  <c r="B70" i="26"/>
  <c r="I72" i="59"/>
  <c r="I73" i="59" s="1"/>
  <c r="H73" i="59"/>
  <c r="B70" i="87"/>
  <c r="F70" i="87"/>
  <c r="H70" i="87" s="1"/>
  <c r="D152" i="81"/>
  <c r="G151" i="81"/>
  <c r="G149" i="90"/>
  <c r="D150" i="90"/>
  <c r="G151" i="79"/>
  <c r="D152" i="79"/>
  <c r="G152" i="78"/>
  <c r="D153" i="78"/>
  <c r="G150" i="88"/>
  <c r="D151" i="88"/>
  <c r="D154" i="60"/>
  <c r="E154" i="60" s="1"/>
  <c r="E155" i="60" s="1"/>
  <c r="G153" i="60"/>
  <c r="I149" i="91"/>
  <c r="H149" i="91"/>
  <c r="J154" i="58"/>
  <c r="J155" i="58" s="1"/>
  <c r="I155" i="58"/>
  <c r="H149" i="89"/>
  <c r="I149" i="89"/>
  <c r="G150" i="85"/>
  <c r="D151" i="85"/>
  <c r="E150" i="91"/>
  <c r="F150" i="91" s="1"/>
  <c r="B150" i="91"/>
  <c r="B150" i="89"/>
  <c r="J151" i="67"/>
  <c r="G153" i="65"/>
  <c r="D154" i="65"/>
  <c r="E154" i="65" s="1"/>
  <c r="E155" i="65" s="1"/>
  <c r="J151" i="78"/>
  <c r="J154" i="72"/>
  <c r="J155" i="72" s="1"/>
  <c r="I155" i="72"/>
  <c r="D154" i="61"/>
  <c r="G153" i="61"/>
  <c r="H152" i="66"/>
  <c r="I152" i="66"/>
  <c r="F154" i="63"/>
  <c r="G154" i="63" s="1"/>
  <c r="G149" i="92"/>
  <c r="D150" i="92"/>
  <c r="J154" i="74"/>
  <c r="J155" i="74" s="1"/>
  <c r="I155" i="74"/>
  <c r="J153" i="63"/>
  <c r="J152" i="60"/>
  <c r="E150" i="89"/>
  <c r="F150" i="89" s="1"/>
  <c r="G149" i="87"/>
  <c r="D150" i="87"/>
  <c r="I149" i="93"/>
  <c r="H149" i="93"/>
  <c r="B151" i="83"/>
  <c r="B152" i="76"/>
  <c r="F152" i="76"/>
  <c r="B152" i="75"/>
  <c r="H148" i="13"/>
  <c r="I148" i="13"/>
  <c r="H151" i="77"/>
  <c r="I151" i="77"/>
  <c r="F152" i="77"/>
  <c r="B152" i="77"/>
  <c r="G150" i="95"/>
  <c r="D151" i="95"/>
  <c r="E151" i="95" s="1"/>
  <c r="G150" i="82"/>
  <c r="D151" i="82"/>
  <c r="E151" i="82" s="1"/>
  <c r="I150" i="80"/>
  <c r="H150" i="80"/>
  <c r="G149" i="96"/>
  <c r="D150" i="96"/>
  <c r="E150" i="96" s="1"/>
  <c r="I148" i="33"/>
  <c r="H148" i="33"/>
  <c r="E152" i="75"/>
  <c r="F152" i="75" s="1"/>
  <c r="E151" i="83"/>
  <c r="F151" i="83" s="1"/>
  <c r="I149" i="25"/>
  <c r="H149" i="25"/>
  <c r="I154" i="54"/>
  <c r="H154" i="54"/>
  <c r="H155" i="54" s="1"/>
  <c r="H151" i="76"/>
  <c r="I151" i="76"/>
  <c r="I151" i="75"/>
  <c r="H151" i="75"/>
  <c r="D153" i="67"/>
  <c r="G152" i="67"/>
  <c r="B150" i="93"/>
  <c r="F150" i="93"/>
  <c r="D151" i="94"/>
  <c r="G150" i="94"/>
  <c r="H150" i="83"/>
  <c r="I150" i="83"/>
  <c r="B150" i="25"/>
  <c r="F150" i="25"/>
  <c r="B151" i="80"/>
  <c r="F151" i="80"/>
  <c r="J154" i="55"/>
  <c r="J155" i="55" s="1"/>
  <c r="I155" i="55"/>
  <c r="B149" i="33"/>
  <c r="F149" i="33"/>
  <c r="B149" i="13"/>
  <c r="F149" i="13"/>
  <c r="F72" i="98" l="1"/>
  <c r="H72" i="98" s="1"/>
  <c r="H73" i="98" s="1"/>
  <c r="D151" i="84"/>
  <c r="J149" i="26"/>
  <c r="G72" i="98"/>
  <c r="G73" i="98" s="1"/>
  <c r="D151" i="26"/>
  <c r="G150" i="26"/>
  <c r="J152" i="68"/>
  <c r="B150" i="86"/>
  <c r="E150" i="86"/>
  <c r="F150" i="86" s="1"/>
  <c r="D151" i="99"/>
  <c r="E151" i="99" s="1"/>
  <c r="G150" i="99"/>
  <c r="H149" i="84"/>
  <c r="B150" i="98"/>
  <c r="D151" i="97"/>
  <c r="G150" i="97"/>
  <c r="I149" i="98"/>
  <c r="H149" i="98"/>
  <c r="E150" i="98"/>
  <c r="F150" i="98" s="1"/>
  <c r="G153" i="68"/>
  <c r="D154" i="68"/>
  <c r="J153" i="64"/>
  <c r="E155" i="64"/>
  <c r="F154" i="64"/>
  <c r="G154" i="64" s="1"/>
  <c r="I71" i="95"/>
  <c r="I72" i="91"/>
  <c r="I73" i="91" s="1"/>
  <c r="H73" i="91"/>
  <c r="I72" i="94"/>
  <c r="I73" i="94" s="1"/>
  <c r="H73" i="94"/>
  <c r="I70" i="96"/>
  <c r="F72" i="95"/>
  <c r="G72" i="95" s="1"/>
  <c r="G73" i="95" s="1"/>
  <c r="B72" i="95"/>
  <c r="F72" i="81"/>
  <c r="F71" i="96"/>
  <c r="D72" i="96" s="1"/>
  <c r="B71" i="96"/>
  <c r="I155" i="59"/>
  <c r="G70" i="87"/>
  <c r="I70" i="87" s="1"/>
  <c r="G70" i="26"/>
  <c r="I70" i="26" s="1"/>
  <c r="H71" i="25"/>
  <c r="I71" i="25" s="1"/>
  <c r="I72" i="88"/>
  <c r="I73" i="88" s="1"/>
  <c r="H73" i="88"/>
  <c r="H72" i="92"/>
  <c r="G72" i="92"/>
  <c r="G73" i="92" s="1"/>
  <c r="B72" i="89"/>
  <c r="F72" i="89"/>
  <c r="G72" i="89" s="1"/>
  <c r="G73" i="89" s="1"/>
  <c r="I71" i="89"/>
  <c r="I72" i="83"/>
  <c r="I73" i="83" s="1"/>
  <c r="G153" i="66"/>
  <c r="D154" i="66"/>
  <c r="D70" i="13"/>
  <c r="D72" i="33"/>
  <c r="E72" i="33" s="1"/>
  <c r="E73" i="33" s="1"/>
  <c r="I72" i="62"/>
  <c r="I73" i="62" s="1"/>
  <c r="H73" i="62"/>
  <c r="D71" i="87"/>
  <c r="E71" i="87" s="1"/>
  <c r="D71" i="26"/>
  <c r="E71" i="26" s="1"/>
  <c r="D72" i="25"/>
  <c r="E72" i="25" s="1"/>
  <c r="E73" i="25" s="1"/>
  <c r="G69" i="13"/>
  <c r="I69" i="13" s="1"/>
  <c r="G71" i="33"/>
  <c r="I71" i="33" s="1"/>
  <c r="D151" i="91"/>
  <c r="G150" i="91"/>
  <c r="G150" i="89"/>
  <c r="D151" i="89"/>
  <c r="B151" i="89" s="1"/>
  <c r="E150" i="92"/>
  <c r="F150" i="92" s="1"/>
  <c r="B150" i="92"/>
  <c r="E152" i="81"/>
  <c r="F152" i="81" s="1"/>
  <c r="B152" i="81"/>
  <c r="E151" i="84"/>
  <c r="F151" i="84" s="1"/>
  <c r="B151" i="84"/>
  <c r="E150" i="90"/>
  <c r="F150" i="90" s="1"/>
  <c r="B150" i="90"/>
  <c r="I154" i="63"/>
  <c r="H154" i="63"/>
  <c r="H155" i="63" s="1"/>
  <c r="I153" i="61"/>
  <c r="H153" i="61"/>
  <c r="B154" i="65"/>
  <c r="F154" i="65"/>
  <c r="G154" i="65" s="1"/>
  <c r="E151" i="85"/>
  <c r="F151" i="85" s="1"/>
  <c r="B151" i="85"/>
  <c r="H150" i="84"/>
  <c r="I150" i="84"/>
  <c r="H152" i="78"/>
  <c r="I152" i="78"/>
  <c r="H149" i="90"/>
  <c r="I149" i="90"/>
  <c r="B154" i="60"/>
  <c r="F154" i="60"/>
  <c r="G154" i="60" s="1"/>
  <c r="I150" i="88"/>
  <c r="H150" i="88"/>
  <c r="I151" i="79"/>
  <c r="H151" i="79"/>
  <c r="I149" i="92"/>
  <c r="H149" i="92"/>
  <c r="E153" i="78"/>
  <c r="F153" i="78" s="1"/>
  <c r="B153" i="78"/>
  <c r="J151" i="77"/>
  <c r="J152" i="66"/>
  <c r="E154" i="61"/>
  <c r="E155" i="61" s="1"/>
  <c r="B154" i="61"/>
  <c r="I153" i="65"/>
  <c r="H153" i="65"/>
  <c r="H150" i="85"/>
  <c r="I150" i="85"/>
  <c r="H153" i="60"/>
  <c r="I153" i="60"/>
  <c r="E151" i="88"/>
  <c r="F151" i="88" s="1"/>
  <c r="B151" i="88"/>
  <c r="E152" i="79"/>
  <c r="F152" i="79" s="1"/>
  <c r="B152" i="79"/>
  <c r="H151" i="81"/>
  <c r="I151" i="81"/>
  <c r="J148" i="33"/>
  <c r="J151" i="76"/>
  <c r="D152" i="83"/>
  <c r="E152" i="83" s="1"/>
  <c r="G151" i="83"/>
  <c r="D150" i="13"/>
  <c r="E150" i="13" s="1"/>
  <c r="G149" i="13"/>
  <c r="D152" i="80"/>
  <c r="E152" i="80" s="1"/>
  <c r="G151" i="80"/>
  <c r="I149" i="96"/>
  <c r="H149" i="96"/>
  <c r="B153" i="67"/>
  <c r="J149" i="25"/>
  <c r="G152" i="76"/>
  <c r="D153" i="76"/>
  <c r="E153" i="76" s="1"/>
  <c r="I149" i="87"/>
  <c r="H149" i="87"/>
  <c r="B151" i="94"/>
  <c r="H152" i="67"/>
  <c r="I152" i="67"/>
  <c r="G152" i="75"/>
  <c r="D153" i="75"/>
  <c r="G150" i="25"/>
  <c r="D151" i="25"/>
  <c r="I150" i="94"/>
  <c r="H150" i="94"/>
  <c r="F151" i="82"/>
  <c r="B151" i="82"/>
  <c r="F151" i="95"/>
  <c r="B151" i="95"/>
  <c r="G152" i="77"/>
  <c r="D153" i="77"/>
  <c r="E153" i="77" s="1"/>
  <c r="G149" i="33"/>
  <c r="D150" i="33"/>
  <c r="B150" i="87"/>
  <c r="E151" i="94"/>
  <c r="F151" i="94" s="1"/>
  <c r="G150" i="93"/>
  <c r="D151" i="93"/>
  <c r="E151" i="93" s="1"/>
  <c r="E153" i="67"/>
  <c r="F153" i="67" s="1"/>
  <c r="J151" i="75"/>
  <c r="J154" i="54"/>
  <c r="J155" i="54" s="1"/>
  <c r="I155" i="54"/>
  <c r="B150" i="96"/>
  <c r="F150" i="96"/>
  <c r="I150" i="82"/>
  <c r="H150" i="82"/>
  <c r="I150" i="95"/>
  <c r="H150" i="95"/>
  <c r="E150" i="87"/>
  <c r="F150" i="87" s="1"/>
  <c r="I72" i="98" l="1"/>
  <c r="I73" i="98" s="1"/>
  <c r="I150" i="26"/>
  <c r="H150" i="26"/>
  <c r="E151" i="26"/>
  <c r="F151" i="26" s="1"/>
  <c r="B151" i="26"/>
  <c r="D151" i="86"/>
  <c r="G150" i="86"/>
  <c r="H150" i="99"/>
  <c r="I150" i="99"/>
  <c r="B151" i="99"/>
  <c r="F151" i="99"/>
  <c r="D151" i="98"/>
  <c r="G150" i="98"/>
  <c r="I150" i="97"/>
  <c r="H150" i="97"/>
  <c r="E151" i="97"/>
  <c r="F151" i="97" s="1"/>
  <c r="B151" i="97"/>
  <c r="E154" i="68"/>
  <c r="B154" i="68"/>
  <c r="H153" i="68"/>
  <c r="I153" i="68"/>
  <c r="H154" i="64"/>
  <c r="H155" i="64" s="1"/>
  <c r="I154" i="64"/>
  <c r="H71" i="96"/>
  <c r="E72" i="96"/>
  <c r="E73" i="96" s="1"/>
  <c r="B72" i="96"/>
  <c r="G71" i="96"/>
  <c r="H72" i="81"/>
  <c r="G72" i="81"/>
  <c r="G73" i="81" s="1"/>
  <c r="H72" i="95"/>
  <c r="H72" i="89"/>
  <c r="I72" i="92"/>
  <c r="I73" i="92" s="1"/>
  <c r="H73" i="92"/>
  <c r="E154" i="66"/>
  <c r="E155" i="66" s="1"/>
  <c r="B154" i="66"/>
  <c r="I153" i="66"/>
  <c r="H153" i="66"/>
  <c r="F154" i="61"/>
  <c r="G154" i="61" s="1"/>
  <c r="H154" i="61" s="1"/>
  <c r="H155" i="61" s="1"/>
  <c r="J152" i="78"/>
  <c r="B70" i="13"/>
  <c r="B72" i="25"/>
  <c r="F72" i="25"/>
  <c r="H72" i="25" s="1"/>
  <c r="F71" i="87"/>
  <c r="H71" i="87" s="1"/>
  <c r="B71" i="87"/>
  <c r="E70" i="13"/>
  <c r="F70" i="13" s="1"/>
  <c r="F72" i="33"/>
  <c r="H72" i="33" s="1"/>
  <c r="B72" i="33"/>
  <c r="B71" i="26"/>
  <c r="F71" i="26"/>
  <c r="D152" i="88"/>
  <c r="G151" i="88"/>
  <c r="D152" i="84"/>
  <c r="G151" i="84"/>
  <c r="G150" i="90"/>
  <c r="D151" i="90"/>
  <c r="B151" i="90" s="1"/>
  <c r="G151" i="85"/>
  <c r="D152" i="85"/>
  <c r="I155" i="63"/>
  <c r="J154" i="63"/>
  <c r="J155" i="63" s="1"/>
  <c r="J151" i="79"/>
  <c r="D153" i="81"/>
  <c r="B153" i="81" s="1"/>
  <c r="G152" i="81"/>
  <c r="I150" i="89"/>
  <c r="H150" i="89"/>
  <c r="G153" i="78"/>
  <c r="D154" i="78"/>
  <c r="E154" i="78" s="1"/>
  <c r="E155" i="78" s="1"/>
  <c r="H154" i="60"/>
  <c r="H155" i="60" s="1"/>
  <c r="I154" i="60"/>
  <c r="D151" i="92"/>
  <c r="G150" i="92"/>
  <c r="J153" i="60"/>
  <c r="J153" i="61"/>
  <c r="H150" i="91"/>
  <c r="I150" i="91"/>
  <c r="D153" i="79"/>
  <c r="B153" i="79" s="1"/>
  <c r="G152" i="79"/>
  <c r="J153" i="65"/>
  <c r="H154" i="65"/>
  <c r="H155" i="65" s="1"/>
  <c r="I154" i="65"/>
  <c r="I155" i="65" s="1"/>
  <c r="E151" i="89"/>
  <c r="F151" i="89" s="1"/>
  <c r="E151" i="91"/>
  <c r="F151" i="91" s="1"/>
  <c r="B151" i="91"/>
  <c r="D151" i="87"/>
  <c r="E151" i="87" s="1"/>
  <c r="G150" i="87"/>
  <c r="D154" i="67"/>
  <c r="G153" i="67"/>
  <c r="D152" i="94"/>
  <c r="G151" i="94"/>
  <c r="B153" i="75"/>
  <c r="I152" i="76"/>
  <c r="H152" i="76"/>
  <c r="H149" i="13"/>
  <c r="I149" i="13"/>
  <c r="I149" i="33"/>
  <c r="H149" i="33"/>
  <c r="B153" i="77"/>
  <c r="F153" i="77"/>
  <c r="B151" i="25"/>
  <c r="E153" i="75"/>
  <c r="F153" i="75" s="1"/>
  <c r="H151" i="83"/>
  <c r="I151" i="83"/>
  <c r="G150" i="96"/>
  <c r="D151" i="96"/>
  <c r="B151" i="93"/>
  <c r="F151" i="93"/>
  <c r="H152" i="77"/>
  <c r="I152" i="77"/>
  <c r="D152" i="82"/>
  <c r="E152" i="82" s="1"/>
  <c r="G151" i="82"/>
  <c r="E151" i="25"/>
  <c r="F151" i="25" s="1"/>
  <c r="H152" i="75"/>
  <c r="I152" i="75"/>
  <c r="H151" i="80"/>
  <c r="I151" i="80"/>
  <c r="F150" i="13"/>
  <c r="B150" i="13"/>
  <c r="B150" i="33"/>
  <c r="D152" i="95"/>
  <c r="G151" i="95"/>
  <c r="I150" i="93"/>
  <c r="H150" i="93"/>
  <c r="E150" i="33"/>
  <c r="F150" i="33" s="1"/>
  <c r="I150" i="25"/>
  <c r="H150" i="25"/>
  <c r="J152" i="67"/>
  <c r="B153" i="76"/>
  <c r="F153" i="76"/>
  <c r="B152" i="80"/>
  <c r="F152" i="80"/>
  <c r="F152" i="83"/>
  <c r="B152" i="83"/>
  <c r="D152" i="26" l="1"/>
  <c r="G151" i="26"/>
  <c r="J150" i="26"/>
  <c r="G71" i="87"/>
  <c r="I71" i="87" s="1"/>
  <c r="I150" i="86"/>
  <c r="H150" i="86"/>
  <c r="B151" i="86"/>
  <c r="E151" i="86"/>
  <c r="F151" i="86" s="1"/>
  <c r="D152" i="99"/>
  <c r="E152" i="99" s="1"/>
  <c r="G151" i="99"/>
  <c r="J153" i="68"/>
  <c r="G151" i="97"/>
  <c r="D152" i="97"/>
  <c r="H150" i="98"/>
  <c r="I150" i="98"/>
  <c r="E151" i="98"/>
  <c r="F151" i="98" s="1"/>
  <c r="B151" i="98"/>
  <c r="E155" i="68"/>
  <c r="F154" i="68"/>
  <c r="G154" i="68" s="1"/>
  <c r="I155" i="64"/>
  <c r="J154" i="64"/>
  <c r="J155" i="64" s="1"/>
  <c r="F72" i="96"/>
  <c r="G72" i="96" s="1"/>
  <c r="G73" i="96" s="1"/>
  <c r="I72" i="81"/>
  <c r="I73" i="81" s="1"/>
  <c r="H73" i="81"/>
  <c r="G72" i="33"/>
  <c r="G73" i="33" s="1"/>
  <c r="H73" i="95"/>
  <c r="I72" i="95"/>
  <c r="I73" i="95" s="1"/>
  <c r="I71" i="96"/>
  <c r="G72" i="25"/>
  <c r="G73" i="25" s="1"/>
  <c r="I72" i="89"/>
  <c r="I73" i="89" s="1"/>
  <c r="H73" i="89"/>
  <c r="I154" i="61"/>
  <c r="I155" i="61" s="1"/>
  <c r="F154" i="66"/>
  <c r="G154" i="66" s="1"/>
  <c r="I154" i="66" s="1"/>
  <c r="J153" i="66"/>
  <c r="J150" i="25"/>
  <c r="H73" i="25"/>
  <c r="I72" i="33"/>
  <c r="I73" i="33" s="1"/>
  <c r="H73" i="33"/>
  <c r="D71" i="13"/>
  <c r="H70" i="13"/>
  <c r="G70" i="13"/>
  <c r="E153" i="79"/>
  <c r="F153" i="79" s="1"/>
  <c r="G153" i="79" s="1"/>
  <c r="E151" i="90"/>
  <c r="F151" i="90" s="1"/>
  <c r="G151" i="90" s="1"/>
  <c r="D72" i="26"/>
  <c r="G71" i="26"/>
  <c r="H71" i="26"/>
  <c r="D72" i="87"/>
  <c r="G151" i="91"/>
  <c r="D152" i="91"/>
  <c r="H152" i="79"/>
  <c r="I152" i="79"/>
  <c r="E151" i="92"/>
  <c r="F151" i="92" s="1"/>
  <c r="B151" i="92"/>
  <c r="E152" i="84"/>
  <c r="F152" i="84" s="1"/>
  <c r="B152" i="84"/>
  <c r="G151" i="89"/>
  <c r="D152" i="89"/>
  <c r="J154" i="60"/>
  <c r="J155" i="60" s="1"/>
  <c r="I155" i="60"/>
  <c r="H153" i="78"/>
  <c r="I153" i="78"/>
  <c r="H151" i="85"/>
  <c r="I151" i="85"/>
  <c r="H151" i="88"/>
  <c r="I151" i="88"/>
  <c r="I150" i="92"/>
  <c r="H150" i="92"/>
  <c r="I152" i="81"/>
  <c r="H152" i="81"/>
  <c r="I151" i="84"/>
  <c r="H151" i="84"/>
  <c r="B154" i="78"/>
  <c r="F154" i="78"/>
  <c r="G154" i="78" s="1"/>
  <c r="E152" i="85"/>
  <c r="F152" i="85" s="1"/>
  <c r="B152" i="85"/>
  <c r="J154" i="65"/>
  <c r="J155" i="65" s="1"/>
  <c r="E153" i="81"/>
  <c r="F153" i="81" s="1"/>
  <c r="H150" i="90"/>
  <c r="I150" i="90"/>
  <c r="E152" i="88"/>
  <c r="F152" i="88" s="1"/>
  <c r="B152" i="88"/>
  <c r="J149" i="33"/>
  <c r="J152" i="75"/>
  <c r="D151" i="33"/>
  <c r="G150" i="33"/>
  <c r="G151" i="25"/>
  <c r="D152" i="25"/>
  <c r="E152" i="25" s="1"/>
  <c r="D154" i="75"/>
  <c r="E154" i="75" s="1"/>
  <c r="E155" i="75" s="1"/>
  <c r="G153" i="75"/>
  <c r="B154" i="67"/>
  <c r="D153" i="83"/>
  <c r="G152" i="83"/>
  <c r="G152" i="80"/>
  <c r="D153" i="80"/>
  <c r="B152" i="82"/>
  <c r="F152" i="82"/>
  <c r="H150" i="96"/>
  <c r="I150" i="96"/>
  <c r="G153" i="77"/>
  <c r="D154" i="77"/>
  <c r="E154" i="77" s="1"/>
  <c r="E155" i="77" s="1"/>
  <c r="J152" i="76"/>
  <c r="B152" i="94"/>
  <c r="B152" i="95"/>
  <c r="B151" i="96"/>
  <c r="D154" i="76"/>
  <c r="E154" i="76" s="1"/>
  <c r="E155" i="76" s="1"/>
  <c r="G153" i="76"/>
  <c r="H151" i="95"/>
  <c r="I151" i="95"/>
  <c r="J152" i="77"/>
  <c r="G151" i="93"/>
  <c r="D152" i="93"/>
  <c r="E152" i="93" s="1"/>
  <c r="E151" i="96"/>
  <c r="F151" i="96" s="1"/>
  <c r="E154" i="67"/>
  <c r="E155" i="67" s="1"/>
  <c r="H150" i="87"/>
  <c r="I150" i="87"/>
  <c r="G150" i="13"/>
  <c r="D151" i="13"/>
  <c r="E151" i="13" s="1"/>
  <c r="I151" i="82"/>
  <c r="H151" i="82"/>
  <c r="I151" i="94"/>
  <c r="H151" i="94"/>
  <c r="E152" i="95"/>
  <c r="F152" i="95" s="1"/>
  <c r="E152" i="94"/>
  <c r="F152" i="94" s="1"/>
  <c r="H153" i="67"/>
  <c r="I153" i="67"/>
  <c r="F151" i="87"/>
  <c r="B151" i="87"/>
  <c r="I151" i="26" l="1"/>
  <c r="H151" i="26"/>
  <c r="B152" i="26"/>
  <c r="E152" i="26"/>
  <c r="F152" i="26" s="1"/>
  <c r="I72" i="25"/>
  <c r="I73" i="25" s="1"/>
  <c r="G151" i="86"/>
  <c r="D152" i="86"/>
  <c r="B152" i="86" s="1"/>
  <c r="I151" i="99"/>
  <c r="H151" i="99"/>
  <c r="F152" i="99"/>
  <c r="B152" i="99"/>
  <c r="H72" i="96"/>
  <c r="J154" i="61"/>
  <c r="J155" i="61" s="1"/>
  <c r="G151" i="98"/>
  <c r="D152" i="98"/>
  <c r="E152" i="97"/>
  <c r="F152" i="97" s="1"/>
  <c r="B152" i="97"/>
  <c r="I151" i="97"/>
  <c r="H151" i="97"/>
  <c r="H154" i="68"/>
  <c r="H155" i="68" s="1"/>
  <c r="I154" i="68"/>
  <c r="I71" i="26"/>
  <c r="I70" i="13"/>
  <c r="D154" i="79"/>
  <c r="E154" i="79" s="1"/>
  <c r="E155" i="79" s="1"/>
  <c r="H154" i="66"/>
  <c r="H155" i="66" s="1"/>
  <c r="D152" i="90"/>
  <c r="E152" i="90" s="1"/>
  <c r="F152" i="90" s="1"/>
  <c r="I155" i="66"/>
  <c r="B72" i="87"/>
  <c r="B72" i="26"/>
  <c r="E72" i="26"/>
  <c r="E73" i="26" s="1"/>
  <c r="B71" i="13"/>
  <c r="E72" i="87"/>
  <c r="E73" i="87" s="1"/>
  <c r="E71" i="13"/>
  <c r="F71" i="13" s="1"/>
  <c r="G152" i="85"/>
  <c r="D153" i="85"/>
  <c r="G152" i="84"/>
  <c r="D153" i="84"/>
  <c r="B153" i="84" s="1"/>
  <c r="G152" i="88"/>
  <c r="D153" i="88"/>
  <c r="B153" i="88" s="1"/>
  <c r="G153" i="81"/>
  <c r="D154" i="81"/>
  <c r="H151" i="90"/>
  <c r="I151" i="90"/>
  <c r="H154" i="78"/>
  <c r="H155" i="78" s="1"/>
  <c r="I154" i="78"/>
  <c r="I155" i="78" s="1"/>
  <c r="H151" i="89"/>
  <c r="I151" i="89"/>
  <c r="J153" i="78"/>
  <c r="D152" i="92"/>
  <c r="G151" i="92"/>
  <c r="E152" i="91"/>
  <c r="F152" i="91" s="1"/>
  <c r="B152" i="91"/>
  <c r="E152" i="89"/>
  <c r="F152" i="89" s="1"/>
  <c r="B152" i="89"/>
  <c r="J152" i="79"/>
  <c r="I153" i="79"/>
  <c r="H153" i="79"/>
  <c r="I151" i="91"/>
  <c r="H151" i="91"/>
  <c r="D152" i="96"/>
  <c r="G151" i="96"/>
  <c r="G152" i="94"/>
  <c r="D153" i="94"/>
  <c r="E153" i="94" s="1"/>
  <c r="D153" i="95"/>
  <c r="E153" i="95" s="1"/>
  <c r="G152" i="95"/>
  <c r="D152" i="87"/>
  <c r="G151" i="87"/>
  <c r="B153" i="83"/>
  <c r="H151" i="25"/>
  <c r="I151" i="25"/>
  <c r="J153" i="67"/>
  <c r="F151" i="13"/>
  <c r="B151" i="13"/>
  <c r="H153" i="76"/>
  <c r="I153" i="76"/>
  <c r="F154" i="77"/>
  <c r="G154" i="77" s="1"/>
  <c r="B154" i="77"/>
  <c r="G152" i="82"/>
  <c r="D153" i="82"/>
  <c r="E153" i="82" s="1"/>
  <c r="I152" i="80"/>
  <c r="H152" i="80"/>
  <c r="F154" i="67"/>
  <c r="G154" i="67" s="1"/>
  <c r="I153" i="75"/>
  <c r="H153" i="75"/>
  <c r="H150" i="33"/>
  <c r="I150" i="33"/>
  <c r="B153" i="80"/>
  <c r="H150" i="13"/>
  <c r="I150" i="13"/>
  <c r="B152" i="93"/>
  <c r="F152" i="93"/>
  <c r="B154" i="76"/>
  <c r="F154" i="76"/>
  <c r="G154" i="76" s="1"/>
  <c r="H152" i="83"/>
  <c r="I152" i="83"/>
  <c r="B151" i="33"/>
  <c r="I151" i="93"/>
  <c r="H151" i="93"/>
  <c r="H153" i="77"/>
  <c r="I153" i="77"/>
  <c r="E153" i="80"/>
  <c r="F153" i="80" s="1"/>
  <c r="E153" i="83"/>
  <c r="F153" i="83" s="1"/>
  <c r="B154" i="75"/>
  <c r="F154" i="75"/>
  <c r="G154" i="75" s="1"/>
  <c r="B152" i="25"/>
  <c r="F152" i="25"/>
  <c r="E151" i="33"/>
  <c r="F151" i="33" s="1"/>
  <c r="J151" i="26" l="1"/>
  <c r="D153" i="26"/>
  <c r="G152" i="26"/>
  <c r="E152" i="86"/>
  <c r="F152" i="86" s="1"/>
  <c r="D153" i="86" s="1"/>
  <c r="I151" i="86"/>
  <c r="H151" i="86"/>
  <c r="D153" i="99"/>
  <c r="E153" i="99" s="1"/>
  <c r="G152" i="99"/>
  <c r="I72" i="96"/>
  <c r="I73" i="96" s="1"/>
  <c r="H73" i="96"/>
  <c r="B152" i="90"/>
  <c r="G152" i="97"/>
  <c r="D153" i="97"/>
  <c r="E152" i="98"/>
  <c r="F152" i="98" s="1"/>
  <c r="B152" i="98"/>
  <c r="H151" i="98"/>
  <c r="I151" i="98"/>
  <c r="F154" i="79"/>
  <c r="G154" i="79" s="1"/>
  <c r="I154" i="79" s="1"/>
  <c r="I155" i="79" s="1"/>
  <c r="B154" i="79"/>
  <c r="J154" i="68"/>
  <c r="J155" i="68" s="1"/>
  <c r="I155" i="68"/>
  <c r="F72" i="26"/>
  <c r="J154" i="66"/>
  <c r="J155" i="66" s="1"/>
  <c r="D72" i="13"/>
  <c r="E72" i="13" s="1"/>
  <c r="E73" i="13" s="1"/>
  <c r="G71" i="13"/>
  <c r="H71" i="13"/>
  <c r="I71" i="13" s="1"/>
  <c r="J154" i="78"/>
  <c r="J155" i="78" s="1"/>
  <c r="E153" i="88"/>
  <c r="F153" i="88" s="1"/>
  <c r="D154" i="88" s="1"/>
  <c r="F72" i="87"/>
  <c r="D153" i="91"/>
  <c r="G152" i="91"/>
  <c r="H152" i="84"/>
  <c r="I152" i="84"/>
  <c r="J153" i="79"/>
  <c r="D153" i="89"/>
  <c r="G152" i="89"/>
  <c r="G152" i="90"/>
  <c r="D153" i="90"/>
  <c r="B153" i="90" s="1"/>
  <c r="E154" i="81"/>
  <c r="E155" i="81" s="1"/>
  <c r="B154" i="81"/>
  <c r="I152" i="88"/>
  <c r="H152" i="88"/>
  <c r="E153" i="85"/>
  <c r="F153" i="85" s="1"/>
  <c r="B153" i="85"/>
  <c r="E152" i="92"/>
  <c r="F152" i="92" s="1"/>
  <c r="B152" i="92"/>
  <c r="H151" i="92"/>
  <c r="I151" i="92"/>
  <c r="H153" i="81"/>
  <c r="I153" i="81"/>
  <c r="E153" i="84"/>
  <c r="F153" i="84" s="1"/>
  <c r="H152" i="85"/>
  <c r="I152" i="85"/>
  <c r="J151" i="25"/>
  <c r="D152" i="33"/>
  <c r="E152" i="33" s="1"/>
  <c r="G151" i="33"/>
  <c r="G153" i="80"/>
  <c r="D154" i="80"/>
  <c r="E154" i="80" s="1"/>
  <c r="E155" i="80" s="1"/>
  <c r="G153" i="83"/>
  <c r="D154" i="83"/>
  <c r="E154" i="83" s="1"/>
  <c r="E155" i="83" s="1"/>
  <c r="G152" i="93"/>
  <c r="D153" i="93"/>
  <c r="E153" i="93" s="1"/>
  <c r="B152" i="87"/>
  <c r="B152" i="96"/>
  <c r="I154" i="75"/>
  <c r="H154" i="75"/>
  <c r="H155" i="75" s="1"/>
  <c r="J153" i="77"/>
  <c r="J153" i="75"/>
  <c r="I154" i="77"/>
  <c r="H154" i="77"/>
  <c r="H155" i="77" s="1"/>
  <c r="D152" i="13"/>
  <c r="E152" i="13" s="1"/>
  <c r="G151" i="13"/>
  <c r="I152" i="95"/>
  <c r="H152" i="95"/>
  <c r="H152" i="94"/>
  <c r="I152" i="94"/>
  <c r="G152" i="25"/>
  <c r="D153" i="25"/>
  <c r="E153" i="25" s="1"/>
  <c r="I154" i="76"/>
  <c r="H154" i="76"/>
  <c r="H155" i="76" s="1"/>
  <c r="J150" i="33"/>
  <c r="I154" i="67"/>
  <c r="H154" i="67"/>
  <c r="H155" i="67" s="1"/>
  <c r="B153" i="82"/>
  <c r="F153" i="82"/>
  <c r="J153" i="76"/>
  <c r="E152" i="87"/>
  <c r="F152" i="87" s="1"/>
  <c r="H151" i="96"/>
  <c r="I151" i="96"/>
  <c r="H152" i="82"/>
  <c r="I152" i="82"/>
  <c r="I151" i="87"/>
  <c r="H151" i="87"/>
  <c r="B153" i="95"/>
  <c r="F153" i="95"/>
  <c r="B153" i="94"/>
  <c r="F153" i="94"/>
  <c r="E152" i="96"/>
  <c r="F152" i="96" s="1"/>
  <c r="H152" i="26" l="1"/>
  <c r="I152" i="26"/>
  <c r="B153" i="26"/>
  <c r="E153" i="26"/>
  <c r="F153" i="26" s="1"/>
  <c r="G152" i="86"/>
  <c r="E153" i="86"/>
  <c r="F153" i="86" s="1"/>
  <c r="B153" i="86"/>
  <c r="H152" i="86"/>
  <c r="I152" i="86"/>
  <c r="H152" i="99"/>
  <c r="I152" i="99"/>
  <c r="F153" i="99"/>
  <c r="B153" i="99"/>
  <c r="G153" i="88"/>
  <c r="D153" i="98"/>
  <c r="G152" i="98"/>
  <c r="E153" i="97"/>
  <c r="F153" i="97" s="1"/>
  <c r="B153" i="97"/>
  <c r="I152" i="97"/>
  <c r="H152" i="97"/>
  <c r="H154" i="79"/>
  <c r="H155" i="79" s="1"/>
  <c r="G72" i="26"/>
  <c r="G73" i="26" s="1"/>
  <c r="H72" i="26"/>
  <c r="E153" i="90"/>
  <c r="F153" i="90" s="1"/>
  <c r="F154" i="81"/>
  <c r="G154" i="81" s="1"/>
  <c r="H154" i="81" s="1"/>
  <c r="H155" i="81" s="1"/>
  <c r="H72" i="87"/>
  <c r="G72" i="87"/>
  <c r="G73" i="87" s="1"/>
  <c r="F72" i="13"/>
  <c r="G72" i="13" s="1"/>
  <c r="G73" i="13" s="1"/>
  <c r="B72" i="13"/>
  <c r="D154" i="85"/>
  <c r="E154" i="85" s="1"/>
  <c r="E155" i="85" s="1"/>
  <c r="G153" i="85"/>
  <c r="B154" i="88"/>
  <c r="G152" i="92"/>
  <c r="D153" i="92"/>
  <c r="E154" i="88"/>
  <c r="E155" i="88" s="1"/>
  <c r="I152" i="90"/>
  <c r="H152" i="90"/>
  <c r="I152" i="91"/>
  <c r="H152" i="91"/>
  <c r="E153" i="89"/>
  <c r="F153" i="89" s="1"/>
  <c r="B153" i="89"/>
  <c r="D154" i="84"/>
  <c r="G153" i="84"/>
  <c r="H153" i="88"/>
  <c r="I153" i="88"/>
  <c r="I152" i="89"/>
  <c r="H152" i="89"/>
  <c r="E153" i="91"/>
  <c r="F153" i="91" s="1"/>
  <c r="B153" i="91"/>
  <c r="D153" i="87"/>
  <c r="E153" i="87" s="1"/>
  <c r="G152" i="87"/>
  <c r="D153" i="96"/>
  <c r="G152" i="96"/>
  <c r="D154" i="95"/>
  <c r="E154" i="95" s="1"/>
  <c r="E155" i="95" s="1"/>
  <c r="G153" i="95"/>
  <c r="J154" i="76"/>
  <c r="J155" i="76" s="1"/>
  <c r="I155" i="76"/>
  <c r="B152" i="13"/>
  <c r="F152" i="13"/>
  <c r="J154" i="75"/>
  <c r="J155" i="75" s="1"/>
  <c r="I155" i="75"/>
  <c r="I153" i="80"/>
  <c r="H153" i="80"/>
  <c r="J154" i="67"/>
  <c r="J155" i="67" s="1"/>
  <c r="I155" i="67"/>
  <c r="B153" i="93"/>
  <c r="F153" i="93"/>
  <c r="H151" i="33"/>
  <c r="I151" i="33"/>
  <c r="H152" i="25"/>
  <c r="I152" i="25"/>
  <c r="H153" i="83"/>
  <c r="I153" i="83"/>
  <c r="G153" i="94"/>
  <c r="D154" i="94"/>
  <c r="E154" i="94" s="1"/>
  <c r="E155" i="94" s="1"/>
  <c r="G153" i="82"/>
  <c r="D154" i="82"/>
  <c r="E154" i="82" s="1"/>
  <c r="E155" i="82" s="1"/>
  <c r="B153" i="25"/>
  <c r="F153" i="25"/>
  <c r="I151" i="13"/>
  <c r="H151" i="13"/>
  <c r="J154" i="77"/>
  <c r="J155" i="77" s="1"/>
  <c r="I155" i="77"/>
  <c r="I152" i="93"/>
  <c r="H152" i="93"/>
  <c r="F154" i="83"/>
  <c r="G154" i="83" s="1"/>
  <c r="B154" i="83"/>
  <c r="F154" i="80"/>
  <c r="G154" i="80" s="1"/>
  <c r="B154" i="80"/>
  <c r="B152" i="33"/>
  <c r="F152" i="33"/>
  <c r="G153" i="26" l="1"/>
  <c r="D154" i="26"/>
  <c r="J152" i="26"/>
  <c r="G153" i="86"/>
  <c r="D154" i="86"/>
  <c r="E154" i="86" s="1"/>
  <c r="E155" i="86" s="1"/>
  <c r="D154" i="99"/>
  <c r="E154" i="99" s="1"/>
  <c r="E155" i="99" s="1"/>
  <c r="G153" i="99"/>
  <c r="J154" i="79"/>
  <c r="J155" i="79" s="1"/>
  <c r="G153" i="97"/>
  <c r="D154" i="97"/>
  <c r="I152" i="98"/>
  <c r="H152" i="98"/>
  <c r="E153" i="98"/>
  <c r="F153" i="98" s="1"/>
  <c r="B153" i="98"/>
  <c r="I154" i="81"/>
  <c r="I155" i="81" s="1"/>
  <c r="H72" i="13"/>
  <c r="I72" i="13" s="1"/>
  <c r="I73" i="13" s="1"/>
  <c r="I72" i="26"/>
  <c r="I73" i="26" s="1"/>
  <c r="H73" i="26"/>
  <c r="D154" i="90"/>
  <c r="E154" i="90" s="1"/>
  <c r="E155" i="90" s="1"/>
  <c r="G153" i="90"/>
  <c r="H153" i="90" s="1"/>
  <c r="J151" i="33"/>
  <c r="F154" i="88"/>
  <c r="G154" i="88" s="1"/>
  <c r="H154" i="88" s="1"/>
  <c r="H155" i="88" s="1"/>
  <c r="I72" i="87"/>
  <c r="I73" i="87" s="1"/>
  <c r="H73" i="87"/>
  <c r="D154" i="91"/>
  <c r="E154" i="91" s="1"/>
  <c r="E155" i="91" s="1"/>
  <c r="G153" i="91"/>
  <c r="D154" i="89"/>
  <c r="G153" i="89"/>
  <c r="H152" i="92"/>
  <c r="I152" i="92"/>
  <c r="I153" i="84"/>
  <c r="H153" i="84"/>
  <c r="H153" i="85"/>
  <c r="I153" i="85"/>
  <c r="E153" i="92"/>
  <c r="F153" i="92" s="1"/>
  <c r="B153" i="92"/>
  <c r="E154" i="84"/>
  <c r="E155" i="84" s="1"/>
  <c r="B154" i="84"/>
  <c r="B154" i="85"/>
  <c r="F154" i="85"/>
  <c r="G154" i="85" s="1"/>
  <c r="B154" i="82"/>
  <c r="F154" i="82"/>
  <c r="G154" i="82" s="1"/>
  <c r="I153" i="95"/>
  <c r="H153" i="95"/>
  <c r="B153" i="96"/>
  <c r="H154" i="80"/>
  <c r="H155" i="80" s="1"/>
  <c r="I154" i="80"/>
  <c r="I155" i="80" s="1"/>
  <c r="D153" i="33"/>
  <c r="G152" i="33"/>
  <c r="G153" i="25"/>
  <c r="D154" i="25"/>
  <c r="E154" i="25" s="1"/>
  <c r="E155" i="25" s="1"/>
  <c r="I153" i="82"/>
  <c r="H153" i="82"/>
  <c r="B154" i="94"/>
  <c r="F154" i="94"/>
  <c r="G154" i="94" s="1"/>
  <c r="J152" i="25"/>
  <c r="D154" i="93"/>
  <c r="E154" i="93" s="1"/>
  <c r="E155" i="93" s="1"/>
  <c r="G153" i="93"/>
  <c r="G152" i="13"/>
  <c r="D153" i="13"/>
  <c r="E153" i="13" s="1"/>
  <c r="H152" i="96"/>
  <c r="I152" i="96"/>
  <c r="I152" i="87"/>
  <c r="H152" i="87"/>
  <c r="I154" i="83"/>
  <c r="I155" i="83" s="1"/>
  <c r="H154" i="83"/>
  <c r="H155" i="83" s="1"/>
  <c r="H153" i="94"/>
  <c r="I153" i="94"/>
  <c r="B154" i="95"/>
  <c r="F154" i="95"/>
  <c r="G154" i="95" s="1"/>
  <c r="E153" i="96"/>
  <c r="F153" i="96" s="1"/>
  <c r="F153" i="87"/>
  <c r="B153" i="87"/>
  <c r="H73" i="13" l="1"/>
  <c r="I153" i="90"/>
  <c r="E154" i="26"/>
  <c r="B154" i="26"/>
  <c r="H153" i="26"/>
  <c r="I153" i="26"/>
  <c r="B154" i="86"/>
  <c r="F154" i="86"/>
  <c r="G154" i="86" s="1"/>
  <c r="H153" i="86"/>
  <c r="I153" i="86"/>
  <c r="H153" i="99"/>
  <c r="I153" i="99"/>
  <c r="F154" i="99"/>
  <c r="G154" i="99" s="1"/>
  <c r="B154" i="99"/>
  <c r="G153" i="98"/>
  <c r="D154" i="98"/>
  <c r="E154" i="97"/>
  <c r="E155" i="97" s="1"/>
  <c r="B154" i="97"/>
  <c r="H153" i="97"/>
  <c r="I153" i="97"/>
  <c r="B154" i="90"/>
  <c r="I154" i="88"/>
  <c r="I155" i="88" s="1"/>
  <c r="F154" i="84"/>
  <c r="G154" i="84" s="1"/>
  <c r="I154" i="84" s="1"/>
  <c r="I155" i="84" s="1"/>
  <c r="G153" i="92"/>
  <c r="D154" i="92"/>
  <c r="E154" i="92" s="1"/>
  <c r="E155" i="92" s="1"/>
  <c r="B154" i="89"/>
  <c r="I154" i="85"/>
  <c r="I155" i="85" s="1"/>
  <c r="H154" i="85"/>
  <c r="H155" i="85" s="1"/>
  <c r="E154" i="89"/>
  <c r="E155" i="89" s="1"/>
  <c r="H153" i="91"/>
  <c r="I153" i="91"/>
  <c r="F154" i="90"/>
  <c r="G154" i="90" s="1"/>
  <c r="H153" i="89"/>
  <c r="I153" i="89"/>
  <c r="B154" i="91"/>
  <c r="F154" i="91"/>
  <c r="G154" i="91" s="1"/>
  <c r="G153" i="96"/>
  <c r="D154" i="96"/>
  <c r="I154" i="94"/>
  <c r="I155" i="94" s="1"/>
  <c r="H154" i="94"/>
  <c r="H155" i="94" s="1"/>
  <c r="I152" i="33"/>
  <c r="H152" i="33"/>
  <c r="H154" i="95"/>
  <c r="H155" i="95" s="1"/>
  <c r="I154" i="95"/>
  <c r="I155" i="95" s="1"/>
  <c r="H153" i="93"/>
  <c r="I153" i="93"/>
  <c r="F154" i="25"/>
  <c r="G154" i="25" s="1"/>
  <c r="B154" i="25"/>
  <c r="B153" i="33"/>
  <c r="B153" i="13"/>
  <c r="F153" i="13"/>
  <c r="B154" i="93"/>
  <c r="F154" i="93"/>
  <c r="G154" i="93" s="1"/>
  <c r="I153" i="25"/>
  <c r="H153" i="25"/>
  <c r="H154" i="82"/>
  <c r="H155" i="82" s="1"/>
  <c r="I154" i="82"/>
  <c r="I155" i="82" s="1"/>
  <c r="D154" i="87"/>
  <c r="G153" i="87"/>
  <c r="I152" i="13"/>
  <c r="H152" i="13"/>
  <c r="E153" i="33"/>
  <c r="F153" i="33" s="1"/>
  <c r="F154" i="97" l="1"/>
  <c r="G154" i="97" s="1"/>
  <c r="J153" i="26"/>
  <c r="E155" i="26"/>
  <c r="F154" i="26"/>
  <c r="G154" i="26" s="1"/>
  <c r="H154" i="86"/>
  <c r="H155" i="86" s="1"/>
  <c r="I154" i="86"/>
  <c r="I155" i="86" s="1"/>
  <c r="H154" i="99"/>
  <c r="H155" i="99" s="1"/>
  <c r="I154" i="99"/>
  <c r="I155" i="99" s="1"/>
  <c r="I154" i="97"/>
  <c r="I155" i="97" s="1"/>
  <c r="H154" i="97"/>
  <c r="H155" i="97" s="1"/>
  <c r="E154" i="98"/>
  <c r="E155" i="98" s="1"/>
  <c r="B154" i="98"/>
  <c r="H153" i="98"/>
  <c r="I153" i="98"/>
  <c r="H154" i="84"/>
  <c r="H155" i="84" s="1"/>
  <c r="F154" i="89"/>
  <c r="G154" i="89" s="1"/>
  <c r="I154" i="89" s="1"/>
  <c r="I155" i="89" s="1"/>
  <c r="B154" i="92"/>
  <c r="F154" i="92"/>
  <c r="G154" i="92" s="1"/>
  <c r="H154" i="91"/>
  <c r="H155" i="91" s="1"/>
  <c r="I154" i="91"/>
  <c r="I155" i="91" s="1"/>
  <c r="I154" i="90"/>
  <c r="I155" i="90" s="1"/>
  <c r="H154" i="90"/>
  <c r="H155" i="90" s="1"/>
  <c r="I153" i="92"/>
  <c r="H153" i="92"/>
  <c r="J153" i="25"/>
  <c r="D154" i="33"/>
  <c r="E154" i="33" s="1"/>
  <c r="E155" i="33" s="1"/>
  <c r="G153" i="33"/>
  <c r="I154" i="25"/>
  <c r="H154" i="25"/>
  <c r="H155" i="25" s="1"/>
  <c r="H154" i="93"/>
  <c r="H155" i="93" s="1"/>
  <c r="I154" i="93"/>
  <c r="I155" i="93" s="1"/>
  <c r="B154" i="96"/>
  <c r="B154" i="87"/>
  <c r="E154" i="87"/>
  <c r="E155" i="87" s="1"/>
  <c r="J152" i="33"/>
  <c r="E154" i="96"/>
  <c r="E155" i="96" s="1"/>
  <c r="H153" i="87"/>
  <c r="I153" i="87"/>
  <c r="G153" i="13"/>
  <c r="D154" i="13"/>
  <c r="I153" i="96"/>
  <c r="H153" i="96"/>
  <c r="I154" i="26" l="1"/>
  <c r="H154" i="26"/>
  <c r="H155" i="26" s="1"/>
  <c r="F154" i="98"/>
  <c r="G154" i="98" s="1"/>
  <c r="H154" i="89"/>
  <c r="H155" i="89" s="1"/>
  <c r="H154" i="92"/>
  <c r="H155" i="92" s="1"/>
  <c r="I154" i="92"/>
  <c r="I155" i="92" s="1"/>
  <c r="F154" i="96"/>
  <c r="G154" i="96" s="1"/>
  <c r="H154" i="96" s="1"/>
  <c r="H155" i="96" s="1"/>
  <c r="B154" i="13"/>
  <c r="F154" i="87"/>
  <c r="G154" i="87" s="1"/>
  <c r="E154" i="13"/>
  <c r="E155" i="13" s="1"/>
  <c r="H153" i="33"/>
  <c r="I153" i="33"/>
  <c r="J154" i="25"/>
  <c r="J155" i="25" s="1"/>
  <c r="I155" i="25"/>
  <c r="I153" i="13"/>
  <c r="H153" i="13"/>
  <c r="F154" i="33"/>
  <c r="G154" i="33" s="1"/>
  <c r="B154" i="33"/>
  <c r="J154" i="26" l="1"/>
  <c r="J155" i="26" s="1"/>
  <c r="I155" i="26"/>
  <c r="H154" i="98"/>
  <c r="H155" i="98" s="1"/>
  <c r="I154" i="98"/>
  <c r="I155" i="98" s="1"/>
  <c r="I154" i="96"/>
  <c r="I155" i="96" s="1"/>
  <c r="J153" i="33"/>
  <c r="H154" i="87"/>
  <c r="H155" i="87" s="1"/>
  <c r="I154" i="87"/>
  <c r="I155" i="87" s="1"/>
  <c r="H154" i="33"/>
  <c r="H155" i="33" s="1"/>
  <c r="I154" i="33"/>
  <c r="F154" i="13"/>
  <c r="G154" i="13" s="1"/>
  <c r="J154" i="33" l="1"/>
  <c r="J155" i="33" s="1"/>
  <c r="I155" i="33"/>
  <c r="I154" i="13"/>
  <c r="I155" i="13" s="1"/>
  <c r="H154" i="13"/>
  <c r="H155" i="13" s="1"/>
  <c r="K57" i="36" l="1"/>
  <c r="L57" i="36" s="1"/>
  <c r="K41" i="36"/>
  <c r="L41" i="36" s="1"/>
  <c r="K90" i="36"/>
  <c r="L90" i="36" s="1"/>
  <c r="K58" i="36"/>
  <c r="L58" i="36" s="1"/>
  <c r="K38" i="36"/>
  <c r="L38" i="36" s="1"/>
  <c r="K71" i="36"/>
  <c r="L71" i="36" s="1"/>
  <c r="K30" i="36"/>
  <c r="L30" i="36" s="1"/>
  <c r="K26" i="36"/>
  <c r="L26" i="36" s="1"/>
  <c r="K85" i="36"/>
  <c r="L85" i="36" s="1"/>
  <c r="K39" i="36"/>
  <c r="L39" i="36" s="1"/>
  <c r="K37" i="36"/>
  <c r="L37" i="36" s="1"/>
  <c r="K82" i="36"/>
  <c r="L82" i="36" s="1"/>
  <c r="K76" i="36"/>
  <c r="L76" i="36" s="1"/>
  <c r="K79" i="36"/>
  <c r="L79" i="36" s="1"/>
  <c r="K62" i="36"/>
  <c r="L62" i="36" s="1"/>
  <c r="K78" i="36"/>
  <c r="L78" i="36" s="1"/>
  <c r="K33" i="36"/>
  <c r="L33" i="36" s="1"/>
  <c r="K32" i="36"/>
  <c r="L32" i="36" s="1"/>
  <c r="K51" i="36"/>
  <c r="L51" i="36" s="1"/>
  <c r="K86" i="36"/>
  <c r="L86" i="36" s="1"/>
  <c r="K88" i="36"/>
  <c r="L88" i="36" s="1"/>
  <c r="K29" i="36"/>
  <c r="L29" i="36" s="1"/>
  <c r="K45" i="36"/>
  <c r="L45" i="36" s="1"/>
  <c r="K55" i="36"/>
  <c r="L55" i="36" s="1"/>
  <c r="K74" i="36"/>
  <c r="L74" i="36" s="1"/>
  <c r="K89" i="36"/>
  <c r="L89" i="36" s="1"/>
  <c r="K83" i="36"/>
  <c r="L83" i="36" s="1"/>
  <c r="K46" i="36"/>
  <c r="L46" i="36" s="1"/>
  <c r="K87" i="36"/>
  <c r="L87" i="36" s="1"/>
  <c r="K69" i="36"/>
  <c r="L69" i="36" s="1"/>
  <c r="K50" i="36"/>
  <c r="L50" i="36" s="1"/>
  <c r="K21" i="36"/>
  <c r="L21" i="36" s="1"/>
  <c r="K73" i="36"/>
  <c r="L73" i="36" s="1"/>
  <c r="K91" i="36"/>
  <c r="L91" i="36" s="1"/>
  <c r="K65" i="36"/>
  <c r="L65" i="36" s="1"/>
  <c r="K61" i="36"/>
  <c r="L61" i="36" s="1"/>
  <c r="K42" i="36"/>
  <c r="L42" i="36" s="1"/>
  <c r="K66" i="36"/>
  <c r="L66" i="36" s="1"/>
  <c r="K60" i="36"/>
  <c r="L60" i="36" s="1"/>
  <c r="K20" i="36"/>
  <c r="L20" i="36" s="1"/>
  <c r="K19" i="36"/>
  <c r="L19" i="36" s="1"/>
  <c r="K84" i="36"/>
  <c r="L84" i="36" s="1"/>
  <c r="K35" i="36"/>
  <c r="L35" i="36" s="1"/>
  <c r="K27" i="36"/>
  <c r="L27" i="36" s="1"/>
  <c r="K47" i="36"/>
  <c r="L47" i="36" s="1"/>
  <c r="K43" i="36"/>
  <c r="L43" i="36" s="1"/>
  <c r="K28" i="36"/>
  <c r="L28" i="36" s="1"/>
  <c r="K44" i="36"/>
  <c r="L44" i="36" s="1"/>
  <c r="K68" i="36"/>
  <c r="L68" i="36" s="1"/>
  <c r="K56" i="36"/>
  <c r="L56" i="36" s="1"/>
  <c r="K63" i="36"/>
  <c r="L63" i="36" s="1"/>
  <c r="K80" i="36"/>
  <c r="L80" i="36" s="1"/>
  <c r="K81" i="36"/>
  <c r="L81" i="36" s="1"/>
  <c r="K70" i="36"/>
  <c r="L70" i="36" s="1"/>
  <c r="K77" i="36"/>
  <c r="L77" i="36" s="1"/>
  <c r="K53" i="36"/>
  <c r="L53" i="36" s="1"/>
  <c r="K25" i="36"/>
  <c r="L25" i="36" s="1"/>
  <c r="K24" i="36"/>
  <c r="L24" i="36" s="1"/>
  <c r="K22" i="36"/>
  <c r="L22" i="36" s="1"/>
  <c r="K72" i="36"/>
  <c r="L72" i="36" s="1"/>
  <c r="K31" i="36"/>
  <c r="L31" i="36" s="1"/>
  <c r="K40" i="36"/>
  <c r="L40" i="36" s="1"/>
  <c r="K54" i="36"/>
  <c r="L54" i="36" s="1"/>
  <c r="K67" i="36"/>
  <c r="L67" i="36" s="1"/>
  <c r="K48" i="36"/>
  <c r="L48" i="36" s="1"/>
  <c r="K75" i="36"/>
  <c r="L75" i="36" s="1"/>
  <c r="K64" i="36"/>
  <c r="L64" i="36" s="1"/>
  <c r="K52" i="36"/>
  <c r="L52" i="36" s="1"/>
  <c r="K23" i="36"/>
  <c r="L23" i="36" s="1"/>
  <c r="K59" i="36"/>
  <c r="L59" i="36" s="1"/>
  <c r="K18" i="36"/>
  <c r="L18" i="36" s="1"/>
  <c r="K34" i="36"/>
  <c r="L34" i="36" s="1"/>
  <c r="K36" i="36"/>
  <c r="L36" i="36" s="1"/>
  <c r="K49" i="36"/>
  <c r="L49" i="36" s="1"/>
  <c r="V49" i="36" l="1"/>
  <c r="V75" i="36"/>
  <c r="V24" i="36"/>
  <c r="V70" i="36"/>
  <c r="V43" i="36"/>
  <c r="V66" i="36"/>
  <c r="V69" i="36"/>
  <c r="V29" i="36"/>
  <c r="V79" i="36"/>
  <c r="V36" i="36"/>
  <c r="V23" i="36"/>
  <c r="V48" i="36"/>
  <c r="V31" i="36"/>
  <c r="V25" i="36"/>
  <c r="V81" i="36"/>
  <c r="V68" i="36"/>
  <c r="V47" i="36"/>
  <c r="V19" i="36"/>
  <c r="V42" i="36"/>
  <c r="V73" i="36"/>
  <c r="V87" i="36"/>
  <c r="V74" i="36"/>
  <c r="V88" i="36"/>
  <c r="V33" i="36"/>
  <c r="V76" i="36"/>
  <c r="V85" i="36"/>
  <c r="V38" i="36"/>
  <c r="V41" i="36"/>
  <c r="V34" i="36"/>
  <c r="V52" i="36"/>
  <c r="V67" i="36"/>
  <c r="V72" i="36"/>
  <c r="V53" i="36"/>
  <c r="V80" i="36"/>
  <c r="V44" i="36"/>
  <c r="V27" i="36"/>
  <c r="V20" i="36"/>
  <c r="V61" i="36"/>
  <c r="V21" i="36"/>
  <c r="V46" i="36"/>
  <c r="V55" i="36"/>
  <c r="V86" i="36"/>
  <c r="V78" i="36"/>
  <c r="V82" i="36"/>
  <c r="V26" i="36"/>
  <c r="K94" i="36"/>
  <c r="V57" i="36"/>
  <c r="V64" i="36"/>
  <c r="V54" i="36"/>
  <c r="V22" i="36"/>
  <c r="V77" i="36"/>
  <c r="V63" i="36"/>
  <c r="V28" i="36"/>
  <c r="V35" i="36"/>
  <c r="V60" i="36"/>
  <c r="V65" i="36"/>
  <c r="V50" i="36"/>
  <c r="V83" i="36"/>
  <c r="V45" i="36"/>
  <c r="V51" i="36"/>
  <c r="V62" i="36"/>
  <c r="V37" i="36"/>
  <c r="V30" i="36"/>
  <c r="V58" i="36"/>
  <c r="V18" i="36"/>
  <c r="L93" i="36"/>
  <c r="V59" i="36"/>
  <c r="V40" i="36"/>
  <c r="V56" i="36"/>
  <c r="V84" i="36"/>
  <c r="V91" i="36"/>
  <c r="V89" i="36"/>
  <c r="V32" i="36"/>
  <c r="V39" i="36"/>
  <c r="V71" i="36"/>
  <c r="V90" i="36"/>
  <c r="V93" i="36" l="1"/>
  <c r="Q26" i="36" l="1"/>
  <c r="R26" i="36" s="1"/>
  <c r="T26" i="36" s="1"/>
  <c r="Q31" i="36"/>
  <c r="R31" i="36" s="1"/>
  <c r="T31" i="36" s="1"/>
  <c r="Q28" i="36"/>
  <c r="R28" i="36" s="1"/>
  <c r="T28" i="36" s="1"/>
  <c r="Q66" i="36"/>
  <c r="R66" i="36" s="1"/>
  <c r="T66" i="36" s="1"/>
  <c r="Q51" i="36"/>
  <c r="R51" i="36" s="1"/>
  <c r="T51" i="36" s="1"/>
  <c r="Q91" i="36"/>
  <c r="R91" i="36" s="1"/>
  <c r="T91" i="36" s="1"/>
  <c r="Q85" i="36"/>
  <c r="R85" i="36" s="1"/>
  <c r="T85" i="36" s="1"/>
  <c r="Q56" i="36"/>
  <c r="R56" i="36" s="1"/>
  <c r="T56" i="36" s="1"/>
  <c r="Q81" i="36"/>
  <c r="R81" i="36" s="1"/>
  <c r="T81" i="36" s="1"/>
  <c r="Q33" i="36"/>
  <c r="R33" i="36" s="1"/>
  <c r="T33" i="36" s="1"/>
  <c r="Q64" i="36"/>
  <c r="R64" i="36" s="1"/>
  <c r="T64" i="36" s="1"/>
  <c r="Q49" i="36"/>
  <c r="R49" i="36" s="1"/>
  <c r="T49" i="36" s="1"/>
  <c r="Q18" i="36"/>
  <c r="R18" i="36" s="1"/>
  <c r="Q50" i="36"/>
  <c r="R50" i="36" s="1"/>
  <c r="T50" i="36" s="1"/>
  <c r="Q74" i="36"/>
  <c r="R74" i="36" s="1"/>
  <c r="T74" i="36" s="1"/>
  <c r="Q62" i="36"/>
  <c r="R62" i="36" s="1"/>
  <c r="T62" i="36" s="1"/>
  <c r="Q63" i="36"/>
  <c r="R63" i="36" s="1"/>
  <c r="T63" i="36" s="1"/>
  <c r="Q83" i="36"/>
  <c r="R83" i="36" s="1"/>
  <c r="T83" i="36" s="1"/>
  <c r="Q48" i="36"/>
  <c r="R48" i="36" s="1"/>
  <c r="T48" i="36" s="1"/>
  <c r="Q40" i="36"/>
  <c r="R40" i="36" s="1"/>
  <c r="T40" i="36" s="1"/>
  <c r="Q38" i="36"/>
  <c r="R38" i="36" s="1"/>
  <c r="T38" i="36" s="1"/>
  <c r="Q39" i="36"/>
  <c r="R39" i="36" s="1"/>
  <c r="T39" i="36" s="1"/>
  <c r="Q29" i="36"/>
  <c r="R29" i="36" s="1"/>
  <c r="T29" i="36" s="1"/>
  <c r="Q80" i="36"/>
  <c r="R80" i="36" s="1"/>
  <c r="T80" i="36" s="1"/>
  <c r="Q75" i="36"/>
  <c r="R75" i="36" s="1"/>
  <c r="T75" i="36" s="1"/>
  <c r="Q44" i="36"/>
  <c r="R44" i="36" s="1"/>
  <c r="T44" i="36" s="1"/>
  <c r="Q70" i="36"/>
  <c r="R70" i="36" s="1"/>
  <c r="T70" i="36" s="1"/>
  <c r="Q89" i="36"/>
  <c r="R89" i="36" s="1"/>
  <c r="T89" i="36" s="1"/>
  <c r="Q47" i="36"/>
  <c r="R47" i="36" s="1"/>
  <c r="T47" i="36" s="1"/>
  <c r="Q37" i="36"/>
  <c r="R37" i="36" s="1"/>
  <c r="T37" i="36" s="1"/>
  <c r="Q58" i="36"/>
  <c r="R58" i="36" s="1"/>
  <c r="T58" i="36" s="1"/>
  <c r="Q36" i="36"/>
  <c r="R36" i="36" s="1"/>
  <c r="T36" i="36" s="1"/>
  <c r="Q30" i="36"/>
  <c r="R30" i="36" s="1"/>
  <c r="T30" i="36" s="1"/>
  <c r="Q60" i="36"/>
  <c r="R60" i="36" s="1"/>
  <c r="T60" i="36" s="1"/>
  <c r="Q55" i="36"/>
  <c r="R55" i="36" s="1"/>
  <c r="T55" i="36" s="1"/>
  <c r="Q88" i="36"/>
  <c r="R88" i="36" s="1"/>
  <c r="T88" i="36" s="1"/>
  <c r="Q65" i="36"/>
  <c r="R65" i="36" s="1"/>
  <c r="T65" i="36" s="1"/>
  <c r="Q68" i="36"/>
  <c r="R68" i="36" s="1"/>
  <c r="T68" i="36" s="1"/>
  <c r="Q72" i="36"/>
  <c r="R72" i="36" s="1"/>
  <c r="T72" i="36" s="1"/>
  <c r="Q71" i="36"/>
  <c r="R71" i="36" s="1"/>
  <c r="T71" i="36" s="1"/>
  <c r="Q59" i="36"/>
  <c r="R59" i="36" s="1"/>
  <c r="T59" i="36" s="1"/>
  <c r="Q46" i="36"/>
  <c r="R46" i="36" s="1"/>
  <c r="T46" i="36" s="1"/>
  <c r="Q21" i="36"/>
  <c r="R21" i="36" s="1"/>
  <c r="T21" i="36" s="1"/>
  <c r="Q77" i="36"/>
  <c r="R77" i="36" s="1"/>
  <c r="T77" i="36" s="1"/>
  <c r="Q24" i="36"/>
  <c r="R24" i="36" s="1"/>
  <c r="T24" i="36" s="1"/>
  <c r="Q22" i="36"/>
  <c r="R22" i="36" s="1"/>
  <c r="T22" i="36" s="1"/>
  <c r="Q69" i="36"/>
  <c r="R69" i="36" s="1"/>
  <c r="T69" i="36" s="1"/>
  <c r="Q34" i="36"/>
  <c r="R34" i="36" s="1"/>
  <c r="T34" i="36" s="1"/>
  <c r="Q43" i="36"/>
  <c r="R43" i="36" s="1"/>
  <c r="T43" i="36" s="1"/>
  <c r="Q23" i="36"/>
  <c r="R23" i="36" s="1"/>
  <c r="T23" i="36" s="1"/>
  <c r="Q79" i="36"/>
  <c r="R79" i="36" s="1"/>
  <c r="T79" i="36" s="1"/>
  <c r="Q25" i="36"/>
  <c r="R25" i="36" s="1"/>
  <c r="T25" i="36" s="1"/>
  <c r="Q32" i="36"/>
  <c r="R32" i="36" s="1"/>
  <c r="T32" i="36" s="1"/>
  <c r="Q73" i="36"/>
  <c r="R73" i="36" s="1"/>
  <c r="T73" i="36" s="1"/>
  <c r="Q52" i="36"/>
  <c r="R52" i="36" s="1"/>
  <c r="T52" i="36" s="1"/>
  <c r="Q45" i="36"/>
  <c r="R45" i="36" s="1"/>
  <c r="T45" i="36" s="1"/>
  <c r="Q76" i="36"/>
  <c r="R76" i="36" s="1"/>
  <c r="T76" i="36" s="1"/>
  <c r="Q57" i="36"/>
  <c r="R57" i="36" s="1"/>
  <c r="T57" i="36" s="1"/>
  <c r="Q41" i="36"/>
  <c r="R41" i="36" s="1"/>
  <c r="T41" i="36" s="1"/>
  <c r="Q61" i="36"/>
  <c r="R61" i="36" s="1"/>
  <c r="T61" i="36" s="1"/>
  <c r="Q35" i="36"/>
  <c r="R35" i="36" s="1"/>
  <c r="T35" i="36" s="1"/>
  <c r="Q42" i="36"/>
  <c r="R42" i="36" s="1"/>
  <c r="T42" i="36" s="1"/>
  <c r="Q19" i="36"/>
  <c r="R19" i="36" s="1"/>
  <c r="T19" i="36" s="1"/>
  <c r="Q78" i="36"/>
  <c r="R78" i="36" s="1"/>
  <c r="T78" i="36" s="1"/>
  <c r="Q84" i="36"/>
  <c r="R84" i="36" s="1"/>
  <c r="T84" i="36" s="1"/>
  <c r="Q82" i="36"/>
  <c r="R82" i="36" s="1"/>
  <c r="T82" i="36" s="1"/>
  <c r="Q53" i="36"/>
  <c r="R53" i="36" s="1"/>
  <c r="T53" i="36" s="1"/>
  <c r="Q87" i="36"/>
  <c r="R87" i="36" s="1"/>
  <c r="T87" i="36" s="1"/>
  <c r="Q54" i="36"/>
  <c r="R54" i="36" s="1"/>
  <c r="T54" i="36" s="1"/>
  <c r="Q90" i="36"/>
  <c r="R90" i="36" s="1"/>
  <c r="T90" i="36" s="1"/>
  <c r="Q20" i="36"/>
  <c r="R20" i="36" s="1"/>
  <c r="T20" i="36" s="1"/>
  <c r="Q67" i="36"/>
  <c r="R67" i="36" s="1"/>
  <c r="T67" i="36" s="1"/>
  <c r="Q27" i="36"/>
  <c r="R27" i="36" s="1"/>
  <c r="T27" i="36" s="1"/>
  <c r="Q86" i="36"/>
  <c r="R86" i="36" s="1"/>
  <c r="T86" i="36" s="1"/>
  <c r="Q94" i="36" l="1"/>
  <c r="T18" i="36"/>
  <c r="T93" i="36" s="1"/>
  <c r="R93" i="36"/>
</calcChain>
</file>

<file path=xl/comments1.xml><?xml version="1.0" encoding="utf-8"?>
<comments xmlns="http://schemas.openxmlformats.org/spreadsheetml/2006/main">
  <authors>
    <author>R.Pennybaker</author>
    <author>AEP</author>
    <author>Jim Martin</author>
    <author>rlp</author>
  </authors>
  <commentList>
    <comment ref="C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 Descriptions are in WS-F cell D7.</t>
        </r>
      </text>
    </comment>
    <comment ref="D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Year In Service is in WS-F cell D11.</t>
        </r>
      </text>
    </comment>
    <comment ref="E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Base ARR is in cell WS-F cell N5.</t>
        </r>
      </text>
    </comment>
    <comment ref="F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Incentive ARR is in WS-F cell N7.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"TRUE-UP Adjustment (i.e., Forecast Error) is from WS-G in cell M89.</t>
        </r>
      </text>
    </comment>
    <comment ref="J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"Manually input from previous year's update "</t>
        </r>
        <r>
          <rPr>
            <i/>
            <sz val="8"/>
            <color indexed="81"/>
            <rFont val="Tahoma"/>
            <family val="2"/>
          </rPr>
          <t>Schedule 11 Rates</t>
        </r>
        <r>
          <rPr>
            <sz val="8"/>
            <color indexed="81"/>
            <rFont val="Tahoma"/>
            <family val="2"/>
          </rPr>
          <t>" by project, column R values.</t>
        </r>
      </text>
    </comment>
    <comment ref="K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These values reflect SPP remittance to AEP of Schedule 11 revenues for prior Calendar Year T-service transactions.</t>
        </r>
      </text>
    </comment>
    <comment ref="L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can also be referred to as the Billing Error.</t>
        </r>
      </text>
    </comment>
    <comment ref="N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This is "Prior Year True-Up (WS-G)"; and "Incentive Amounts" O88</t>
        </r>
      </text>
    </comment>
    <comment ref="O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Prior Year Projected (WS-F) and Incentive Amounts [cell O87]</t>
        </r>
      </text>
    </comment>
    <comment ref="I1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1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J93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normally should equal last year's SWEPCO total Adj ARR effective prior July 1st on same sheet.    </t>
        </r>
      </text>
    </comment>
    <comment ref="K93" authorId="3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amount was booked by AEP during CY 2016  Represents Sch. 11 revenues remitted from SPP&gt;</t>
        </r>
      </text>
    </comment>
    <comment ref="Q93" authorId="3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from the "33" Base Plan Interest xls file.</t>
        </r>
      </text>
    </comment>
  </commentList>
</comments>
</file>

<file path=xl/comments10.xml><?xml version="1.0" encoding="utf-8"?>
<comments xmlns="http://schemas.openxmlformats.org/spreadsheetml/2006/main">
  <authors>
    <author>rlp</author>
  </authors>
  <commentList>
    <comment ref="D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'09 template calculations (first published).</t>
        </r>
      </text>
    </comment>
  </commentList>
</comments>
</file>

<file path=xl/comments11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2008 template WS-F calculations.</t>
        </r>
      </text>
    </comment>
    <comment ref="D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in WS-F.</t>
        </r>
      </text>
    </comment>
  </commentList>
</comments>
</file>

<file path=xl/comments12.xml><?xml version="1.0" encoding="utf-8"?>
<comments xmlns="http://schemas.openxmlformats.org/spreadsheetml/2006/main">
  <authors>
    <author>rlp</author>
  </authors>
  <commentList>
    <comment ref="D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and prior historic values from 2010 FR Correction template calculations.  Hist values not previously published.</t>
        </r>
      </text>
    </comment>
    <comment ref="K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2008/9 ARRs set to zero since project on Dist WO same years.</t>
        </r>
      </text>
    </comment>
  </commentList>
</comments>
</file>

<file path=xl/comments13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hist values from 09 template (first published).</t>
        </r>
      </text>
    </comment>
  </commentList>
</comments>
</file>

<file path=xl/comments14.xml><?xml version="1.0" encoding="utf-8"?>
<comments xmlns="http://schemas.openxmlformats.org/spreadsheetml/2006/main">
  <authors>
    <author>dtsoa33</author>
  </authors>
  <commentList>
    <comment ref="M87" authorId="0" shapeId="0">
      <text>
        <r>
          <rPr>
            <b/>
            <sz val="8"/>
            <color indexed="81"/>
            <rFont val="Tahoma"/>
            <family val="2"/>
          </rPr>
          <t>mew:</t>
        </r>
        <r>
          <rPr>
            <sz val="8"/>
            <color indexed="81"/>
            <rFont val="Tahoma"/>
            <family val="2"/>
          </rPr>
          <t xml:space="preserve">
Prior yr projected ARR being forced to zero.  Initial year (2008) investment for this multi-yr project is being included in project S.003 from the 2011 update forward. (May 12, 2011)
If the value is not set to zero, a negative ARR is calculated which would result in a refund which would reflect a project's removal from base plan status.  This case is a transfer of a  project's (S.020) investment into project (S.003).</t>
        </r>
      </text>
    </comment>
  </commentList>
</comments>
</file>

<file path=xl/comments15.xml><?xml version="1.0" encoding="utf-8"?>
<comments xmlns="http://schemas.openxmlformats.org/spreadsheetml/2006/main">
  <authors>
    <author>Jim Martin</author>
  </authors>
  <commentList>
    <comment ref="C99" authorId="0" shapeId="0">
      <text>
        <r>
          <rPr>
            <b/>
            <sz val="22"/>
            <color indexed="81"/>
            <rFont val="Tahoma"/>
            <family val="2"/>
          </rPr>
          <t>Jim Martin:</t>
        </r>
        <r>
          <rPr>
            <sz val="22"/>
            <color indexed="81"/>
            <rFont val="Tahoma"/>
            <family val="2"/>
          </rPr>
          <t xml:space="preserve">
FIX THIS</t>
        </r>
      </text>
    </comment>
  </commentList>
</comments>
</file>

<file path=xl/comments16.xml><?xml version="1.0" encoding="utf-8"?>
<comments xmlns="http://schemas.openxmlformats.org/spreadsheetml/2006/main">
  <authors>
    <author>Jim Martin</author>
  </authors>
  <commentList>
    <comment ref="G17" authorId="0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did not have a projected revenue requiremnt in 2016 update so this is a 0.</t>
        </r>
      </text>
    </comment>
  </commentList>
</comments>
</file>

<file path=xl/comments2.xml><?xml version="1.0" encoding="utf-8"?>
<comments xmlns="http://schemas.openxmlformats.org/spreadsheetml/2006/main">
  <authors>
    <author>R.Pennybaker</author>
  </authors>
  <commentList>
    <comment ref="L19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value comes from Formula Template file via data INPUT table below.  Then, it supuplies the project year value to the P.xxx sheets.</t>
        </r>
      </text>
    </comment>
  </commentList>
</comments>
</file>

<file path=xl/comments3.xml><?xml version="1.0" encoding="utf-8"?>
<comments xmlns="http://schemas.openxmlformats.org/spreadsheetml/2006/main">
  <authors>
    <author>R.Pennybaker</author>
  </authors>
  <commentList>
    <comment ref="M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cell comes from Formula Template file.  Then, it drives all the S.xxx sheets.</t>
        </r>
      </text>
    </comment>
  </commentList>
</comments>
</file>

<file path=xl/comments4.xml><?xml version="1.0" encoding="utf-8"?>
<comments xmlns="http://schemas.openxmlformats.org/spreadsheetml/2006/main">
  <authors>
    <author>rlp</author>
  </authors>
  <commentList>
    <comment ref="E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depreciation calculated by or published in this year's template due to originanl estimated Dec in-service month.</t>
        </r>
      </text>
    </comment>
  </commentList>
</comments>
</file>

<file path=xl/comments5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Historical values input as if calculated (and shown) from 2009 template.</t>
        </r>
      </text>
    </comment>
  </commentList>
</comments>
</file>

<file path=xl/comments6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These hist values from pg 66 of 87 of '08 template (1st project in WS-F that year).</t>
        </r>
      </text>
    </comment>
  </commentList>
</comments>
</file>

<file path=xl/comments7.xml><?xml version="1.0" encoding="utf-8"?>
<comments xmlns="http://schemas.openxmlformats.org/spreadsheetml/2006/main">
  <authors>
    <author>R.Pennybaker</author>
  </authors>
  <commentList>
    <comment ref="K18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Prior Yr Projected ARR was $1,203,444.  However, this value is being set to $0 to force a negative Adjusted  Tot. Rev. Requirement equal to the amount actually collected (billed) by SPP for 2008 T-service related to this project.</t>
        </r>
      </text>
    </comment>
  </commentList>
</comments>
</file>

<file path=xl/comments8.xml><?xml version="1.0" encoding="utf-8"?>
<comments xmlns="http://schemas.openxmlformats.org/spreadsheetml/2006/main">
  <authors>
    <author>rlp</author>
  </authors>
  <commentList>
    <comment ref="B20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actual total investment update in 2010.</t>
        </r>
      </text>
    </comment>
    <comment ref="E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year's depreciation input as if the 2008 template WS-G calculated values had been shown.</t>
        </r>
      </text>
    </comment>
    <comment ref="B101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not an actual update to total investment this year.</t>
        </r>
      </text>
    </comment>
  </commentList>
</comments>
</file>

<file path=xl/comments9.xml><?xml version="1.0" encoding="utf-8"?>
<comments xmlns="http://schemas.openxmlformats.org/spreadsheetml/2006/main">
  <authors>
    <author>rlp</author>
  </authors>
  <commentList>
    <comment ref="D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2006/7 hist values precede FR eff. Date.  Thus, we input calculated historical data from 09 template formulas.</t>
        </r>
      </text>
    </comment>
    <comment ref="D100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hist values in WS-F.</t>
        </r>
      </text>
    </comment>
  </commentList>
</comments>
</file>

<file path=xl/sharedStrings.xml><?xml version="1.0" encoding="utf-8"?>
<sst xmlns="http://schemas.openxmlformats.org/spreadsheetml/2006/main" count="9180" uniqueCount="480">
  <si>
    <t>I.</t>
  </si>
  <si>
    <t xml:space="preserve">   Project ROE Incentive Adder (Enter as whole number)</t>
  </si>
  <si>
    <t>&lt;==Incentive ROE  Cannot Exceed 12.45%</t>
  </si>
  <si>
    <t xml:space="preserve">   Determine R  ( cost of long term debt, cost of preferred stock and percent is from Attachment H, lns 158 through160)</t>
  </si>
  <si>
    <t>SUMMARY OF PROJECTED ANNUAL BASE PLAN AND  NON-BASE PLAN REVENUE REQUIREMENTS</t>
  </si>
  <si>
    <t>%</t>
  </si>
  <si>
    <t>Cost</t>
  </si>
  <si>
    <t>Weighted cost</t>
  </si>
  <si>
    <t>Long Term Debt</t>
  </si>
  <si>
    <t>Rev Require</t>
  </si>
  <si>
    <t xml:space="preserve"> W Incentives</t>
  </si>
  <si>
    <t>Incentive Amounts</t>
  </si>
  <si>
    <t>Preferred Stock</t>
  </si>
  <si>
    <t>Common Stock</t>
  </si>
  <si>
    <t>PROJECTED YEAR</t>
  </si>
  <si>
    <t>R =</t>
  </si>
  <si>
    <r>
      <t xml:space="preserve">Note:  </t>
    </r>
    <r>
      <rPr>
        <sz val="10"/>
        <rFont val="Arial"/>
        <family val="2"/>
      </rPr>
      <t xml:space="preserve">Review formulas in summary to ensure the proper year's revenue requirement is being </t>
    </r>
  </si>
  <si>
    <t>accumulated for each project from the tables below.</t>
  </si>
  <si>
    <t xml:space="preserve">   R   (fom A. above)</t>
  </si>
  <si>
    <t xml:space="preserve">   Return (Rate Base  x  R)</t>
  </si>
  <si>
    <t xml:space="preserve">   Return   (from B. above)</t>
  </si>
  <si>
    <t xml:space="preserve">   EIT=(T/(1-T)) * (1-(WCLTD/WACC)) =</t>
  </si>
  <si>
    <t xml:space="preserve">   Income Tax Calculation  (Return  x  EIT)</t>
  </si>
  <si>
    <t xml:space="preserve">   Income Taxes</t>
  </si>
  <si>
    <t>II.</t>
  </si>
  <si>
    <t>A.   Determine Net Revenue Requirement less return and Income Taxes.</t>
  </si>
  <si>
    <t xml:space="preserve">   Net Revenue Requirement, Less Return and Taxes</t>
  </si>
  <si>
    <t xml:space="preserve">   Income Taxes  (from I.C. above)</t>
  </si>
  <si>
    <t xml:space="preserve">   Revenue Requirement w/ Gross Margin Taxes</t>
  </si>
  <si>
    <t xml:space="preserve">      Basis Point ROE increase (II B. above)</t>
  </si>
  <si>
    <t xml:space="preserve">       Apportioned Texas Revenues</t>
  </si>
  <si>
    <t xml:space="preserve">       Taxable, Apportioned Margin</t>
  </si>
  <si>
    <t xml:space="preserve">       Texas Gross Margin Tax Rate</t>
  </si>
  <si>
    <t xml:space="preserve">       Texas Gross Margin Tax Expense</t>
  </si>
  <si>
    <t xml:space="preserve">      Gross-up Required for Gross Margin Tax Expense </t>
  </si>
  <si>
    <t>Total Additional Gross Margin Tax Revenue Requirement</t>
  </si>
  <si>
    <t>III.</t>
  </si>
  <si>
    <t>Calculation of Composite Depreciation Rate</t>
  </si>
  <si>
    <t>Transmission Plant @ Beginning of Period (P.206, ln 58)</t>
  </si>
  <si>
    <t>&lt;==From Input on Worksheet B</t>
  </si>
  <si>
    <t>Transmission Plant @ End of Period (P.207, ln 58)</t>
  </si>
  <si>
    <t>Composite Depreciation Rate</t>
  </si>
  <si>
    <t>Depreciable Life for Composite Depreciation Rate</t>
  </si>
  <si>
    <t>Round to nearest whole year</t>
  </si>
  <si>
    <t>IV.</t>
  </si>
  <si>
    <t>Determine the Revenue Requirement &amp; Additional Revenue Requirement for facilities receiving incentives.</t>
  </si>
  <si>
    <t>A.   Facilities receiving incentives accepted by FERC in Docket No.</t>
  </si>
  <si>
    <t xml:space="preserve">   (e.g. ER05-925-000)</t>
  </si>
  <si>
    <t xml:space="preserve">Project Description: </t>
  </si>
  <si>
    <t>Current Projected Year Incentive ARR</t>
  </si>
  <si>
    <t>DETAILS</t>
  </si>
  <si>
    <t>Investment</t>
  </si>
  <si>
    <t>Current Year</t>
  </si>
  <si>
    <t>CUMMULATIVE HISTORY OF PROJECTED ANNUAL REVENUE REQUIREMENTS:</t>
  </si>
  <si>
    <t>Service Year (yyyy)</t>
  </si>
  <si>
    <t>ROE increase accepted by FERC (Basis Points)</t>
  </si>
  <si>
    <t>Service Month (1-12)</t>
  </si>
  <si>
    <t>FCR w/o incentives, less depreciation</t>
  </si>
  <si>
    <t xml:space="preserve">          TEMPLATE BELOW TO MAINTAIN HISTORY OF PROJECTED ARRS OVER THE </t>
  </si>
  <si>
    <t>Useful life</t>
  </si>
  <si>
    <t>FCR w/incentives approved for these facilities, less dep.</t>
  </si>
  <si>
    <t xml:space="preserve">         LIFE OF THE PROJECT.</t>
  </si>
  <si>
    <t>CIAC (Yes or No)</t>
  </si>
  <si>
    <t>No</t>
  </si>
  <si>
    <t>Annual Depreciation Expense</t>
  </si>
  <si>
    <t>Beginning</t>
  </si>
  <si>
    <t>Depreciation</t>
  </si>
  <si>
    <t>Ending</t>
  </si>
  <si>
    <t>Additional Rev.</t>
  </si>
  <si>
    <t>Project Rev Req't True-up</t>
  </si>
  <si>
    <t>True-up of Incentive</t>
  </si>
  <si>
    <t>Year</t>
  </si>
  <si>
    <t>Balance</t>
  </si>
  <si>
    <t>Expense</t>
  </si>
  <si>
    <t xml:space="preserve">Requirement </t>
  </si>
  <si>
    <t xml:space="preserve">with Incentives </t>
  </si>
  <si>
    <t xml:space="preserve">  </t>
  </si>
  <si>
    <t xml:space="preserve">w/o Incentives </t>
  </si>
  <si>
    <t>Project Totals</t>
  </si>
  <si>
    <t>additional incentive requirement is applicable for the life of this specific project.  Each year the revenue requirement calculated for SPP</t>
  </si>
  <si>
    <t xml:space="preserve">should be incremented by the amount of the incentive revenue calculated for that year on this project. </t>
  </si>
  <si>
    <t>SUMMARY OF TRUED-UP ANNUAL REVENUE REQUIREMENTS FOR SPP BPU &amp; NON-BPU PROJECTS</t>
  </si>
  <si>
    <t>TRUE-UP YEAR</t>
  </si>
  <si>
    <t>Determine the Revenue Requirement, and Additional Revenue Requirement for facilities receiving incentives.</t>
  </si>
  <si>
    <t>Project Description:</t>
  </si>
  <si>
    <t>Details</t>
  </si>
  <si>
    <t>True-Up Year</t>
  </si>
  <si>
    <t>CUMMULATIVE HISTORY OF TRUED-UP ANNUAL REVENUE REQUIREMENTS:</t>
  </si>
  <si>
    <t xml:space="preserve">          TEMPLATE BELOW TO MAINTAIN HISTORY OF TRUED-UP ARRS OVER THE </t>
  </si>
  <si>
    <t>Average</t>
  </si>
  <si>
    <t>Incentive Rev.</t>
  </si>
  <si>
    <t>BPU Rev Req't True-up</t>
  </si>
  <si>
    <r>
      <t xml:space="preserve">** </t>
    </r>
    <r>
      <rPr>
        <sz val="10"/>
        <rFont val="Arial"/>
        <family val="2"/>
      </rPr>
      <t xml:space="preserve"> This is the total amount that needs to be reported to SPP for billing to all regions. </t>
    </r>
  </si>
  <si>
    <r>
      <t xml:space="preserve">   Return   (from </t>
    </r>
    <r>
      <rPr>
        <sz val="10"/>
        <rFont val="MS Serif"/>
        <family val="1"/>
      </rPr>
      <t>I</t>
    </r>
    <r>
      <rPr>
        <sz val="10"/>
        <rFont val="Arial"/>
        <family val="2"/>
      </rPr>
      <t>.B. above)</t>
    </r>
  </si>
  <si>
    <r>
      <t xml:space="preserve">Requirement </t>
    </r>
    <r>
      <rPr>
        <b/>
        <sz val="10"/>
        <color indexed="10"/>
        <rFont val="Arial"/>
        <family val="2"/>
      </rPr>
      <t>##</t>
    </r>
  </si>
  <si>
    <r>
      <t>with Incentives</t>
    </r>
    <r>
      <rPr>
        <b/>
        <sz val="10"/>
        <color indexed="10"/>
        <rFont val="Arial"/>
        <family val="2"/>
      </rPr>
      <t xml:space="preserve"> **</t>
    </r>
  </si>
  <si>
    <r>
      <t>##</t>
    </r>
    <r>
      <rPr>
        <b/>
        <sz val="10"/>
        <rFont val="Arial"/>
        <family val="2"/>
      </rPr>
      <t xml:space="preserve"> This is the calculation of  additional incentive revenue on projects deemed by the FERC to be eligible for an incentive return.  This</t>
    </r>
  </si>
  <si>
    <r>
      <t xml:space="preserve">##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</si>
  <si>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>Long Term Debt %</t>
  </si>
  <si>
    <t>Long Term Debt Cost</t>
  </si>
  <si>
    <t>Preferred Stock %</t>
  </si>
  <si>
    <t>Preferred Stock Cost</t>
  </si>
  <si>
    <t>Common Stock %</t>
  </si>
  <si>
    <t>STEP 2</t>
  </si>
  <si>
    <t>STEP 3</t>
  </si>
  <si>
    <t xml:space="preserve">       Apportionment Factor to Texas (Worksheet K, ln 12)</t>
  </si>
  <si>
    <t>Black text is not used in this workbook.</t>
  </si>
  <si>
    <t>Blue text is used by this workbbok and driven by non WS-F Formula Rate template worksheets</t>
  </si>
  <si>
    <t>SEE INPUT/OUTPUT ranges to the right  ----&gt;</t>
  </si>
  <si>
    <t>SEE INPUT/OUTPUT ranges to the right  ------&gt;</t>
  </si>
  <si>
    <t xml:space="preserve">AEP West SPP Member Companies </t>
  </si>
  <si>
    <t>See INPUT/OUTPUT ranges below.</t>
  </si>
  <si>
    <t>STEP 1</t>
  </si>
  <si>
    <t>Is done first in the main Formula Rate template  Worksheet F.</t>
  </si>
  <si>
    <t>STEP 4</t>
  </si>
  <si>
    <t>Is done last in the main Formula Rate template  Worksheet F.</t>
  </si>
  <si>
    <t>Copy to main FR Template</t>
  </si>
  <si>
    <t>Project Description</t>
  </si>
  <si>
    <t>Is done first in the main Formula Rate template  Worksheet G.</t>
  </si>
  <si>
    <t>Is done last in the main Formula Rate template  Worksheet G.</t>
  </si>
  <si>
    <t>Blue text below is used by this workbbok and comes from main Formula Rate template WS-G sheet.</t>
  </si>
  <si>
    <t>As Projected in Prior Year WS F   Rev Require</t>
  </si>
  <si>
    <t>As Projected in Prior Year WS F    W Incentives</t>
  </si>
  <si>
    <t>Actual after True-up Rev Require</t>
  </si>
  <si>
    <t>Actual after True-up  W Incentives</t>
  </si>
  <si>
    <r>
      <t>Worksheet F</t>
    </r>
    <r>
      <rPr>
        <sz val="14"/>
        <rFont val="Arial"/>
        <family val="2"/>
      </rPr>
      <t xml:space="preserve"> - Calculation of PROJECTED Annual Revenue Requirement for BPU and Special-billed Projects</t>
    </r>
  </si>
  <si>
    <r>
      <t>Worksheet G</t>
    </r>
    <r>
      <rPr>
        <sz val="14"/>
        <rFont val="Arial"/>
        <family val="2"/>
      </rPr>
      <t xml:space="preserve"> - Calculation of TRUED-UP Annual Revenue Requirement for BPU and Special-billed Projects</t>
    </r>
  </si>
  <si>
    <t>&lt;----Worksheet data is for</t>
  </si>
  <si>
    <t>(Worksheet G)</t>
  </si>
  <si>
    <t>(Worksheet F)</t>
  </si>
  <si>
    <t>Worksheet F</t>
  </si>
  <si>
    <t>Worksheet G</t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</si>
  <si>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</si>
  <si>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r>
      <t>Worksheet F  --  SOUTHWESTERN ELECTRIC POWER COMPANY  --  Calculation of "</t>
    </r>
    <r>
      <rPr>
        <b/>
        <u/>
        <sz val="16"/>
        <rFont val="Arial"/>
        <family val="2"/>
      </rPr>
      <t>Projected</t>
    </r>
    <r>
      <rPr>
        <b/>
        <sz val="16"/>
        <rFont val="Arial"/>
        <family val="2"/>
      </rPr>
      <t>" ARR for SPP Base Plan Upgrade Projects</t>
    </r>
  </si>
  <si>
    <r>
      <t>Worksheet G  --  SOUTHWESTERN ELECTRIC POWER COMPANY  --  Calculation of "</t>
    </r>
    <r>
      <rPr>
        <b/>
        <u/>
        <sz val="16"/>
        <rFont val="Arial"/>
        <family val="2"/>
      </rPr>
      <t>Trued-Up</t>
    </r>
    <r>
      <rPr>
        <b/>
        <sz val="16"/>
        <rFont val="Arial"/>
        <family val="2"/>
      </rPr>
      <t>" ARR for SPP Base Plan Upgrade Projects</t>
    </r>
  </si>
  <si>
    <t>SOUTHWESTERN ELECTRIC POWER COMPANY</t>
  </si>
  <si>
    <t>EXPORT DATA to Template SWEPCO WS F</t>
  </si>
  <si>
    <t>Worksheet F --- DATA INPUT (Paste.Values) from TEMPLATE SWEPCO WS F</t>
  </si>
  <si>
    <t>DATA INPUT (Paste.Values) from main FR TEMPLATE SWEPCO WS G</t>
  </si>
  <si>
    <t>EXPORT DATA to main FR Template SWEPCO WS G</t>
  </si>
  <si>
    <t>TP2007057</t>
  </si>
  <si>
    <t>TP2007060</t>
  </si>
  <si>
    <t>TP2007103</t>
  </si>
  <si>
    <t>TP2007114</t>
  </si>
  <si>
    <t>TP2007120</t>
  </si>
  <si>
    <t>TP2007165</t>
  </si>
  <si>
    <t>TP2008080</t>
  </si>
  <si>
    <t>TP2002085</t>
  </si>
  <si>
    <t>TP2006130</t>
  </si>
  <si>
    <t>TP2004036</t>
  </si>
  <si>
    <t xml:space="preserve">Carthage REC - Carthage T 138 kV </t>
  </si>
  <si>
    <t>TP2004139</t>
  </si>
  <si>
    <t>TP2006089</t>
  </si>
  <si>
    <t>TP2004148</t>
  </si>
  <si>
    <t>TP2005142</t>
  </si>
  <si>
    <t>basis points</t>
  </si>
  <si>
    <t xml:space="preserve">True-Up Adjustment  </t>
  </si>
  <si>
    <t>Current Projected Year ARR</t>
  </si>
  <si>
    <t>Current Projected Year ARR w/ Incentive</t>
  </si>
  <si>
    <t>w/Incentives</t>
  </si>
  <si>
    <t xml:space="preserve"> Worksheet G</t>
  </si>
  <si>
    <t>TRUE-UP Adjustment from Prior Year WS-G</t>
  </si>
  <si>
    <t>TP2008017</t>
  </si>
  <si>
    <t>TP2007019</t>
  </si>
  <si>
    <t>Knox Lee - Oak Hill #2 138 kV line, S. Shreveport  (SWE Minor Proj II)</t>
  </si>
  <si>
    <t>ok</t>
  </si>
  <si>
    <t>AEP Transmission Formula Rate Template</t>
  </si>
  <si>
    <r>
      <t xml:space="preserve">Calculation of Schedule </t>
    </r>
    <r>
      <rPr>
        <sz val="12"/>
        <rFont val="Arial"/>
        <family val="2"/>
      </rPr>
      <t>11 Revenue Requirements For AEP Transmission Projects</t>
    </r>
  </si>
  <si>
    <t xml:space="preserve">AEP Schedule 11 Revenue Requirement Including True-Up of Prior Collections </t>
  </si>
  <si>
    <t>(A)</t>
  </si>
  <si>
    <t>(B)</t>
  </si>
  <si>
    <t>(C )</t>
  </si>
  <si>
    <t>(D)</t>
  </si>
  <si>
    <t>(E)</t>
  </si>
  <si>
    <t>(F)</t>
  </si>
  <si>
    <t>(H)</t>
  </si>
  <si>
    <t>(I)</t>
  </si>
  <si>
    <t>(M)</t>
  </si>
  <si>
    <t>Sheet Name</t>
  </si>
  <si>
    <t>Owner</t>
  </si>
  <si>
    <t>Year in Service</t>
  </si>
  <si>
    <t>Base ARR</t>
  </si>
  <si>
    <t>Incentive</t>
  </si>
  <si>
    <t>Total</t>
  </si>
  <si>
    <t>True-up</t>
  </si>
  <si>
    <t>As Billed</t>
  </si>
  <si>
    <t>Change</t>
  </si>
  <si>
    <t>Interest</t>
  </si>
  <si>
    <t>Indirect References</t>
  </si>
  <si>
    <r>
      <t xml:space="preserve">  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delete this row or the formulas above will not work.</t>
    </r>
  </si>
  <si>
    <t>S.001</t>
  </si>
  <si>
    <t>SWE</t>
  </si>
  <si>
    <t>S.002</t>
  </si>
  <si>
    <t>S.003</t>
  </si>
  <si>
    <t>S.004</t>
  </si>
  <si>
    <t>S.005</t>
  </si>
  <si>
    <t>S.006</t>
  </si>
  <si>
    <t>S.007</t>
  </si>
  <si>
    <t>S.008</t>
  </si>
  <si>
    <t>S.009</t>
  </si>
  <si>
    <t>S.010</t>
  </si>
  <si>
    <t>S.011</t>
  </si>
  <si>
    <t>S.012</t>
  </si>
  <si>
    <t>S.013</t>
  </si>
  <si>
    <t>S.014</t>
  </si>
  <si>
    <t>S.015</t>
  </si>
  <si>
    <t>S.016</t>
  </si>
  <si>
    <t>S.017</t>
  </si>
  <si>
    <t>S.018</t>
  </si>
  <si>
    <t>S.019</t>
  </si>
  <si>
    <t>S.020</t>
  </si>
  <si>
    <r>
      <t xml:space="preserve">TRUE-UP Adjustment </t>
    </r>
    <r>
      <rPr>
        <sz val="10"/>
        <rFont val="Arial"/>
        <family val="2"/>
      </rPr>
      <t>(WS-G)</t>
    </r>
  </si>
  <si>
    <t>(J)</t>
  </si>
  <si>
    <t>from WS-F &amp; G</t>
  </si>
  <si>
    <t>Do NOT delete.</t>
  </si>
  <si>
    <t>COLLECTION Adjustment</t>
  </si>
  <si>
    <t>(L)</t>
  </si>
  <si>
    <t>(O)</t>
  </si>
  <si>
    <t>Incentive ARR</t>
  </si>
  <si>
    <r>
      <t xml:space="preserve">Total Adjustments
</t>
    </r>
    <r>
      <rPr>
        <sz val="8"/>
        <rFont val="Arial"/>
        <family val="2"/>
      </rPr>
      <t>(Forecast, Billing, &amp; Interest)</t>
    </r>
  </si>
  <si>
    <t>Total Adjustments before Interest</t>
  </si>
  <si>
    <t>the column above</t>
  </si>
  <si>
    <t>is used to feed interest</t>
  </si>
  <si>
    <t>calculation engine and its</t>
  </si>
  <si>
    <t>output is put into the interest</t>
  </si>
  <si>
    <t>Arsenal Hill Auto xfmr &amp; AH to Water Works line</t>
  </si>
  <si>
    <t>SW Shreveport (sub work &amp; tap)</t>
  </si>
  <si>
    <t>PROJECTED Rev. Req't From Prior Year Template</t>
  </si>
  <si>
    <t>TRUE-UP Rev. Req't.From Prior Year Template</t>
  </si>
  <si>
    <t>Rebuild N. Magazine - Danville 161 kV Line</t>
  </si>
  <si>
    <t>Dyess to S. Fayetteville 69 kV Convert to 161 kV (multi-projects)</t>
  </si>
  <si>
    <t>Northwest Texarkana-Bann-Alumax Tap 138kV -- reconductor</t>
  </si>
  <si>
    <r>
      <t xml:space="preserve">As Billed
by SPP
</t>
    </r>
    <r>
      <rPr>
        <sz val="10"/>
        <rFont val="Arial"/>
        <family val="2"/>
      </rPr>
      <t>(for Prior Yr
T-Service)</t>
    </r>
  </si>
  <si>
    <t>NW Henderson - Oak Hill 138 kV line*</t>
  </si>
  <si>
    <t>Linwood 138 Station Switch Replacement*</t>
  </si>
  <si>
    <t>Tontitown - Elm Springs REC 161 kV line***</t>
  </si>
  <si>
    <t>Siloam Springs - Chamber Springs 161 kV line***</t>
  </si>
  <si>
    <t>Daingerfield - Jenkins REC 69 kV CB Repl**</t>
  </si>
  <si>
    <t>Linwood-McWillie 138 kV Rebuild</t>
  </si>
  <si>
    <t>Port Robson-Caplis Line (SW 138 kV Loop -- 2009)</t>
  </si>
  <si>
    <t>Wallace Lake-Prt Robson-Red Point 138 kV Loop</t>
  </si>
  <si>
    <t>[NW Ark Area Improve - 2008]  Elm Springs, East Rogers, Shipe Road Stations</t>
  </si>
  <si>
    <t>[NW Ark Area Improve - 2009]  E. Centerton-Flint Crk, E Rogers-N Rogers, Centerton</t>
  </si>
  <si>
    <t>[Greenwood, AR Area Improve]  N Huntington, Greenwood, Reeves, Bonanza</t>
  </si>
  <si>
    <t>Arsenal Hill 138kV Device (Cap. Bank)</t>
  </si>
  <si>
    <t xml:space="preserve">∑ Prior Year Projected  (WS-F)  </t>
  </si>
  <si>
    <t xml:space="preserve">∑ Prior Year True-Up  (WS-G)  </t>
  </si>
  <si>
    <t>SWEPCO Total</t>
  </si>
  <si>
    <t>TP2006077</t>
  </si>
  <si>
    <t>TP2008014</t>
  </si>
  <si>
    <t>Reconductor: Greggton-Lake Lamond &amp; Quitman-Westwood 69 kV lines</t>
  </si>
  <si>
    <t>TP2008015</t>
  </si>
  <si>
    <t>TP2008026</t>
  </si>
  <si>
    <t>Rebuild/reconductor Dyess-Elm Springs REC [Dyess Station-Flint Creek]</t>
  </si>
  <si>
    <t>TP2009012</t>
  </si>
  <si>
    <t>S.021</t>
  </si>
  <si>
    <t>S.022</t>
  </si>
  <si>
    <t>S.023</t>
  </si>
  <si>
    <t>S.024</t>
  </si>
  <si>
    <t>S.025</t>
  </si>
  <si>
    <t>Additional Annual Rev.</t>
  </si>
  <si>
    <t>Reconductor 4 mi. of McNabb-Turk</t>
  </si>
  <si>
    <t>Longwood: r&amp;r switches, upgrade bus</t>
  </si>
  <si>
    <t>TP______</t>
  </si>
  <si>
    <t>Projected ADJUSTED ARR from Prior Update</t>
  </si>
  <si>
    <t>Port Robson (SW 138 kV Loop -- 2008)</t>
  </si>
  <si>
    <t>*</t>
  </si>
  <si>
    <t>*&lt;$100K investment, **AI xfer, ***Non-BPU (to be removed from list in future).</t>
  </si>
  <si>
    <t>Replace switch at Diana*</t>
  </si>
  <si>
    <t>column to left (Q).</t>
  </si>
  <si>
    <t>NOTE:  Delete duplicate project.  Will track this multi-element multi-year project via 1 set of worksheet F and G tables (S.006).</t>
  </si>
  <si>
    <t>NOTE:  $310K Investment still on Dist plant accounts at YE2009.  Thus YE2009 Trans investment set to $0.</t>
  </si>
  <si>
    <t>NOTE:  Investment expected to be transferred from Distribution to Transmission during 2010.</t>
  </si>
  <si>
    <t>Whitney repl CB and Switches</t>
  </si>
  <si>
    <t>S.026</t>
  </si>
  <si>
    <t>***2008 INVESTMENT NOW INCLUDED IN PROJECT S.003 ABOVE***</t>
  </si>
  <si>
    <t>NOTE:  Transfer project.  Initial yr investment included in project S.003.</t>
  </si>
  <si>
    <t>PID 452, UIP 10586</t>
  </si>
  <si>
    <t>TP2009015</t>
  </si>
  <si>
    <t>Linwood - Powell Street 138 kV</t>
  </si>
  <si>
    <t>TP2008027</t>
  </si>
  <si>
    <t xml:space="preserve">Bloomburg-Texarkana Plant </t>
  </si>
  <si>
    <t>TP2010062</t>
  </si>
  <si>
    <t xml:space="preserve">Knox Lee - Pirkey 138 kV / Pirkey - Whitney 138 kV - Replace Breaker,  Wavetraps, and reset relays and CT's </t>
  </si>
  <si>
    <t>NW Texarkana - Turk 345</t>
  </si>
  <si>
    <t>TP2009100</t>
  </si>
  <si>
    <t>Lone Star South - Pittsburg 138 kV - Replace Wavetraps, reset CT's and Relays</t>
  </si>
  <si>
    <t>Howell-Kilgore 69 kV rebuild</t>
  </si>
  <si>
    <t>TP208126</t>
  </si>
  <si>
    <t xml:space="preserve"> Flint Creek-Shipe Road 345 kV Line</t>
  </si>
  <si>
    <t>S.027</t>
  </si>
  <si>
    <t>S.028</t>
  </si>
  <si>
    <t>S.029</t>
  </si>
  <si>
    <t>S.030</t>
  </si>
  <si>
    <t>S.031</t>
  </si>
  <si>
    <t>S.032</t>
  </si>
  <si>
    <t>S.033</t>
  </si>
  <si>
    <t>TP2011024</t>
  </si>
  <si>
    <t>Diana - Replace North Autotransformer #3</t>
  </si>
  <si>
    <t>Bann - LS Ordnance - Hooks 69 kV - Rebuild 7.1 mi</t>
  </si>
  <si>
    <t>TP2010065</t>
  </si>
  <si>
    <t>Osburn 161 kV Line Work</t>
  </si>
  <si>
    <t>TP2010066</t>
  </si>
  <si>
    <t>SW Shreveport to Spring Ridge REC 138 kV Line Rebuild</t>
  </si>
  <si>
    <t>TP2010064</t>
  </si>
  <si>
    <t>Eastex Switching Station - Whitney 138 kV Station - Rebuild 2.5 miles of 138 Kv</t>
  </si>
  <si>
    <t>S.034</t>
  </si>
  <si>
    <t>S.035</t>
  </si>
  <si>
    <t>S.036</t>
  </si>
  <si>
    <t>S.037</t>
  </si>
  <si>
    <t>S.038</t>
  </si>
  <si>
    <t>TP2009092</t>
  </si>
  <si>
    <t>TP20100102</t>
  </si>
  <si>
    <t xml:space="preserve">Rock Hill to Carthage 69 kV Rebuild 11.4 Miles </t>
  </si>
  <si>
    <t>TP2010103</t>
  </si>
  <si>
    <t>Broadmoor to Fern Street 69 kV Rebuild 1 mile</t>
  </si>
  <si>
    <t>TP2004031</t>
  </si>
  <si>
    <t>Northwest Henderson to Poynter 69 kV Rebuild 3.2 miles</t>
  </si>
  <si>
    <t>TP2011023</t>
  </si>
  <si>
    <t>Diana to Perdue 138 kV Rebuild 21.8 miles; Station Upgrades at Diana and Perdue</t>
  </si>
  <si>
    <t>S.039</t>
  </si>
  <si>
    <t>S.040</t>
  </si>
  <si>
    <t>S.041</t>
  </si>
  <si>
    <t>S.042</t>
  </si>
  <si>
    <t>S.043</t>
  </si>
  <si>
    <t xml:space="preserve">  SPP Project ID = 681</t>
  </si>
  <si>
    <t xml:space="preserve">  SPP Project ID = 502</t>
  </si>
  <si>
    <t xml:space="preserve">  SPP Project ID = 503/1012</t>
  </si>
  <si>
    <t xml:space="preserve">  SPP Project ID = 882</t>
  </si>
  <si>
    <t xml:space="preserve">  SPP Project ID = 770 (split between PSO &amp; SWEPCO)</t>
  </si>
  <si>
    <r>
      <t xml:space="preserve">Ashdown West - Craig Junction 138KV Rebuild </t>
    </r>
    <r>
      <rPr>
        <sz val="10"/>
        <color indexed="12"/>
        <rFont val="Arial"/>
        <family val="2"/>
      </rPr>
      <t>(tie w/PSO)</t>
    </r>
  </si>
  <si>
    <t>TP2002006</t>
  </si>
  <si>
    <t>Pittsburg-Winnsboro-North Mineola</t>
  </si>
  <si>
    <t>TP2005152</t>
  </si>
  <si>
    <t>CHAMBER SPRINGS - TONTITOWN 161KV CKT 1</t>
  </si>
  <si>
    <t>TP2002123</t>
  </si>
  <si>
    <t>CHAMBER SPRINGS - TONTITOWN 345KV CKT 1</t>
  </si>
  <si>
    <t>FULTON - HOPE 115KV CKT 1</t>
  </si>
  <si>
    <t>TP2007166</t>
  </si>
  <si>
    <t>MINEOLA - NORTH MINEOLA 69KV CKT 1</t>
  </si>
  <si>
    <t>TP2004032</t>
  </si>
  <si>
    <t xml:space="preserve">SUGAR HILL 138/69KV TRANSFORMER CKT 1 </t>
  </si>
  <si>
    <t>Dekalb-New Boston 69 kV</t>
  </si>
  <si>
    <t>Hardy Street-Waterworks 69 kV</t>
  </si>
  <si>
    <t>Red Oak (State Line)-North Huntington 69 kV</t>
  </si>
  <si>
    <t>Mt. Pleasant - West Mt. Pleasant 69 kV Ckt 1)</t>
  </si>
  <si>
    <t>Benteler - Port Robson 138 kV Ckt 1 and 2</t>
  </si>
  <si>
    <t>S.044</t>
  </si>
  <si>
    <t>S.045</t>
  </si>
  <si>
    <t>S.046</t>
  </si>
  <si>
    <t>S.047</t>
  </si>
  <si>
    <t>S.048</t>
  </si>
  <si>
    <t>S.049</t>
  </si>
  <si>
    <t>S.050</t>
  </si>
  <si>
    <t>S.051</t>
  </si>
  <si>
    <t>S.052</t>
  </si>
  <si>
    <t>S.053</t>
  </si>
  <si>
    <t>S.054</t>
  </si>
  <si>
    <t xml:space="preserve">***Sch. 11 recovery commenced in the 2015 rate year *** </t>
  </si>
  <si>
    <t>Ellerbe Rd-S Shreveport 69 kv Build</t>
  </si>
  <si>
    <t>TP201154</t>
  </si>
  <si>
    <t>Logansport 138 kv</t>
  </si>
  <si>
    <t>TP2011022</t>
  </si>
  <si>
    <t>Winnsboro 138 kw</t>
  </si>
  <si>
    <t>TP2013122</t>
  </si>
  <si>
    <t>Rock Hill-Springridge Pan-Harr REC 138 kv</t>
  </si>
  <si>
    <t>Brownlee-North Mrket 69 kv Rebuild</t>
  </si>
  <si>
    <t>S.055</t>
  </si>
  <si>
    <t>S.056</t>
  </si>
  <si>
    <t>S.057</t>
  </si>
  <si>
    <t>S.058</t>
  </si>
  <si>
    <t>S.059</t>
  </si>
  <si>
    <t xml:space="preserve"> &lt;--- this value goes to sched 11 interest support file line 18</t>
  </si>
  <si>
    <t>2013</t>
  </si>
  <si>
    <t xml:space="preserve">***Sch. 11 recovery commenced in the 2015 rate year.  Beg Bal = to depreciated balance as of 1/1/15. *** </t>
  </si>
  <si>
    <t>S.060</t>
  </si>
  <si>
    <t>S.061</t>
  </si>
  <si>
    <t>S.062</t>
  </si>
  <si>
    <t>S.063</t>
  </si>
  <si>
    <t>S.064</t>
  </si>
  <si>
    <t>S.065</t>
  </si>
  <si>
    <t>S.066</t>
  </si>
  <si>
    <t>S.067</t>
  </si>
  <si>
    <t>Valliant-NW Texarkana 345 kV</t>
  </si>
  <si>
    <t>Messick 500/230 kV</t>
  </si>
  <si>
    <t>TP2011033</t>
  </si>
  <si>
    <t>Letourneau 69 kV Capacitor Bank Addition</t>
  </si>
  <si>
    <t>Brooks Street - Edwards Street 69 kV Line Rebuild</t>
  </si>
  <si>
    <t>Hallsville - Marshall New 69 kV Circuit</t>
  </si>
  <si>
    <t>Daingerfield - Jenkins Rebuild</t>
  </si>
  <si>
    <t>Broadmoor - Fort Humbug Rebuild</t>
  </si>
  <si>
    <t>Chamber Springs - Farmington 161 kV Line</t>
  </si>
  <si>
    <t>Beg/Ending 
Average
Revenue</t>
  </si>
  <si>
    <t>Beg/Ending
Average
Revenue Req't.</t>
  </si>
  <si>
    <t>insert project name here</t>
  </si>
  <si>
    <t xml:space="preserve">True-Up Year Projected  (WS-F)  </t>
  </si>
  <si>
    <t xml:space="preserve">True-Up Year Actual  (WS-G)  </t>
  </si>
  <si>
    <t xml:space="preserve">       Taxable Percentage of Revenue (22%)</t>
  </si>
  <si>
    <t xml:space="preserve"> Worksheet F</t>
  </si>
  <si>
    <t xml:space="preserve">  SPP Project ID = 221</t>
  </si>
  <si>
    <t xml:space="preserve">  SPP Project ID = 294</t>
  </si>
  <si>
    <t xml:space="preserve">  SPP Project ID = 30471</t>
  </si>
  <si>
    <t xml:space="preserve">  SPP Project ID = 30472</t>
  </si>
  <si>
    <t xml:space="preserve">  SPP Project ID = 30731</t>
  </si>
  <si>
    <t xml:space="preserve">  SPP Project ID = 30769</t>
  </si>
  <si>
    <t xml:space="preserve">  SPP Project ID = 30298</t>
  </si>
  <si>
    <t xml:space="preserve">  SPP Project ID = 30296</t>
  </si>
  <si>
    <t>TP2010067</t>
  </si>
  <si>
    <t xml:space="preserve">  SPP Project ID = 30449</t>
  </si>
  <si>
    <t xml:space="preserve">  SPP Project ID = 504</t>
  </si>
  <si>
    <t>TP2009104</t>
  </si>
  <si>
    <t>TP2015106</t>
  </si>
  <si>
    <t xml:space="preserve">  SPP Project ID = 30598</t>
  </si>
  <si>
    <t>TP2014138</t>
  </si>
  <si>
    <t xml:space="preserve">  SPP Project ID = 30895</t>
  </si>
  <si>
    <t>TP2013167</t>
  </si>
  <si>
    <t xml:space="preserve">  SPP Project ID = 30576</t>
  </si>
  <si>
    <t>TP2013166</t>
  </si>
  <si>
    <t xml:space="preserve">  SPP Project ID = 30574</t>
  </si>
  <si>
    <t>TP2013165</t>
  </si>
  <si>
    <t xml:space="preserve">  SPP Project ID = 30573</t>
  </si>
  <si>
    <t>TP2011147</t>
  </si>
  <si>
    <t xml:space="preserve">  SPP Project ID = 451</t>
  </si>
  <si>
    <t>TP2010100</t>
  </si>
  <si>
    <t xml:space="preserve">  SPP Project ID = 501</t>
  </si>
  <si>
    <t>Evenside - Northwest Henderson 69 KV Line Rebuild</t>
  </si>
  <si>
    <t xml:space="preserve">  SPP Project ID = 30575</t>
  </si>
  <si>
    <t>Hallsville - Longview Heights 69 KV Line Rebuild</t>
  </si>
  <si>
    <t>TP2014139</t>
  </si>
  <si>
    <t xml:space="preserve">  SPP Project ID = 30889</t>
  </si>
  <si>
    <t>TP2017012</t>
  </si>
  <si>
    <t xml:space="preserve">  SPP Project ID = 31186</t>
  </si>
  <si>
    <t>S.068</t>
  </si>
  <si>
    <t>S.069</t>
  </si>
  <si>
    <t>S.070</t>
  </si>
  <si>
    <t>S.071</t>
  </si>
  <si>
    <t>Linwood - South Shreveport 138 KV Kine Rebuild</t>
  </si>
  <si>
    <t>IPC 138 KV Capacitor Bank Addition</t>
  </si>
  <si>
    <t xml:space="preserve">Transmission Plant Average Balance for 2017 </t>
  </si>
  <si>
    <t xml:space="preserve">   ROE w/o incentives  (Projected TCOS, ln 148)</t>
  </si>
  <si>
    <t>Annual Depreciation Expense  (Historic TCOS, ln 244)</t>
  </si>
  <si>
    <t xml:space="preserve">   ROE w/o incentives  (True-Up TCOS, ln 135)</t>
  </si>
  <si>
    <t xml:space="preserve">                         -  </t>
  </si>
  <si>
    <t xml:space="preserve">   Excess DFIT Adjustment  (TCOS, ln 109)</t>
  </si>
  <si>
    <t xml:space="preserve">   Tax Effect of Permanent and Flow Through Differences (TCOS, ln 110)</t>
  </si>
  <si>
    <t xml:space="preserve">   Rate Base  (TCOS, ln 62)</t>
  </si>
  <si>
    <t xml:space="preserve">   Tax Rate  (TCOS, ln 97)</t>
  </si>
  <si>
    <t xml:space="preserve">   ITC Adjustment  (TCOS, ln 106)</t>
  </si>
  <si>
    <t xml:space="preserve">   Excess DFIT Adjustment  (TCOS, ln 107)</t>
  </si>
  <si>
    <t xml:space="preserve">   Tax Effect of Permanent and Flow Through Differences  (TCOS, ln 108)</t>
  </si>
  <si>
    <t xml:space="preserve">   Net Revenue Requirement  (TCOS, ln 115)</t>
  </si>
  <si>
    <t xml:space="preserve">   Return  (TCOS, ln 110)</t>
  </si>
  <si>
    <t xml:space="preserve">   Income Taxes  (TCOS, ln 109)</t>
  </si>
  <si>
    <t xml:space="preserve">  Gross Margin Taxes  (TCOS, ln 114)</t>
  </si>
  <si>
    <t xml:space="preserve">   Less: Depreciation  (TCOS, ln 84)</t>
  </si>
  <si>
    <t xml:space="preserve">   Net Transmission Plant  (TCOS, ln 37)</t>
  </si>
  <si>
    <t xml:space="preserve">   FCR less Depreciation  (TCOS, ln 10)</t>
  </si>
  <si>
    <t>S.073</t>
  </si>
  <si>
    <t>S.072</t>
  </si>
  <si>
    <t>Siloam Springs - Siloam Springs City 161 kV Rebuild</t>
  </si>
  <si>
    <t>Ellerbe Road - Lucas 69 kV Rebuild</t>
  </si>
  <si>
    <t>Figure Five - VBI North 69 kV Rebuild</t>
  </si>
  <si>
    <t>TA2016806</t>
  </si>
  <si>
    <t>S.074</t>
  </si>
  <si>
    <t>Annual Depreciation Expense  (True-Up TCOS,  ln 86)</t>
  </si>
  <si>
    <t xml:space="preserve">   Rate Base  (TCOS, ln 63)</t>
  </si>
  <si>
    <t xml:space="preserve">   Tax Rate  (TCOS, ln 99)</t>
  </si>
  <si>
    <t xml:space="preserve">   ITC Adjustment  (TCOS, ln 108)</t>
  </si>
  <si>
    <t xml:space="preserve">   Net Revenue Requirement  (TCOS, ln 117)</t>
  </si>
  <si>
    <t xml:space="preserve">   Return  (TCOS, ln 112)</t>
  </si>
  <si>
    <t xml:space="preserve">   Income Taxes  (TCOS, ln 111)</t>
  </si>
  <si>
    <t xml:space="preserve">  Gross Margin Taxes  (TCOS, ln 116)</t>
  </si>
  <si>
    <t xml:space="preserve">   Less: Depreciation  (TCOS, ln 86)</t>
  </si>
  <si>
    <t xml:space="preserve">  SPP Project ID = 31131</t>
  </si>
  <si>
    <t>TP2017010</t>
  </si>
  <si>
    <t xml:space="preserve">  SPP Project ID = 51300</t>
  </si>
  <si>
    <t>TP2014154</t>
  </si>
  <si>
    <t xml:space="preserve">  SPP Project ID = 30762</t>
  </si>
  <si>
    <t xml:space="preserve"> </t>
  </si>
  <si>
    <t>Transmission Plant Average Balance for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</si>
</sst>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"/>
    <numFmt numFmtId="167" formatCode="0.0000"/>
    <numFmt numFmtId="168" formatCode="&quot;$&quot;#,##0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??_);_(@_)"/>
    <numFmt numFmtId="173" formatCode="_(* #,##0.0000_);_(* \(#,##0.0000\);_(* &quot;-&quot;_);_(@_)"/>
    <numFmt numFmtId="174" formatCode="_(* #,##0.0000000000_);_(* \(#,##0.0000000000\);_(* &quot;-&quot;_);_(@_)"/>
    <numFmt numFmtId="175" formatCode="_(* #,##0.00000_);_(* \(#,##0.00000\);_(* &quot;-&quot;??_);_(@_)"/>
    <numFmt numFmtId="176" formatCode="_(* #,##0.0000000_);_(* \(#,##0.0000000\);_(* &quot;-&quot;_);_(@_)"/>
    <numFmt numFmtId="177" formatCode="_(* #,##0.00000000_);_(* \(#,##0.00000000\);_(* &quot;-&quot;??_);_(@_)"/>
    <numFmt numFmtId="178" formatCode="&quot;$&quot;#,##0\ ;\(&quot;$&quot;#,##0\)"/>
    <numFmt numFmtId="179" formatCode="_(* #,##0.0,_);_(* \(#,##0.0,\);_(* &quot;-   &quot;_);_(@_)"/>
    <numFmt numFmtId="180" formatCode="0_);\(0\)"/>
  </numFmts>
  <fonts count="126">
    <font>
      <sz val="10"/>
      <name val="Arial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8"/>
      <name val="Arial"/>
      <family val="2"/>
    </font>
    <font>
      <b/>
      <sz val="11"/>
      <color indexed="56"/>
      <name val="Arial Narrow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sz val="12"/>
      <name val="Arial MT"/>
    </font>
    <font>
      <b/>
      <sz val="11"/>
      <color indexed="63"/>
      <name val="Arial Narrow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 Narrow"/>
      <family val="2"/>
    </font>
    <font>
      <sz val="14"/>
      <name val="Arial"/>
      <family val="2"/>
    </font>
    <font>
      <b/>
      <sz val="14"/>
      <name val="MS Serif"/>
      <family val="1"/>
    </font>
    <font>
      <u/>
      <sz val="10"/>
      <name val="Arial"/>
      <family val="2"/>
    </font>
    <font>
      <sz val="10"/>
      <name val="MS Serif"/>
      <family val="1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singleAccounting"/>
      <sz val="10"/>
      <name val="Arial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48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color indexed="57"/>
      <name val="Arial"/>
      <family val="2"/>
    </font>
    <font>
      <sz val="14"/>
      <color indexed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b/>
      <sz val="14"/>
      <color indexed="12"/>
      <name val="Arial"/>
      <family val="2"/>
    </font>
    <font>
      <sz val="16"/>
      <name val="Arial"/>
      <family val="2"/>
    </font>
    <font>
      <b/>
      <sz val="12"/>
      <color indexed="12"/>
      <name val="Arial"/>
      <family val="2"/>
    </font>
    <font>
      <sz val="10"/>
      <color indexed="13"/>
      <name val="Arial"/>
      <family val="2"/>
    </font>
    <font>
      <sz val="10"/>
      <color indexed="10"/>
      <name val="Arial"/>
      <family val="2"/>
    </font>
    <font>
      <i/>
      <sz val="8"/>
      <color indexed="81"/>
      <name val="Tahoma"/>
      <family val="2"/>
    </font>
    <font>
      <sz val="8"/>
      <color indexed="10"/>
      <name val="Arial"/>
      <family val="2"/>
    </font>
    <font>
      <b/>
      <i/>
      <sz val="10"/>
      <color indexed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22"/>
      <color indexed="81"/>
      <name val="Tahoma"/>
      <family val="2"/>
    </font>
    <font>
      <sz val="2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0"/>
      <color indexed="3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22"/>
      <name val="Arial"/>
      <family val="2"/>
    </font>
    <font>
      <sz val="10"/>
      <color indexed="8"/>
      <name val="Calibri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61">
    <xf numFmtId="0" fontId="0" fillId="0" borderId="0"/>
    <xf numFmtId="0" fontId="2" fillId="2" borderId="0" applyNumberFormat="0" applyBorder="0" applyAlignment="0" applyProtection="0"/>
    <xf numFmtId="0" fontId="108" fillId="29" borderId="0" applyNumberFormat="0" applyBorder="0" applyAlignment="0" applyProtection="0"/>
    <xf numFmtId="0" fontId="80" fillId="2" borderId="0" applyNumberFormat="0" applyBorder="0" applyAlignment="0" applyProtection="0"/>
    <xf numFmtId="0" fontId="108" fillId="29" borderId="0" applyNumberFormat="0" applyBorder="0" applyAlignment="0" applyProtection="0"/>
    <xf numFmtId="0" fontId="2" fillId="2" borderId="0" applyNumberFormat="0" applyBorder="0" applyAlignment="0" applyProtection="0"/>
    <xf numFmtId="0" fontId="80" fillId="2" borderId="0" applyNumberFormat="0" applyBorder="0" applyAlignment="0" applyProtection="0"/>
    <xf numFmtId="0" fontId="2" fillId="3" borderId="0" applyNumberFormat="0" applyBorder="0" applyAlignment="0" applyProtection="0"/>
    <xf numFmtId="0" fontId="108" fillId="30" borderId="0" applyNumberFormat="0" applyBorder="0" applyAlignment="0" applyProtection="0"/>
    <xf numFmtId="0" fontId="80" fillId="3" borderId="0" applyNumberFormat="0" applyBorder="0" applyAlignment="0" applyProtection="0"/>
    <xf numFmtId="0" fontId="108" fillId="30" borderId="0" applyNumberFormat="0" applyBorder="0" applyAlignment="0" applyProtection="0"/>
    <xf numFmtId="0" fontId="2" fillId="3" borderId="0" applyNumberFormat="0" applyBorder="0" applyAlignment="0" applyProtection="0"/>
    <xf numFmtId="0" fontId="80" fillId="3" borderId="0" applyNumberFormat="0" applyBorder="0" applyAlignment="0" applyProtection="0"/>
    <xf numFmtId="0" fontId="2" fillId="4" borderId="0" applyNumberFormat="0" applyBorder="0" applyAlignment="0" applyProtection="0"/>
    <xf numFmtId="0" fontId="108" fillId="31" borderId="0" applyNumberFormat="0" applyBorder="0" applyAlignment="0" applyProtection="0"/>
    <xf numFmtId="0" fontId="80" fillId="4" borderId="0" applyNumberFormat="0" applyBorder="0" applyAlignment="0" applyProtection="0"/>
    <xf numFmtId="0" fontId="108" fillId="31" borderId="0" applyNumberFormat="0" applyBorder="0" applyAlignment="0" applyProtection="0"/>
    <xf numFmtId="0" fontId="2" fillId="4" borderId="0" applyNumberFormat="0" applyBorder="0" applyAlignment="0" applyProtection="0"/>
    <xf numFmtId="0" fontId="80" fillId="4" borderId="0" applyNumberFormat="0" applyBorder="0" applyAlignment="0" applyProtection="0"/>
    <xf numFmtId="0" fontId="2" fillId="5" borderId="0" applyNumberFormat="0" applyBorder="0" applyAlignment="0" applyProtection="0"/>
    <xf numFmtId="0" fontId="108" fillId="32" borderId="0" applyNumberFormat="0" applyBorder="0" applyAlignment="0" applyProtection="0"/>
    <xf numFmtId="0" fontId="80" fillId="5" borderId="0" applyNumberFormat="0" applyBorder="0" applyAlignment="0" applyProtection="0"/>
    <xf numFmtId="0" fontId="108" fillId="32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6" borderId="0" applyNumberFormat="0" applyBorder="0" applyAlignment="0" applyProtection="0"/>
    <xf numFmtId="0" fontId="108" fillId="33" borderId="0" applyNumberFormat="0" applyBorder="0" applyAlignment="0" applyProtection="0"/>
    <xf numFmtId="0" fontId="80" fillId="6" borderId="0" applyNumberFormat="0" applyBorder="0" applyAlignment="0" applyProtection="0"/>
    <xf numFmtId="0" fontId="108" fillId="33" borderId="0" applyNumberFormat="0" applyBorder="0" applyAlignment="0" applyProtection="0"/>
    <xf numFmtId="0" fontId="2" fillId="6" borderId="0" applyNumberFormat="0" applyBorder="0" applyAlignment="0" applyProtection="0"/>
    <xf numFmtId="0" fontId="80" fillId="6" borderId="0" applyNumberFormat="0" applyBorder="0" applyAlignment="0" applyProtection="0"/>
    <xf numFmtId="0" fontId="2" fillId="7" borderId="0" applyNumberFormat="0" applyBorder="0" applyAlignment="0" applyProtection="0"/>
    <xf numFmtId="0" fontId="108" fillId="34" borderId="0" applyNumberFormat="0" applyBorder="0" applyAlignment="0" applyProtection="0"/>
    <xf numFmtId="0" fontId="80" fillId="7" borderId="0" applyNumberFormat="0" applyBorder="0" applyAlignment="0" applyProtection="0"/>
    <xf numFmtId="0" fontId="108" fillId="34" borderId="0" applyNumberFormat="0" applyBorder="0" applyAlignment="0" applyProtection="0"/>
    <xf numFmtId="0" fontId="2" fillId="7" borderId="0" applyNumberFormat="0" applyBorder="0" applyAlignment="0" applyProtection="0"/>
    <xf numFmtId="0" fontId="80" fillId="7" borderId="0" applyNumberFormat="0" applyBorder="0" applyAlignment="0" applyProtection="0"/>
    <xf numFmtId="0" fontId="2" fillId="8" borderId="0" applyNumberFormat="0" applyBorder="0" applyAlignment="0" applyProtection="0"/>
    <xf numFmtId="0" fontId="108" fillId="35" borderId="0" applyNumberFormat="0" applyBorder="0" applyAlignment="0" applyProtection="0"/>
    <xf numFmtId="0" fontId="80" fillId="8" borderId="0" applyNumberFormat="0" applyBorder="0" applyAlignment="0" applyProtection="0"/>
    <xf numFmtId="0" fontId="108" fillId="35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9" borderId="0" applyNumberFormat="0" applyBorder="0" applyAlignment="0" applyProtection="0"/>
    <xf numFmtId="0" fontId="108" fillId="36" borderId="0" applyNumberFormat="0" applyBorder="0" applyAlignment="0" applyProtection="0"/>
    <xf numFmtId="0" fontId="80" fillId="9" borderId="0" applyNumberFormat="0" applyBorder="0" applyAlignment="0" applyProtection="0"/>
    <xf numFmtId="0" fontId="108" fillId="36" borderId="0" applyNumberFormat="0" applyBorder="0" applyAlignment="0" applyProtection="0"/>
    <xf numFmtId="0" fontId="2" fillId="9" borderId="0" applyNumberFormat="0" applyBorder="0" applyAlignment="0" applyProtection="0"/>
    <xf numFmtId="0" fontId="80" fillId="9" borderId="0" applyNumberFormat="0" applyBorder="0" applyAlignment="0" applyProtection="0"/>
    <xf numFmtId="0" fontId="2" fillId="10" borderId="0" applyNumberFormat="0" applyBorder="0" applyAlignment="0" applyProtection="0"/>
    <xf numFmtId="0" fontId="108" fillId="37" borderId="0" applyNumberFormat="0" applyBorder="0" applyAlignment="0" applyProtection="0"/>
    <xf numFmtId="0" fontId="80" fillId="10" borderId="0" applyNumberFormat="0" applyBorder="0" applyAlignment="0" applyProtection="0"/>
    <xf numFmtId="0" fontId="108" fillId="37" borderId="0" applyNumberFormat="0" applyBorder="0" applyAlignment="0" applyProtection="0"/>
    <xf numFmtId="0" fontId="2" fillId="10" borderId="0" applyNumberFormat="0" applyBorder="0" applyAlignment="0" applyProtection="0"/>
    <xf numFmtId="0" fontId="80" fillId="10" borderId="0" applyNumberFormat="0" applyBorder="0" applyAlignment="0" applyProtection="0"/>
    <xf numFmtId="0" fontId="2" fillId="5" borderId="0" applyNumberFormat="0" applyBorder="0" applyAlignment="0" applyProtection="0"/>
    <xf numFmtId="0" fontId="108" fillId="38" borderId="0" applyNumberFormat="0" applyBorder="0" applyAlignment="0" applyProtection="0"/>
    <xf numFmtId="0" fontId="80" fillId="5" borderId="0" applyNumberFormat="0" applyBorder="0" applyAlignment="0" applyProtection="0"/>
    <xf numFmtId="0" fontId="108" fillId="38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8" borderId="0" applyNumberFormat="0" applyBorder="0" applyAlignment="0" applyProtection="0"/>
    <xf numFmtId="0" fontId="108" fillId="39" borderId="0" applyNumberFormat="0" applyBorder="0" applyAlignment="0" applyProtection="0"/>
    <xf numFmtId="0" fontId="80" fillId="8" borderId="0" applyNumberFormat="0" applyBorder="0" applyAlignment="0" applyProtection="0"/>
    <xf numFmtId="0" fontId="108" fillId="39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11" borderId="0" applyNumberFormat="0" applyBorder="0" applyAlignment="0" applyProtection="0"/>
    <xf numFmtId="0" fontId="108" fillId="40" borderId="0" applyNumberFormat="0" applyBorder="0" applyAlignment="0" applyProtection="0"/>
    <xf numFmtId="0" fontId="80" fillId="11" borderId="0" applyNumberFormat="0" applyBorder="0" applyAlignment="0" applyProtection="0"/>
    <xf numFmtId="0" fontId="108" fillId="40" borderId="0" applyNumberFormat="0" applyBorder="0" applyAlignment="0" applyProtection="0"/>
    <xf numFmtId="0" fontId="2" fillId="11" borderId="0" applyNumberFormat="0" applyBorder="0" applyAlignment="0" applyProtection="0"/>
    <xf numFmtId="0" fontId="80" fillId="11" borderId="0" applyNumberFormat="0" applyBorder="0" applyAlignment="0" applyProtection="0"/>
    <xf numFmtId="0" fontId="3" fillId="12" borderId="0" applyNumberFormat="0" applyBorder="0" applyAlignment="0" applyProtection="0"/>
    <xf numFmtId="0" fontId="109" fillId="41" borderId="0" applyNumberFormat="0" applyBorder="0" applyAlignment="0" applyProtection="0"/>
    <xf numFmtId="0" fontId="90" fillId="12" borderId="0" applyNumberFormat="0" applyBorder="0" applyAlignment="0" applyProtection="0"/>
    <xf numFmtId="0" fontId="109" fillId="41" borderId="0" applyNumberFormat="0" applyBorder="0" applyAlignment="0" applyProtection="0"/>
    <xf numFmtId="0" fontId="3" fillId="12" borderId="0" applyNumberFormat="0" applyBorder="0" applyAlignment="0" applyProtection="0"/>
    <xf numFmtId="0" fontId="90" fillId="12" borderId="0" applyNumberFormat="0" applyBorder="0" applyAlignment="0" applyProtection="0"/>
    <xf numFmtId="0" fontId="3" fillId="9" borderId="0" applyNumberFormat="0" applyBorder="0" applyAlignment="0" applyProtection="0"/>
    <xf numFmtId="0" fontId="109" fillId="42" borderId="0" applyNumberFormat="0" applyBorder="0" applyAlignment="0" applyProtection="0"/>
    <xf numFmtId="0" fontId="90" fillId="9" borderId="0" applyNumberFormat="0" applyBorder="0" applyAlignment="0" applyProtection="0"/>
    <xf numFmtId="0" fontId="109" fillId="42" borderId="0" applyNumberFormat="0" applyBorder="0" applyAlignment="0" applyProtection="0"/>
    <xf numFmtId="0" fontId="3" fillId="9" borderId="0" applyNumberFormat="0" applyBorder="0" applyAlignment="0" applyProtection="0"/>
    <xf numFmtId="0" fontId="90" fillId="9" borderId="0" applyNumberFormat="0" applyBorder="0" applyAlignment="0" applyProtection="0"/>
    <xf numFmtId="0" fontId="3" fillId="10" borderId="0" applyNumberFormat="0" applyBorder="0" applyAlignment="0" applyProtection="0"/>
    <xf numFmtId="0" fontId="109" fillId="43" borderId="0" applyNumberFormat="0" applyBorder="0" applyAlignment="0" applyProtection="0"/>
    <xf numFmtId="0" fontId="90" fillId="10" borderId="0" applyNumberFormat="0" applyBorder="0" applyAlignment="0" applyProtection="0"/>
    <xf numFmtId="0" fontId="109" fillId="43" borderId="0" applyNumberFormat="0" applyBorder="0" applyAlignment="0" applyProtection="0"/>
    <xf numFmtId="0" fontId="3" fillId="10" borderId="0" applyNumberFormat="0" applyBorder="0" applyAlignment="0" applyProtection="0"/>
    <xf numFmtId="0" fontId="90" fillId="10" borderId="0" applyNumberFormat="0" applyBorder="0" applyAlignment="0" applyProtection="0"/>
    <xf numFmtId="0" fontId="3" fillId="13" borderId="0" applyNumberFormat="0" applyBorder="0" applyAlignment="0" applyProtection="0"/>
    <xf numFmtId="0" fontId="109" fillId="44" borderId="0" applyNumberFormat="0" applyBorder="0" applyAlignment="0" applyProtection="0"/>
    <xf numFmtId="0" fontId="90" fillId="13" borderId="0" applyNumberFormat="0" applyBorder="0" applyAlignment="0" applyProtection="0"/>
    <xf numFmtId="0" fontId="109" fillId="44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45" borderId="0" applyNumberFormat="0" applyBorder="0" applyAlignment="0" applyProtection="0"/>
    <xf numFmtId="0" fontId="90" fillId="14" borderId="0" applyNumberFormat="0" applyBorder="0" applyAlignment="0" applyProtection="0"/>
    <xf numFmtId="0" fontId="109" fillId="45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5" borderId="0" applyNumberFormat="0" applyBorder="0" applyAlignment="0" applyProtection="0"/>
    <xf numFmtId="0" fontId="109" fillId="46" borderId="0" applyNumberFormat="0" applyBorder="0" applyAlignment="0" applyProtection="0"/>
    <xf numFmtId="0" fontId="90" fillId="15" borderId="0" applyNumberFormat="0" applyBorder="0" applyAlignment="0" applyProtection="0"/>
    <xf numFmtId="0" fontId="109" fillId="46" borderId="0" applyNumberFormat="0" applyBorder="0" applyAlignment="0" applyProtection="0"/>
    <xf numFmtId="0" fontId="3" fillId="15" borderId="0" applyNumberFormat="0" applyBorder="0" applyAlignment="0" applyProtection="0"/>
    <xf numFmtId="0" fontId="90" fillId="15" borderId="0" applyNumberFormat="0" applyBorder="0" applyAlignment="0" applyProtection="0"/>
    <xf numFmtId="0" fontId="3" fillId="16" borderId="0" applyNumberFormat="0" applyBorder="0" applyAlignment="0" applyProtection="0"/>
    <xf numFmtId="0" fontId="109" fillId="47" borderId="0" applyNumberFormat="0" applyBorder="0" applyAlignment="0" applyProtection="0"/>
    <xf numFmtId="0" fontId="90" fillId="16" borderId="0" applyNumberFormat="0" applyBorder="0" applyAlignment="0" applyProtection="0"/>
    <xf numFmtId="0" fontId="109" fillId="47" borderId="0" applyNumberFormat="0" applyBorder="0" applyAlignment="0" applyProtection="0"/>
    <xf numFmtId="0" fontId="3" fillId="16" borderId="0" applyNumberFormat="0" applyBorder="0" applyAlignment="0" applyProtection="0"/>
    <xf numFmtId="0" fontId="90" fillId="16" borderId="0" applyNumberFormat="0" applyBorder="0" applyAlignment="0" applyProtection="0"/>
    <xf numFmtId="0" fontId="3" fillId="17" borderId="0" applyNumberFormat="0" applyBorder="0" applyAlignment="0" applyProtection="0"/>
    <xf numFmtId="0" fontId="109" fillId="48" borderId="0" applyNumberFormat="0" applyBorder="0" applyAlignment="0" applyProtection="0"/>
    <xf numFmtId="0" fontId="90" fillId="17" borderId="0" applyNumberFormat="0" applyBorder="0" applyAlignment="0" applyProtection="0"/>
    <xf numFmtId="0" fontId="109" fillId="48" borderId="0" applyNumberFormat="0" applyBorder="0" applyAlignment="0" applyProtection="0"/>
    <xf numFmtId="0" fontId="3" fillId="17" borderId="0" applyNumberFormat="0" applyBorder="0" applyAlignment="0" applyProtection="0"/>
    <xf numFmtId="0" fontId="90" fillId="17" borderId="0" applyNumberFormat="0" applyBorder="0" applyAlignment="0" applyProtection="0"/>
    <xf numFmtId="0" fontId="3" fillId="18" borderId="0" applyNumberFormat="0" applyBorder="0" applyAlignment="0" applyProtection="0"/>
    <xf numFmtId="0" fontId="109" fillId="49" borderId="0" applyNumberFormat="0" applyBorder="0" applyAlignment="0" applyProtection="0"/>
    <xf numFmtId="0" fontId="90" fillId="18" borderId="0" applyNumberFormat="0" applyBorder="0" applyAlignment="0" applyProtection="0"/>
    <xf numFmtId="0" fontId="109" fillId="49" borderId="0" applyNumberFormat="0" applyBorder="0" applyAlignment="0" applyProtection="0"/>
    <xf numFmtId="0" fontId="3" fillId="18" borderId="0" applyNumberFormat="0" applyBorder="0" applyAlignment="0" applyProtection="0"/>
    <xf numFmtId="0" fontId="90" fillId="18" borderId="0" applyNumberFormat="0" applyBorder="0" applyAlignment="0" applyProtection="0"/>
    <xf numFmtId="0" fontId="3" fillId="13" borderId="0" applyNumberFormat="0" applyBorder="0" applyAlignment="0" applyProtection="0"/>
    <xf numFmtId="0" fontId="109" fillId="50" borderId="0" applyNumberFormat="0" applyBorder="0" applyAlignment="0" applyProtection="0"/>
    <xf numFmtId="0" fontId="90" fillId="13" borderId="0" applyNumberFormat="0" applyBorder="0" applyAlignment="0" applyProtection="0"/>
    <xf numFmtId="0" fontId="109" fillId="50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51" borderId="0" applyNumberFormat="0" applyBorder="0" applyAlignment="0" applyProtection="0"/>
    <xf numFmtId="0" fontId="90" fillId="14" borderId="0" applyNumberFormat="0" applyBorder="0" applyAlignment="0" applyProtection="0"/>
    <xf numFmtId="0" fontId="109" fillId="51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9" borderId="0" applyNumberFormat="0" applyBorder="0" applyAlignment="0" applyProtection="0"/>
    <xf numFmtId="0" fontId="109" fillId="52" borderId="0" applyNumberFormat="0" applyBorder="0" applyAlignment="0" applyProtection="0"/>
    <xf numFmtId="0" fontId="90" fillId="19" borderId="0" applyNumberFormat="0" applyBorder="0" applyAlignment="0" applyProtection="0"/>
    <xf numFmtId="0" fontId="109" fillId="52" borderId="0" applyNumberFormat="0" applyBorder="0" applyAlignment="0" applyProtection="0"/>
    <xf numFmtId="0" fontId="3" fillId="19" borderId="0" applyNumberFormat="0" applyBorder="0" applyAlignment="0" applyProtection="0"/>
    <xf numFmtId="0" fontId="90" fillId="19" borderId="0" applyNumberFormat="0" applyBorder="0" applyAlignment="0" applyProtection="0"/>
    <xf numFmtId="0" fontId="4" fillId="3" borderId="0" applyNumberFormat="0" applyBorder="0" applyAlignment="0" applyProtection="0"/>
    <xf numFmtId="0" fontId="110" fillId="53" borderId="0" applyNumberFormat="0" applyBorder="0" applyAlignment="0" applyProtection="0"/>
    <xf numFmtId="0" fontId="91" fillId="3" borderId="0" applyNumberFormat="0" applyBorder="0" applyAlignment="0" applyProtection="0"/>
    <xf numFmtId="0" fontId="110" fillId="53" borderId="0" applyNumberFormat="0" applyBorder="0" applyAlignment="0" applyProtection="0"/>
    <xf numFmtId="0" fontId="4" fillId="3" borderId="0" applyNumberFormat="0" applyBorder="0" applyAlignment="0" applyProtection="0"/>
    <xf numFmtId="0" fontId="91" fillId="3" borderId="0" applyNumberFormat="0" applyBorder="0" applyAlignment="0" applyProtection="0"/>
    <xf numFmtId="169" fontId="5" fillId="0" borderId="0" applyFill="0"/>
    <xf numFmtId="169" fontId="5" fillId="0" borderId="0">
      <alignment horizontal="center"/>
    </xf>
    <xf numFmtId="0" fontId="5" fillId="0" borderId="0" applyFill="0">
      <alignment horizontal="center"/>
    </xf>
    <xf numFmtId="169" fontId="6" fillId="0" borderId="1" applyFill="0"/>
    <xf numFmtId="0" fontId="7" fillId="0" borderId="0" applyFont="0" applyAlignment="0"/>
    <xf numFmtId="0" fontId="7" fillId="0" borderId="0" applyFont="0" applyAlignment="0"/>
    <xf numFmtId="0" fontId="8" fillId="0" borderId="0" applyFill="0">
      <alignment vertical="top"/>
    </xf>
    <xf numFmtId="0" fontId="6" fillId="0" borderId="0" applyFill="0">
      <alignment horizontal="left" vertical="top"/>
    </xf>
    <xf numFmtId="169" fontId="9" fillId="0" borderId="2" applyFill="0"/>
    <xf numFmtId="0" fontId="7" fillId="0" borderId="0" applyNumberFormat="0" applyFont="0" applyAlignment="0"/>
    <xf numFmtId="0" fontId="7" fillId="0" borderId="0" applyNumberFormat="0" applyFont="0" applyAlignment="0"/>
    <xf numFmtId="0" fontId="8" fillId="0" borderId="0" applyFill="0">
      <alignment wrapText="1"/>
    </xf>
    <xf numFmtId="0" fontId="6" fillId="0" borderId="0" applyFill="0">
      <alignment horizontal="left" vertical="top" wrapText="1"/>
    </xf>
    <xf numFmtId="169" fontId="10" fillId="0" borderId="0" applyFill="0"/>
    <xf numFmtId="0" fontId="11" fillId="0" borderId="0" applyNumberFormat="0" applyFont="0" applyAlignment="0">
      <alignment horizontal="center"/>
    </xf>
    <xf numFmtId="0" fontId="12" fillId="0" borderId="0" applyFill="0">
      <alignment vertical="top" wrapText="1"/>
    </xf>
    <xf numFmtId="0" fontId="9" fillId="0" borderId="0" applyFill="0">
      <alignment horizontal="left" vertical="top" wrapText="1"/>
    </xf>
    <xf numFmtId="169" fontId="7" fillId="0" borderId="0" applyFill="0"/>
    <xf numFmtId="169" fontId="7" fillId="0" borderId="0" applyFill="0"/>
    <xf numFmtId="0" fontId="11" fillId="0" borderId="0" applyNumberFormat="0" applyFont="0" applyAlignment="0">
      <alignment horizontal="center"/>
    </xf>
    <xf numFmtId="0" fontId="13" fillId="0" borderId="0" applyFill="0">
      <alignment vertical="center" wrapText="1"/>
    </xf>
    <xf numFmtId="0" fontId="14" fillId="0" borderId="0">
      <alignment horizontal="left" vertical="center" wrapText="1"/>
    </xf>
    <xf numFmtId="169" fontId="15" fillId="0" borderId="0" applyFill="0"/>
    <xf numFmtId="0" fontId="11" fillId="0" borderId="0" applyNumberFormat="0" applyFont="0" applyAlignment="0">
      <alignment horizontal="center"/>
    </xf>
    <xf numFmtId="0" fontId="16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169" fontId="17" fillId="0" borderId="0" applyFill="0"/>
    <xf numFmtId="0" fontId="11" fillId="0" borderId="0" applyNumberFormat="0" applyFont="0" applyAlignment="0">
      <alignment horizontal="center"/>
    </xf>
    <xf numFmtId="0" fontId="18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69" fontId="20" fillId="0" borderId="0" applyFill="0"/>
    <xf numFmtId="0" fontId="11" fillId="0" borderId="0" applyNumberFormat="0" applyFont="0" applyAlignment="0">
      <alignment horizontal="center"/>
    </xf>
    <xf numFmtId="0" fontId="21" fillId="0" borderId="0">
      <alignment horizontal="center" wrapText="1"/>
    </xf>
    <xf numFmtId="0" fontId="17" fillId="0" borderId="0" applyFill="0">
      <alignment horizontal="center" wrapText="1"/>
    </xf>
    <xf numFmtId="0" fontId="22" fillId="20" borderId="3" applyNumberFormat="0" applyAlignment="0" applyProtection="0"/>
    <xf numFmtId="0" fontId="111" fillId="54" borderId="48" applyNumberFormat="0" applyAlignment="0" applyProtection="0"/>
    <xf numFmtId="0" fontId="92" fillId="20" borderId="3" applyNumberFormat="0" applyAlignment="0" applyProtection="0"/>
    <xf numFmtId="0" fontId="111" fillId="54" borderId="48" applyNumberFormat="0" applyAlignment="0" applyProtection="0"/>
    <xf numFmtId="0" fontId="22" fillId="20" borderId="3" applyNumberFormat="0" applyAlignment="0" applyProtection="0"/>
    <xf numFmtId="0" fontId="92" fillId="20" borderId="3" applyNumberFormat="0" applyAlignment="0" applyProtection="0"/>
    <xf numFmtId="0" fontId="23" fillId="21" borderId="4" applyNumberFormat="0" applyAlignment="0" applyProtection="0"/>
    <xf numFmtId="0" fontId="112" fillId="55" borderId="49" applyNumberFormat="0" applyAlignment="0" applyProtection="0"/>
    <xf numFmtId="0" fontId="93" fillId="21" borderId="4" applyNumberFormat="0" applyAlignment="0" applyProtection="0"/>
    <xf numFmtId="0" fontId="112" fillId="55" borderId="49" applyNumberFormat="0" applyAlignment="0" applyProtection="0"/>
    <xf numFmtId="0" fontId="23" fillId="21" borderId="4" applyNumberFormat="0" applyAlignment="0" applyProtection="0"/>
    <xf numFmtId="0" fontId="93" fillId="21" borderId="4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0" fontId="25" fillId="4" borderId="0" applyNumberFormat="0" applyBorder="0" applyAlignment="0" applyProtection="0"/>
    <xf numFmtId="0" fontId="114" fillId="56" borderId="0" applyNumberFormat="0" applyBorder="0" applyAlignment="0" applyProtection="0"/>
    <xf numFmtId="0" fontId="95" fillId="4" borderId="0" applyNumberFormat="0" applyBorder="0" applyAlignment="0" applyProtection="0"/>
    <xf numFmtId="0" fontId="114" fillId="56" borderId="0" applyNumberFormat="0" applyBorder="0" applyAlignment="0" applyProtection="0"/>
    <xf numFmtId="0" fontId="25" fillId="4" borderId="0" applyNumberFormat="0" applyBorder="0" applyAlignment="0" applyProtection="0"/>
    <xf numFmtId="0" fontId="95" fillId="4" borderId="0" applyNumberFormat="0" applyBorder="0" applyAlignment="0" applyProtection="0"/>
    <xf numFmtId="0" fontId="26" fillId="0" borderId="0" applyFont="0" applyFill="0" applyBorder="0" applyAlignment="0" applyProtection="0"/>
    <xf numFmtId="0" fontId="115" fillId="0" borderId="50" applyNumberFormat="0" applyFill="0" applyAlignment="0" applyProtection="0"/>
    <xf numFmtId="0" fontId="104" fillId="0" borderId="0" applyNumberFormat="0" applyFill="0" applyBorder="0" applyAlignment="0" applyProtection="0"/>
    <xf numFmtId="0" fontId="115" fillId="0" borderId="50" applyNumberFormat="0" applyFill="0" applyAlignment="0" applyProtection="0"/>
    <xf numFmtId="0" fontId="26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116" fillId="0" borderId="51" applyNumberFormat="0" applyFill="0" applyAlignment="0" applyProtection="0"/>
    <xf numFmtId="0" fontId="105" fillId="0" borderId="0" applyNumberFormat="0" applyFill="0" applyBorder="0" applyAlignment="0" applyProtection="0"/>
    <xf numFmtId="0" fontId="116" fillId="0" borderId="51" applyNumberFormat="0" applyFill="0" applyAlignment="0" applyProtection="0"/>
    <xf numFmtId="0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7" fillId="0" borderId="5" applyNumberFormat="0" applyFill="0" applyAlignment="0" applyProtection="0"/>
    <xf numFmtId="0" fontId="117" fillId="0" borderId="52" applyNumberFormat="0" applyFill="0" applyAlignment="0" applyProtection="0"/>
    <xf numFmtId="0" fontId="96" fillId="0" borderId="5" applyNumberFormat="0" applyFill="0" applyAlignment="0" applyProtection="0"/>
    <xf numFmtId="0" fontId="117" fillId="0" borderId="52" applyNumberFormat="0" applyFill="0" applyAlignment="0" applyProtection="0"/>
    <xf numFmtId="0" fontId="27" fillId="0" borderId="5" applyNumberFormat="0" applyFill="0" applyAlignment="0" applyProtection="0"/>
    <xf numFmtId="0" fontId="96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8" fillId="0" borderId="6"/>
    <xf numFmtId="0" fontId="29" fillId="0" borderId="0"/>
    <xf numFmtId="0" fontId="30" fillId="7" borderId="3" applyNumberFormat="0" applyAlignment="0" applyProtection="0"/>
    <xf numFmtId="0" fontId="118" fillId="57" borderId="48" applyNumberFormat="0" applyAlignment="0" applyProtection="0"/>
    <xf numFmtId="0" fontId="97" fillId="7" borderId="3" applyNumberFormat="0" applyAlignment="0" applyProtection="0"/>
    <xf numFmtId="0" fontId="118" fillId="57" borderId="48" applyNumberFormat="0" applyAlignment="0" applyProtection="0"/>
    <xf numFmtId="0" fontId="30" fillId="7" borderId="3" applyNumberFormat="0" applyAlignment="0" applyProtection="0"/>
    <xf numFmtId="0" fontId="97" fillId="7" borderId="3" applyNumberFormat="0" applyAlignment="0" applyProtection="0"/>
    <xf numFmtId="0" fontId="31" fillId="0" borderId="7" applyNumberFormat="0" applyFill="0" applyAlignment="0" applyProtection="0"/>
    <xf numFmtId="0" fontId="119" fillId="0" borderId="53" applyNumberFormat="0" applyFill="0" applyAlignment="0" applyProtection="0"/>
    <xf numFmtId="0" fontId="98" fillId="0" borderId="7" applyNumberFormat="0" applyFill="0" applyAlignment="0" applyProtection="0"/>
    <xf numFmtId="0" fontId="119" fillId="0" borderId="53" applyNumberFormat="0" applyFill="0" applyAlignment="0" applyProtection="0"/>
    <xf numFmtId="0" fontId="31" fillId="0" borderId="7" applyNumberFormat="0" applyFill="0" applyAlignment="0" applyProtection="0"/>
    <xf numFmtId="0" fontId="98" fillId="0" borderId="7" applyNumberFormat="0" applyFill="0" applyAlignment="0" applyProtection="0"/>
    <xf numFmtId="179" fontId="81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106" fillId="0" borderId="0"/>
    <xf numFmtId="0" fontId="32" fillId="22" borderId="0" applyNumberFormat="0" applyBorder="0" applyAlignment="0" applyProtection="0"/>
    <xf numFmtId="0" fontId="120" fillId="58" borderId="0" applyNumberFormat="0" applyBorder="0" applyAlignment="0" applyProtection="0"/>
    <xf numFmtId="0" fontId="99" fillId="22" borderId="0" applyNumberFormat="0" applyBorder="0" applyAlignment="0" applyProtection="0"/>
    <xf numFmtId="0" fontId="120" fillId="58" borderId="0" applyNumberFormat="0" applyBorder="0" applyAlignment="0" applyProtection="0"/>
    <xf numFmtId="0" fontId="32" fillId="22" borderId="0" applyNumberFormat="0" applyBorder="0" applyAlignment="0" applyProtection="0"/>
    <xf numFmtId="0" fontId="99" fillId="22" borderId="0" applyNumberFormat="0" applyBorder="0" applyAlignment="0" applyProtection="0"/>
    <xf numFmtId="0" fontId="108" fillId="0" borderId="0"/>
    <xf numFmtId="0" fontId="35" fillId="0" borderId="0"/>
    <xf numFmtId="3" fontId="7" fillId="0" borderId="0"/>
    <xf numFmtId="3" fontId="7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35" fillId="0" borderId="0"/>
    <xf numFmtId="0" fontId="108" fillId="0" borderId="0"/>
    <xf numFmtId="3" fontId="7" fillId="0" borderId="0"/>
    <xf numFmtId="3" fontId="7" fillId="0" borderId="0"/>
    <xf numFmtId="3" fontId="7" fillId="0" borderId="0"/>
    <xf numFmtId="0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103" fillId="0" borderId="0"/>
    <xf numFmtId="0" fontId="7" fillId="0" borderId="0"/>
    <xf numFmtId="0" fontId="121" fillId="0" borderId="0"/>
    <xf numFmtId="0" fontId="103" fillId="0" borderId="0"/>
    <xf numFmtId="0" fontId="7" fillId="0" borderId="0"/>
    <xf numFmtId="0" fontId="7" fillId="0" borderId="0"/>
    <xf numFmtId="0" fontId="121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7" fillId="0" borderId="0"/>
    <xf numFmtId="0" fontId="103" fillId="0" borderId="0"/>
    <xf numFmtId="0" fontId="7" fillId="0" borderId="0"/>
    <xf numFmtId="3" fontId="7" fillId="0" borderId="0"/>
    <xf numFmtId="0" fontId="7" fillId="0" borderId="0"/>
    <xf numFmtId="3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3" fontId="7" fillId="0" borderId="0"/>
    <xf numFmtId="3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08" fillId="0" borderId="0"/>
    <xf numFmtId="0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169" fontId="33" fillId="0" borderId="0" applyProtection="0"/>
    <xf numFmtId="0" fontId="33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80" fillId="59" borderId="54" applyNumberFormat="0" applyFont="0" applyAlignment="0" applyProtection="0"/>
    <xf numFmtId="0" fontId="33" fillId="23" borderId="8" applyNumberFormat="0" applyFont="0" applyAlignment="0" applyProtection="0"/>
    <xf numFmtId="0" fontId="7" fillId="23" borderId="8" applyNumberFormat="0" applyFont="0" applyAlignment="0" applyProtection="0"/>
    <xf numFmtId="0" fontId="34" fillId="20" borderId="9" applyNumberFormat="0" applyAlignment="0" applyProtection="0"/>
    <xf numFmtId="0" fontId="122" fillId="54" borderId="55" applyNumberFormat="0" applyAlignment="0" applyProtection="0"/>
    <xf numFmtId="0" fontId="100" fillId="20" borderId="9" applyNumberFormat="0" applyAlignment="0" applyProtection="0"/>
    <xf numFmtId="0" fontId="122" fillId="54" borderId="55" applyNumberFormat="0" applyAlignment="0" applyProtection="0"/>
    <xf numFmtId="0" fontId="34" fillId="20" borderId="9" applyNumberFormat="0" applyAlignment="0" applyProtection="0"/>
    <xf numFmtId="0" fontId="100" fillId="20" borderId="9" applyNumberFormat="0" applyAlignment="0" applyProtection="0"/>
    <xf numFmtId="9" fontId="1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3" fontId="7" fillId="0" borderId="0">
      <alignment horizontal="left" vertical="top"/>
    </xf>
    <xf numFmtId="3" fontId="7" fillId="0" borderId="0">
      <alignment horizontal="left" vertical="top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3" fontId="7" fillId="0" borderId="0">
      <alignment horizontal="right" vertical="top"/>
    </xf>
    <xf numFmtId="3" fontId="7" fillId="0" borderId="0">
      <alignment horizontal="right" vertical="top"/>
    </xf>
    <xf numFmtId="41" fontId="14" fillId="25" borderId="10" applyFill="0"/>
    <xf numFmtId="0" fontId="37" fillId="0" borderId="0">
      <alignment horizontal="left" indent="7"/>
    </xf>
    <xf numFmtId="41" fontId="14" fillId="0" borderId="10" applyFill="0">
      <alignment horizontal="left" indent="2"/>
    </xf>
    <xf numFmtId="169" fontId="38" fillId="0" borderId="11" applyFill="0">
      <alignment horizontal="right"/>
    </xf>
    <xf numFmtId="0" fontId="39" fillId="0" borderId="12" applyNumberFormat="0" applyFont="0" applyBorder="0">
      <alignment horizontal="right"/>
    </xf>
    <xf numFmtId="0" fontId="40" fillId="0" borderId="0" applyFill="0"/>
    <xf numFmtId="0" fontId="9" fillId="0" borderId="0" applyFill="0"/>
    <xf numFmtId="4" fontId="38" fillId="0" borderId="11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2" fillId="0" borderId="0" applyFill="0">
      <alignment horizontal="left" indent="1"/>
    </xf>
    <xf numFmtId="0" fontId="41" fillId="0" borderId="0" applyFill="0">
      <alignment horizontal="left" indent="1"/>
    </xf>
    <xf numFmtId="4" fontId="15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12" fillId="0" borderId="0" applyFill="0">
      <alignment horizontal="left" indent="2"/>
    </xf>
    <xf numFmtId="0" fontId="9" fillId="0" borderId="0" applyFill="0">
      <alignment horizontal="left" indent="2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42" fillId="0" borderId="0">
      <alignment horizontal="left" indent="3"/>
    </xf>
    <xf numFmtId="0" fontId="43" fillId="0" borderId="0" applyFill="0">
      <alignment horizontal="left" indent="3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6" fillId="0" borderId="0">
      <alignment horizontal="left" indent="4"/>
    </xf>
    <xf numFmtId="0" fontId="7" fillId="0" borderId="0" applyFill="0">
      <alignment horizontal="left" indent="4"/>
    </xf>
    <xf numFmtId="0" fontId="7" fillId="0" borderId="0" applyFill="0">
      <alignment horizontal="left" indent="4"/>
    </xf>
    <xf numFmtId="4" fontId="17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8" fillId="0" borderId="0">
      <alignment horizontal="left" indent="5"/>
    </xf>
    <xf numFmtId="0" fontId="19" fillId="0" borderId="0" applyFill="0">
      <alignment horizontal="left" indent="5"/>
    </xf>
    <xf numFmtId="4" fontId="20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21" fillId="0" borderId="0" applyFill="0">
      <alignment horizontal="left" indent="6"/>
    </xf>
    <xf numFmtId="0" fontId="17" fillId="0" borderId="0" applyFill="0">
      <alignment horizontal="left" indent="6"/>
    </xf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24" fillId="0" borderId="56" applyNumberFormat="0" applyFill="0" applyAlignment="0" applyProtection="0"/>
    <xf numFmtId="0" fontId="102" fillId="0" borderId="1" applyNumberFormat="0" applyFont="0" applyFill="0" applyAlignment="0" applyProtection="0"/>
    <xf numFmtId="0" fontId="124" fillId="0" borderId="56" applyNumberFormat="0" applyFill="0" applyAlignment="0" applyProtection="0"/>
    <xf numFmtId="0" fontId="7" fillId="0" borderId="0" applyFont="0" applyFill="0" applyBorder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4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1" fillId="0" borderId="0" applyNumberFormat="0" applyFill="0" applyBorder="0" applyAlignment="0" applyProtection="0"/>
  </cellStyleXfs>
  <cellXfs count="686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70" fontId="7" fillId="0" borderId="0" xfId="198" applyNumberFormat="1" applyFont="1"/>
    <xf numFmtId="0" fontId="7" fillId="0" borderId="0" xfId="0" applyFont="1" applyBorder="1"/>
    <xf numFmtId="0" fontId="47" fillId="0" borderId="0" xfId="0" applyFont="1" applyFill="1"/>
    <xf numFmtId="0" fontId="0" fillId="0" borderId="0" xfId="0" applyAlignment="1">
      <alignment wrapText="1"/>
    </xf>
    <xf numFmtId="0" fontId="0" fillId="0" borderId="0" xfId="0" applyBorder="1"/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Fill="1" applyBorder="1"/>
    <xf numFmtId="10" fontId="7" fillId="0" borderId="0" xfId="0" applyNumberFormat="1" applyFont="1" applyBorder="1"/>
    <xf numFmtId="0" fontId="7" fillId="0" borderId="0" xfId="0" applyFont="1" applyFill="1" applyBorder="1" applyAlignment="1"/>
    <xf numFmtId="0" fontId="14" fillId="0" borderId="0" xfId="995" applyNumberFormat="1" applyFont="1" applyFill="1" applyBorder="1" applyAlignment="1" applyProtection="1">
      <protection locked="0"/>
    </xf>
    <xf numFmtId="0" fontId="6" fillId="0" borderId="0" xfId="0" applyFont="1" applyFill="1"/>
    <xf numFmtId="10" fontId="7" fillId="0" borderId="0" xfId="0" applyNumberFormat="1" applyFont="1"/>
    <xf numFmtId="0" fontId="7" fillId="0" borderId="0" xfId="0" applyFont="1" applyFill="1" applyBorder="1" applyAlignment="1">
      <alignment wrapText="1"/>
    </xf>
    <xf numFmtId="0" fontId="0" fillId="0" borderId="0" xfId="0" applyFill="1"/>
    <xf numFmtId="170" fontId="7" fillId="0" borderId="0" xfId="0" applyNumberFormat="1" applyFont="1"/>
    <xf numFmtId="0" fontId="50" fillId="0" borderId="0" xfId="0" applyFont="1"/>
    <xf numFmtId="0" fontId="46" fillId="0" borderId="0" xfId="0" applyFont="1" applyAlignment="1">
      <alignment horizontal="right"/>
    </xf>
    <xf numFmtId="0" fontId="46" fillId="0" borderId="0" xfId="0" applyFont="1" applyFill="1" applyAlignment="1">
      <alignment horizontal="right"/>
    </xf>
    <xf numFmtId="170" fontId="7" fillId="0" borderId="0" xfId="198" applyNumberFormat="1" applyFont="1" applyBorder="1"/>
    <xf numFmtId="0" fontId="39" fillId="0" borderId="0" xfId="0" applyFont="1" applyAlignment="1">
      <alignment horizontal="left"/>
    </xf>
    <xf numFmtId="0" fontId="51" fillId="27" borderId="0" xfId="198" applyNumberFormat="1" applyFont="1" applyFill="1" applyAlignment="1">
      <alignment horizontal="left"/>
    </xf>
    <xf numFmtId="0" fontId="39" fillId="0" borderId="17" xfId="0" applyFont="1" applyBorder="1"/>
    <xf numFmtId="0" fontId="7" fillId="0" borderId="17" xfId="0" applyFont="1" applyBorder="1"/>
    <xf numFmtId="170" fontId="39" fillId="0" borderId="18" xfId="198" applyNumberFormat="1" applyFont="1" applyBorder="1"/>
    <xf numFmtId="0" fontId="14" fillId="0" borderId="0" xfId="198" applyNumberFormat="1" applyFont="1" applyFill="1" applyAlignment="1">
      <alignment horizontal="left"/>
    </xf>
    <xf numFmtId="0" fontId="14" fillId="0" borderId="0" xfId="198" applyNumberFormat="1" applyFont="1" applyFill="1" applyBorder="1" applyAlignment="1">
      <alignment horizontal="left"/>
    </xf>
    <xf numFmtId="0" fontId="9" fillId="0" borderId="0" xfId="198" applyNumberFormat="1" applyFont="1" applyFill="1" applyBorder="1" applyAlignment="1">
      <alignment horizontal="left"/>
    </xf>
    <xf numFmtId="170" fontId="39" fillId="0" borderId="19" xfId="198" applyNumberFormat="1" applyFont="1" applyBorder="1"/>
    <xf numFmtId="0" fontId="39" fillId="0" borderId="0" xfId="0" applyFont="1" applyFill="1"/>
    <xf numFmtId="170" fontId="39" fillId="0" borderId="15" xfId="198" applyNumberFormat="1" applyFont="1" applyBorder="1"/>
    <xf numFmtId="170" fontId="7" fillId="0" borderId="6" xfId="198" applyNumberFormat="1" applyFont="1" applyBorder="1"/>
    <xf numFmtId="170" fontId="7" fillId="0" borderId="16" xfId="198" applyNumberFormat="1" applyFont="1" applyBorder="1"/>
    <xf numFmtId="0" fontId="53" fillId="0" borderId="0" xfId="0" applyFont="1" applyFill="1" applyAlignment="1"/>
    <xf numFmtId="0" fontId="7" fillId="0" borderId="0" xfId="0" applyFont="1" applyFill="1" applyAlignment="1">
      <alignment wrapText="1"/>
    </xf>
    <xf numFmtId="0" fontId="39" fillId="0" borderId="20" xfId="0" applyFont="1" applyFill="1" applyBorder="1" applyAlignment="1">
      <alignment horizontal="center"/>
    </xf>
    <xf numFmtId="0" fontId="39" fillId="0" borderId="21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0" fillId="0" borderId="0" xfId="0" applyBorder="1" applyAlignment="1"/>
    <xf numFmtId="0" fontId="7" fillId="0" borderId="13" xfId="0" applyFont="1" applyFill="1" applyBorder="1" applyAlignment="1"/>
    <xf numFmtId="170" fontId="54" fillId="27" borderId="14" xfId="198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39" fillId="0" borderId="18" xfId="0" applyFont="1" applyFill="1" applyBorder="1" applyAlignment="1">
      <alignment horizontal="center"/>
    </xf>
    <xf numFmtId="0" fontId="7" fillId="0" borderId="13" xfId="0" applyFont="1" applyFill="1" applyBorder="1"/>
    <xf numFmtId="0" fontId="54" fillId="27" borderId="14" xfId="0" applyFont="1" applyFill="1" applyBorder="1" applyAlignment="1">
      <alignment horizontal="right"/>
    </xf>
    <xf numFmtId="170" fontId="7" fillId="0" borderId="14" xfId="0" applyNumberFormat="1" applyFont="1" applyFill="1" applyBorder="1" applyAlignment="1">
      <alignment horizontal="right"/>
    </xf>
    <xf numFmtId="170" fontId="7" fillId="0" borderId="0" xfId="0" applyNumberFormat="1" applyFont="1" applyFill="1" applyBorder="1" applyAlignment="1">
      <alignment horizontal="right"/>
    </xf>
    <xf numFmtId="10" fontId="7" fillId="0" borderId="14" xfId="0" applyNumberFormat="1" applyFont="1" applyBorder="1"/>
    <xf numFmtId="10" fontId="7" fillId="0" borderId="0" xfId="0" applyNumberFormat="1" applyFont="1" applyFill="1" applyBorder="1"/>
    <xf numFmtId="170" fontId="7" fillId="0" borderId="14" xfId="198" applyNumberFormat="1" applyFont="1" applyBorder="1"/>
    <xf numFmtId="0" fontId="39" fillId="0" borderId="23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/>
    </xf>
    <xf numFmtId="0" fontId="39" fillId="0" borderId="24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 wrapText="1"/>
    </xf>
    <xf numFmtId="0" fontId="39" fillId="0" borderId="25" xfId="0" applyFont="1" applyBorder="1" applyAlignment="1">
      <alignment horizontal="center"/>
    </xf>
    <xf numFmtId="170" fontId="39" fillId="0" borderId="16" xfId="198" applyNumberFormat="1" applyFont="1" applyBorder="1" applyAlignment="1">
      <alignment horizontal="center"/>
    </xf>
    <xf numFmtId="0" fontId="39" fillId="0" borderId="25" xfId="0" applyFont="1" applyFill="1" applyBorder="1" applyAlignment="1">
      <alignment horizontal="center"/>
    </xf>
    <xf numFmtId="0" fontId="39" fillId="0" borderId="24" xfId="0" applyFont="1" applyFill="1" applyBorder="1" applyAlignment="1">
      <alignment horizontal="center"/>
    </xf>
    <xf numFmtId="170" fontId="39" fillId="0" borderId="25" xfId="198" applyNumberFormat="1" applyFont="1" applyBorder="1" applyAlignment="1">
      <alignment horizontal="center"/>
    </xf>
    <xf numFmtId="170" fontId="39" fillId="0" borderId="15" xfId="198" applyNumberFormat="1" applyFont="1" applyBorder="1" applyAlignment="1">
      <alignment horizontal="center"/>
    </xf>
    <xf numFmtId="0" fontId="7" fillId="0" borderId="24" xfId="0" applyNumberFormat="1" applyFont="1" applyBorder="1" applyAlignment="1">
      <alignment horizontal="center"/>
    </xf>
    <xf numFmtId="170" fontId="7" fillId="0" borderId="0" xfId="0" applyNumberFormat="1" applyFont="1" applyBorder="1"/>
    <xf numFmtId="170" fontId="7" fillId="0" borderId="23" xfId="198" applyNumberFormat="1" applyFont="1" applyBorder="1"/>
    <xf numFmtId="171" fontId="7" fillId="0" borderId="14" xfId="0" applyNumberFormat="1" applyFont="1" applyBorder="1"/>
    <xf numFmtId="171" fontId="7" fillId="0" borderId="23" xfId="0" applyNumberFormat="1" applyFont="1" applyBorder="1"/>
    <xf numFmtId="171" fontId="7" fillId="0" borderId="24" xfId="0" applyNumberFormat="1" applyFont="1" applyBorder="1"/>
    <xf numFmtId="170" fontId="7" fillId="0" borderId="24" xfId="0" applyNumberFormat="1" applyFont="1" applyBorder="1"/>
    <xf numFmtId="170" fontId="1" fillId="0" borderId="24" xfId="198" applyNumberFormat="1" applyBorder="1"/>
    <xf numFmtId="170" fontId="7" fillId="0" borderId="24" xfId="198" applyNumberFormat="1" applyFont="1" applyBorder="1"/>
    <xf numFmtId="170" fontId="7" fillId="0" borderId="24" xfId="198" applyNumberFormat="1" applyFont="1" applyFill="1" applyBorder="1"/>
    <xf numFmtId="0" fontId="7" fillId="0" borderId="25" xfId="0" applyNumberFormat="1" applyFont="1" applyBorder="1" applyAlignment="1">
      <alignment horizontal="center"/>
    </xf>
    <xf numFmtId="170" fontId="7" fillId="0" borderId="25" xfId="0" applyNumberFormat="1" applyFont="1" applyBorder="1"/>
    <xf numFmtId="170" fontId="1" fillId="0" borderId="25" xfId="198" applyNumberFormat="1" applyBorder="1"/>
    <xf numFmtId="170" fontId="7" fillId="0" borderId="25" xfId="198" applyNumberFormat="1" applyFont="1" applyFill="1" applyBorder="1"/>
    <xf numFmtId="171" fontId="7" fillId="0" borderId="16" xfId="0" applyNumberFormat="1" applyFont="1" applyBorder="1"/>
    <xf numFmtId="171" fontId="7" fillId="0" borderId="25" xfId="0" applyNumberFormat="1" applyFont="1" applyBorder="1"/>
    <xf numFmtId="0" fontId="53" fillId="0" borderId="0" xfId="0" applyFont="1" applyFill="1"/>
    <xf numFmtId="171" fontId="7" fillId="0" borderId="0" xfId="0" applyNumberFormat="1" applyFont="1" applyBorder="1"/>
    <xf numFmtId="171" fontId="7" fillId="0" borderId="23" xfId="0" applyNumberFormat="1" applyFont="1" applyFill="1" applyBorder="1"/>
    <xf numFmtId="170" fontId="55" fillId="0" borderId="0" xfId="0" applyNumberFormat="1" applyFont="1" applyAlignment="1">
      <alignment horizontal="left"/>
    </xf>
    <xf numFmtId="0" fontId="9" fillId="0" borderId="0" xfId="0" applyFont="1" applyFill="1"/>
    <xf numFmtId="170" fontId="39" fillId="0" borderId="0" xfId="198" applyNumberFormat="1" applyFont="1" applyBorder="1"/>
    <xf numFmtId="170" fontId="7" fillId="0" borderId="14" xfId="0" applyNumberFormat="1" applyFont="1" applyBorder="1"/>
    <xf numFmtId="170" fontId="39" fillId="0" borderId="11" xfId="198" applyNumberFormat="1" applyFont="1" applyBorder="1"/>
    <xf numFmtId="170" fontId="7" fillId="0" borderId="19" xfId="0" applyNumberFormat="1" applyFont="1" applyBorder="1"/>
    <xf numFmtId="0" fontId="7" fillId="0" borderId="15" xfId="0" applyFont="1" applyBorder="1"/>
    <xf numFmtId="170" fontId="39" fillId="0" borderId="6" xfId="198" applyNumberFormat="1" applyFont="1" applyFill="1" applyBorder="1" applyAlignment="1">
      <alignment horizontal="left"/>
    </xf>
    <xf numFmtId="170" fontId="39" fillId="0" borderId="16" xfId="198" applyNumberFormat="1" applyFont="1" applyFill="1" applyBorder="1" applyAlignment="1">
      <alignment horizontal="left"/>
    </xf>
    <xf numFmtId="0" fontId="7" fillId="0" borderId="20" xfId="0" applyFont="1" applyFill="1" applyBorder="1" applyAlignment="1">
      <alignment horizontal="center"/>
    </xf>
    <xf numFmtId="0" fontId="0" fillId="0" borderId="21" xfId="0" applyBorder="1" applyAlignment="1"/>
    <xf numFmtId="0" fontId="0" fillId="0" borderId="0" xfId="0" applyFill="1" applyBorder="1" applyAlignment="1"/>
    <xf numFmtId="0" fontId="7" fillId="0" borderId="6" xfId="0" applyFont="1" applyBorder="1" applyAlignment="1">
      <alignment horizontal="center"/>
    </xf>
    <xf numFmtId="0" fontId="0" fillId="0" borderId="6" xfId="0" applyBorder="1"/>
    <xf numFmtId="0" fontId="39" fillId="0" borderId="23" xfId="0" applyFont="1" applyBorder="1" applyAlignment="1">
      <alignment horizontal="center" wrapText="1"/>
    </xf>
    <xf numFmtId="170" fontId="39" fillId="0" borderId="0" xfId="198" applyNumberFormat="1" applyFont="1" applyBorder="1" applyAlignment="1">
      <alignment horizontal="center" wrapText="1"/>
    </xf>
    <xf numFmtId="0" fontId="39" fillId="0" borderId="24" xfId="0" applyFont="1" applyBorder="1" applyAlignment="1">
      <alignment horizontal="center" wrapText="1"/>
    </xf>
    <xf numFmtId="0" fontId="39" fillId="0" borderId="6" xfId="0" applyFont="1" applyBorder="1" applyAlignment="1">
      <alignment horizontal="center"/>
    </xf>
    <xf numFmtId="170" fontId="7" fillId="0" borderId="23" xfId="0" applyNumberFormat="1" applyFont="1" applyBorder="1"/>
    <xf numFmtId="170" fontId="7" fillId="0" borderId="6" xfId="0" applyNumberFormat="1" applyFont="1" applyBorder="1"/>
    <xf numFmtId="0" fontId="55" fillId="0" borderId="0" xfId="0" applyFont="1"/>
    <xf numFmtId="0" fontId="58" fillId="0" borderId="0" xfId="0" applyFont="1" applyFill="1"/>
    <xf numFmtId="170" fontId="7" fillId="0" borderId="14" xfId="198" applyNumberFormat="1" applyFont="1" applyFill="1" applyBorder="1" applyAlignment="1">
      <alignment horizontal="right"/>
    </xf>
    <xf numFmtId="0" fontId="7" fillId="0" borderId="14" xfId="0" applyFont="1" applyFill="1" applyBorder="1" applyAlignment="1">
      <alignment horizontal="right"/>
    </xf>
    <xf numFmtId="0" fontId="7" fillId="0" borderId="16" xfId="0" applyFont="1" applyFill="1" applyBorder="1" applyAlignment="1">
      <alignment horizontal="right"/>
    </xf>
    <xf numFmtId="0" fontId="52" fillId="27" borderId="0" xfId="0" applyFont="1" applyFill="1" applyAlignment="1">
      <alignment horizontal="left"/>
    </xf>
    <xf numFmtId="0" fontId="39" fillId="0" borderId="21" xfId="0" applyFont="1" applyFill="1" applyBorder="1" applyAlignment="1"/>
    <xf numFmtId="0" fontId="61" fillId="28" borderId="21" xfId="0" applyFont="1" applyFill="1" applyBorder="1" applyAlignment="1">
      <alignment horizontal="center"/>
    </xf>
    <xf numFmtId="0" fontId="39" fillId="0" borderId="0" xfId="0" quotePrefix="1" applyFont="1" applyAlignment="1">
      <alignment horizontal="left"/>
    </xf>
    <xf numFmtId="0" fontId="46" fillId="0" borderId="0" xfId="0" applyFont="1" applyAlignment="1">
      <alignment horizontal="center"/>
    </xf>
    <xf numFmtId="0" fontId="0" fillId="0" borderId="22" xfId="0" applyBorder="1" applyAlignment="1"/>
    <xf numFmtId="0" fontId="68" fillId="0" borderId="0" xfId="0" quotePrefix="1" applyFont="1" applyAlignment="1">
      <alignment horizontal="left"/>
    </xf>
    <xf numFmtId="0" fontId="68" fillId="0" borderId="0" xfId="0" applyFont="1"/>
    <xf numFmtId="0" fontId="69" fillId="0" borderId="0" xfId="0" applyFont="1"/>
    <xf numFmtId="0" fontId="7" fillId="0" borderId="0" xfId="0" applyFont="1" applyAlignment="1">
      <alignment horizontal="left"/>
    </xf>
    <xf numFmtId="0" fontId="50" fillId="0" borderId="0" xfId="0" quotePrefix="1" applyFont="1" applyAlignment="1">
      <alignment horizontal="left"/>
    </xf>
    <xf numFmtId="0" fontId="46" fillId="0" borderId="0" xfId="0" quotePrefix="1" applyFont="1" applyAlignment="1">
      <alignment horizontal="center"/>
    </xf>
    <xf numFmtId="171" fontId="46" fillId="0" borderId="0" xfId="0" quotePrefix="1" applyNumberFormat="1" applyFont="1" applyBorder="1" applyAlignment="1">
      <alignment horizontal="center"/>
    </xf>
    <xf numFmtId="0" fontId="52" fillId="0" borderId="0" xfId="0" applyFont="1" applyAlignment="1">
      <alignment horizontal="left"/>
    </xf>
    <xf numFmtId="0" fontId="55" fillId="0" borderId="0" xfId="0" applyFont="1" applyFill="1" applyAlignment="1"/>
    <xf numFmtId="0" fontId="55" fillId="0" borderId="0" xfId="0" quotePrefix="1" applyFont="1" applyAlignment="1">
      <alignment horizontal="left"/>
    </xf>
    <xf numFmtId="0" fontId="67" fillId="0" borderId="0" xfId="0" applyFont="1" applyFill="1" applyAlignment="1">
      <alignment horizontal="right"/>
    </xf>
    <xf numFmtId="168" fontId="7" fillId="0" borderId="24" xfId="198" applyNumberFormat="1" applyFont="1" applyFill="1" applyBorder="1"/>
    <xf numFmtId="168" fontId="7" fillId="0" borderId="14" xfId="198" applyNumberFormat="1" applyFont="1" applyFill="1" applyBorder="1"/>
    <xf numFmtId="170" fontId="7" fillId="0" borderId="14" xfId="198" applyNumberFormat="1" applyFont="1" applyFill="1" applyBorder="1"/>
    <xf numFmtId="170" fontId="7" fillId="0" borderId="16" xfId="198" applyNumberFormat="1" applyFont="1" applyFill="1" applyBorder="1"/>
    <xf numFmtId="170" fontId="39" fillId="27" borderId="25" xfId="198" applyNumberFormat="1" applyFont="1" applyFill="1" applyBorder="1" applyAlignment="1">
      <alignment horizontal="center"/>
    </xf>
    <xf numFmtId="170" fontId="39" fillId="27" borderId="16" xfId="198" applyNumberFormat="1" applyFont="1" applyFill="1" applyBorder="1" applyAlignment="1">
      <alignment horizontal="center"/>
    </xf>
    <xf numFmtId="171" fontId="54" fillId="0" borderId="23" xfId="0" applyNumberFormat="1" applyFont="1" applyFill="1" applyBorder="1"/>
    <xf numFmtId="171" fontId="7" fillId="0" borderId="24" xfId="0" applyNumberFormat="1" applyFont="1" applyFill="1" applyBorder="1"/>
    <xf numFmtId="171" fontId="54" fillId="0" borderId="24" xfId="0" applyNumberFormat="1" applyFont="1" applyFill="1" applyBorder="1"/>
    <xf numFmtId="170" fontId="7" fillId="0" borderId="13" xfId="198" quotePrefix="1" applyNumberFormat="1" applyFont="1" applyBorder="1" applyAlignment="1">
      <alignment horizontal="right"/>
    </xf>
    <xf numFmtId="0" fontId="7" fillId="0" borderId="15" xfId="0" quotePrefix="1" applyFont="1" applyBorder="1" applyAlignment="1">
      <alignment horizontal="right"/>
    </xf>
    <xf numFmtId="0" fontId="55" fillId="0" borderId="23" xfId="0" applyFont="1" applyBorder="1"/>
    <xf numFmtId="170" fontId="55" fillId="0" borderId="25" xfId="198" applyNumberFormat="1" applyFont="1" applyBorder="1"/>
    <xf numFmtId="0" fontId="57" fillId="0" borderId="28" xfId="198" applyNumberFormat="1" applyFont="1" applyFill="1" applyBorder="1" applyAlignment="1">
      <alignment horizontal="left"/>
    </xf>
    <xf numFmtId="170" fontId="7" fillId="0" borderId="29" xfId="198" quotePrefix="1" applyNumberFormat="1" applyFont="1" applyBorder="1" applyAlignment="1">
      <alignment horizontal="right"/>
    </xf>
    <xf numFmtId="0" fontId="39" fillId="0" borderId="30" xfId="0" applyFont="1" applyFill="1" applyBorder="1" applyAlignment="1">
      <alignment horizontal="center"/>
    </xf>
    <xf numFmtId="169" fontId="7" fillId="0" borderId="31" xfId="995" applyFont="1" applyBorder="1" applyAlignment="1" applyProtection="1">
      <alignment horizontal="center"/>
      <protection locked="0"/>
    </xf>
    <xf numFmtId="3" fontId="7" fillId="0" borderId="32" xfId="995" applyNumberFormat="1" applyFont="1" applyBorder="1" applyAlignment="1" applyProtection="1">
      <alignment horizontal="center"/>
      <protection locked="0"/>
    </xf>
    <xf numFmtId="0" fontId="39" fillId="0" borderId="26" xfId="0" quotePrefix="1" applyFont="1" applyBorder="1" applyAlignment="1">
      <alignment horizontal="left"/>
    </xf>
    <xf numFmtId="0" fontId="39" fillId="0" borderId="13" xfId="0" quotePrefix="1" applyFont="1" applyBorder="1" applyAlignment="1">
      <alignment horizontal="left"/>
    </xf>
    <xf numFmtId="169" fontId="7" fillId="0" borderId="31" xfId="995" quotePrefix="1" applyFont="1" applyBorder="1" applyAlignment="1" applyProtection="1">
      <alignment horizontal="center"/>
      <protection locked="0"/>
    </xf>
    <xf numFmtId="170" fontId="39" fillId="0" borderId="23" xfId="198" quotePrefix="1" applyNumberFormat="1" applyFont="1" applyBorder="1" applyAlignment="1">
      <alignment horizontal="center" wrapText="1"/>
    </xf>
    <xf numFmtId="0" fontId="52" fillId="0" borderId="0" xfId="0" quotePrefix="1" applyFont="1" applyFill="1" applyAlignment="1">
      <alignment horizontal="left"/>
    </xf>
    <xf numFmtId="0" fontId="52" fillId="0" borderId="0" xfId="0" quotePrefix="1" applyFont="1" applyAlignment="1">
      <alignment horizontal="left"/>
    </xf>
    <xf numFmtId="171" fontId="54" fillId="27" borderId="23" xfId="0" applyNumberFormat="1" applyFont="1" applyFill="1" applyBorder="1"/>
    <xf numFmtId="171" fontId="54" fillId="27" borderId="24" xfId="0" applyNumberFormat="1" applyFont="1" applyFill="1" applyBorder="1"/>
    <xf numFmtId="171" fontId="54" fillId="27" borderId="25" xfId="0" applyNumberFormat="1" applyFont="1" applyFill="1" applyBorder="1"/>
    <xf numFmtId="0" fontId="39" fillId="0" borderId="23" xfId="0" quotePrefix="1" applyFont="1" applyBorder="1" applyAlignment="1">
      <alignment horizontal="center" wrapText="1"/>
    </xf>
    <xf numFmtId="0" fontId="55" fillId="0" borderId="0" xfId="0" applyFont="1" applyFill="1" applyAlignment="1">
      <alignment horizontal="left"/>
    </xf>
    <xf numFmtId="0" fontId="55" fillId="0" borderId="0" xfId="0" applyFont="1" applyAlignment="1">
      <alignment horizontal="left"/>
    </xf>
    <xf numFmtId="170" fontId="54" fillId="27" borderId="0" xfId="0" applyNumberFormat="1" applyFont="1" applyFill="1" applyBorder="1"/>
    <xf numFmtId="170" fontId="54" fillId="27" borderId="23" xfId="198" applyNumberFormat="1" applyFont="1" applyFill="1" applyBorder="1"/>
    <xf numFmtId="170" fontId="54" fillId="27" borderId="14" xfId="198" applyNumberFormat="1" applyFont="1" applyFill="1" applyBorder="1"/>
    <xf numFmtId="170" fontId="54" fillId="27" borderId="24" xfId="198" applyNumberFormat="1" applyFont="1" applyFill="1" applyBorder="1"/>
    <xf numFmtId="170" fontId="54" fillId="27" borderId="24" xfId="0" applyNumberFormat="1" applyFont="1" applyFill="1" applyBorder="1"/>
    <xf numFmtId="168" fontId="54" fillId="27" borderId="24" xfId="198" applyNumberFormat="1" applyFont="1" applyFill="1" applyBorder="1"/>
    <xf numFmtId="168" fontId="54" fillId="27" borderId="14" xfId="198" applyNumberFormat="1" applyFont="1" applyFill="1" applyBorder="1"/>
    <xf numFmtId="170" fontId="54" fillId="27" borderId="23" xfId="0" applyNumberFormat="1" applyFont="1" applyFill="1" applyBorder="1"/>
    <xf numFmtId="171" fontId="54" fillId="0" borderId="14" xfId="0" applyNumberFormat="1" applyFont="1" applyFill="1" applyBorder="1"/>
    <xf numFmtId="0" fontId="53" fillId="0" borderId="0" xfId="0" quotePrefix="1" applyFont="1" applyFill="1" applyAlignment="1"/>
    <xf numFmtId="170" fontId="53" fillId="0" borderId="0" xfId="0" applyNumberFormat="1" applyFont="1" applyAlignment="1">
      <alignment horizontal="left"/>
    </xf>
    <xf numFmtId="170" fontId="79" fillId="27" borderId="24" xfId="198" applyNumberFormat="1" applyFont="1" applyFill="1" applyBorder="1"/>
    <xf numFmtId="170" fontId="7" fillId="27" borderId="0" xfId="0" applyNumberFormat="1" applyFont="1" applyFill="1" applyBorder="1"/>
    <xf numFmtId="170" fontId="1" fillId="27" borderId="24" xfId="198" applyNumberFormat="1" applyFill="1" applyBorder="1"/>
    <xf numFmtId="170" fontId="7" fillId="27" borderId="24" xfId="0" applyNumberFormat="1" applyFont="1" applyFill="1" applyBorder="1"/>
    <xf numFmtId="170" fontId="7" fillId="27" borderId="24" xfId="198" applyNumberFormat="1" applyFont="1" applyFill="1" applyBorder="1"/>
    <xf numFmtId="170" fontId="7" fillId="27" borderId="14" xfId="198" applyNumberFormat="1" applyFont="1" applyFill="1" applyBorder="1"/>
    <xf numFmtId="170" fontId="87" fillId="27" borderId="14" xfId="198" applyNumberFormat="1" applyFont="1" applyFill="1" applyBorder="1"/>
    <xf numFmtId="170" fontId="87" fillId="27" borderId="24" xfId="0" applyNumberFormat="1" applyFont="1" applyFill="1" applyBorder="1"/>
    <xf numFmtId="170" fontId="87" fillId="27" borderId="24" xfId="198" applyNumberFormat="1" applyFont="1" applyFill="1" applyBorder="1"/>
    <xf numFmtId="171" fontId="87" fillId="0" borderId="14" xfId="0" applyNumberFormat="1" applyFont="1" applyBorder="1"/>
    <xf numFmtId="171" fontId="87" fillId="0" borderId="14" xfId="0" applyNumberFormat="1" applyFont="1" applyFill="1" applyBorder="1"/>
    <xf numFmtId="171" fontId="88" fillId="0" borderId="24" xfId="0" applyNumberFormat="1" applyFont="1" applyBorder="1"/>
    <xf numFmtId="170" fontId="39" fillId="0" borderId="25" xfId="198" applyNumberFormat="1" applyFont="1" applyFill="1" applyBorder="1" applyAlignment="1">
      <alignment horizontal="center"/>
    </xf>
    <xf numFmtId="170" fontId="39" fillId="0" borderId="16" xfId="198" applyNumberFormat="1" applyFont="1" applyFill="1" applyBorder="1" applyAlignment="1">
      <alignment horizontal="center"/>
    </xf>
    <xf numFmtId="170" fontId="39" fillId="0" borderId="18" xfId="349" applyNumberFormat="1" applyFont="1" applyFill="1" applyBorder="1" applyAlignment="1">
      <alignment horizontal="center" wrapText="1"/>
    </xf>
    <xf numFmtId="170" fontId="39" fillId="0" borderId="18" xfId="349" applyNumberFormat="1" applyFont="1" applyBorder="1" applyAlignment="1">
      <alignment horizontal="center" wrapText="1"/>
    </xf>
    <xf numFmtId="170" fontId="7" fillId="0" borderId="23" xfId="285" applyNumberFormat="1" applyFont="1" applyBorder="1"/>
    <xf numFmtId="0" fontId="0" fillId="0" borderId="0" xfId="0" applyProtection="1"/>
    <xf numFmtId="0" fontId="14" fillId="0" borderId="0" xfId="0" applyNumberFormat="1" applyFont="1" applyAlignment="1" applyProtection="1">
      <alignment horizontal="center"/>
    </xf>
    <xf numFmtId="3" fontId="14" fillId="0" borderId="0" xfId="0" quotePrefix="1" applyNumberFormat="1" applyFont="1" applyFill="1" applyAlignment="1" applyProtection="1">
      <alignment horizontal="center"/>
    </xf>
    <xf numFmtId="0" fontId="14" fillId="0" borderId="0" xfId="0" applyNumberFormat="1" applyFont="1" applyFill="1" applyAlignment="1" applyProtection="1">
      <alignment horizontal="center"/>
    </xf>
    <xf numFmtId="169" fontId="14" fillId="0" borderId="0" xfId="995" applyFont="1" applyFill="1" applyAlignment="1" applyProtection="1"/>
    <xf numFmtId="49" fontId="73" fillId="0" borderId="0" xfId="995" applyNumberFormat="1" applyFont="1" applyFill="1" applyAlignment="1" applyProtection="1">
      <alignment horizontal="center"/>
    </xf>
    <xf numFmtId="3" fontId="6" fillId="0" borderId="0" xfId="0" applyNumberFormat="1" applyFont="1" applyAlignment="1" applyProtection="1">
      <alignment horizontal="center"/>
    </xf>
    <xf numFmtId="3" fontId="6" fillId="0" borderId="0" xfId="0" quotePrefix="1" applyNumberFormat="1" applyFont="1" applyAlignment="1" applyProtection="1">
      <alignment horizontal="center"/>
    </xf>
    <xf numFmtId="0" fontId="0" fillId="0" borderId="0" xfId="0" applyFill="1" applyProtection="1"/>
    <xf numFmtId="0" fontId="0" fillId="0" borderId="0" xfId="0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/>
    </xf>
    <xf numFmtId="0" fontId="39" fillId="0" borderId="11" xfId="0" applyFont="1" applyBorder="1" applyAlignment="1" applyProtection="1">
      <alignment horizontal="centerContinuous"/>
    </xf>
    <xf numFmtId="0" fontId="53" fillId="0" borderId="0" xfId="0" quotePrefix="1" applyFont="1" applyAlignment="1" applyProtection="1">
      <alignment horizontal="left"/>
    </xf>
    <xf numFmtId="0" fontId="39" fillId="0" borderId="0" xfId="0" applyFont="1" applyBorder="1" applyAlignment="1" applyProtection="1">
      <alignment horizontal="center"/>
    </xf>
    <xf numFmtId="0" fontId="39" fillId="0" borderId="11" xfId="0" quotePrefix="1" applyFont="1" applyBorder="1" applyAlignment="1" applyProtection="1">
      <alignment horizontal="centerContinuous"/>
    </xf>
    <xf numFmtId="0" fontId="65" fillId="0" borderId="0" xfId="0" quotePrefix="1" applyFont="1" applyBorder="1" applyAlignment="1" applyProtection="1">
      <alignment horizontal="centerContinuous"/>
    </xf>
    <xf numFmtId="0" fontId="65" fillId="0" borderId="11" xfId="0" applyFont="1" applyBorder="1" applyAlignment="1" applyProtection="1">
      <alignment horizontal="centerContinuous"/>
    </xf>
    <xf numFmtId="0" fontId="74" fillId="0" borderId="0" xfId="0" applyFont="1" applyFill="1" applyProtection="1"/>
    <xf numFmtId="0" fontId="65" fillId="0" borderId="0" xfId="0" applyFont="1" applyAlignment="1" applyProtection="1">
      <alignment horizontal="center" wrapText="1"/>
    </xf>
    <xf numFmtId="0" fontId="65" fillId="0" borderId="0" xfId="0" applyFont="1" applyAlignment="1" applyProtection="1">
      <alignment horizontal="center"/>
    </xf>
    <xf numFmtId="0" fontId="65" fillId="0" borderId="0" xfId="0" applyFont="1" applyBorder="1" applyAlignment="1" applyProtection="1">
      <alignment horizontal="center" wrapText="1"/>
    </xf>
    <xf numFmtId="0" fontId="65" fillId="0" borderId="0" xfId="0" applyFont="1" applyBorder="1" applyAlignment="1" applyProtection="1">
      <alignment horizontal="center"/>
    </xf>
    <xf numFmtId="0" fontId="65" fillId="0" borderId="0" xfId="0" quotePrefix="1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/>
    </xf>
    <xf numFmtId="0" fontId="65" fillId="0" borderId="0" xfId="0" quotePrefix="1" applyFont="1" applyBorder="1" applyAlignment="1" applyProtection="1">
      <alignment horizontal="center" wrapText="1"/>
    </xf>
    <xf numFmtId="0" fontId="0" fillId="0" borderId="38" xfId="0" applyBorder="1" applyAlignment="1" applyProtection="1">
      <alignment wrapText="1"/>
    </xf>
    <xf numFmtId="0" fontId="39" fillId="0" borderId="0" xfId="0" applyFont="1" applyProtection="1"/>
    <xf numFmtId="0" fontId="0" fillId="0" borderId="24" xfId="0" applyBorder="1" applyProtection="1"/>
    <xf numFmtId="0" fontId="0" fillId="0" borderId="0" xfId="0" quotePrefix="1" applyAlignment="1" applyProtection="1">
      <alignment horizontal="center" vertical="center"/>
    </xf>
    <xf numFmtId="0" fontId="7" fillId="0" borderId="0" xfId="0" applyFont="1" applyFill="1" applyAlignment="1" applyProtection="1">
      <alignment vertical="center" wrapText="1"/>
    </xf>
    <xf numFmtId="0" fontId="7" fillId="0" borderId="0" xfId="0" applyFont="1" applyFill="1" applyAlignment="1" applyProtection="1">
      <alignment horizontal="center" vertical="center"/>
    </xf>
    <xf numFmtId="170" fontId="1" fillId="0" borderId="0" xfId="198" applyNumberFormat="1" applyFont="1" applyFill="1" applyAlignment="1" applyProtection="1">
      <alignment vertical="center"/>
    </xf>
    <xf numFmtId="170" fontId="1" fillId="0" borderId="0" xfId="198" applyNumberForma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170" fontId="7" fillId="0" borderId="0" xfId="202" applyNumberFormat="1" applyFont="1" applyFill="1" applyAlignment="1" applyProtection="1">
      <alignment vertical="center"/>
    </xf>
    <xf numFmtId="170" fontId="64" fillId="27" borderId="0" xfId="198" applyNumberFormat="1" applyFont="1" applyFill="1" applyAlignment="1" applyProtection="1">
      <alignment vertical="center"/>
    </xf>
    <xf numFmtId="170" fontId="1" fillId="0" borderId="0" xfId="198" applyNumberFormat="1" applyAlignment="1" applyProtection="1">
      <alignment vertical="center"/>
    </xf>
    <xf numFmtId="170" fontId="39" fillId="0" borderId="0" xfId="198" applyNumberFormat="1" applyFont="1" applyAlignment="1" applyProtection="1">
      <alignment horizontal="center" vertical="center"/>
    </xf>
    <xf numFmtId="170" fontId="0" fillId="0" borderId="24" xfId="0" applyNumberFormat="1" applyBorder="1" applyAlignment="1" applyProtection="1">
      <alignment vertical="center"/>
    </xf>
    <xf numFmtId="170" fontId="39" fillId="0" borderId="0" xfId="198" applyNumberFormat="1" applyFont="1" applyAlignment="1" applyProtection="1">
      <alignment vertical="center"/>
    </xf>
    <xf numFmtId="0" fontId="0" fillId="0" borderId="0" xfId="0" applyFill="1" applyAlignment="1" applyProtection="1">
      <alignment vertical="center" wrapText="1"/>
    </xf>
    <xf numFmtId="0" fontId="0" fillId="0" borderId="0" xfId="0" applyAlignment="1" applyProtection="1"/>
    <xf numFmtId="170" fontId="1" fillId="0" borderId="0" xfId="198" applyNumberFormat="1" applyFont="1" applyAlignment="1" applyProtection="1">
      <alignment vertical="center"/>
    </xf>
    <xf numFmtId="0" fontId="1" fillId="0" borderId="0" xfId="0" applyFont="1" applyFill="1" applyAlignment="1" applyProtection="1">
      <alignment vertical="center" wrapText="1"/>
    </xf>
    <xf numFmtId="0" fontId="7" fillId="0" borderId="0" xfId="0" quotePrefix="1" applyFont="1" applyAlignment="1" applyProtection="1">
      <alignment horizontal="center" vertical="center"/>
    </xf>
    <xf numFmtId="170" fontId="1" fillId="0" borderId="0" xfId="198" applyNumberFormat="1" applyBorder="1" applyAlignment="1" applyProtection="1">
      <alignment vertical="center"/>
    </xf>
    <xf numFmtId="170" fontId="39" fillId="0" borderId="0" xfId="198" applyNumberFormat="1" applyFont="1" applyBorder="1" applyAlignment="1" applyProtection="1">
      <alignment vertical="center"/>
    </xf>
    <xf numFmtId="0" fontId="0" fillId="0" borderId="0" xfId="0" applyBorder="1" applyProtection="1"/>
    <xf numFmtId="171" fontId="39" fillId="0" borderId="0" xfId="622" applyNumberFormat="1" applyFont="1" applyAlignment="1" applyProtection="1">
      <alignment vertical="center"/>
    </xf>
    <xf numFmtId="170" fontId="39" fillId="0" borderId="24" xfId="0" applyNumberFormat="1" applyFont="1" applyBorder="1" applyProtection="1"/>
    <xf numFmtId="0" fontId="64" fillId="0" borderId="0" xfId="0" quotePrefix="1" applyFont="1" applyAlignment="1" applyProtection="1">
      <alignment horizontal="left"/>
    </xf>
    <xf numFmtId="0" fontId="7" fillId="0" borderId="0" xfId="0" applyFont="1" applyAlignment="1" applyProtection="1">
      <alignment vertical="center"/>
    </xf>
    <xf numFmtId="170" fontId="75" fillId="0" borderId="0" xfId="198" applyNumberFormat="1" applyFont="1" applyAlignment="1" applyProtection="1">
      <alignment horizontal="center" vertical="center"/>
    </xf>
    <xf numFmtId="43" fontId="77" fillId="0" borderId="0" xfId="198" applyFont="1" applyAlignment="1" applyProtection="1">
      <alignment horizontal="left" vertical="center"/>
    </xf>
    <xf numFmtId="43" fontId="78" fillId="0" borderId="0" xfId="198" applyFont="1" applyAlignment="1" applyProtection="1">
      <alignment vertical="center"/>
    </xf>
    <xf numFmtId="43" fontId="1" fillId="0" borderId="0" xfId="198" applyAlignment="1" applyProtection="1">
      <alignment vertical="center"/>
    </xf>
    <xf numFmtId="170" fontId="0" fillId="0" borderId="25" xfId="0" applyNumberFormat="1" applyBorder="1" applyProtection="1"/>
    <xf numFmtId="0" fontId="0" fillId="0" borderId="0" xfId="0" quotePrefix="1" applyAlignment="1" applyProtection="1">
      <alignment horizontal="left" vertical="center"/>
    </xf>
    <xf numFmtId="13" fontId="5" fillId="0" borderId="0" xfId="0" applyNumberFormat="1" applyFont="1" applyAlignment="1" applyProtection="1">
      <alignment horizontal="center" vertical="center"/>
    </xf>
    <xf numFmtId="170" fontId="64" fillId="27" borderId="0" xfId="0" applyNumberFormat="1" applyFont="1" applyFill="1" applyAlignment="1" applyProtection="1">
      <alignment vertical="center"/>
    </xf>
    <xf numFmtId="177" fontId="1" fillId="0" borderId="0" xfId="198" applyNumberFormat="1" applyAlignment="1" applyProtection="1">
      <alignment vertical="center"/>
    </xf>
    <xf numFmtId="170" fontId="1" fillId="0" borderId="0" xfId="198" applyNumberFormat="1" applyProtection="1"/>
    <xf numFmtId="43" fontId="1" fillId="0" borderId="0" xfId="198" applyProtection="1"/>
    <xf numFmtId="170" fontId="0" fillId="0" borderId="0" xfId="0" applyNumberFormat="1" applyProtection="1"/>
    <xf numFmtId="0" fontId="0" fillId="0" borderId="33" xfId="0" applyBorder="1" applyProtection="1"/>
    <xf numFmtId="0" fontId="0" fillId="0" borderId="2" xfId="0" applyBorder="1" applyProtection="1"/>
    <xf numFmtId="170" fontId="1" fillId="0" borderId="2" xfId="198" applyNumberFormat="1" applyBorder="1" applyProtection="1"/>
    <xf numFmtId="0" fontId="0" fillId="0" borderId="27" xfId="0" applyBorder="1" applyProtection="1"/>
    <xf numFmtId="0" fontId="0" fillId="0" borderId="34" xfId="0" applyBorder="1" applyProtection="1"/>
    <xf numFmtId="0" fontId="0" fillId="0" borderId="0" xfId="0" applyBorder="1" applyAlignment="1" applyProtection="1">
      <alignment horizontal="center"/>
    </xf>
    <xf numFmtId="49" fontId="73" fillId="0" borderId="0" xfId="995" applyNumberFormat="1" applyFont="1" applyFill="1" applyBorder="1" applyAlignment="1" applyProtection="1">
      <alignment horizontal="center"/>
    </xf>
    <xf numFmtId="0" fontId="0" fillId="0" borderId="35" xfId="0" applyBorder="1" applyAlignment="1" applyProtection="1">
      <alignment horizontal="center"/>
    </xf>
    <xf numFmtId="0" fontId="0" fillId="0" borderId="36" xfId="0" applyBorder="1" applyProtection="1"/>
    <xf numFmtId="0" fontId="0" fillId="0" borderId="11" xfId="0" applyBorder="1" applyProtection="1"/>
    <xf numFmtId="170" fontId="1" fillId="0" borderId="11" xfId="198" applyNumberFormat="1" applyBorder="1" applyProtection="1"/>
    <xf numFmtId="0" fontId="0" fillId="0" borderId="37" xfId="0" applyBorder="1" applyProtection="1"/>
    <xf numFmtId="0" fontId="0" fillId="0" borderId="0" xfId="0" quotePrefix="1" applyAlignment="1" applyProtection="1">
      <alignment horizontal="left"/>
    </xf>
    <xf numFmtId="0" fontId="0" fillId="0" borderId="0" xfId="0" quotePrefix="1" applyAlignment="1" applyProtection="1">
      <alignment horizontal="center"/>
    </xf>
    <xf numFmtId="170" fontId="0" fillId="0" borderId="0" xfId="198" applyNumberFormat="1" applyFont="1" applyProtection="1"/>
    <xf numFmtId="170" fontId="0" fillId="0" borderId="0" xfId="202" applyNumberFormat="1" applyFont="1" applyProtection="1"/>
    <xf numFmtId="170" fontId="0" fillId="0" borderId="0" xfId="1013" applyNumberFormat="1" applyFont="1" applyProtection="1"/>
    <xf numFmtId="0" fontId="39" fillId="0" borderId="0" xfId="0" quotePrefix="1" applyFont="1" applyAlignment="1" applyProtection="1">
      <alignment horizontal="left"/>
    </xf>
    <xf numFmtId="171" fontId="0" fillId="0" borderId="0" xfId="622" applyNumberFormat="1" applyFont="1" applyProtection="1"/>
    <xf numFmtId="0" fontId="7" fillId="0" borderId="0" xfId="0" applyFont="1" applyProtection="1"/>
    <xf numFmtId="0" fontId="7" fillId="0" borderId="0" xfId="0" applyFont="1" applyAlignment="1" applyProtection="1">
      <alignment horizontal="center"/>
    </xf>
    <xf numFmtId="170" fontId="7" fillId="0" borderId="0" xfId="198" applyNumberFormat="1" applyFont="1" applyProtection="1"/>
    <xf numFmtId="0" fontId="7" fillId="0" borderId="0" xfId="0" applyFont="1" applyBorder="1" applyProtection="1"/>
    <xf numFmtId="0" fontId="47" fillId="0" borderId="0" xfId="0" applyFont="1" applyFill="1" applyProtection="1"/>
    <xf numFmtId="0" fontId="9" fillId="0" borderId="0" xfId="0" applyFont="1" applyAlignment="1" applyProtection="1">
      <alignment horizontal="left"/>
    </xf>
    <xf numFmtId="41" fontId="0" fillId="0" borderId="0" xfId="0" applyNumberFormat="1" applyProtection="1"/>
    <xf numFmtId="3" fontId="0" fillId="0" borderId="0" xfId="0" applyNumberFormat="1" applyProtection="1"/>
    <xf numFmtId="0" fontId="7" fillId="0" borderId="0" xfId="995" applyNumberFormat="1" applyFont="1" applyBorder="1" applyAlignment="1" applyProtection="1"/>
    <xf numFmtId="3" fontId="7" fillId="0" borderId="0" xfId="995" applyNumberFormat="1" applyFont="1" applyAlignment="1" applyProtection="1"/>
    <xf numFmtId="10" fontId="7" fillId="0" borderId="0" xfId="995" applyNumberFormat="1" applyFont="1" applyAlignment="1" applyProtection="1"/>
    <xf numFmtId="166" fontId="7" fillId="0" borderId="0" xfId="995" applyNumberFormat="1" applyFont="1" applyAlignment="1" applyProtection="1"/>
    <xf numFmtId="43" fontId="7" fillId="0" borderId="0" xfId="198" applyFont="1" applyAlignment="1" applyProtection="1"/>
    <xf numFmtId="169" fontId="7" fillId="0" borderId="0" xfId="995" applyFont="1" applyAlignment="1" applyProtection="1"/>
    <xf numFmtId="169" fontId="7" fillId="0" borderId="0" xfId="995" applyFont="1" applyBorder="1" applyAlignment="1" applyProtection="1"/>
    <xf numFmtId="0" fontId="7" fillId="28" borderId="0" xfId="198" applyNumberFormat="1" applyFont="1" applyFill="1" applyAlignment="1" applyProtection="1"/>
    <xf numFmtId="10" fontId="7" fillId="0" borderId="0" xfId="995" applyNumberFormat="1" applyFont="1" applyFill="1" applyAlignment="1" applyProtection="1">
      <alignment horizontal="right"/>
    </xf>
    <xf numFmtId="3" fontId="39" fillId="0" borderId="0" xfId="995" applyNumberFormat="1" applyFont="1" applyAlignment="1" applyProtection="1"/>
    <xf numFmtId="3" fontId="48" fillId="0" borderId="0" xfId="995" applyNumberFormat="1" applyFont="1" applyAlignment="1" applyProtection="1">
      <alignment horizontal="center"/>
    </xf>
    <xf numFmtId="10" fontId="48" fillId="0" borderId="0" xfId="995" applyNumberFormat="1" applyFont="1" applyFill="1" applyAlignment="1" applyProtection="1">
      <alignment horizontal="center"/>
    </xf>
    <xf numFmtId="0" fontId="7" fillId="0" borderId="0" xfId="995" applyNumberFormat="1" applyFont="1" applyFill="1" applyBorder="1" applyAlignment="1" applyProtection="1">
      <alignment horizontal="right"/>
    </xf>
    <xf numFmtId="10" fontId="0" fillId="0" borderId="0" xfId="0" applyNumberFormat="1" applyAlignment="1" applyProtection="1">
      <alignment horizontal="center"/>
    </xf>
    <xf numFmtId="166" fontId="7" fillId="0" borderId="0" xfId="995" applyNumberFormat="1" applyFont="1" applyAlignment="1" applyProtection="1">
      <alignment horizontal="center"/>
    </xf>
    <xf numFmtId="167" fontId="7" fillId="0" borderId="0" xfId="995" applyNumberFormat="1" applyFont="1" applyFill="1" applyAlignment="1" applyProtection="1"/>
    <xf numFmtId="165" fontId="7" fillId="0" borderId="0" xfId="995" applyNumberFormat="1" applyFont="1" applyAlignment="1" applyProtection="1">
      <alignment horizontal="center"/>
    </xf>
    <xf numFmtId="165" fontId="7" fillId="0" borderId="0" xfId="995" applyNumberFormat="1" applyFont="1" applyBorder="1" applyAlignment="1" applyProtection="1">
      <alignment horizontal="center"/>
    </xf>
    <xf numFmtId="169" fontId="7" fillId="0" borderId="13" xfId="995" applyFont="1" applyBorder="1" applyAlignment="1" applyProtection="1"/>
    <xf numFmtId="0" fontId="7" fillId="0" borderId="0" xfId="995" applyNumberFormat="1" applyFont="1" applyBorder="1" applyAlignment="1" applyProtection="1">
      <alignment horizontal="center"/>
    </xf>
    <xf numFmtId="3" fontId="7" fillId="0" borderId="14" xfId="995" applyNumberFormat="1" applyFont="1" applyBorder="1" applyAlignment="1" applyProtection="1"/>
    <xf numFmtId="41" fontId="7" fillId="0" borderId="0" xfId="995" applyNumberFormat="1" applyFont="1" applyAlignment="1" applyProtection="1"/>
    <xf numFmtId="41" fontId="7" fillId="0" borderId="0" xfId="995" applyNumberFormat="1" applyFont="1" applyAlignment="1" applyProtection="1">
      <alignment horizontal="center"/>
    </xf>
    <xf numFmtId="41" fontId="7" fillId="0" borderId="0" xfId="995" applyNumberFormat="1" applyFont="1" applyBorder="1" applyAlignment="1" applyProtection="1">
      <alignment horizontal="center"/>
    </xf>
    <xf numFmtId="0" fontId="0" fillId="0" borderId="13" xfId="0" applyBorder="1" applyProtection="1"/>
    <xf numFmtId="0" fontId="0" fillId="0" borderId="14" xfId="0" applyBorder="1" applyProtection="1"/>
    <xf numFmtId="0" fontId="7" fillId="0" borderId="0" xfId="995" applyNumberFormat="1" applyFont="1" applyBorder="1" applyAlignment="1" applyProtection="1">
      <alignment horizontal="right"/>
    </xf>
    <xf numFmtId="167" fontId="48" fillId="0" borderId="0" xfId="995" applyNumberFormat="1" applyFont="1" applyFill="1" applyAlignment="1" applyProtection="1"/>
    <xf numFmtId="165" fontId="15" fillId="0" borderId="15" xfId="995" applyNumberFormat="1" applyFont="1" applyBorder="1" applyAlignment="1" applyProtection="1">
      <alignment horizontal="center"/>
    </xf>
    <xf numFmtId="0" fontId="7" fillId="28" borderId="6" xfId="995" applyNumberFormat="1" applyFont="1" applyFill="1" applyBorder="1" applyAlignment="1" applyProtection="1">
      <alignment horizontal="center"/>
    </xf>
    <xf numFmtId="170" fontId="7" fillId="0" borderId="6" xfId="995" applyNumberFormat="1" applyFont="1" applyBorder="1" applyAlignment="1" applyProtection="1">
      <alignment horizontal="center"/>
    </xf>
    <xf numFmtId="171" fontId="0" fillId="0" borderId="16" xfId="0" applyNumberFormat="1" applyBorder="1" applyProtection="1"/>
    <xf numFmtId="3" fontId="7" fillId="0" borderId="0" xfId="995" applyNumberFormat="1" applyFont="1" applyAlignment="1" applyProtection="1">
      <alignment horizontal="right"/>
    </xf>
    <xf numFmtId="0" fontId="63" fillId="0" borderId="0" xfId="0" applyFont="1" applyAlignment="1" applyProtection="1">
      <alignment horizontal="center"/>
    </xf>
    <xf numFmtId="10" fontId="7" fillId="0" borderId="0" xfId="995" applyNumberFormat="1" applyFont="1" applyFill="1" applyAlignment="1" applyProtection="1">
      <alignment horizontal="left"/>
    </xf>
    <xf numFmtId="41" fontId="7" fillId="0" borderId="0" xfId="995" applyNumberFormat="1" applyFont="1" applyBorder="1" applyAlignment="1" applyProtection="1"/>
    <xf numFmtId="41" fontId="7" fillId="0" borderId="0" xfId="995" applyNumberFormat="1" applyFont="1" applyFill="1" applyAlignment="1" applyProtection="1"/>
    <xf numFmtId="0" fontId="7" fillId="0" borderId="0" xfId="995" applyNumberFormat="1" applyFont="1" applyAlignment="1" applyProtection="1">
      <alignment horizontal="center"/>
    </xf>
    <xf numFmtId="41" fontId="7" fillId="0" borderId="0" xfId="995" quotePrefix="1" applyNumberFormat="1" applyFont="1" applyBorder="1" applyAlignment="1" applyProtection="1"/>
    <xf numFmtId="41" fontId="7" fillId="0" borderId="0" xfId="995" applyNumberFormat="1" applyFont="1" applyFill="1" applyBorder="1" applyAlignment="1" applyProtection="1">
      <alignment horizontal="right"/>
    </xf>
    <xf numFmtId="172" fontId="7" fillId="0" borderId="11" xfId="995" applyNumberFormat="1" applyFont="1" applyBorder="1" applyAlignment="1" applyProtection="1"/>
    <xf numFmtId="164" fontId="7" fillId="0" borderId="0" xfId="995" applyNumberFormat="1" applyFont="1" applyFill="1" applyBorder="1" applyAlignment="1" applyProtection="1">
      <alignment horizontal="left"/>
    </xf>
    <xf numFmtId="164" fontId="7" fillId="0" borderId="0" xfId="995" applyNumberFormat="1" applyFont="1" applyBorder="1" applyAlignment="1" applyProtection="1">
      <alignment horizontal="left"/>
    </xf>
    <xf numFmtId="3" fontId="7" fillId="0" borderId="0" xfId="995" applyNumberFormat="1" applyFont="1" applyAlignment="1" applyProtection="1">
      <alignment vertical="center" wrapText="1"/>
    </xf>
    <xf numFmtId="41" fontId="7" fillId="0" borderId="0" xfId="995" applyNumberFormat="1" applyFont="1" applyBorder="1" applyAlignment="1" applyProtection="1">
      <alignment vertical="center"/>
    </xf>
    <xf numFmtId="41" fontId="7" fillId="0" borderId="0" xfId="995" applyNumberFormat="1" applyFont="1" applyBorder="1" applyAlignment="1" applyProtection="1">
      <alignment horizontal="center" vertical="center"/>
    </xf>
    <xf numFmtId="41" fontId="7" fillId="0" borderId="0" xfId="995" applyNumberFormat="1" applyFont="1" applyAlignment="1" applyProtection="1">
      <alignment horizontal="right"/>
    </xf>
    <xf numFmtId="10" fontId="7" fillId="0" borderId="0" xfId="0" applyNumberFormat="1" applyFont="1" applyBorder="1" applyProtection="1"/>
    <xf numFmtId="0" fontId="7" fillId="0" borderId="0" xfId="0" applyFont="1" applyFill="1" applyAlignment="1" applyProtection="1">
      <alignment horizontal="center"/>
    </xf>
    <xf numFmtId="41" fontId="7" fillId="0" borderId="0" xfId="0" applyNumberFormat="1" applyFont="1" applyProtection="1"/>
    <xf numFmtId="3" fontId="14" fillId="0" borderId="0" xfId="995" applyNumberFormat="1" applyFont="1" applyFill="1" applyBorder="1" applyAlignment="1" applyProtection="1"/>
    <xf numFmtId="41" fontId="7" fillId="0" borderId="0" xfId="995" applyNumberFormat="1" applyFont="1" applyFill="1" applyBorder="1" applyAlignment="1" applyProtection="1"/>
    <xf numFmtId="3" fontId="14" fillId="0" borderId="0" xfId="995" applyNumberFormat="1" applyFont="1" applyFill="1" applyBorder="1" applyAlignment="1" applyProtection="1">
      <alignment horizontal="center"/>
    </xf>
    <xf numFmtId="41" fontId="14" fillId="0" borderId="0" xfId="995" applyNumberFormat="1" applyFont="1" applyFill="1" applyBorder="1" applyAlignment="1" applyProtection="1"/>
    <xf numFmtId="0" fontId="14" fillId="0" borderId="0" xfId="995" applyNumberFormat="1" applyFont="1" applyFill="1" applyBorder="1" applyAlignment="1" applyProtection="1"/>
    <xf numFmtId="0" fontId="6" fillId="0" borderId="0" xfId="0" applyFont="1" applyFill="1" applyProtection="1"/>
    <xf numFmtId="0" fontId="14" fillId="0" borderId="0" xfId="995" applyNumberFormat="1" applyFont="1" applyFill="1" applyBorder="1" applyProtection="1"/>
    <xf numFmtId="0" fontId="7" fillId="0" borderId="0" xfId="995" applyNumberFormat="1" applyFont="1" applyFill="1" applyBorder="1" applyAlignment="1" applyProtection="1"/>
    <xf numFmtId="3" fontId="7" fillId="0" borderId="0" xfId="995" applyNumberFormat="1" applyFont="1" applyFill="1" applyBorder="1" applyAlignment="1" applyProtection="1"/>
    <xf numFmtId="41" fontId="7" fillId="0" borderId="0" xfId="995" applyNumberFormat="1" applyFont="1" applyFill="1" applyBorder="1" applyAlignment="1" applyProtection="1">
      <alignment horizontal="center"/>
    </xf>
    <xf numFmtId="0" fontId="7" fillId="0" borderId="0" xfId="995" applyNumberFormat="1" applyFont="1" applyFill="1" applyBorder="1" applyProtection="1"/>
    <xf numFmtId="3" fontId="7" fillId="0" borderId="0" xfId="995" applyNumberFormat="1" applyFont="1" applyFill="1" applyBorder="1" applyAlignment="1" applyProtection="1">
      <alignment horizontal="center"/>
    </xf>
    <xf numFmtId="41" fontId="7" fillId="0" borderId="11" xfId="995" applyNumberFormat="1" applyFont="1" applyFill="1" applyBorder="1" applyAlignment="1" applyProtection="1"/>
    <xf numFmtId="0" fontId="7" fillId="0" borderId="0" xfId="0" applyFont="1" applyFill="1" applyBorder="1" applyProtection="1"/>
    <xf numFmtId="0" fontId="7" fillId="0" borderId="0" xfId="995" applyNumberFormat="1" applyFont="1" applyFill="1" applyBorder="1" applyAlignment="1" applyProtection="1">
      <alignment horizontal="center"/>
    </xf>
    <xf numFmtId="10" fontId="7" fillId="0" borderId="0" xfId="995" applyNumberFormat="1" applyFont="1" applyFill="1" applyBorder="1" applyAlignment="1" applyProtection="1"/>
    <xf numFmtId="167" fontId="7" fillId="0" borderId="0" xfId="995" applyNumberFormat="1" applyFont="1" applyFill="1" applyBorder="1" applyAlignment="1" applyProtection="1"/>
    <xf numFmtId="169" fontId="7" fillId="0" borderId="0" xfId="995" applyFont="1" applyFill="1" applyBorder="1" applyAlignment="1" applyProtection="1"/>
    <xf numFmtId="3" fontId="7" fillId="0" borderId="0" xfId="995" quotePrefix="1" applyNumberFormat="1" applyFont="1" applyFill="1" applyBorder="1" applyAlignment="1" applyProtection="1"/>
    <xf numFmtId="3" fontId="39" fillId="0" borderId="0" xfId="995" applyNumberFormat="1" applyFont="1" applyFill="1" applyBorder="1" applyAlignment="1" applyProtection="1">
      <alignment horizontal="right"/>
    </xf>
    <xf numFmtId="167" fontId="39" fillId="0" borderId="0" xfId="995" applyNumberFormat="1" applyFont="1" applyFill="1" applyBorder="1" applyAlignment="1" applyProtection="1"/>
    <xf numFmtId="3" fontId="39" fillId="0" borderId="0" xfId="995" quotePrefix="1" applyNumberFormat="1" applyFont="1" applyFill="1" applyBorder="1" applyAlignment="1" applyProtection="1"/>
    <xf numFmtId="0" fontId="7" fillId="0" borderId="0" xfId="0" applyFont="1" applyFill="1" applyBorder="1" applyAlignment="1" applyProtection="1">
      <alignment horizontal="center"/>
    </xf>
    <xf numFmtId="41" fontId="7" fillId="0" borderId="0" xfId="0" applyNumberFormat="1" applyFont="1" applyFill="1" applyBorder="1" applyProtection="1"/>
    <xf numFmtId="170" fontId="7" fillId="0" borderId="0" xfId="198" applyNumberFormat="1" applyFont="1" applyFill="1" applyBorder="1" applyProtection="1"/>
    <xf numFmtId="41" fontId="48" fillId="0" borderId="0" xfId="995" applyNumberFormat="1" applyFont="1" applyFill="1" applyBorder="1" applyAlignment="1" applyProtection="1"/>
    <xf numFmtId="0" fontId="7" fillId="0" borderId="0" xfId="0" applyFont="1" applyFill="1" applyBorder="1" applyAlignment="1" applyProtection="1"/>
    <xf numFmtId="41" fontId="7" fillId="0" borderId="11" xfId="0" applyNumberFormat="1" applyFont="1" applyFill="1" applyBorder="1" applyProtection="1"/>
    <xf numFmtId="41" fontId="7" fillId="0" borderId="0" xfId="0" applyNumberFormat="1" applyFont="1" applyBorder="1" applyProtection="1"/>
    <xf numFmtId="41" fontId="48" fillId="0" borderId="0" xfId="0" applyNumberFormat="1" applyFont="1" applyProtection="1"/>
    <xf numFmtId="0" fontId="7" fillId="0" borderId="0" xfId="0" applyFont="1" applyFill="1" applyProtection="1"/>
    <xf numFmtId="0" fontId="9" fillId="0" borderId="0" xfId="0" applyFont="1" applyFill="1" applyAlignment="1" applyProtection="1">
      <alignment horizontal="left"/>
    </xf>
    <xf numFmtId="0" fontId="0" fillId="0" borderId="0" xfId="0" applyFill="1" applyAlignment="1" applyProtection="1"/>
    <xf numFmtId="41" fontId="7" fillId="0" borderId="0" xfId="0" applyNumberFormat="1" applyFont="1" applyFill="1" applyProtection="1"/>
    <xf numFmtId="170" fontId="7" fillId="0" borderId="0" xfId="198" applyNumberFormat="1" applyFont="1" applyFill="1" applyProtection="1"/>
    <xf numFmtId="10" fontId="7" fillId="0" borderId="11" xfId="0" applyNumberFormat="1" applyFont="1" applyFill="1" applyBorder="1" applyProtection="1"/>
    <xf numFmtId="9" fontId="7" fillId="0" borderId="11" xfId="1011" applyFont="1" applyFill="1" applyBorder="1" applyProtection="1"/>
    <xf numFmtId="170" fontId="7" fillId="0" borderId="11" xfId="198" applyNumberFormat="1" applyFont="1" applyFill="1" applyBorder="1" applyAlignment="1" applyProtection="1"/>
    <xf numFmtId="41" fontId="7" fillId="0" borderId="11" xfId="0" applyNumberFormat="1" applyFont="1" applyBorder="1" applyProtection="1"/>
    <xf numFmtId="10" fontId="7" fillId="0" borderId="0" xfId="0" applyNumberFormat="1" applyFont="1" applyProtection="1"/>
    <xf numFmtId="10" fontId="48" fillId="0" borderId="0" xfId="0" applyNumberFormat="1" applyFont="1" applyProtection="1"/>
    <xf numFmtId="170" fontId="7" fillId="0" borderId="11" xfId="198" applyNumberFormat="1" applyFont="1" applyFill="1" applyBorder="1" applyProtection="1"/>
    <xf numFmtId="175" fontId="7" fillId="0" borderId="0" xfId="0" applyNumberFormat="1" applyFont="1" applyProtection="1"/>
    <xf numFmtId="43" fontId="7" fillId="0" borderId="0" xfId="198" applyFont="1" applyProtection="1"/>
    <xf numFmtId="43" fontId="7" fillId="0" borderId="0" xfId="198" applyNumberFormat="1" applyFont="1" applyProtection="1"/>
    <xf numFmtId="170" fontId="7" fillId="0" borderId="0" xfId="0" applyNumberFormat="1" applyFont="1" applyProtection="1"/>
    <xf numFmtId="0" fontId="7" fillId="0" borderId="0" xfId="0" applyNumberFormat="1" applyFont="1" applyBorder="1" applyAlignment="1" applyProtection="1">
      <alignment horizontal="center"/>
    </xf>
    <xf numFmtId="170" fontId="7" fillId="0" borderId="0" xfId="0" applyNumberFormat="1" applyFont="1" applyBorder="1" applyProtection="1"/>
    <xf numFmtId="170" fontId="7" fillId="0" borderId="0" xfId="198" applyNumberFormat="1" applyFont="1" applyBorder="1" applyProtection="1"/>
    <xf numFmtId="171" fontId="7" fillId="0" borderId="0" xfId="0" applyNumberFormat="1" applyFont="1" applyBorder="1" applyProtection="1"/>
    <xf numFmtId="0" fontId="65" fillId="0" borderId="0" xfId="0" quotePrefix="1" applyFont="1" applyAlignment="1" applyProtection="1">
      <alignment horizontal="left"/>
    </xf>
    <xf numFmtId="0" fontId="66" fillId="0" borderId="0" xfId="0" quotePrefix="1" applyFont="1" applyAlignment="1" applyProtection="1">
      <alignment horizontal="left"/>
    </xf>
    <xf numFmtId="0" fontId="7" fillId="0" borderId="26" xfId="0" quotePrefix="1" applyFont="1" applyFill="1" applyBorder="1" applyAlignment="1" applyProtection="1">
      <alignment horizontal="left"/>
    </xf>
    <xf numFmtId="0" fontId="0" fillId="0" borderId="39" xfId="0" quotePrefix="1" applyBorder="1" applyAlignment="1" applyProtection="1">
      <alignment horizontal="left"/>
    </xf>
    <xf numFmtId="0" fontId="54" fillId="0" borderId="43" xfId="0" applyNumberFormat="1" applyFont="1" applyBorder="1" applyProtection="1"/>
    <xf numFmtId="0" fontId="106" fillId="0" borderId="14" xfId="0" applyFont="1" applyBorder="1" applyProtection="1"/>
    <xf numFmtId="10" fontId="54" fillId="0" borderId="43" xfId="0" applyNumberFormat="1" applyFont="1" applyBorder="1" applyProtection="1"/>
    <xf numFmtId="170" fontId="54" fillId="0" borderId="43" xfId="274" applyNumberFormat="1" applyFont="1" applyBorder="1" applyProtection="1"/>
    <xf numFmtId="0" fontId="106" fillId="0" borderId="41" xfId="0" applyFont="1" applyBorder="1" applyProtection="1"/>
    <xf numFmtId="166" fontId="54" fillId="0" borderId="43" xfId="0" applyNumberFormat="1" applyFont="1" applyBorder="1" applyProtection="1"/>
    <xf numFmtId="0" fontId="106" fillId="0" borderId="42" xfId="0" applyFont="1" applyBorder="1" applyProtection="1"/>
    <xf numFmtId="41" fontId="54" fillId="0" borderId="43" xfId="0" applyNumberFormat="1" applyFont="1" applyFill="1" applyBorder="1" applyProtection="1"/>
    <xf numFmtId="3" fontId="7" fillId="0" borderId="45" xfId="880" applyNumberFormat="1" applyFont="1" applyFill="1" applyBorder="1" applyProtection="1"/>
    <xf numFmtId="10" fontId="54" fillId="0" borderId="13" xfId="0" applyNumberFormat="1" applyFont="1" applyFill="1" applyBorder="1" applyProtection="1"/>
    <xf numFmtId="0" fontId="7" fillId="0" borderId="14" xfId="880" applyFont="1" applyFill="1" applyBorder="1" applyProtection="1"/>
    <xf numFmtId="41" fontId="54" fillId="0" borderId="13" xfId="0" applyNumberFormat="1" applyFont="1" applyFill="1" applyBorder="1" applyProtection="1"/>
    <xf numFmtId="0" fontId="7" fillId="0" borderId="19" xfId="880" applyFont="1" applyFill="1" applyBorder="1" applyProtection="1"/>
    <xf numFmtId="170" fontId="54" fillId="0" borderId="44" xfId="0" applyNumberFormat="1" applyFont="1" applyFill="1" applyBorder="1" applyProtection="1"/>
    <xf numFmtId="0" fontId="54" fillId="0" borderId="46" xfId="0" applyFont="1" applyBorder="1" applyProtection="1"/>
    <xf numFmtId="170" fontId="7" fillId="0" borderId="0" xfId="0" applyNumberFormat="1" applyFont="1" applyFill="1" applyBorder="1" applyProtection="1"/>
    <xf numFmtId="0" fontId="54" fillId="0" borderId="16" xfId="0" applyFont="1" applyBorder="1" applyProtection="1"/>
    <xf numFmtId="170" fontId="54" fillId="0" borderId="23" xfId="0" applyNumberFormat="1" applyFont="1" applyBorder="1" applyProtection="1"/>
    <xf numFmtId="170" fontId="54" fillId="0" borderId="24" xfId="0" applyNumberFormat="1" applyFont="1" applyBorder="1" applyProtection="1"/>
    <xf numFmtId="171" fontId="54" fillId="0" borderId="25" xfId="0" applyNumberFormat="1" applyFont="1" applyBorder="1" applyProtection="1"/>
    <xf numFmtId="0" fontId="50" fillId="0" borderId="0" xfId="0" applyFont="1" applyFill="1" applyProtection="1"/>
    <xf numFmtId="0" fontId="0" fillId="0" borderId="0" xfId="0" applyAlignment="1" applyProtection="1">
      <alignment wrapText="1"/>
    </xf>
    <xf numFmtId="0" fontId="7" fillId="26" borderId="0" xfId="198" applyNumberFormat="1" applyFont="1" applyFill="1" applyAlignment="1" applyProtection="1"/>
    <xf numFmtId="0" fontId="7" fillId="0" borderId="0" xfId="198" applyNumberFormat="1" applyFont="1" applyFill="1" applyAlignment="1" applyProtection="1"/>
    <xf numFmtId="169" fontId="15" fillId="0" borderId="26" xfId="995" applyFont="1" applyBorder="1" applyAlignment="1" applyProtection="1"/>
    <xf numFmtId="169" fontId="7" fillId="0" borderId="17" xfId="995" applyFont="1" applyBorder="1" applyAlignment="1" applyProtection="1"/>
    <xf numFmtId="3" fontId="7" fillId="0" borderId="18" xfId="995" applyNumberFormat="1" applyFont="1" applyBorder="1" applyAlignment="1" applyProtection="1"/>
    <xf numFmtId="0" fontId="7" fillId="28" borderId="0" xfId="995" applyNumberFormat="1" applyFont="1" applyFill="1" applyBorder="1" applyAlignment="1" applyProtection="1">
      <alignment horizontal="center"/>
    </xf>
    <xf numFmtId="167" fontId="7" fillId="0" borderId="0" xfId="995" applyNumberFormat="1" applyFont="1" applyAlignment="1" applyProtection="1"/>
    <xf numFmtId="0" fontId="0" fillId="0" borderId="0" xfId="0" applyBorder="1" applyAlignment="1" applyProtection="1">
      <alignment horizontal="right"/>
    </xf>
    <xf numFmtId="171" fontId="0" fillId="0" borderId="0" xfId="0" applyNumberFormat="1" applyBorder="1" applyProtection="1"/>
    <xf numFmtId="171" fontId="0" fillId="0" borderId="14" xfId="0" applyNumberFormat="1" applyBorder="1" applyProtection="1"/>
    <xf numFmtId="171" fontId="0" fillId="0" borderId="6" xfId="0" applyNumberFormat="1" applyBorder="1" applyProtection="1"/>
    <xf numFmtId="167" fontId="48" fillId="0" borderId="0" xfId="995" applyNumberFormat="1" applyFont="1" applyAlignment="1" applyProtection="1"/>
    <xf numFmtId="170" fontId="0" fillId="0" borderId="0" xfId="0" applyNumberFormat="1" applyBorder="1" applyProtection="1"/>
    <xf numFmtId="170" fontId="0" fillId="0" borderId="18" xfId="0" applyNumberFormat="1" applyBorder="1" applyProtection="1"/>
    <xf numFmtId="173" fontId="7" fillId="0" borderId="0" xfId="995" applyNumberFormat="1" applyFont="1" applyAlignment="1" applyProtection="1"/>
    <xf numFmtId="165" fontId="7" fillId="0" borderId="15" xfId="995" applyNumberFormat="1" applyFont="1" applyBorder="1" applyAlignment="1" applyProtection="1">
      <alignment horizontal="center"/>
    </xf>
    <xf numFmtId="0" fontId="7" fillId="0" borderId="6" xfId="995" applyNumberFormat="1" applyFont="1" applyBorder="1" applyAlignment="1" applyProtection="1">
      <alignment horizontal="center"/>
    </xf>
    <xf numFmtId="170" fontId="7" fillId="0" borderId="6" xfId="995" quotePrefix="1" applyNumberFormat="1" applyFont="1" applyBorder="1" applyAlignment="1" applyProtection="1">
      <alignment horizontal="center"/>
    </xf>
    <xf numFmtId="174" fontId="7" fillId="0" borderId="0" xfId="995" applyNumberFormat="1" applyFont="1" applyBorder="1" applyAlignment="1" applyProtection="1">
      <alignment horizontal="center"/>
    </xf>
    <xf numFmtId="176" fontId="7" fillId="0" borderId="0" xfId="995" applyNumberFormat="1" applyFont="1" applyBorder="1" applyAlignment="1" applyProtection="1">
      <alignment horizontal="center" vertical="center"/>
    </xf>
    <xf numFmtId="173" fontId="7" fillId="0" borderId="0" xfId="995" applyNumberFormat="1" applyFont="1" applyBorder="1" applyAlignment="1" applyProtection="1"/>
    <xf numFmtId="41" fontId="48" fillId="0" borderId="11" xfId="995" applyNumberFormat="1" applyFont="1" applyFill="1" applyBorder="1" applyAlignment="1" applyProtection="1"/>
    <xf numFmtId="10" fontId="7" fillId="0" borderId="0" xfId="0" applyNumberFormat="1" applyFont="1" applyFill="1" applyBorder="1" applyProtection="1"/>
    <xf numFmtId="9" fontId="7" fillId="0" borderId="0" xfId="1011" applyFont="1" applyFill="1" applyBorder="1" applyProtection="1"/>
    <xf numFmtId="170" fontId="7" fillId="0" borderId="0" xfId="198" applyNumberFormat="1" applyFont="1" applyFill="1" applyBorder="1" applyAlignment="1" applyProtection="1"/>
    <xf numFmtId="41" fontId="56" fillId="0" borderId="0" xfId="0" applyNumberFormat="1" applyFont="1" applyProtection="1"/>
    <xf numFmtId="10" fontId="0" fillId="0" borderId="0" xfId="0" applyNumberFormat="1" applyProtection="1"/>
    <xf numFmtId="164" fontId="1" fillId="0" borderId="0" xfId="1011" applyNumberFormat="1" applyProtection="1"/>
    <xf numFmtId="0" fontId="7" fillId="0" borderId="40" xfId="0" quotePrefix="1" applyFont="1" applyFill="1" applyBorder="1" applyAlignment="1" applyProtection="1">
      <alignment horizontal="left"/>
    </xf>
    <xf numFmtId="0" fontId="0" fillId="0" borderId="18" xfId="0" applyBorder="1" applyProtection="1"/>
    <xf numFmtId="0" fontId="54" fillId="0" borderId="43" xfId="0" quotePrefix="1" applyFont="1" applyFill="1" applyBorder="1" applyAlignment="1" applyProtection="1">
      <alignment horizontal="right"/>
    </xf>
    <xf numFmtId="169" fontId="0" fillId="0" borderId="14" xfId="0" applyNumberFormat="1" applyBorder="1" applyProtection="1"/>
    <xf numFmtId="10" fontId="54" fillId="0" borderId="43" xfId="0" applyNumberFormat="1" applyFont="1" applyFill="1" applyBorder="1" applyProtection="1"/>
    <xf numFmtId="170" fontId="54" fillId="0" borderId="43" xfId="202" applyNumberFormat="1" applyFont="1" applyFill="1" applyBorder="1" applyProtection="1"/>
    <xf numFmtId="166" fontId="54" fillId="0" borderId="43" xfId="0" applyNumberFormat="1" applyFont="1" applyFill="1" applyBorder="1" applyProtection="1"/>
    <xf numFmtId="41" fontId="54" fillId="0" borderId="13" xfId="0" applyNumberFormat="1" applyFont="1" applyBorder="1" applyProtection="1"/>
    <xf numFmtId="3" fontId="54" fillId="0" borderId="45" xfId="0" applyNumberFormat="1" applyFont="1" applyBorder="1" applyProtection="1"/>
    <xf numFmtId="10" fontId="54" fillId="0" borderId="13" xfId="0" applyNumberFormat="1" applyFont="1" applyBorder="1" applyProtection="1"/>
    <xf numFmtId="0" fontId="54" fillId="0" borderId="14" xfId="0" applyFont="1" applyBorder="1" applyProtection="1"/>
    <xf numFmtId="0" fontId="7" fillId="0" borderId="14" xfId="0" applyFont="1" applyFill="1" applyBorder="1" applyProtection="1"/>
    <xf numFmtId="0" fontId="54" fillId="0" borderId="19" xfId="0" applyFont="1" applyBorder="1" applyProtection="1"/>
    <xf numFmtId="170" fontId="54" fillId="0" borderId="43" xfId="0" applyNumberFormat="1" applyFont="1" applyBorder="1" applyProtection="1"/>
    <xf numFmtId="170" fontId="54" fillId="0" borderId="44" xfId="0" applyNumberFormat="1" applyFont="1" applyBorder="1" applyProtection="1"/>
    <xf numFmtId="170" fontId="54" fillId="0" borderId="47" xfId="0" applyNumberFormat="1" applyFont="1" applyFill="1" applyBorder="1" applyProtection="1"/>
    <xf numFmtId="170" fontId="54" fillId="0" borderId="23" xfId="516" applyNumberFormat="1" applyFont="1" applyBorder="1" applyProtection="1"/>
    <xf numFmtId="170" fontId="54" fillId="0" borderId="24" xfId="516" applyNumberFormat="1" applyFont="1" applyBorder="1" applyProtection="1"/>
    <xf numFmtId="170" fontId="54" fillId="0" borderId="25" xfId="516" applyNumberFormat="1" applyFont="1" applyBorder="1" applyProtection="1"/>
    <xf numFmtId="0" fontId="50" fillId="0" borderId="0" xfId="0" quotePrefix="1" applyFont="1" applyAlignment="1" applyProtection="1">
      <alignment horizontal="left"/>
    </xf>
    <xf numFmtId="0" fontId="46" fillId="0" borderId="0" xfId="0" applyFont="1" applyAlignment="1" applyProtection="1">
      <alignment horizontal="right"/>
    </xf>
    <xf numFmtId="0" fontId="67" fillId="0" borderId="0" xfId="0" applyFont="1" applyFill="1" applyAlignment="1" applyProtection="1">
      <alignment horizontal="right"/>
    </xf>
    <xf numFmtId="0" fontId="50" fillId="0" borderId="0" xfId="0" applyFont="1" applyProtection="1"/>
    <xf numFmtId="0" fontId="46" fillId="0" borderId="0" xfId="0" applyFont="1" applyAlignment="1" applyProtection="1">
      <alignment horizontal="center"/>
    </xf>
    <xf numFmtId="0" fontId="68" fillId="0" borderId="0" xfId="0" quotePrefix="1" applyFont="1" applyAlignment="1" applyProtection="1">
      <alignment horizontal="left"/>
    </xf>
    <xf numFmtId="0" fontId="39" fillId="0" borderId="0" xfId="0" applyFont="1" applyAlignment="1" applyProtection="1">
      <alignment horizontal="left"/>
    </xf>
    <xf numFmtId="0" fontId="51" fillId="27" borderId="0" xfId="198" applyNumberFormat="1" applyFont="1" applyFill="1" applyAlignment="1" applyProtection="1">
      <alignment horizontal="left"/>
    </xf>
    <xf numFmtId="0" fontId="39" fillId="0" borderId="26" xfId="0" quotePrefix="1" applyFont="1" applyBorder="1" applyAlignment="1" applyProtection="1">
      <alignment horizontal="left"/>
    </xf>
    <xf numFmtId="0" fontId="39" fillId="0" borderId="17" xfId="0" applyFont="1" applyBorder="1" applyProtection="1"/>
    <xf numFmtId="0" fontId="7" fillId="0" borderId="17" xfId="0" applyFont="1" applyBorder="1" applyProtection="1"/>
    <xf numFmtId="170" fontId="39" fillId="0" borderId="18" xfId="198" applyNumberFormat="1" applyFont="1" applyBorder="1" applyProtection="1"/>
    <xf numFmtId="0" fontId="14" fillId="0" borderId="0" xfId="198" applyNumberFormat="1" applyFont="1" applyFill="1" applyAlignment="1" applyProtection="1">
      <alignment horizontal="left"/>
    </xf>
    <xf numFmtId="0" fontId="14" fillId="0" borderId="0" xfId="198" applyNumberFormat="1" applyFont="1" applyFill="1" applyBorder="1" applyAlignment="1" applyProtection="1">
      <alignment horizontal="left"/>
    </xf>
    <xf numFmtId="0" fontId="39" fillId="0" borderId="13" xfId="0" quotePrefix="1" applyFont="1" applyBorder="1" applyAlignment="1" applyProtection="1">
      <alignment horizontal="left"/>
    </xf>
    <xf numFmtId="0" fontId="9" fillId="0" borderId="0" xfId="198" applyNumberFormat="1" applyFont="1" applyFill="1" applyBorder="1" applyAlignment="1" applyProtection="1">
      <alignment horizontal="left"/>
    </xf>
    <xf numFmtId="170" fontId="39" fillId="0" borderId="19" xfId="198" applyNumberFormat="1" applyFont="1" applyBorder="1" applyProtection="1"/>
    <xf numFmtId="0" fontId="39" fillId="0" borderId="0" xfId="0" applyFont="1" applyFill="1" applyProtection="1"/>
    <xf numFmtId="0" fontId="52" fillId="0" borderId="0" xfId="0" quotePrefix="1" applyFont="1" applyFill="1" applyAlignment="1" applyProtection="1">
      <alignment horizontal="left"/>
    </xf>
    <xf numFmtId="170" fontId="39" fillId="0" borderId="15" xfId="198" applyNumberFormat="1" applyFont="1" applyBorder="1" applyProtection="1"/>
    <xf numFmtId="170" fontId="7" fillId="0" borderId="6" xfId="198" applyNumberFormat="1" applyFont="1" applyBorder="1" applyProtection="1"/>
    <xf numFmtId="170" fontId="7" fillId="0" borderId="16" xfId="198" applyNumberFormat="1" applyFont="1" applyBorder="1" applyProtection="1"/>
    <xf numFmtId="0" fontId="53" fillId="0" borderId="0" xfId="0" applyFont="1" applyFill="1" applyAlignment="1" applyProtection="1"/>
    <xf numFmtId="0" fontId="55" fillId="0" borderId="0" xfId="0" applyFont="1" applyFill="1" applyAlignment="1" applyProtection="1"/>
    <xf numFmtId="0" fontId="7" fillId="0" borderId="0" xfId="0" applyFont="1" applyFill="1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39" fillId="0" borderId="20" xfId="0" applyFont="1" applyFill="1" applyBorder="1" applyAlignment="1" applyProtection="1">
      <alignment horizontal="center"/>
    </xf>
    <xf numFmtId="0" fontId="61" fillId="28" borderId="21" xfId="0" applyFont="1" applyFill="1" applyBorder="1" applyAlignment="1" applyProtection="1">
      <alignment horizontal="center"/>
    </xf>
    <xf numFmtId="0" fontId="39" fillId="0" borderId="21" xfId="0" applyFont="1" applyFill="1" applyBorder="1" applyAlignment="1" applyProtection="1">
      <alignment horizontal="center"/>
    </xf>
    <xf numFmtId="0" fontId="39" fillId="0" borderId="22" xfId="0" applyFont="1" applyFill="1" applyBorder="1" applyAlignment="1" applyProtection="1">
      <alignment horizontal="center"/>
    </xf>
    <xf numFmtId="0" fontId="39" fillId="0" borderId="0" xfId="0" applyFont="1" applyFill="1" applyBorder="1" applyAlignment="1" applyProtection="1">
      <alignment horizontal="center"/>
    </xf>
    <xf numFmtId="0" fontId="0" fillId="0" borderId="0" xfId="0" applyBorder="1" applyAlignment="1" applyProtection="1"/>
    <xf numFmtId="0" fontId="7" fillId="0" borderId="13" xfId="0" applyFont="1" applyFill="1" applyBorder="1" applyAlignment="1" applyProtection="1"/>
    <xf numFmtId="170" fontId="54" fillId="27" borderId="14" xfId="198" applyNumberFormat="1" applyFont="1" applyFill="1" applyBorder="1" applyAlignment="1" applyProtection="1">
      <alignment horizontal="right"/>
    </xf>
    <xf numFmtId="0" fontId="7" fillId="0" borderId="0" xfId="0" applyFont="1" applyBorder="1" applyAlignment="1" applyProtection="1">
      <alignment horizontal="center"/>
    </xf>
    <xf numFmtId="0" fontId="39" fillId="0" borderId="18" xfId="0" applyFont="1" applyFill="1" applyBorder="1" applyAlignment="1" applyProtection="1">
      <alignment horizontal="center"/>
    </xf>
    <xf numFmtId="0" fontId="7" fillId="0" borderId="13" xfId="0" applyFont="1" applyFill="1" applyBorder="1" applyProtection="1"/>
    <xf numFmtId="0" fontId="54" fillId="27" borderId="14" xfId="0" applyFont="1" applyFill="1" applyBorder="1" applyAlignment="1" applyProtection="1">
      <alignment horizontal="right"/>
    </xf>
    <xf numFmtId="170" fontId="7" fillId="0" borderId="14" xfId="0" applyNumberFormat="1" applyFont="1" applyFill="1" applyBorder="1" applyAlignment="1" applyProtection="1">
      <alignment horizontal="right"/>
    </xf>
    <xf numFmtId="170" fontId="7" fillId="0" borderId="0" xfId="0" applyNumberFormat="1" applyFont="1" applyFill="1" applyBorder="1" applyAlignment="1" applyProtection="1">
      <alignment horizontal="right"/>
    </xf>
    <xf numFmtId="10" fontId="7" fillId="0" borderId="14" xfId="0" applyNumberFormat="1" applyFont="1" applyBorder="1" applyProtection="1"/>
    <xf numFmtId="170" fontId="7" fillId="0" borderId="14" xfId="198" applyNumberFormat="1" applyFont="1" applyBorder="1" applyProtection="1"/>
    <xf numFmtId="0" fontId="39" fillId="0" borderId="23" xfId="0" applyFont="1" applyBorder="1" applyAlignment="1" applyProtection="1">
      <alignment horizontal="center"/>
    </xf>
    <xf numFmtId="170" fontId="39" fillId="0" borderId="23" xfId="198" applyNumberFormat="1" applyFont="1" applyBorder="1" applyAlignment="1" applyProtection="1">
      <alignment horizontal="center"/>
    </xf>
    <xf numFmtId="170" fontId="39" fillId="0" borderId="18" xfId="349" applyNumberFormat="1" applyFont="1" applyFill="1" applyBorder="1" applyAlignment="1" applyProtection="1">
      <alignment horizontal="center" wrapText="1"/>
    </xf>
    <xf numFmtId="170" fontId="39" fillId="0" borderId="18" xfId="349" applyNumberFormat="1" applyFont="1" applyBorder="1" applyAlignment="1" applyProtection="1">
      <alignment horizontal="center" wrapText="1"/>
    </xf>
    <xf numFmtId="0" fontId="39" fillId="0" borderId="23" xfId="0" quotePrefix="1" applyFont="1" applyBorder="1" applyAlignment="1" applyProtection="1">
      <alignment horizontal="center" wrapText="1"/>
    </xf>
    <xf numFmtId="0" fontId="39" fillId="0" borderId="24" xfId="0" applyFont="1" applyBorder="1" applyAlignment="1" applyProtection="1">
      <alignment horizontal="center"/>
    </xf>
    <xf numFmtId="170" fontId="39" fillId="0" borderId="23" xfId="198" quotePrefix="1" applyNumberFormat="1" applyFont="1" applyBorder="1" applyAlignment="1" applyProtection="1">
      <alignment horizontal="center" wrapText="1"/>
    </xf>
    <xf numFmtId="170" fontId="39" fillId="0" borderId="23" xfId="198" applyNumberFormat="1" applyFont="1" applyBorder="1" applyAlignment="1" applyProtection="1">
      <alignment horizontal="center" wrapText="1"/>
    </xf>
    <xf numFmtId="0" fontId="39" fillId="0" borderId="25" xfId="0" applyFont="1" applyBorder="1" applyAlignment="1" applyProtection="1">
      <alignment horizontal="center"/>
    </xf>
    <xf numFmtId="170" fontId="39" fillId="0" borderId="16" xfId="198" applyNumberFormat="1" applyFont="1" applyFill="1" applyBorder="1" applyAlignment="1" applyProtection="1">
      <alignment horizontal="center"/>
    </xf>
    <xf numFmtId="170" fontId="39" fillId="0" borderId="16" xfId="198" applyNumberFormat="1" applyFont="1" applyBorder="1" applyAlignment="1" applyProtection="1">
      <alignment horizontal="center"/>
    </xf>
    <xf numFmtId="0" fontId="39" fillId="0" borderId="25" xfId="0" applyFont="1" applyFill="1" applyBorder="1" applyAlignment="1" applyProtection="1">
      <alignment horizontal="center"/>
    </xf>
    <xf numFmtId="0" fontId="39" fillId="0" borderId="24" xfId="0" applyFont="1" applyFill="1" applyBorder="1" applyAlignment="1" applyProtection="1">
      <alignment horizontal="center"/>
    </xf>
    <xf numFmtId="170" fontId="39" fillId="0" borderId="25" xfId="198" applyNumberFormat="1" applyFont="1" applyBorder="1" applyAlignment="1" applyProtection="1">
      <alignment horizontal="center"/>
    </xf>
    <xf numFmtId="170" fontId="39" fillId="0" borderId="15" xfId="198" applyNumberFormat="1" applyFont="1" applyBorder="1" applyAlignment="1" applyProtection="1">
      <alignment horizontal="center"/>
    </xf>
    <xf numFmtId="0" fontId="7" fillId="0" borderId="24" xfId="0" applyNumberFormat="1" applyFont="1" applyBorder="1" applyAlignment="1" applyProtection="1">
      <alignment horizontal="center"/>
    </xf>
    <xf numFmtId="170" fontId="54" fillId="27" borderId="0" xfId="0" applyNumberFormat="1" applyFont="1" applyFill="1" applyBorder="1" applyProtection="1"/>
    <xf numFmtId="170" fontId="54" fillId="27" borderId="23" xfId="198" applyNumberFormat="1" applyFont="1" applyFill="1" applyBorder="1" applyProtection="1"/>
    <xf numFmtId="170" fontId="54" fillId="27" borderId="14" xfId="198" applyNumberFormat="1" applyFont="1" applyFill="1" applyBorder="1" applyProtection="1"/>
    <xf numFmtId="171" fontId="7" fillId="0" borderId="14" xfId="0" applyNumberFormat="1" applyFont="1" applyBorder="1" applyProtection="1"/>
    <xf numFmtId="171" fontId="54" fillId="0" borderId="23" xfId="0" applyNumberFormat="1" applyFont="1" applyFill="1" applyBorder="1" applyProtection="1"/>
    <xf numFmtId="171" fontId="7" fillId="0" borderId="23" xfId="0" applyNumberFormat="1" applyFont="1" applyBorder="1" applyProtection="1"/>
    <xf numFmtId="171" fontId="7" fillId="0" borderId="24" xfId="0" applyNumberFormat="1" applyFont="1" applyBorder="1" applyProtection="1"/>
    <xf numFmtId="170" fontId="54" fillId="27" borderId="24" xfId="0" applyNumberFormat="1" applyFont="1" applyFill="1" applyBorder="1" applyProtection="1"/>
    <xf numFmtId="170" fontId="54" fillId="27" borderId="24" xfId="198" applyNumberFormat="1" applyFont="1" applyFill="1" applyBorder="1" applyProtection="1"/>
    <xf numFmtId="171" fontId="54" fillId="0" borderId="14" xfId="0" applyNumberFormat="1" applyFont="1" applyFill="1" applyBorder="1" applyProtection="1"/>
    <xf numFmtId="171" fontId="54" fillId="0" borderId="24" xfId="0" applyNumberFormat="1" applyFont="1" applyFill="1" applyBorder="1" applyProtection="1"/>
    <xf numFmtId="171" fontId="7" fillId="0" borderId="24" xfId="0" applyNumberFormat="1" applyFont="1" applyFill="1" applyBorder="1" applyProtection="1"/>
    <xf numFmtId="170" fontId="79" fillId="27" borderId="24" xfId="198" applyNumberFormat="1" applyFont="1" applyFill="1" applyBorder="1" applyProtection="1"/>
    <xf numFmtId="170" fontId="7" fillId="0" borderId="24" xfId="0" applyNumberFormat="1" applyFont="1" applyFill="1" applyBorder="1" applyProtection="1"/>
    <xf numFmtId="170" fontId="1" fillId="0" borderId="24" xfId="198" applyNumberFormat="1" applyBorder="1" applyProtection="1"/>
    <xf numFmtId="170" fontId="7" fillId="0" borderId="24" xfId="0" applyNumberFormat="1" applyFont="1" applyBorder="1" applyProtection="1"/>
    <xf numFmtId="170" fontId="7" fillId="0" borderId="24" xfId="198" applyNumberFormat="1" applyFont="1" applyBorder="1" applyProtection="1"/>
    <xf numFmtId="171" fontId="54" fillId="27" borderId="24" xfId="0" applyNumberFormat="1" applyFont="1" applyFill="1" applyBorder="1" applyProtection="1"/>
    <xf numFmtId="170" fontId="7" fillId="0" borderId="24" xfId="198" applyNumberFormat="1" applyFont="1" applyFill="1" applyBorder="1" applyProtection="1"/>
    <xf numFmtId="0" fontId="7" fillId="0" borderId="25" xfId="0" applyNumberFormat="1" applyFont="1" applyBorder="1" applyAlignment="1" applyProtection="1">
      <alignment horizontal="center"/>
    </xf>
    <xf numFmtId="170" fontId="7" fillId="0" borderId="25" xfId="0" applyNumberFormat="1" applyFont="1" applyBorder="1" applyProtection="1"/>
    <xf numFmtId="170" fontId="1" fillId="0" borderId="25" xfId="198" applyNumberFormat="1" applyBorder="1" applyProtection="1"/>
    <xf numFmtId="170" fontId="7" fillId="0" borderId="25" xfId="198" applyNumberFormat="1" applyFont="1" applyFill="1" applyBorder="1" applyProtection="1"/>
    <xf numFmtId="171" fontId="7" fillId="0" borderId="16" xfId="0" applyNumberFormat="1" applyFont="1" applyBorder="1" applyProtection="1"/>
    <xf numFmtId="171" fontId="54" fillId="27" borderId="25" xfId="0" applyNumberFormat="1" applyFont="1" applyFill="1" applyBorder="1" applyProtection="1"/>
    <xf numFmtId="171" fontId="7" fillId="0" borderId="25" xfId="0" applyNumberFormat="1" applyFont="1" applyBorder="1" applyProtection="1"/>
    <xf numFmtId="0" fontId="53" fillId="0" borderId="0" xfId="0" applyFont="1" applyFill="1" applyProtection="1"/>
    <xf numFmtId="0" fontId="46" fillId="0" borderId="0" xfId="0" applyFont="1" applyFill="1" applyAlignment="1" applyProtection="1">
      <alignment horizontal="right"/>
    </xf>
    <xf numFmtId="0" fontId="69" fillId="0" borderId="0" xfId="0" applyFont="1" applyProtection="1"/>
    <xf numFmtId="0" fontId="7" fillId="0" borderId="0" xfId="0" applyFont="1" applyAlignment="1" applyProtection="1">
      <alignment horizontal="left"/>
    </xf>
    <xf numFmtId="0" fontId="46" fillId="0" borderId="0" xfId="0" quotePrefix="1" applyFont="1" applyAlignment="1" applyProtection="1">
      <alignment horizontal="center"/>
    </xf>
    <xf numFmtId="0" fontId="9" fillId="0" borderId="0" xfId="0" applyFont="1" applyFill="1" applyProtection="1"/>
    <xf numFmtId="0" fontId="39" fillId="0" borderId="30" xfId="0" applyFont="1" applyFill="1" applyBorder="1" applyAlignment="1" applyProtection="1">
      <alignment horizontal="center"/>
    </xf>
    <xf numFmtId="169" fontId="7" fillId="0" borderId="31" xfId="995" applyFont="1" applyBorder="1" applyAlignment="1" applyProtection="1">
      <alignment horizontal="center"/>
    </xf>
    <xf numFmtId="169" fontId="7" fillId="0" borderId="31" xfId="995" quotePrefix="1" applyFont="1" applyBorder="1" applyAlignment="1" applyProtection="1">
      <alignment horizontal="center"/>
    </xf>
    <xf numFmtId="3" fontId="7" fillId="0" borderId="32" xfId="995" applyNumberFormat="1" applyFont="1" applyBorder="1" applyAlignment="1" applyProtection="1">
      <alignment horizontal="center"/>
    </xf>
    <xf numFmtId="0" fontId="55" fillId="0" borderId="23" xfId="0" applyFont="1" applyBorder="1" applyProtection="1"/>
    <xf numFmtId="170" fontId="7" fillId="0" borderId="13" xfId="198" quotePrefix="1" applyNumberFormat="1" applyFont="1" applyBorder="1" applyAlignment="1" applyProtection="1">
      <alignment horizontal="right"/>
    </xf>
    <xf numFmtId="170" fontId="39" fillId="0" borderId="0" xfId="198" applyNumberFormat="1" applyFont="1" applyBorder="1" applyProtection="1"/>
    <xf numFmtId="170" fontId="7" fillId="0" borderId="14" xfId="0" applyNumberFormat="1" applyFont="1" applyBorder="1" applyProtection="1"/>
    <xf numFmtId="0" fontId="57" fillId="0" borderId="28" xfId="198" applyNumberFormat="1" applyFont="1" applyFill="1" applyBorder="1" applyAlignment="1" applyProtection="1">
      <alignment horizontal="left"/>
    </xf>
    <xf numFmtId="170" fontId="7" fillId="0" borderId="29" xfId="198" quotePrefix="1" applyNumberFormat="1" applyFont="1" applyBorder="1" applyAlignment="1" applyProtection="1">
      <alignment horizontal="right"/>
    </xf>
    <xf numFmtId="170" fontId="39" fillId="0" borderId="11" xfId="198" applyNumberFormat="1" applyFont="1" applyBorder="1" applyProtection="1"/>
    <xf numFmtId="170" fontId="7" fillId="0" borderId="19" xfId="0" applyNumberFormat="1" applyFont="1" applyBorder="1" applyProtection="1"/>
    <xf numFmtId="0" fontId="52" fillId="0" borderId="0" xfId="0" applyFont="1" applyAlignment="1" applyProtection="1">
      <alignment horizontal="left"/>
    </xf>
    <xf numFmtId="170" fontId="55" fillId="0" borderId="25" xfId="198" applyNumberFormat="1" applyFont="1" applyBorder="1" applyProtection="1"/>
    <xf numFmtId="0" fontId="7" fillId="0" borderId="15" xfId="0" quotePrefix="1" applyFont="1" applyBorder="1" applyAlignment="1" applyProtection="1">
      <alignment horizontal="right"/>
    </xf>
    <xf numFmtId="170" fontId="39" fillId="0" borderId="6" xfId="198" applyNumberFormat="1" applyFont="1" applyFill="1" applyBorder="1" applyAlignment="1" applyProtection="1">
      <alignment horizontal="left"/>
    </xf>
    <xf numFmtId="170" fontId="39" fillId="0" borderId="16" xfId="198" applyNumberFormat="1" applyFont="1" applyFill="1" applyBorder="1" applyAlignment="1" applyProtection="1">
      <alignment horizontal="left"/>
    </xf>
    <xf numFmtId="170" fontId="55" fillId="0" borderId="0" xfId="0" applyNumberFormat="1" applyFont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</xf>
    <xf numFmtId="0" fontId="39" fillId="0" borderId="21" xfId="0" applyFont="1" applyFill="1" applyBorder="1" applyAlignment="1" applyProtection="1"/>
    <xf numFmtId="0" fontId="0" fillId="0" borderId="21" xfId="0" applyBorder="1" applyAlignment="1" applyProtection="1"/>
    <xf numFmtId="0" fontId="0" fillId="0" borderId="22" xfId="0" applyBorder="1" applyAlignment="1" applyProtection="1"/>
    <xf numFmtId="0" fontId="0" fillId="0" borderId="0" xfId="0" applyFill="1" applyBorder="1" applyAlignment="1" applyProtection="1"/>
    <xf numFmtId="0" fontId="7" fillId="0" borderId="14" xfId="0" applyFont="1" applyFill="1" applyBorder="1" applyAlignment="1" applyProtection="1">
      <alignment horizontal="right"/>
    </xf>
    <xf numFmtId="170" fontId="7" fillId="0" borderId="14" xfId="198" applyNumberFormat="1" applyFont="1" applyFill="1" applyBorder="1" applyAlignment="1" applyProtection="1">
      <alignment horizontal="right"/>
    </xf>
    <xf numFmtId="0" fontId="7" fillId="0" borderId="16" xfId="0" applyFont="1" applyFill="1" applyBorder="1" applyAlignment="1" applyProtection="1">
      <alignment horizontal="right"/>
    </xf>
    <xf numFmtId="0" fontId="7" fillId="0" borderId="15" xfId="0" applyFont="1" applyBorder="1" applyProtection="1"/>
    <xf numFmtId="0" fontId="7" fillId="0" borderId="6" xfId="0" applyFont="1" applyBorder="1" applyAlignment="1" applyProtection="1">
      <alignment horizontal="center"/>
    </xf>
    <xf numFmtId="0" fontId="0" fillId="0" borderId="6" xfId="0" applyBorder="1" applyProtection="1"/>
    <xf numFmtId="0" fontId="39" fillId="0" borderId="23" xfId="0" applyFont="1" applyBorder="1" applyAlignment="1" applyProtection="1">
      <alignment horizontal="center" wrapText="1"/>
    </xf>
    <xf numFmtId="170" fontId="39" fillId="0" borderId="0" xfId="198" applyNumberFormat="1" applyFont="1" applyBorder="1" applyAlignment="1" applyProtection="1">
      <alignment horizontal="center" wrapText="1"/>
    </xf>
    <xf numFmtId="0" fontId="39" fillId="0" borderId="24" xfId="0" applyFont="1" applyBorder="1" applyAlignment="1" applyProtection="1">
      <alignment horizontal="center" wrapText="1"/>
    </xf>
    <xf numFmtId="0" fontId="39" fillId="0" borderId="6" xfId="0" applyFont="1" applyBorder="1" applyAlignment="1" applyProtection="1">
      <alignment horizontal="center"/>
    </xf>
    <xf numFmtId="170" fontId="39" fillId="0" borderId="25" xfId="198" applyNumberFormat="1" applyFont="1" applyFill="1" applyBorder="1" applyAlignment="1" applyProtection="1">
      <alignment horizontal="center"/>
    </xf>
    <xf numFmtId="170" fontId="54" fillId="27" borderId="23" xfId="0" applyNumberFormat="1" applyFont="1" applyFill="1" applyBorder="1" applyProtection="1"/>
    <xf numFmtId="168" fontId="54" fillId="27" borderId="24" xfId="198" applyNumberFormat="1" applyFont="1" applyFill="1" applyBorder="1" applyProtection="1"/>
    <xf numFmtId="168" fontId="54" fillId="27" borderId="14" xfId="198" applyNumberFormat="1" applyFont="1" applyFill="1" applyBorder="1" applyProtection="1"/>
    <xf numFmtId="170" fontId="7" fillId="0" borderId="14" xfId="198" applyNumberFormat="1" applyFont="1" applyFill="1" applyBorder="1" applyProtection="1"/>
    <xf numFmtId="170" fontId="7" fillId="0" borderId="6" xfId="0" applyNumberFormat="1" applyFont="1" applyBorder="1" applyProtection="1"/>
    <xf numFmtId="170" fontId="7" fillId="0" borderId="16" xfId="198" applyNumberFormat="1" applyFont="1" applyFill="1" applyBorder="1" applyProtection="1"/>
    <xf numFmtId="0" fontId="55" fillId="0" borderId="0" xfId="0" applyFont="1" applyProtection="1"/>
    <xf numFmtId="0" fontId="58" fillId="0" borderId="0" xfId="0" applyFont="1" applyFill="1" applyProtection="1"/>
    <xf numFmtId="0" fontId="68" fillId="0" borderId="0" xfId="0" applyFont="1" applyAlignment="1" applyProtection="1">
      <alignment horizontal="center"/>
    </xf>
    <xf numFmtId="44" fontId="7" fillId="0" borderId="0" xfId="622" applyFont="1" applyProtection="1"/>
    <xf numFmtId="170" fontId="7" fillId="0" borderId="0" xfId="0" applyNumberFormat="1" applyFont="1" applyFill="1" applyAlignment="1" applyProtection="1">
      <alignment wrapText="1"/>
    </xf>
    <xf numFmtId="44" fontId="7" fillId="0" borderId="0" xfId="0" applyNumberFormat="1" applyFont="1" applyFill="1" applyBorder="1" applyAlignment="1" applyProtection="1">
      <alignment wrapText="1"/>
    </xf>
    <xf numFmtId="0" fontId="50" fillId="27" borderId="0" xfId="0" quotePrefix="1" applyFont="1" applyFill="1" applyAlignment="1" applyProtection="1">
      <alignment horizontal="left"/>
    </xf>
    <xf numFmtId="0" fontId="7" fillId="27" borderId="0" xfId="0" applyFont="1" applyFill="1" applyProtection="1"/>
    <xf numFmtId="0" fontId="7" fillId="27" borderId="0" xfId="0" applyFont="1" applyFill="1" applyBorder="1" applyProtection="1"/>
    <xf numFmtId="0" fontId="7" fillId="27" borderId="0" xfId="0" applyFont="1" applyFill="1" applyAlignment="1" applyProtection="1">
      <alignment horizontal="center"/>
    </xf>
    <xf numFmtId="10" fontId="7" fillId="27" borderId="0" xfId="0" applyNumberFormat="1" applyFont="1" applyFill="1" applyProtection="1"/>
    <xf numFmtId="170" fontId="7" fillId="27" borderId="0" xfId="198" applyNumberFormat="1" applyFont="1" applyFill="1" applyProtection="1"/>
    <xf numFmtId="0" fontId="0" fillId="27" borderId="0" xfId="0" applyFill="1" applyProtection="1"/>
    <xf numFmtId="0" fontId="0" fillId="27" borderId="0" xfId="0" applyFill="1" applyBorder="1" applyProtection="1"/>
    <xf numFmtId="0" fontId="72" fillId="0" borderId="0" xfId="0" applyFont="1" applyFill="1" applyProtection="1"/>
    <xf numFmtId="170" fontId="53" fillId="0" borderId="0" xfId="198" applyNumberFormat="1" applyFont="1" applyFill="1" applyProtection="1"/>
    <xf numFmtId="171" fontId="87" fillId="0" borderId="14" xfId="0" applyNumberFormat="1" applyFont="1" applyBorder="1" applyProtection="1"/>
    <xf numFmtId="171" fontId="7" fillId="0" borderId="23" xfId="0" applyNumberFormat="1" applyFont="1" applyFill="1" applyBorder="1" applyProtection="1"/>
    <xf numFmtId="171" fontId="87" fillId="0" borderId="14" xfId="0" applyNumberFormat="1" applyFont="1" applyFill="1" applyBorder="1" applyProtection="1"/>
    <xf numFmtId="0" fontId="55" fillId="0" borderId="0" xfId="0" quotePrefix="1" applyFont="1" applyFill="1" applyAlignment="1" applyProtection="1">
      <alignment horizontal="left"/>
    </xf>
    <xf numFmtId="170" fontId="39" fillId="27" borderId="16" xfId="198" applyNumberFormat="1" applyFont="1" applyFill="1" applyBorder="1" applyAlignment="1" applyProtection="1">
      <alignment horizontal="center"/>
    </xf>
    <xf numFmtId="170" fontId="7" fillId="0" borderId="23" xfId="198" applyNumberFormat="1" applyFont="1" applyBorder="1" applyProtection="1"/>
    <xf numFmtId="170" fontId="39" fillId="27" borderId="25" xfId="198" applyNumberFormat="1" applyFont="1" applyFill="1" applyBorder="1" applyAlignment="1" applyProtection="1">
      <alignment horizontal="center"/>
    </xf>
    <xf numFmtId="170" fontId="7" fillId="0" borderId="23" xfId="0" applyNumberFormat="1" applyFont="1" applyBorder="1" applyProtection="1"/>
    <xf numFmtId="168" fontId="7" fillId="0" borderId="24" xfId="198" applyNumberFormat="1" applyFont="1" applyFill="1" applyBorder="1" applyProtection="1"/>
    <xf numFmtId="168" fontId="7" fillId="0" borderId="14" xfId="198" applyNumberFormat="1" applyFont="1" applyFill="1" applyBorder="1" applyProtection="1"/>
    <xf numFmtId="170" fontId="64" fillId="27" borderId="24" xfId="198" applyNumberFormat="1" applyFont="1" applyFill="1" applyBorder="1" applyProtection="1"/>
    <xf numFmtId="170" fontId="64" fillId="27" borderId="24" xfId="0" applyNumberFormat="1" applyFont="1" applyFill="1" applyBorder="1" applyProtection="1"/>
    <xf numFmtId="170" fontId="87" fillId="27" borderId="24" xfId="0" applyNumberFormat="1" applyFont="1" applyFill="1" applyBorder="1" applyProtection="1"/>
    <xf numFmtId="170" fontId="87" fillId="27" borderId="24" xfId="198" applyNumberFormat="1" applyFont="1" applyFill="1" applyBorder="1" applyProtection="1"/>
    <xf numFmtId="170" fontId="87" fillId="27" borderId="14" xfId="198" applyNumberFormat="1" applyFont="1" applyFill="1" applyBorder="1" applyProtection="1"/>
    <xf numFmtId="0" fontId="52" fillId="0" borderId="0" xfId="0" applyFont="1" applyFill="1" applyAlignment="1" applyProtection="1">
      <alignment horizontal="left"/>
    </xf>
    <xf numFmtId="0" fontId="7" fillId="0" borderId="24" xfId="0" applyNumberFormat="1" applyFont="1" applyFill="1" applyBorder="1" applyAlignment="1" applyProtection="1">
      <alignment horizontal="center"/>
    </xf>
    <xf numFmtId="171" fontId="88" fillId="0" borderId="24" xfId="0" applyNumberFormat="1" applyFont="1" applyBorder="1" applyProtection="1"/>
    <xf numFmtId="0" fontId="55" fillId="0" borderId="0" xfId="0" quotePrefix="1" applyFont="1" applyAlignment="1" applyProtection="1">
      <alignment horizontal="left"/>
    </xf>
    <xf numFmtId="170" fontId="53" fillId="0" borderId="0" xfId="198" quotePrefix="1" applyNumberFormat="1" applyFont="1" applyFill="1" applyAlignment="1" applyProtection="1">
      <alignment horizontal="left"/>
    </xf>
    <xf numFmtId="171" fontId="88" fillId="0" borderId="14" xfId="0" applyNumberFormat="1" applyFont="1" applyBorder="1" applyProtection="1"/>
    <xf numFmtId="171" fontId="88" fillId="0" borderId="14" xfId="0" applyNumberFormat="1" applyFont="1" applyFill="1" applyBorder="1" applyProtection="1"/>
    <xf numFmtId="0" fontId="55" fillId="0" borderId="0" xfId="0" applyFont="1" applyAlignment="1" applyProtection="1">
      <alignment horizontal="left"/>
    </xf>
    <xf numFmtId="171" fontId="54" fillId="27" borderId="23" xfId="0" applyNumberFormat="1" applyFont="1" applyFill="1" applyBorder="1" applyProtection="1"/>
    <xf numFmtId="0" fontId="52" fillId="0" borderId="0" xfId="0" quotePrefix="1" applyFont="1" applyAlignment="1" applyProtection="1">
      <alignment horizontal="left"/>
    </xf>
    <xf numFmtId="0" fontId="39" fillId="28" borderId="21" xfId="0" applyFont="1" applyFill="1" applyBorder="1" applyAlignment="1" applyProtection="1">
      <alignment horizontal="center"/>
    </xf>
    <xf numFmtId="170" fontId="54" fillId="27" borderId="13" xfId="0" applyNumberFormat="1" applyFont="1" applyFill="1" applyBorder="1" applyProtection="1"/>
    <xf numFmtId="0" fontId="68" fillId="0" borderId="0" xfId="0" applyFont="1" applyProtection="1"/>
    <xf numFmtId="0" fontId="52" fillId="27" borderId="0" xfId="0" applyFont="1" applyFill="1" applyAlignment="1" applyProtection="1">
      <alignment horizontal="left"/>
    </xf>
    <xf numFmtId="0" fontId="55" fillId="0" borderId="0" xfId="0" applyFont="1" applyFill="1" applyAlignment="1" applyProtection="1">
      <alignment horizontal="left"/>
    </xf>
    <xf numFmtId="170" fontId="87" fillId="27" borderId="0" xfId="0" applyNumberFormat="1" applyFont="1" applyFill="1" applyBorder="1" applyProtection="1"/>
    <xf numFmtId="170" fontId="87" fillId="27" borderId="23" xfId="198" applyNumberFormat="1" applyFont="1" applyFill="1" applyBorder="1" applyProtection="1"/>
    <xf numFmtId="170" fontId="88" fillId="27" borderId="14" xfId="198" applyNumberFormat="1" applyFont="1" applyFill="1" applyBorder="1" applyAlignment="1" applyProtection="1">
      <alignment horizontal="right"/>
    </xf>
    <xf numFmtId="170" fontId="88" fillId="27" borderId="0" xfId="0" applyNumberFormat="1" applyFont="1" applyFill="1" applyBorder="1" applyProtection="1"/>
    <xf numFmtId="170" fontId="88" fillId="27" borderId="24" xfId="198" applyNumberFormat="1" applyFont="1" applyFill="1" applyBorder="1" applyProtection="1"/>
    <xf numFmtId="170" fontId="88" fillId="27" borderId="24" xfId="0" applyNumberFormat="1" applyFont="1" applyFill="1" applyBorder="1" applyProtection="1"/>
    <xf numFmtId="170" fontId="88" fillId="27" borderId="23" xfId="0" applyNumberFormat="1" applyFont="1" applyFill="1" applyBorder="1" applyProtection="1"/>
    <xf numFmtId="168" fontId="88" fillId="27" borderId="24" xfId="198" applyNumberFormat="1" applyFont="1" applyFill="1" applyBorder="1" applyProtection="1"/>
    <xf numFmtId="168" fontId="88" fillId="27" borderId="14" xfId="198" applyNumberFormat="1" applyFont="1" applyFill="1" applyBorder="1" applyProtection="1"/>
    <xf numFmtId="171" fontId="46" fillId="0" borderId="0" xfId="0" quotePrefix="1" applyNumberFormat="1" applyFont="1" applyBorder="1" applyAlignment="1" applyProtection="1">
      <alignment horizontal="center"/>
    </xf>
    <xf numFmtId="170" fontId="7" fillId="0" borderId="14" xfId="198" quotePrefix="1" applyNumberFormat="1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170" fontId="88" fillId="27" borderId="23" xfId="198" applyNumberFormat="1" applyFont="1" applyFill="1" applyBorder="1" applyProtection="1"/>
    <xf numFmtId="170" fontId="88" fillId="27" borderId="14" xfId="198" applyNumberFormat="1" applyFont="1" applyFill="1" applyBorder="1" applyProtection="1"/>
    <xf numFmtId="171" fontId="88" fillId="27" borderId="24" xfId="0" applyNumberFormat="1" applyFont="1" applyFill="1" applyBorder="1" applyProtection="1"/>
    <xf numFmtId="171" fontId="54" fillId="0" borderId="26" xfId="0" applyNumberFormat="1" applyFont="1" applyFill="1" applyBorder="1" applyProtection="1"/>
    <xf numFmtId="171" fontId="7" fillId="0" borderId="17" xfId="0" applyNumberFormat="1" applyFont="1" applyFill="1" applyBorder="1" applyProtection="1"/>
    <xf numFmtId="171" fontId="54" fillId="0" borderId="17" xfId="0" applyNumberFormat="1" applyFont="1" applyFill="1" applyBorder="1" applyProtection="1"/>
    <xf numFmtId="171" fontId="7" fillId="0" borderId="18" xfId="0" applyNumberFormat="1" applyFont="1" applyBorder="1" applyProtection="1"/>
    <xf numFmtId="0" fontId="7" fillId="0" borderId="0" xfId="0" applyFont="1" applyFill="1" applyAlignment="1" applyProtection="1">
      <alignment horizontal="left"/>
    </xf>
    <xf numFmtId="170" fontId="7" fillId="0" borderId="0" xfId="0" applyNumberFormat="1" applyFont="1" applyAlignment="1" applyProtection="1">
      <alignment horizontal="left"/>
    </xf>
    <xf numFmtId="170" fontId="7" fillId="0" borderId="23" xfId="0" applyNumberFormat="1" applyFont="1" applyFill="1" applyBorder="1" applyProtection="1"/>
    <xf numFmtId="170" fontId="1" fillId="0" borderId="24" xfId="198" applyNumberFormat="1" applyFill="1" applyBorder="1" applyProtection="1"/>
    <xf numFmtId="170" fontId="7" fillId="27" borderId="0" xfId="0" applyNumberFormat="1" applyFont="1" applyFill="1" applyBorder="1" applyProtection="1"/>
    <xf numFmtId="170" fontId="7" fillId="27" borderId="24" xfId="198" applyNumberFormat="1" applyFont="1" applyFill="1" applyBorder="1" applyProtection="1"/>
    <xf numFmtId="170" fontId="7" fillId="27" borderId="24" xfId="0" applyNumberFormat="1" applyFont="1" applyFill="1" applyBorder="1" applyProtection="1"/>
    <xf numFmtId="170" fontId="7" fillId="27" borderId="23" xfId="0" applyNumberFormat="1" applyFont="1" applyFill="1" applyBorder="1" applyProtection="1"/>
    <xf numFmtId="168" fontId="7" fillId="27" borderId="24" xfId="198" applyNumberFormat="1" applyFont="1" applyFill="1" applyBorder="1" applyProtection="1"/>
    <xf numFmtId="168" fontId="7" fillId="27" borderId="14" xfId="198" applyNumberFormat="1" applyFont="1" applyFill="1" applyBorder="1" applyProtection="1"/>
    <xf numFmtId="171" fontId="54" fillId="60" borderId="24" xfId="0" applyNumberFormat="1" applyFont="1" applyFill="1" applyBorder="1" applyProtection="1"/>
    <xf numFmtId="170" fontId="1" fillId="27" borderId="24" xfId="198" applyNumberFormat="1" applyFill="1" applyBorder="1" applyProtection="1"/>
    <xf numFmtId="170" fontId="7" fillId="27" borderId="14" xfId="198" applyNumberFormat="1" applyFont="1" applyFill="1" applyBorder="1" applyProtection="1"/>
    <xf numFmtId="170" fontId="7" fillId="27" borderId="23" xfId="285" applyNumberFormat="1" applyFont="1" applyFill="1" applyBorder="1" applyProtection="1"/>
    <xf numFmtId="170" fontId="7" fillId="27" borderId="23" xfId="198" applyNumberFormat="1" applyFont="1" applyFill="1" applyBorder="1" applyProtection="1"/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180" fontId="7" fillId="0" borderId="14" xfId="198" applyNumberFormat="1" applyFont="1" applyFill="1" applyBorder="1" applyAlignment="1" applyProtection="1">
      <alignment horizontal="right"/>
    </xf>
    <xf numFmtId="10" fontId="54" fillId="0" borderId="43" xfId="1011" applyNumberFormat="1" applyFont="1" applyFill="1" applyBorder="1" applyProtection="1"/>
    <xf numFmtId="0" fontId="39" fillId="0" borderId="11" xfId="0" applyFont="1" applyBorder="1" applyAlignment="1" applyProtection="1">
      <alignment horizontal="center"/>
    </xf>
    <xf numFmtId="0" fontId="65" fillId="0" borderId="0" xfId="0" applyFont="1" applyFill="1" applyBorder="1" applyAlignment="1" applyProtection="1">
      <alignment horizontal="center" wrapText="1"/>
    </xf>
    <xf numFmtId="169" fontId="7" fillId="0" borderId="26" xfId="995" applyFont="1" applyBorder="1" applyAlignment="1" applyProtection="1">
      <alignment wrapText="1"/>
    </xf>
    <xf numFmtId="0" fontId="7" fillId="0" borderId="17" xfId="0" applyFont="1" applyBorder="1" applyAlignment="1" applyProtection="1">
      <alignment wrapText="1"/>
    </xf>
    <xf numFmtId="0" fontId="7" fillId="0" borderId="18" xfId="0" applyFont="1" applyBorder="1" applyAlignment="1" applyProtection="1">
      <alignment wrapText="1"/>
    </xf>
    <xf numFmtId="0" fontId="7" fillId="0" borderId="13" xfId="0" applyFont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0" fontId="7" fillId="0" borderId="14" xfId="0" applyFont="1" applyBorder="1" applyAlignment="1" applyProtection="1">
      <alignment wrapText="1"/>
    </xf>
    <xf numFmtId="0" fontId="6" fillId="0" borderId="0" xfId="0" applyFont="1" applyFill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49" fontId="46" fillId="0" borderId="0" xfId="0" applyNumberFormat="1" applyFont="1" applyAlignment="1" applyProtection="1">
      <alignment horizontal="center"/>
    </xf>
    <xf numFmtId="0" fontId="46" fillId="0" borderId="0" xfId="0" applyFont="1" applyAlignment="1" applyProtection="1">
      <alignment horizontal="center"/>
    </xf>
    <xf numFmtId="0" fontId="46" fillId="0" borderId="0" xfId="896" applyFont="1" applyBorder="1" applyAlignment="1" applyProtection="1">
      <alignment horizontal="center"/>
    </xf>
    <xf numFmtId="0" fontId="6" fillId="0" borderId="0" xfId="896" quotePrefix="1" applyFont="1" applyBorder="1" applyAlignment="1" applyProtection="1">
      <alignment horizontal="center"/>
    </xf>
    <xf numFmtId="3" fontId="71" fillId="0" borderId="0" xfId="0" quotePrefix="1" applyNumberFormat="1" applyFont="1" applyAlignment="1" applyProtection="1">
      <alignment horizontal="center"/>
    </xf>
    <xf numFmtId="3" fontId="71" fillId="0" borderId="0" xfId="0" applyNumberFormat="1" applyFont="1" applyAlignment="1" applyProtection="1">
      <alignment horizontal="center"/>
    </xf>
    <xf numFmtId="0" fontId="46" fillId="0" borderId="0" xfId="0" applyNumberFormat="1" applyFont="1" applyAlignment="1" applyProtection="1">
      <alignment horizontal="center"/>
    </xf>
    <xf numFmtId="49" fontId="6" fillId="0" borderId="0" xfId="0" applyNumberFormat="1" applyFont="1" applyAlignment="1" applyProtection="1">
      <alignment horizontal="center"/>
    </xf>
    <xf numFmtId="0" fontId="6" fillId="0" borderId="0" xfId="0" applyNumberFormat="1" applyFont="1" applyAlignment="1" applyProtection="1">
      <alignment horizontal="center"/>
    </xf>
  </cellXfs>
  <cellStyles count="1261">
    <cellStyle name="20% - Accent1" xfId="1" builtinId="30" customBuiltin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2" xfId="7" builtinId="34" customBuiltin="1"/>
    <cellStyle name="20% - Accent2 2" xfId="8"/>
    <cellStyle name="20% - Accent2 2 2" xfId="9"/>
    <cellStyle name="20% - Accent2 2 3" xfId="10"/>
    <cellStyle name="20% - Accent2 2 4" xfId="11"/>
    <cellStyle name="20% - Accent2 2 5" xfId="12"/>
    <cellStyle name="20% - Accent3" xfId="13" builtinId="38" customBuiltin="1"/>
    <cellStyle name="20% - Accent3 2" xfId="14"/>
    <cellStyle name="20% - Accent3 2 2" xfId="15"/>
    <cellStyle name="20% - Accent3 2 3" xfId="16"/>
    <cellStyle name="20% - Accent3 2 4" xfId="17"/>
    <cellStyle name="20% - Accent3 2 5" xfId="18"/>
    <cellStyle name="20% - Accent4" xfId="19" builtinId="42" customBuiltin="1"/>
    <cellStyle name="20% - Accent4 2" xfId="20"/>
    <cellStyle name="20% - Accent4 2 2" xfId="21"/>
    <cellStyle name="20% - Accent4 2 3" xfId="22"/>
    <cellStyle name="20% - Accent4 2 4" xfId="23"/>
    <cellStyle name="20% - Accent4 2 5" xfId="24"/>
    <cellStyle name="20% - Accent5" xfId="25" builtinId="46" customBuiltin="1"/>
    <cellStyle name="20% - Accent5 2" xfId="26"/>
    <cellStyle name="20% - Accent5 2 2" xfId="27"/>
    <cellStyle name="20% - Accent5 2 3" xfId="28"/>
    <cellStyle name="20% - Accent5 2 4" xfId="29"/>
    <cellStyle name="20% - Accent5 2 5" xfId="30"/>
    <cellStyle name="20% - Accent6" xfId="31" builtinId="50" customBuiltin="1"/>
    <cellStyle name="20% - Accent6 2" xfId="32"/>
    <cellStyle name="20% - Accent6 2 2" xfId="33"/>
    <cellStyle name="20% - Accent6 2 3" xfId="34"/>
    <cellStyle name="20% - Accent6 2 4" xfId="35"/>
    <cellStyle name="20% - Accent6 2 5" xfId="36"/>
    <cellStyle name="40% - Accent1" xfId="37" builtinId="31" customBuiltin="1"/>
    <cellStyle name="40% - Accent1 2" xfId="38"/>
    <cellStyle name="40% - Accent1 2 2" xfId="39"/>
    <cellStyle name="40% - Accent1 2 3" xfId="40"/>
    <cellStyle name="40% - Accent1 2 4" xfId="41"/>
    <cellStyle name="40% - Accent1 2 5" xfId="42"/>
    <cellStyle name="40% - Accent2" xfId="43" builtinId="35" customBuiltin="1"/>
    <cellStyle name="40% - Accent2 2" xfId="44"/>
    <cellStyle name="40% - Accent2 2 2" xfId="45"/>
    <cellStyle name="40% - Accent2 2 3" xfId="46"/>
    <cellStyle name="40% - Accent2 2 4" xfId="47"/>
    <cellStyle name="40% - Accent2 2 5" xfId="48"/>
    <cellStyle name="40% - Accent3" xfId="49" builtinId="39" customBuiltin="1"/>
    <cellStyle name="40% - Accent3 2" xfId="50"/>
    <cellStyle name="40% - Accent3 2 2" xfId="51"/>
    <cellStyle name="40% - Accent3 2 3" xfId="52"/>
    <cellStyle name="40% - Accent3 2 4" xfId="53"/>
    <cellStyle name="40% - Accent3 2 5" xfId="54"/>
    <cellStyle name="40% - Accent4" xfId="55" builtinId="43" customBuiltin="1"/>
    <cellStyle name="40% - Accent4 2" xfId="56"/>
    <cellStyle name="40% - Accent4 2 2" xfId="57"/>
    <cellStyle name="40% - Accent4 2 3" xfId="58"/>
    <cellStyle name="40% - Accent4 2 4" xfId="59"/>
    <cellStyle name="40% - Accent4 2 5" xfId="60"/>
    <cellStyle name="40% - Accent5" xfId="61" builtinId="47" customBuiltin="1"/>
    <cellStyle name="40% - Accent5 2" xfId="62"/>
    <cellStyle name="40% - Accent5 2 2" xfId="63"/>
    <cellStyle name="40% - Accent5 2 3" xfId="64"/>
    <cellStyle name="40% - Accent5 2 4" xfId="65"/>
    <cellStyle name="40% - Accent5 2 5" xfId="66"/>
    <cellStyle name="40% - Accent6" xfId="67" builtinId="51" customBuiltin="1"/>
    <cellStyle name="40% - Accent6 2" xfId="68"/>
    <cellStyle name="40% - Accent6 2 2" xfId="69"/>
    <cellStyle name="40% - Accent6 2 3" xfId="70"/>
    <cellStyle name="40% - Accent6 2 4" xfId="71"/>
    <cellStyle name="40% - Accent6 2 5" xfId="72"/>
    <cellStyle name="60% - Accent1" xfId="73" builtinId="32" customBuiltin="1"/>
    <cellStyle name="60% - Accent1 2" xfId="74"/>
    <cellStyle name="60% - Accent1 2 2" xfId="75"/>
    <cellStyle name="60% - Accent1 2 3" xfId="76"/>
    <cellStyle name="60% - Accent1 2 4" xfId="77"/>
    <cellStyle name="60% - Accent1 2 5" xfId="78"/>
    <cellStyle name="60% - Accent2" xfId="79" builtinId="36" customBuiltin="1"/>
    <cellStyle name="60% - Accent2 2" xfId="80"/>
    <cellStyle name="60% - Accent2 2 2" xfId="81"/>
    <cellStyle name="60% - Accent2 2 3" xfId="82"/>
    <cellStyle name="60% - Accent2 2 4" xfId="83"/>
    <cellStyle name="60% - Accent2 2 5" xfId="84"/>
    <cellStyle name="60% - Accent3" xfId="85" builtinId="40" customBuiltin="1"/>
    <cellStyle name="60% - Accent3 2" xfId="86"/>
    <cellStyle name="60% - Accent3 2 2" xfId="87"/>
    <cellStyle name="60% - Accent3 2 3" xfId="88"/>
    <cellStyle name="60% - Accent3 2 4" xfId="89"/>
    <cellStyle name="60% - Accent3 2 5" xfId="90"/>
    <cellStyle name="60% - Accent4" xfId="91" builtinId="44" customBuiltin="1"/>
    <cellStyle name="60% - Accent4 2" xfId="92"/>
    <cellStyle name="60% - Accent4 2 2" xfId="93"/>
    <cellStyle name="60% - Accent4 2 3" xfId="94"/>
    <cellStyle name="60% - Accent4 2 4" xfId="95"/>
    <cellStyle name="60% - Accent4 2 5" xfId="96"/>
    <cellStyle name="60% - Accent5" xfId="97" builtinId="48" customBuiltin="1"/>
    <cellStyle name="60% - Accent5 2" xfId="98"/>
    <cellStyle name="60% - Accent5 2 2" xfId="99"/>
    <cellStyle name="60% - Accent5 2 3" xfId="100"/>
    <cellStyle name="60% - Accent5 2 4" xfId="101"/>
    <cellStyle name="60% - Accent5 2 5" xfId="102"/>
    <cellStyle name="60% - Accent6" xfId="103" builtinId="52" customBuiltin="1"/>
    <cellStyle name="60% - Accent6 2" xfId="104"/>
    <cellStyle name="60% - Accent6 2 2" xfId="105"/>
    <cellStyle name="60% - Accent6 2 3" xfId="106"/>
    <cellStyle name="60% - Accent6 2 4" xfId="107"/>
    <cellStyle name="60% - Accent6 2 5" xfId="108"/>
    <cellStyle name="Accent1" xfId="109" builtinId="29" customBuiltin="1"/>
    <cellStyle name="Accent1 2" xfId="110"/>
    <cellStyle name="Accent1 2 2" xfId="111"/>
    <cellStyle name="Accent1 2 3" xfId="112"/>
    <cellStyle name="Accent1 2 4" xfId="113"/>
    <cellStyle name="Accent1 2 5" xfId="114"/>
    <cellStyle name="Accent2" xfId="115" builtinId="33" customBuiltin="1"/>
    <cellStyle name="Accent2 2" xfId="116"/>
    <cellStyle name="Accent2 2 2" xfId="117"/>
    <cellStyle name="Accent2 2 3" xfId="118"/>
    <cellStyle name="Accent2 2 4" xfId="119"/>
    <cellStyle name="Accent2 2 5" xfId="120"/>
    <cellStyle name="Accent3" xfId="121" builtinId="37" customBuiltin="1"/>
    <cellStyle name="Accent3 2" xfId="122"/>
    <cellStyle name="Accent3 2 2" xfId="123"/>
    <cellStyle name="Accent3 2 3" xfId="124"/>
    <cellStyle name="Accent3 2 4" xfId="125"/>
    <cellStyle name="Accent3 2 5" xfId="126"/>
    <cellStyle name="Accent4" xfId="127" builtinId="41" customBuiltin="1"/>
    <cellStyle name="Accent4 2" xfId="128"/>
    <cellStyle name="Accent4 2 2" xfId="129"/>
    <cellStyle name="Accent4 2 3" xfId="130"/>
    <cellStyle name="Accent4 2 4" xfId="131"/>
    <cellStyle name="Accent4 2 5" xfId="132"/>
    <cellStyle name="Accent5" xfId="133" builtinId="45" customBuiltin="1"/>
    <cellStyle name="Accent5 2" xfId="134"/>
    <cellStyle name="Accent5 2 2" xfId="135"/>
    <cellStyle name="Accent5 2 3" xfId="136"/>
    <cellStyle name="Accent5 2 4" xfId="137"/>
    <cellStyle name="Accent5 2 5" xfId="138"/>
    <cellStyle name="Accent6" xfId="139" builtinId="49" customBuiltin="1"/>
    <cellStyle name="Accent6 2" xfId="140"/>
    <cellStyle name="Accent6 2 2" xfId="141"/>
    <cellStyle name="Accent6 2 3" xfId="142"/>
    <cellStyle name="Accent6 2 4" xfId="143"/>
    <cellStyle name="Accent6 2 5" xfId="144"/>
    <cellStyle name="Bad" xfId="145" builtinId="27" customBuiltin="1"/>
    <cellStyle name="Bad 2" xfId="146"/>
    <cellStyle name="Bad 2 2" xfId="147"/>
    <cellStyle name="Bad 2 3" xfId="148"/>
    <cellStyle name="Bad 2 4" xfId="149"/>
    <cellStyle name="Bad 2 5" xfId="150"/>
    <cellStyle name="C00A" xfId="151"/>
    <cellStyle name="C00B" xfId="152"/>
    <cellStyle name="C00L" xfId="153"/>
    <cellStyle name="C01A" xfId="154"/>
    <cellStyle name="C01B" xfId="155"/>
    <cellStyle name="C01B 2" xfId="156"/>
    <cellStyle name="C01H" xfId="157"/>
    <cellStyle name="C01L" xfId="158"/>
    <cellStyle name="C02A" xfId="159"/>
    <cellStyle name="C02B" xfId="160"/>
    <cellStyle name="C02B 2" xfId="161"/>
    <cellStyle name="C02H" xfId="162"/>
    <cellStyle name="C02L" xfId="163"/>
    <cellStyle name="C03A" xfId="164"/>
    <cellStyle name="C03B" xfId="165"/>
    <cellStyle name="C03H" xfId="166"/>
    <cellStyle name="C03L" xfId="167"/>
    <cellStyle name="C04A" xfId="168"/>
    <cellStyle name="C04A 2" xfId="169"/>
    <cellStyle name="C04B" xfId="170"/>
    <cellStyle name="C04H" xfId="171"/>
    <cellStyle name="C04L" xfId="172"/>
    <cellStyle name="C05A" xfId="173"/>
    <cellStyle name="C05B" xfId="174"/>
    <cellStyle name="C05H" xfId="175"/>
    <cellStyle name="C05L" xfId="176"/>
    <cellStyle name="C05L 2" xfId="177"/>
    <cellStyle name="C06A" xfId="178"/>
    <cellStyle name="C06B" xfId="179"/>
    <cellStyle name="C06H" xfId="180"/>
    <cellStyle name="C06L" xfId="181"/>
    <cellStyle name="C07A" xfId="182"/>
    <cellStyle name="C07B" xfId="183"/>
    <cellStyle name="C07H" xfId="184"/>
    <cellStyle name="C07L" xfId="185"/>
    <cellStyle name="Calculation" xfId="186" builtinId="22" customBuiltin="1"/>
    <cellStyle name="Calculation 2" xfId="187"/>
    <cellStyle name="Calculation 2 2" xfId="188"/>
    <cellStyle name="Calculation 2 3" xfId="189"/>
    <cellStyle name="Calculation 2 4" xfId="190"/>
    <cellStyle name="Calculation 2 5" xfId="191"/>
    <cellStyle name="Check Cell" xfId="192" builtinId="23" customBuiltin="1"/>
    <cellStyle name="Check Cell 2" xfId="193"/>
    <cellStyle name="Check Cell 2 2" xfId="194"/>
    <cellStyle name="Check Cell 2 3" xfId="195"/>
    <cellStyle name="Check Cell 2 4" xfId="196"/>
    <cellStyle name="Check Cell 2 5" xfId="197"/>
    <cellStyle name="Comma" xfId="198" builtinId="3"/>
    <cellStyle name="Comma [0] 2" xfId="199"/>
    <cellStyle name="Comma [0] 2 2" xfId="200"/>
    <cellStyle name="Comma 10" xfId="201"/>
    <cellStyle name="Comma 100" xfId="202"/>
    <cellStyle name="Comma 101" xfId="203"/>
    <cellStyle name="Comma 101 2" xfId="204"/>
    <cellStyle name="Comma 102" xfId="205"/>
    <cellStyle name="Comma 102 2" xfId="206"/>
    <cellStyle name="Comma 103" xfId="207"/>
    <cellStyle name="Comma 103 2" xfId="208"/>
    <cellStyle name="Comma 104" xfId="209"/>
    <cellStyle name="Comma 104 2" xfId="210"/>
    <cellStyle name="Comma 105" xfId="211"/>
    <cellStyle name="Comma 105 2" xfId="212"/>
    <cellStyle name="Comma 106" xfId="213"/>
    <cellStyle name="Comma 106 2" xfId="214"/>
    <cellStyle name="Comma 107" xfId="215"/>
    <cellStyle name="Comma 107 2" xfId="216"/>
    <cellStyle name="Comma 108" xfId="217"/>
    <cellStyle name="Comma 108 2" xfId="218"/>
    <cellStyle name="Comma 109" xfId="219"/>
    <cellStyle name="Comma 11" xfId="220"/>
    <cellStyle name="Comma 110" xfId="221"/>
    <cellStyle name="Comma 111" xfId="222"/>
    <cellStyle name="Comma 112" xfId="223"/>
    <cellStyle name="Comma 112 2" xfId="224"/>
    <cellStyle name="Comma 113" xfId="225"/>
    <cellStyle name="Comma 113 2" xfId="226"/>
    <cellStyle name="Comma 114" xfId="227"/>
    <cellStyle name="Comma 114 2" xfId="228"/>
    <cellStyle name="Comma 115" xfId="229"/>
    <cellStyle name="Comma 115 2" xfId="230"/>
    <cellStyle name="Comma 116" xfId="231"/>
    <cellStyle name="Comma 116 2" xfId="232"/>
    <cellStyle name="Comma 117" xfId="233"/>
    <cellStyle name="Comma 117 2" xfId="234"/>
    <cellStyle name="Comma 118" xfId="235"/>
    <cellStyle name="Comma 118 2" xfId="236"/>
    <cellStyle name="Comma 119" xfId="237"/>
    <cellStyle name="Comma 119 2" xfId="238"/>
    <cellStyle name="Comma 12" xfId="239"/>
    <cellStyle name="Comma 12 2" xfId="240"/>
    <cellStyle name="Comma 12 2 2" xfId="241"/>
    <cellStyle name="Comma 12 2 3" xfId="242"/>
    <cellStyle name="Comma 120" xfId="243"/>
    <cellStyle name="Comma 120 2" xfId="244"/>
    <cellStyle name="Comma 121" xfId="245"/>
    <cellStyle name="Comma 121 2" xfId="246"/>
    <cellStyle name="Comma 122" xfId="247"/>
    <cellStyle name="Comma 122 2" xfId="248"/>
    <cellStyle name="Comma 123" xfId="249"/>
    <cellStyle name="Comma 123 2" xfId="250"/>
    <cellStyle name="Comma 124" xfId="251"/>
    <cellStyle name="Comma 124 2" xfId="252"/>
    <cellStyle name="Comma 125" xfId="253"/>
    <cellStyle name="Comma 125 2" xfId="254"/>
    <cellStyle name="Comma 126" xfId="255"/>
    <cellStyle name="Comma 126 2" xfId="256"/>
    <cellStyle name="Comma 127" xfId="257"/>
    <cellStyle name="Comma 127 2" xfId="258"/>
    <cellStyle name="Comma 128" xfId="259"/>
    <cellStyle name="Comma 128 2" xfId="260"/>
    <cellStyle name="Comma 129" xfId="261"/>
    <cellStyle name="Comma 129 2" xfId="262"/>
    <cellStyle name="Comma 13" xfId="263"/>
    <cellStyle name="Comma 130" xfId="264"/>
    <cellStyle name="Comma 130 2" xfId="265"/>
    <cellStyle name="Comma 131" xfId="266"/>
    <cellStyle name="Comma 132" xfId="267"/>
    <cellStyle name="Comma 133" xfId="268"/>
    <cellStyle name="Comma 134" xfId="269"/>
    <cellStyle name="Comma 135" xfId="270"/>
    <cellStyle name="Comma 136" xfId="271"/>
    <cellStyle name="Comma 137" xfId="272"/>
    <cellStyle name="Comma 138" xfId="273"/>
    <cellStyle name="Comma 139" xfId="274"/>
    <cellStyle name="Comma 14" xfId="275"/>
    <cellStyle name="Comma 140" xfId="276"/>
    <cellStyle name="Comma 141" xfId="277"/>
    <cellStyle name="Comma 142" xfId="278"/>
    <cellStyle name="Comma 143" xfId="279"/>
    <cellStyle name="Comma 15" xfId="280"/>
    <cellStyle name="Comma 16" xfId="281"/>
    <cellStyle name="Comma 17" xfId="282"/>
    <cellStyle name="Comma 18" xfId="283"/>
    <cellStyle name="Comma 19" xfId="284"/>
    <cellStyle name="Comma 2" xfId="285"/>
    <cellStyle name="Comma 2 2" xfId="286"/>
    <cellStyle name="Comma 2 2 2" xfId="287"/>
    <cellStyle name="Comma 2 3" xfId="288"/>
    <cellStyle name="Comma 2 3 2" xfId="289"/>
    <cellStyle name="Comma 2 3 3" xfId="290"/>
    <cellStyle name="Comma 2 3 4" xfId="291"/>
    <cellStyle name="Comma 2 4" xfId="292"/>
    <cellStyle name="Comma 20" xfId="293"/>
    <cellStyle name="Comma 21" xfId="294"/>
    <cellStyle name="Comma 22" xfId="295"/>
    <cellStyle name="Comma 23" xfId="296"/>
    <cellStyle name="Comma 24" xfId="297"/>
    <cellStyle name="Comma 25" xfId="298"/>
    <cellStyle name="Comma 25 2" xfId="299"/>
    <cellStyle name="Comma 26" xfId="300"/>
    <cellStyle name="Comma 26 2" xfId="301"/>
    <cellStyle name="Comma 27" xfId="302"/>
    <cellStyle name="Comma 27 2" xfId="303"/>
    <cellStyle name="Comma 28" xfId="304"/>
    <cellStyle name="Comma 28 2" xfId="305"/>
    <cellStyle name="Comma 29" xfId="306"/>
    <cellStyle name="Comma 29 2" xfId="307"/>
    <cellStyle name="Comma 3" xfId="308"/>
    <cellStyle name="Comma 3 10" xfId="309"/>
    <cellStyle name="Comma 3 10 2" xfId="310"/>
    <cellStyle name="Comma 3 10 3" xfId="311"/>
    <cellStyle name="Comma 3 11" xfId="312"/>
    <cellStyle name="Comma 3 11 2" xfId="313"/>
    <cellStyle name="Comma 3 12" xfId="314"/>
    <cellStyle name="Comma 3 12 2" xfId="315"/>
    <cellStyle name="Comma 3 13" xfId="316"/>
    <cellStyle name="Comma 3 13 2" xfId="317"/>
    <cellStyle name="Comma 3 14" xfId="318"/>
    <cellStyle name="Comma 3 15" xfId="319"/>
    <cellStyle name="Comma 3 2" xfId="320"/>
    <cellStyle name="Comma 3 2 2" xfId="321"/>
    <cellStyle name="Comma 3 3" xfId="322"/>
    <cellStyle name="Comma 3 3 2" xfId="323"/>
    <cellStyle name="Comma 3 3 2 2" xfId="324"/>
    <cellStyle name="Comma 3 3 2 3" xfId="325"/>
    <cellStyle name="Comma 3 3 3" xfId="326"/>
    <cellStyle name="Comma 3 3 3 2" xfId="327"/>
    <cellStyle name="Comma 3 3 3 2 2" xfId="328"/>
    <cellStyle name="Comma 3 3 3 2 3" xfId="329"/>
    <cellStyle name="Comma 3 3 3 2 4" xfId="330"/>
    <cellStyle name="Comma 3 3 3 2 5" xfId="331"/>
    <cellStyle name="Comma 3 3 3 3" xfId="332"/>
    <cellStyle name="Comma 3 3 4" xfId="333"/>
    <cellStyle name="Comma 3 3 5" xfId="334"/>
    <cellStyle name="Comma 3 3 5 2" xfId="335"/>
    <cellStyle name="Comma 3 3 5 3" xfId="336"/>
    <cellStyle name="Comma 3 3 5 4" xfId="337"/>
    <cellStyle name="Comma 3 3 5 5" xfId="338"/>
    <cellStyle name="Comma 3 3 6" xfId="339"/>
    <cellStyle name="Comma 3 4" xfId="340"/>
    <cellStyle name="Comma 3 4 2" xfId="341"/>
    <cellStyle name="Comma 3 4 3" xfId="342"/>
    <cellStyle name="Comma 3 4 4" xfId="343"/>
    <cellStyle name="Comma 3 4 4 2" xfId="344"/>
    <cellStyle name="Comma 3 4 4 3" xfId="345"/>
    <cellStyle name="Comma 3 4 4 4" xfId="346"/>
    <cellStyle name="Comma 3 4 4 5" xfId="347"/>
    <cellStyle name="Comma 3 4 5" xfId="348"/>
    <cellStyle name="Comma 3 5" xfId="349"/>
    <cellStyle name="Comma 3 5 2" xfId="350"/>
    <cellStyle name="Comma 3 5 3" xfId="351"/>
    <cellStyle name="Comma 3 5 3 2" xfId="352"/>
    <cellStyle name="Comma 3 5 3 3" xfId="353"/>
    <cellStyle name="Comma 3 6" xfId="354"/>
    <cellStyle name="Comma 3 6 2" xfId="355"/>
    <cellStyle name="Comma 3 6 3" xfId="356"/>
    <cellStyle name="Comma 3 6 4" xfId="357"/>
    <cellStyle name="Comma 3 7" xfId="358"/>
    <cellStyle name="Comma 3 7 2" xfId="359"/>
    <cellStyle name="Comma 3 7 3" xfId="360"/>
    <cellStyle name="Comma 3 7 4" xfId="361"/>
    <cellStyle name="Comma 3 8" xfId="362"/>
    <cellStyle name="Comma 3 8 2" xfId="363"/>
    <cellStyle name="Comma 3 8 3" xfId="364"/>
    <cellStyle name="Comma 3 8 4" xfId="365"/>
    <cellStyle name="Comma 3 9" xfId="366"/>
    <cellStyle name="Comma 3 9 2" xfId="367"/>
    <cellStyle name="Comma 3 9 3" xfId="368"/>
    <cellStyle name="Comma 3 9 4" xfId="369"/>
    <cellStyle name="Comma 30" xfId="370"/>
    <cellStyle name="Comma 31" xfId="371"/>
    <cellStyle name="Comma 32" xfId="372"/>
    <cellStyle name="Comma 33" xfId="373"/>
    <cellStyle name="Comma 34" xfId="374"/>
    <cellStyle name="Comma 35" xfId="375"/>
    <cellStyle name="Comma 36" xfId="376"/>
    <cellStyle name="Comma 37" xfId="377"/>
    <cellStyle name="Comma 38" xfId="378"/>
    <cellStyle name="Comma 39" xfId="379"/>
    <cellStyle name="Comma 4" xfId="380"/>
    <cellStyle name="Comma 4 2" xfId="381"/>
    <cellStyle name="Comma 4 2 2" xfId="382"/>
    <cellStyle name="Comma 4 2 2 2" xfId="383"/>
    <cellStyle name="Comma 4 2 2 3" xfId="384"/>
    <cellStyle name="Comma 4 2 2 4" xfId="385"/>
    <cellStyle name="Comma 4 2 2 5" xfId="386"/>
    <cellStyle name="Comma 4 2 3" xfId="387"/>
    <cellStyle name="Comma 4 2 3 2" xfId="388"/>
    <cellStyle name="Comma 4 2 3 2 2" xfId="389"/>
    <cellStyle name="Comma 4 2 3 3" xfId="390"/>
    <cellStyle name="Comma 4 2 3 3 2" xfId="391"/>
    <cellStyle name="Comma 4 2 3 4" xfId="392"/>
    <cellStyle name="Comma 4 2 4" xfId="393"/>
    <cellStyle name="Comma 4 2 4 2" xfId="394"/>
    <cellStyle name="Comma 4 2 4 3" xfId="395"/>
    <cellStyle name="Comma 4 2 4 4" xfId="396"/>
    <cellStyle name="Comma 4 2 5" xfId="397"/>
    <cellStyle name="Comma 4 2 6" xfId="398"/>
    <cellStyle name="Comma 4 2 7" xfId="399"/>
    <cellStyle name="Comma 4 3" xfId="400"/>
    <cellStyle name="Comma 4 3 2" xfId="401"/>
    <cellStyle name="Comma 4 3 2 2" xfId="402"/>
    <cellStyle name="Comma 4 3 2 2 2" xfId="403"/>
    <cellStyle name="Comma 4 3 2 3" xfId="404"/>
    <cellStyle name="Comma 4 3 2 3 2" xfId="405"/>
    <cellStyle name="Comma 4 3 2 4" xfId="406"/>
    <cellStyle name="Comma 4 3 3" xfId="407"/>
    <cellStyle name="Comma 4 3 4" xfId="408"/>
    <cellStyle name="Comma 4 3 4 2" xfId="409"/>
    <cellStyle name="Comma 4 3 4 3" xfId="410"/>
    <cellStyle name="Comma 4 3 5" xfId="411"/>
    <cellStyle name="Comma 4 3 5 2" xfId="412"/>
    <cellStyle name="Comma 4 3 6" xfId="413"/>
    <cellStyle name="Comma 4 3 6 2" xfId="414"/>
    <cellStyle name="Comma 4 3 7" xfId="415"/>
    <cellStyle name="Comma 4 4" xfId="416"/>
    <cellStyle name="Comma 4 4 2" xfId="417"/>
    <cellStyle name="Comma 4 4 3" xfId="418"/>
    <cellStyle name="Comma 4 4 4" xfId="419"/>
    <cellStyle name="Comma 4 4 5" xfId="420"/>
    <cellStyle name="Comma 4 5" xfId="421"/>
    <cellStyle name="Comma 4 5 2" xfId="422"/>
    <cellStyle name="Comma 4 6" xfId="423"/>
    <cellStyle name="Comma 4 7" xfId="424"/>
    <cellStyle name="Comma 4 7 2" xfId="425"/>
    <cellStyle name="Comma 4 7 3" xfId="426"/>
    <cellStyle name="Comma 40" xfId="427"/>
    <cellStyle name="Comma 41" xfId="428"/>
    <cellStyle name="Comma 42" xfId="429"/>
    <cellStyle name="Comma 43" xfId="430"/>
    <cellStyle name="Comma 44" xfId="431"/>
    <cellStyle name="Comma 45" xfId="432"/>
    <cellStyle name="Comma 46" xfId="433"/>
    <cellStyle name="Comma 47" xfId="434"/>
    <cellStyle name="Comma 48" xfId="435"/>
    <cellStyle name="Comma 49" xfId="436"/>
    <cellStyle name="Comma 5" xfId="437"/>
    <cellStyle name="Comma 5 2" xfId="438"/>
    <cellStyle name="Comma 5 2 2" xfId="439"/>
    <cellStyle name="Comma 5 2 3" xfId="440"/>
    <cellStyle name="Comma 5 3" xfId="441"/>
    <cellStyle name="Comma 50" xfId="442"/>
    <cellStyle name="Comma 51" xfId="443"/>
    <cellStyle name="Comma 52" xfId="444"/>
    <cellStyle name="Comma 52 2" xfId="445"/>
    <cellStyle name="Comma 53" xfId="446"/>
    <cellStyle name="Comma 54" xfId="447"/>
    <cellStyle name="Comma 55" xfId="448"/>
    <cellStyle name="Comma 56" xfId="449"/>
    <cellStyle name="Comma 57" xfId="450"/>
    <cellStyle name="Comma 57 2" xfId="451"/>
    <cellStyle name="Comma 57 3" xfId="452"/>
    <cellStyle name="Comma 57 4" xfId="453"/>
    <cellStyle name="Comma 57 5" xfId="454"/>
    <cellStyle name="Comma 58" xfId="455"/>
    <cellStyle name="Comma 58 2" xfId="456"/>
    <cellStyle name="Comma 58 3" xfId="457"/>
    <cellStyle name="Comma 58 4" xfId="458"/>
    <cellStyle name="Comma 58 5" xfId="459"/>
    <cellStyle name="Comma 59" xfId="460"/>
    <cellStyle name="Comma 59 2" xfId="461"/>
    <cellStyle name="Comma 59 3" xfId="462"/>
    <cellStyle name="Comma 59 4" xfId="463"/>
    <cellStyle name="Comma 59 5" xfId="464"/>
    <cellStyle name="Comma 6" xfId="465"/>
    <cellStyle name="Comma 6 2" xfId="466"/>
    <cellStyle name="Comma 6 3" xfId="467"/>
    <cellStyle name="Comma 6 4" xfId="468"/>
    <cellStyle name="Comma 6 4 2" xfId="469"/>
    <cellStyle name="Comma 6 4 3" xfId="470"/>
    <cellStyle name="Comma 6 4 4" xfId="471"/>
    <cellStyle name="Comma 6 4 5" xfId="472"/>
    <cellStyle name="Comma 6 5" xfId="473"/>
    <cellStyle name="Comma 6 6" xfId="474"/>
    <cellStyle name="Comma 6 7" xfId="475"/>
    <cellStyle name="Comma 6 7 2" xfId="476"/>
    <cellStyle name="Comma 6 7 3" xfId="477"/>
    <cellStyle name="Comma 60" xfId="478"/>
    <cellStyle name="Comma 60 2" xfId="479"/>
    <cellStyle name="Comma 60 3" xfId="480"/>
    <cellStyle name="Comma 60 4" xfId="481"/>
    <cellStyle name="Comma 60 5" xfId="482"/>
    <cellStyle name="Comma 61" xfId="483"/>
    <cellStyle name="Comma 61 2" xfId="484"/>
    <cellStyle name="Comma 61 3" xfId="485"/>
    <cellStyle name="Comma 61 4" xfId="486"/>
    <cellStyle name="Comma 61 5" xfId="487"/>
    <cellStyle name="Comma 62" xfId="488"/>
    <cellStyle name="Comma 62 2" xfId="489"/>
    <cellStyle name="Comma 62 3" xfId="490"/>
    <cellStyle name="Comma 62 4" xfId="491"/>
    <cellStyle name="Comma 63" xfId="492"/>
    <cellStyle name="Comma 63 2" xfId="493"/>
    <cellStyle name="Comma 63 3" xfId="494"/>
    <cellStyle name="Comma 63 4" xfId="495"/>
    <cellStyle name="Comma 64" xfId="496"/>
    <cellStyle name="Comma 64 2" xfId="497"/>
    <cellStyle name="Comma 64 3" xfId="498"/>
    <cellStyle name="Comma 64 4" xfId="499"/>
    <cellStyle name="Comma 65" xfId="500"/>
    <cellStyle name="Comma 65 2" xfId="501"/>
    <cellStyle name="Comma 65 3" xfId="502"/>
    <cellStyle name="Comma 65 4" xfId="503"/>
    <cellStyle name="Comma 66" xfId="504"/>
    <cellStyle name="Comma 66 2" xfId="505"/>
    <cellStyle name="Comma 66 3" xfId="506"/>
    <cellStyle name="Comma 66 4" xfId="507"/>
    <cellStyle name="Comma 67" xfId="508"/>
    <cellStyle name="Comma 67 2" xfId="509"/>
    <cellStyle name="Comma 67 3" xfId="510"/>
    <cellStyle name="Comma 67 4" xfId="511"/>
    <cellStyle name="Comma 68" xfId="512"/>
    <cellStyle name="Comma 68 2" xfId="513"/>
    <cellStyle name="Comma 68 3" xfId="514"/>
    <cellStyle name="Comma 68 4" xfId="515"/>
    <cellStyle name="Comma 69" xfId="516"/>
    <cellStyle name="Comma 69 2" xfId="517"/>
    <cellStyle name="Comma 7" xfId="518"/>
    <cellStyle name="Comma 7 2" xfId="519"/>
    <cellStyle name="Comma 70" xfId="520"/>
    <cellStyle name="Comma 70 2" xfId="521"/>
    <cellStyle name="Comma 71" xfId="522"/>
    <cellStyle name="Comma 71 2" xfId="523"/>
    <cellStyle name="Comma 72" xfId="524"/>
    <cellStyle name="Comma 72 2" xfId="525"/>
    <cellStyle name="Comma 72 3" xfId="526"/>
    <cellStyle name="Comma 72 4" xfId="527"/>
    <cellStyle name="Comma 73" xfId="528"/>
    <cellStyle name="Comma 73 2" xfId="529"/>
    <cellStyle name="Comma 73 3" xfId="530"/>
    <cellStyle name="Comma 73 4" xfId="531"/>
    <cellStyle name="Comma 74" xfId="532"/>
    <cellStyle name="Comma 74 2" xfId="533"/>
    <cellStyle name="Comma 74 3" xfId="534"/>
    <cellStyle name="Comma 74 4" xfId="535"/>
    <cellStyle name="Comma 75" xfId="536"/>
    <cellStyle name="Comma 75 2" xfId="537"/>
    <cellStyle name="Comma 75 3" xfId="538"/>
    <cellStyle name="Comma 75 4" xfId="539"/>
    <cellStyle name="Comma 76" xfId="540"/>
    <cellStyle name="Comma 76 2" xfId="541"/>
    <cellStyle name="Comma 76 3" xfId="542"/>
    <cellStyle name="Comma 76 4" xfId="543"/>
    <cellStyle name="Comma 77" xfId="544"/>
    <cellStyle name="Comma 77 2" xfId="545"/>
    <cellStyle name="Comma 77 3" xfId="546"/>
    <cellStyle name="Comma 77 4" xfId="547"/>
    <cellStyle name="Comma 78" xfId="548"/>
    <cellStyle name="Comma 78 2" xfId="549"/>
    <cellStyle name="Comma 78 3" xfId="550"/>
    <cellStyle name="Comma 78 4" xfId="551"/>
    <cellStyle name="Comma 79" xfId="552"/>
    <cellStyle name="Comma 79 2" xfId="553"/>
    <cellStyle name="Comma 79 3" xfId="554"/>
    <cellStyle name="Comma 79 4" xfId="555"/>
    <cellStyle name="Comma 8" xfId="556"/>
    <cellStyle name="Comma 80" xfId="557"/>
    <cellStyle name="Comma 80 2" xfId="558"/>
    <cellStyle name="Comma 80 3" xfId="559"/>
    <cellStyle name="Comma 80 4" xfId="560"/>
    <cellStyle name="Comma 81" xfId="561"/>
    <cellStyle name="Comma 81 2" xfId="562"/>
    <cellStyle name="Comma 81 3" xfId="563"/>
    <cellStyle name="Comma 81 4" xfId="564"/>
    <cellStyle name="Comma 82" xfId="565"/>
    <cellStyle name="Comma 82 2" xfId="566"/>
    <cellStyle name="Comma 82 3" xfId="567"/>
    <cellStyle name="Comma 82 4" xfId="568"/>
    <cellStyle name="Comma 83" xfId="569"/>
    <cellStyle name="Comma 83 2" xfId="570"/>
    <cellStyle name="Comma 83 3" xfId="571"/>
    <cellStyle name="Comma 83 4" xfId="572"/>
    <cellStyle name="Comma 84" xfId="573"/>
    <cellStyle name="Comma 84 2" xfId="574"/>
    <cellStyle name="Comma 84 3" xfId="575"/>
    <cellStyle name="Comma 84 4" xfId="576"/>
    <cellStyle name="Comma 85" xfId="577"/>
    <cellStyle name="Comma 85 2" xfId="578"/>
    <cellStyle name="Comma 85 3" xfId="579"/>
    <cellStyle name="Comma 85 4" xfId="580"/>
    <cellStyle name="Comma 86" xfId="581"/>
    <cellStyle name="Comma 86 2" xfId="582"/>
    <cellStyle name="Comma 86 3" xfId="583"/>
    <cellStyle name="Comma 86 4" xfId="584"/>
    <cellStyle name="Comma 87" xfId="585"/>
    <cellStyle name="Comma 87 2" xfId="586"/>
    <cellStyle name="Comma 87 3" xfId="587"/>
    <cellStyle name="Comma 87 4" xfId="588"/>
    <cellStyle name="Comma 88" xfId="589"/>
    <cellStyle name="Comma 88 2" xfId="590"/>
    <cellStyle name="Comma 88 3" xfId="591"/>
    <cellStyle name="Comma 88 4" xfId="592"/>
    <cellStyle name="Comma 89" xfId="593"/>
    <cellStyle name="Comma 89 2" xfId="594"/>
    <cellStyle name="Comma 89 3" xfId="595"/>
    <cellStyle name="Comma 89 4" xfId="596"/>
    <cellStyle name="Comma 9" xfId="597"/>
    <cellStyle name="Comma 90" xfId="598"/>
    <cellStyle name="Comma 90 2" xfId="599"/>
    <cellStyle name="Comma 91" xfId="600"/>
    <cellStyle name="Comma 91 2" xfId="601"/>
    <cellStyle name="Comma 92" xfId="602"/>
    <cellStyle name="Comma 92 2" xfId="603"/>
    <cellStyle name="Comma 92 3" xfId="604"/>
    <cellStyle name="Comma 93" xfId="605"/>
    <cellStyle name="Comma 93 2" xfId="606"/>
    <cellStyle name="Comma 93 3" xfId="607"/>
    <cellStyle name="Comma 94" xfId="608"/>
    <cellStyle name="Comma 95" xfId="609"/>
    <cellStyle name="Comma 96" xfId="610"/>
    <cellStyle name="Comma 97" xfId="611"/>
    <cellStyle name="Comma 98" xfId="612"/>
    <cellStyle name="Comma 99" xfId="613"/>
    <cellStyle name="Comma0" xfId="614"/>
    <cellStyle name="Comma0 2" xfId="615"/>
    <cellStyle name="Comma0 2 2" xfId="616"/>
    <cellStyle name="Comma0 2 3" xfId="617"/>
    <cellStyle name="Comma0 2 4" xfId="618"/>
    <cellStyle name="Comma0 2 5" xfId="619"/>
    <cellStyle name="Comma0 2 6" xfId="620"/>
    <cellStyle name="Comma0 3" xfId="621"/>
    <cellStyle name="Currency" xfId="622" builtinId="4"/>
    <cellStyle name="Currency 10" xfId="623"/>
    <cellStyle name="Currency 10 2" xfId="624"/>
    <cellStyle name="Currency 10 3" xfId="625"/>
    <cellStyle name="Currency 10 4" xfId="626"/>
    <cellStyle name="Currency 11" xfId="627"/>
    <cellStyle name="Currency 11 2" xfId="628"/>
    <cellStyle name="Currency 11 3" xfId="629"/>
    <cellStyle name="Currency 12" xfId="630"/>
    <cellStyle name="Currency 12 2" xfId="631"/>
    <cellStyle name="Currency 13" xfId="632"/>
    <cellStyle name="Currency 2" xfId="633"/>
    <cellStyle name="Currency 2 2" xfId="634"/>
    <cellStyle name="Currency 2 2 2" xfId="635"/>
    <cellStyle name="Currency 2 3" xfId="636"/>
    <cellStyle name="Currency 3" xfId="637"/>
    <cellStyle name="Currency 3 10" xfId="638"/>
    <cellStyle name="Currency 3 10 2" xfId="639"/>
    <cellStyle name="Currency 3 10 3" xfId="640"/>
    <cellStyle name="Currency 3 11" xfId="641"/>
    <cellStyle name="Currency 3 11 2" xfId="642"/>
    <cellStyle name="Currency 3 12" xfId="643"/>
    <cellStyle name="Currency 3 12 2" xfId="644"/>
    <cellStyle name="Currency 3 13" xfId="645"/>
    <cellStyle name="Currency 3 13 2" xfId="646"/>
    <cellStyle name="Currency 3 14" xfId="647"/>
    <cellStyle name="Currency 3 15" xfId="648"/>
    <cellStyle name="Currency 3 2" xfId="649"/>
    <cellStyle name="Currency 3 2 2" xfId="650"/>
    <cellStyle name="Currency 3 3" xfId="651"/>
    <cellStyle name="Currency 3 3 2" xfId="652"/>
    <cellStyle name="Currency 3 3 2 2" xfId="653"/>
    <cellStyle name="Currency 3 3 2 3" xfId="654"/>
    <cellStyle name="Currency 3 3 3" xfId="655"/>
    <cellStyle name="Currency 3 3 3 2" xfId="656"/>
    <cellStyle name="Currency 3 3 3 2 2" xfId="657"/>
    <cellStyle name="Currency 3 3 3 2 3" xfId="658"/>
    <cellStyle name="Currency 3 3 3 2 4" xfId="659"/>
    <cellStyle name="Currency 3 3 3 2 5" xfId="660"/>
    <cellStyle name="Currency 3 3 3 3" xfId="661"/>
    <cellStyle name="Currency 3 3 4" xfId="662"/>
    <cellStyle name="Currency 3 3 5" xfId="663"/>
    <cellStyle name="Currency 3 3 5 2" xfId="664"/>
    <cellStyle name="Currency 3 3 5 3" xfId="665"/>
    <cellStyle name="Currency 3 3 5 4" xfId="666"/>
    <cellStyle name="Currency 3 3 5 5" xfId="667"/>
    <cellStyle name="Currency 3 3 6" xfId="668"/>
    <cellStyle name="Currency 3 4" xfId="669"/>
    <cellStyle name="Currency 3 4 2" xfId="670"/>
    <cellStyle name="Currency 3 4 3" xfId="671"/>
    <cellStyle name="Currency 3 4 4" xfId="672"/>
    <cellStyle name="Currency 3 4 4 2" xfId="673"/>
    <cellStyle name="Currency 3 4 4 3" xfId="674"/>
    <cellStyle name="Currency 3 4 4 4" xfId="675"/>
    <cellStyle name="Currency 3 4 4 5" xfId="676"/>
    <cellStyle name="Currency 3 4 5" xfId="677"/>
    <cellStyle name="Currency 3 5" xfId="678"/>
    <cellStyle name="Currency 3 5 2" xfId="679"/>
    <cellStyle name="Currency 3 6" xfId="680"/>
    <cellStyle name="Currency 3 6 2" xfId="681"/>
    <cellStyle name="Currency 3 6 3" xfId="682"/>
    <cellStyle name="Currency 3 6 4" xfId="683"/>
    <cellStyle name="Currency 3 7" xfId="684"/>
    <cellStyle name="Currency 3 7 2" xfId="685"/>
    <cellStyle name="Currency 3 7 3" xfId="686"/>
    <cellStyle name="Currency 3 7 4" xfId="687"/>
    <cellStyle name="Currency 3 8" xfId="688"/>
    <cellStyle name="Currency 3 8 2" xfId="689"/>
    <cellStyle name="Currency 3 8 3" xfId="690"/>
    <cellStyle name="Currency 3 8 4" xfId="691"/>
    <cellStyle name="Currency 3 9" xfId="692"/>
    <cellStyle name="Currency 3 9 2" xfId="693"/>
    <cellStyle name="Currency 3 9 3" xfId="694"/>
    <cellStyle name="Currency 3 9 4" xfId="695"/>
    <cellStyle name="Currency 4" xfId="696"/>
    <cellStyle name="Currency 4 10" xfId="697"/>
    <cellStyle name="Currency 4 10 2" xfId="698"/>
    <cellStyle name="Currency 4 10 2 2" xfId="699"/>
    <cellStyle name="Currency 4 10 2 2 2" xfId="700"/>
    <cellStyle name="Currency 4 10 2 3" xfId="701"/>
    <cellStyle name="Currency 4 10 2 3 2" xfId="702"/>
    <cellStyle name="Currency 4 10 2 4" xfId="703"/>
    <cellStyle name="Currency 4 10 2 5" xfId="704"/>
    <cellStyle name="Currency 4 10 2 6" xfId="705"/>
    <cellStyle name="Currency 4 10 3" xfId="706"/>
    <cellStyle name="Currency 4 10 3 2" xfId="707"/>
    <cellStyle name="Currency 4 10 4" xfId="708"/>
    <cellStyle name="Currency 4 10 4 2" xfId="709"/>
    <cellStyle name="Currency 4 10 4 3" xfId="710"/>
    <cellStyle name="Currency 4 10 5" xfId="711"/>
    <cellStyle name="Currency 4 10 5 2" xfId="712"/>
    <cellStyle name="Currency 4 10 6" xfId="713"/>
    <cellStyle name="Currency 4 2" xfId="714"/>
    <cellStyle name="Currency 4 2 2" xfId="715"/>
    <cellStyle name="Currency 4 2 3" xfId="716"/>
    <cellStyle name="Currency 4 3" xfId="717"/>
    <cellStyle name="Currency 4 3 2" xfId="718"/>
    <cellStyle name="Currency 4 3 2 2" xfId="719"/>
    <cellStyle name="Currency 4 3 2 3" xfId="720"/>
    <cellStyle name="Currency 4 3 2 4" xfId="721"/>
    <cellStyle name="Currency 4 3 2 5" xfId="722"/>
    <cellStyle name="Currency 4 3 3" xfId="723"/>
    <cellStyle name="Currency 4 4" xfId="724"/>
    <cellStyle name="Currency 4 5" xfId="725"/>
    <cellStyle name="Currency 4 5 2" xfId="726"/>
    <cellStyle name="Currency 4 5 3" xfId="727"/>
    <cellStyle name="Currency 4 5 4" xfId="728"/>
    <cellStyle name="Currency 4 5 5" xfId="729"/>
    <cellStyle name="Currency 5" xfId="730"/>
    <cellStyle name="Currency 5 2" xfId="731"/>
    <cellStyle name="Currency 5 3" xfId="732"/>
    <cellStyle name="Currency 5 4" xfId="733"/>
    <cellStyle name="Currency 5 4 2" xfId="734"/>
    <cellStyle name="Currency 5 4 3" xfId="735"/>
    <cellStyle name="Currency 5 4 4" xfId="736"/>
    <cellStyle name="Currency 5 4 5" xfId="737"/>
    <cellStyle name="Currency 5 5" xfId="738"/>
    <cellStyle name="Currency 6" xfId="739"/>
    <cellStyle name="Currency 6 2" xfId="740"/>
    <cellStyle name="Currency 6 3" xfId="741"/>
    <cellStyle name="Currency 6 3 2" xfId="742"/>
    <cellStyle name="Currency 6 3 3" xfId="743"/>
    <cellStyle name="Currency 6 3 4" xfId="744"/>
    <cellStyle name="Currency 6 3 5" xfId="745"/>
    <cellStyle name="Currency 6 4" xfId="746"/>
    <cellStyle name="Currency 6 4 2" xfId="747"/>
    <cellStyle name="Currency 6 4 3" xfId="748"/>
    <cellStyle name="Currency 7" xfId="749"/>
    <cellStyle name="Currency 7 2" xfId="750"/>
    <cellStyle name="Currency 7 3" xfId="751"/>
    <cellStyle name="Currency 7 4" xfId="752"/>
    <cellStyle name="Currency 8" xfId="753"/>
    <cellStyle name="Currency 8 2" xfId="754"/>
    <cellStyle name="Currency 8 3" xfId="755"/>
    <cellStyle name="Currency 8 4" xfId="756"/>
    <cellStyle name="Currency 9" xfId="757"/>
    <cellStyle name="Currency 9 2" xfId="758"/>
    <cellStyle name="Currency 9 3" xfId="759"/>
    <cellStyle name="Currency 9 4" xfId="760"/>
    <cellStyle name="Currency0" xfId="761"/>
    <cellStyle name="Currency0 2" xfId="762"/>
    <cellStyle name="Currency0 2 2" xfId="763"/>
    <cellStyle name="Currency0 2 3" xfId="764"/>
    <cellStyle name="Currency0 2 4" xfId="765"/>
    <cellStyle name="Currency0 2 5" xfId="766"/>
    <cellStyle name="Currency0 2 6" xfId="767"/>
    <cellStyle name="Currency0 3" xfId="768"/>
    <cellStyle name="Date" xfId="769"/>
    <cellStyle name="Date 2" xfId="770"/>
    <cellStyle name="Date 2 2" xfId="771"/>
    <cellStyle name="Date 2 3" xfId="772"/>
    <cellStyle name="Date 2 4" xfId="773"/>
    <cellStyle name="Date 2 5" xfId="774"/>
    <cellStyle name="Date 2 6" xfId="775"/>
    <cellStyle name="Date 3" xfId="776"/>
    <cellStyle name="Explanatory Text" xfId="777" builtinId="53" customBuiltin="1"/>
    <cellStyle name="Explanatory Text 2" xfId="778"/>
    <cellStyle name="Explanatory Text 2 2" xfId="779"/>
    <cellStyle name="Explanatory Text 2 3" xfId="780"/>
    <cellStyle name="Explanatory Text 2 4" xfId="781"/>
    <cellStyle name="Explanatory Text 2 5" xfId="782"/>
    <cellStyle name="Fixed" xfId="783"/>
    <cellStyle name="Fixed 2" xfId="784"/>
    <cellStyle name="Fixed 2 2" xfId="785"/>
    <cellStyle name="Fixed 2 3" xfId="786"/>
    <cellStyle name="Fixed 2 4" xfId="787"/>
    <cellStyle name="Fixed 2 5" xfId="788"/>
    <cellStyle name="Fixed 2 6" xfId="789"/>
    <cellStyle name="Fixed 3" xfId="790"/>
    <cellStyle name="Good" xfId="791" builtinId="26" customBuiltin="1"/>
    <cellStyle name="Good 2" xfId="792"/>
    <cellStyle name="Good 2 2" xfId="793"/>
    <cellStyle name="Good 2 3" xfId="794"/>
    <cellStyle name="Good 2 4" xfId="795"/>
    <cellStyle name="Good 2 5" xfId="796"/>
    <cellStyle name="Heading 1" xfId="797" builtinId="16" customBuiltin="1"/>
    <cellStyle name="Heading 1 2" xfId="798"/>
    <cellStyle name="Heading 1 2 2" xfId="799"/>
    <cellStyle name="Heading 1 2 3" xfId="800"/>
    <cellStyle name="Heading 1 2 4" xfId="801"/>
    <cellStyle name="Heading 1 2 5" xfId="802"/>
    <cellStyle name="Heading 1 3" xfId="803"/>
    <cellStyle name="Heading 1 3 2" xfId="804"/>
    <cellStyle name="Heading 2" xfId="805" builtinId="17" customBuiltin="1"/>
    <cellStyle name="Heading 2 2" xfId="806"/>
    <cellStyle name="Heading 2 2 2" xfId="807"/>
    <cellStyle name="Heading 2 2 3" xfId="808"/>
    <cellStyle name="Heading 2 2 4" xfId="809"/>
    <cellStyle name="Heading 2 2 5" xfId="810"/>
    <cellStyle name="Heading 2 3" xfId="811"/>
    <cellStyle name="Heading 2 3 2" xfId="812"/>
    <cellStyle name="Heading 3" xfId="813" builtinId="18" customBuiltin="1"/>
    <cellStyle name="Heading 3 2" xfId="814"/>
    <cellStyle name="Heading 3 2 2" xfId="815"/>
    <cellStyle name="Heading 3 2 3" xfId="816"/>
    <cellStyle name="Heading 3 2 4" xfId="817"/>
    <cellStyle name="Heading 3 2 5" xfId="818"/>
    <cellStyle name="Heading 4" xfId="819" builtinId="19" customBuiltin="1"/>
    <cellStyle name="Heading 4 2" xfId="820"/>
    <cellStyle name="Heading 4 2 2" xfId="821"/>
    <cellStyle name="Heading 4 2 3" xfId="822"/>
    <cellStyle name="Heading 4 2 4" xfId="823"/>
    <cellStyle name="Heading 4 2 5" xfId="824"/>
    <cellStyle name="Heading1" xfId="825"/>
    <cellStyle name="Heading2" xfId="826"/>
    <cellStyle name="Input" xfId="827" builtinId="20" customBuiltin="1"/>
    <cellStyle name="Input 2" xfId="828"/>
    <cellStyle name="Input 2 2" xfId="829"/>
    <cellStyle name="Input 2 3" xfId="830"/>
    <cellStyle name="Input 2 4" xfId="831"/>
    <cellStyle name="Input 2 5" xfId="832"/>
    <cellStyle name="Linked Cell" xfId="833" builtinId="24" customBuiltin="1"/>
    <cellStyle name="Linked Cell 2" xfId="834"/>
    <cellStyle name="Linked Cell 2 2" xfId="835"/>
    <cellStyle name="Linked Cell 2 3" xfId="836"/>
    <cellStyle name="Linked Cell 2 4" xfId="837"/>
    <cellStyle name="Linked Cell 2 5" xfId="838"/>
    <cellStyle name="M" xfId="839"/>
    <cellStyle name="M 2" xfId="840"/>
    <cellStyle name="M 2 2" xfId="841"/>
    <cellStyle name="M 2 2 2" xfId="842"/>
    <cellStyle name="M 3" xfId="843"/>
    <cellStyle name="M 3 2" xfId="844"/>
    <cellStyle name="M 3 2 2" xfId="845"/>
    <cellStyle name="M 4" xfId="846"/>
    <cellStyle name="M 5" xfId="847"/>
    <cellStyle name="M 5 2" xfId="848"/>
    <cellStyle name="M 6" xfId="849"/>
    <cellStyle name="M 6 2" xfId="850"/>
    <cellStyle name="M 7" xfId="851"/>
    <cellStyle name="M 8" xfId="852"/>
    <cellStyle name="Neutral" xfId="853" builtinId="28" customBuiltin="1"/>
    <cellStyle name="Neutral 2" xfId="854"/>
    <cellStyle name="Neutral 2 2" xfId="855"/>
    <cellStyle name="Neutral 2 3" xfId="856"/>
    <cellStyle name="Neutral 2 4" xfId="857"/>
    <cellStyle name="Neutral 2 5" xfId="858"/>
    <cellStyle name="Normal" xfId="0" builtinId="0"/>
    <cellStyle name="Normal 10" xfId="859"/>
    <cellStyle name="Normal 10 2" xfId="860"/>
    <cellStyle name="Normal 10 2 2" xfId="861"/>
    <cellStyle name="Normal 10 3" xfId="862"/>
    <cellStyle name="Normal 11" xfId="863"/>
    <cellStyle name="Normal 11 2" xfId="864"/>
    <cellStyle name="Normal 11 2 2" xfId="865"/>
    <cellStyle name="Normal 11 3" xfId="866"/>
    <cellStyle name="Normal 11 4" xfId="867"/>
    <cellStyle name="Normal 12" xfId="868"/>
    <cellStyle name="Normal 12 2" xfId="869"/>
    <cellStyle name="Normal 12 3" xfId="870"/>
    <cellStyle name="Normal 12 4" xfId="871"/>
    <cellStyle name="Normal 12 5" xfId="872"/>
    <cellStyle name="Normal 13" xfId="873"/>
    <cellStyle name="Normal 14" xfId="874"/>
    <cellStyle name="Normal 15" xfId="875"/>
    <cellStyle name="Normal 16" xfId="876"/>
    <cellStyle name="Normal 17" xfId="877"/>
    <cellStyle name="Normal 18" xfId="878"/>
    <cellStyle name="Normal 19" xfId="879"/>
    <cellStyle name="Normal 2" xfId="880"/>
    <cellStyle name="Normal 2 2" xfId="881"/>
    <cellStyle name="Normal 2 2 2" xfId="882"/>
    <cellStyle name="Normal 2 2 2 2" xfId="883"/>
    <cellStyle name="Normal 2 2 3" xfId="884"/>
    <cellStyle name="Normal 2 2 3 2" xfId="885"/>
    <cellStyle name="Normal 2 2 4" xfId="886"/>
    <cellStyle name="Normal 2 3" xfId="887"/>
    <cellStyle name="Normal 20" xfId="888"/>
    <cellStyle name="Normal 21" xfId="889"/>
    <cellStyle name="Normal 22" xfId="890"/>
    <cellStyle name="Normal 23" xfId="891"/>
    <cellStyle name="Normal 24" xfId="892"/>
    <cellStyle name="Normal 25" xfId="893"/>
    <cellStyle name="Normal 26" xfId="894"/>
    <cellStyle name="Normal 3" xfId="895"/>
    <cellStyle name="Normal 3 2" xfId="896"/>
    <cellStyle name="Normal 3 2 2" xfId="897"/>
    <cellStyle name="Normal 3 3" xfId="898"/>
    <cellStyle name="Normal 3 3 2" xfId="899"/>
    <cellStyle name="Normal 3 3 3" xfId="900"/>
    <cellStyle name="Normal 3 3 4" xfId="901"/>
    <cellStyle name="Normal 3 3 5" xfId="902"/>
    <cellStyle name="Normal 3_OPCo Period I PJM  Formula Rate" xfId="903"/>
    <cellStyle name="Normal 35" xfId="904"/>
    <cellStyle name="Normal 4" xfId="905"/>
    <cellStyle name="Normal 4 10" xfId="906"/>
    <cellStyle name="Normal 4 10 2" xfId="907"/>
    <cellStyle name="Normal 4 10 3" xfId="908"/>
    <cellStyle name="Normal 4 11" xfId="909"/>
    <cellStyle name="Normal 4 11 2" xfId="910"/>
    <cellStyle name="Normal 4 12" xfId="911"/>
    <cellStyle name="Normal 4 12 2" xfId="912"/>
    <cellStyle name="Normal 4 13" xfId="913"/>
    <cellStyle name="Normal 4 13 2" xfId="914"/>
    <cellStyle name="Normal 4 14" xfId="915"/>
    <cellStyle name="Normal 4 15" xfId="916"/>
    <cellStyle name="Normal 4 2" xfId="917"/>
    <cellStyle name="Normal 4 2 2" xfId="918"/>
    <cellStyle name="Normal 4 3" xfId="919"/>
    <cellStyle name="Normal 4 3 2" xfId="920"/>
    <cellStyle name="Normal 4 3 2 2" xfId="921"/>
    <cellStyle name="Normal 4 3 2 3" xfId="922"/>
    <cellStyle name="Normal 4 3 3" xfId="923"/>
    <cellStyle name="Normal 4 3 3 2" xfId="924"/>
    <cellStyle name="Normal 4 3 3 2 2" xfId="925"/>
    <cellStyle name="Normal 4 3 3 2 3" xfId="926"/>
    <cellStyle name="Normal 4 3 3 2 4" xfId="927"/>
    <cellStyle name="Normal 4 3 3 2 5" xfId="928"/>
    <cellStyle name="Normal 4 3 3 3" xfId="929"/>
    <cellStyle name="Normal 4 3 4" xfId="930"/>
    <cellStyle name="Normal 4 3 5" xfId="931"/>
    <cellStyle name="Normal 4 3 5 2" xfId="932"/>
    <cellStyle name="Normal 4 3 5 3" xfId="933"/>
    <cellStyle name="Normal 4 3 5 4" xfId="934"/>
    <cellStyle name="Normal 4 3 5 5" xfId="935"/>
    <cellStyle name="Normal 4 3 6" xfId="936"/>
    <cellStyle name="Normal 4 4" xfId="937"/>
    <cellStyle name="Normal 4 4 2" xfId="938"/>
    <cellStyle name="Normal 4 4 3" xfId="939"/>
    <cellStyle name="Normal 4 4 4" xfId="940"/>
    <cellStyle name="Normal 4 4 4 2" xfId="941"/>
    <cellStyle name="Normal 4 4 4 3" xfId="942"/>
    <cellStyle name="Normal 4 4 4 4" xfId="943"/>
    <cellStyle name="Normal 4 4 4 5" xfId="944"/>
    <cellStyle name="Normal 4 4 5" xfId="945"/>
    <cellStyle name="Normal 4 5" xfId="946"/>
    <cellStyle name="Normal 4 5 2" xfId="947"/>
    <cellStyle name="Normal 4 5 2 2" xfId="948"/>
    <cellStyle name="Normal 4 5 2 2 2" xfId="949"/>
    <cellStyle name="Normal 4 5 2 2 3" xfId="950"/>
    <cellStyle name="Normal 4 5 2 2 4" xfId="951"/>
    <cellStyle name="Normal 4 5 2 2 5" xfId="952"/>
    <cellStyle name="Normal 4 5 3" xfId="953"/>
    <cellStyle name="Normal 4 6" xfId="954"/>
    <cellStyle name="Normal 4 6 2" xfId="955"/>
    <cellStyle name="Normal 4 6 3" xfId="956"/>
    <cellStyle name="Normal 4 6 4" xfId="957"/>
    <cellStyle name="Normal 4 7" xfId="958"/>
    <cellStyle name="Normal 4 7 2" xfId="959"/>
    <cellStyle name="Normal 4 7 3" xfId="960"/>
    <cellStyle name="Normal 4 7 4" xfId="961"/>
    <cellStyle name="Normal 4 8" xfId="962"/>
    <cellStyle name="Normal 4 8 2" xfId="963"/>
    <cellStyle name="Normal 4 8 3" xfId="964"/>
    <cellStyle name="Normal 4 8 4" xfId="965"/>
    <cellStyle name="Normal 4 9" xfId="966"/>
    <cellStyle name="Normal 4 9 2" xfId="967"/>
    <cellStyle name="Normal 4 9 3" xfId="968"/>
    <cellStyle name="Normal 4 9 4" xfId="969"/>
    <cellStyle name="Normal 4_PBOP Exhibit 1" xfId="970"/>
    <cellStyle name="Normal 5" xfId="971"/>
    <cellStyle name="Normal 5 2" xfId="972"/>
    <cellStyle name="Normal 5 2 2" xfId="973"/>
    <cellStyle name="Normal 5 2 2 2" xfId="974"/>
    <cellStyle name="Normal 5 2 3" xfId="975"/>
    <cellStyle name="Normal 5 2 4" xfId="976"/>
    <cellStyle name="Normal 5 2 5" xfId="977"/>
    <cellStyle name="Normal 5 2 6" xfId="978"/>
    <cellStyle name="Normal 5 3" xfId="979"/>
    <cellStyle name="Normal 5 4" xfId="980"/>
    <cellStyle name="Normal 6" xfId="981"/>
    <cellStyle name="Normal 6 2" xfId="982"/>
    <cellStyle name="Normal 6 2 2" xfId="983"/>
    <cellStyle name="Normal 6 2 3" xfId="984"/>
    <cellStyle name="Normal 6 3" xfId="985"/>
    <cellStyle name="Normal 7" xfId="986"/>
    <cellStyle name="Normal 7 2" xfId="987"/>
    <cellStyle name="Normal 7 3" xfId="988"/>
    <cellStyle name="Normal 8" xfId="989"/>
    <cellStyle name="Normal 8 2" xfId="990"/>
    <cellStyle name="Normal 8 2 2" xfId="991"/>
    <cellStyle name="Normal 9" xfId="992"/>
    <cellStyle name="Normal 9 2" xfId="993"/>
    <cellStyle name="Normal 9 2 2" xfId="994"/>
    <cellStyle name="Normal_FN1 Ratebase Draft SPP template (6-11-04) v2" xfId="995"/>
    <cellStyle name="Note" xfId="996" builtinId="10" customBuiltin="1"/>
    <cellStyle name="Note 2" xfId="997"/>
    <cellStyle name="Note 2 2" xfId="998"/>
    <cellStyle name="Note 2 2 2" xfId="999"/>
    <cellStyle name="Note 2 2 3" xfId="1000"/>
    <cellStyle name="Note 2 2 4" xfId="1001"/>
    <cellStyle name="Note 2 3" xfId="1002"/>
    <cellStyle name="Note 2 4" xfId="1003"/>
    <cellStyle name="Note 2 5" xfId="1004"/>
    <cellStyle name="Output" xfId="1005" builtinId="21" customBuiltin="1"/>
    <cellStyle name="Output 2" xfId="1006"/>
    <cellStyle name="Output 2 2" xfId="1007"/>
    <cellStyle name="Output 2 3" xfId="1008"/>
    <cellStyle name="Output 2 4" xfId="1009"/>
    <cellStyle name="Output 2 5" xfId="1010"/>
    <cellStyle name="Percent" xfId="1011" builtinId="5"/>
    <cellStyle name="Percent 10" xfId="1012"/>
    <cellStyle name="Percent 10 2" xfId="1013"/>
    <cellStyle name="Percent 10 3" xfId="1014"/>
    <cellStyle name="Percent 10 4" xfId="1015"/>
    <cellStyle name="Percent 11" xfId="1016"/>
    <cellStyle name="Percent 11 2" xfId="1017"/>
    <cellStyle name="Percent 11 3" xfId="1018"/>
    <cellStyle name="Percent 11 4" xfId="1019"/>
    <cellStyle name="Percent 12" xfId="1020"/>
    <cellStyle name="Percent 12 2" xfId="1021"/>
    <cellStyle name="Percent 12 3" xfId="1022"/>
    <cellStyle name="Percent 13" xfId="1023"/>
    <cellStyle name="Percent 13 2" xfId="1024"/>
    <cellStyle name="Percent 14" xfId="1025"/>
    <cellStyle name="Percent 14 2" xfId="1026"/>
    <cellStyle name="Percent 15" xfId="1027"/>
    <cellStyle name="Percent 15 2" xfId="1028"/>
    <cellStyle name="Percent 16" xfId="1029"/>
    <cellStyle name="Percent 17" xfId="1030"/>
    <cellStyle name="Percent 2" xfId="1031"/>
    <cellStyle name="Percent 2 2" xfId="1032"/>
    <cellStyle name="Percent 2 2 2" xfId="1033"/>
    <cellStyle name="Percent 2 3" xfId="1034"/>
    <cellStyle name="Percent 3" xfId="1035"/>
    <cellStyle name="Percent 3 10" xfId="1036"/>
    <cellStyle name="Percent 3 10 2" xfId="1037"/>
    <cellStyle name="Percent 3 10 3" xfId="1038"/>
    <cellStyle name="Percent 3 11" xfId="1039"/>
    <cellStyle name="Percent 3 11 2" xfId="1040"/>
    <cellStyle name="Percent 3 12" xfId="1041"/>
    <cellStyle name="Percent 3 12 2" xfId="1042"/>
    <cellStyle name="Percent 3 13" xfId="1043"/>
    <cellStyle name="Percent 3 13 2" xfId="1044"/>
    <cellStyle name="Percent 3 14" xfId="1045"/>
    <cellStyle name="Percent 3 15" xfId="1046"/>
    <cellStyle name="Percent 3 2" xfId="1047"/>
    <cellStyle name="Percent 3 2 2" xfId="1048"/>
    <cellStyle name="Percent 3 3" xfId="1049"/>
    <cellStyle name="Percent 3 3 2" xfId="1050"/>
    <cellStyle name="Percent 3 3 2 2" xfId="1051"/>
    <cellStyle name="Percent 3 3 2 3" xfId="1052"/>
    <cellStyle name="Percent 3 3 3" xfId="1053"/>
    <cellStyle name="Percent 3 3 3 2" xfId="1054"/>
    <cellStyle name="Percent 3 3 3 2 2" xfId="1055"/>
    <cellStyle name="Percent 3 3 3 2 3" xfId="1056"/>
    <cellStyle name="Percent 3 3 3 2 4" xfId="1057"/>
    <cellStyle name="Percent 3 3 3 2 5" xfId="1058"/>
    <cellStyle name="Percent 3 3 3 3" xfId="1059"/>
    <cellStyle name="Percent 3 3 4" xfId="1060"/>
    <cellStyle name="Percent 3 3 5" xfId="1061"/>
    <cellStyle name="Percent 3 3 5 2" xfId="1062"/>
    <cellStyle name="Percent 3 3 5 3" xfId="1063"/>
    <cellStyle name="Percent 3 3 5 4" xfId="1064"/>
    <cellStyle name="Percent 3 3 5 5" xfId="1065"/>
    <cellStyle name="Percent 3 3 6" xfId="1066"/>
    <cellStyle name="Percent 3 4" xfId="1067"/>
    <cellStyle name="Percent 3 4 2" xfId="1068"/>
    <cellStyle name="Percent 3 4 3" xfId="1069"/>
    <cellStyle name="Percent 3 4 4" xfId="1070"/>
    <cellStyle name="Percent 3 4 4 2" xfId="1071"/>
    <cellStyle name="Percent 3 4 4 3" xfId="1072"/>
    <cellStyle name="Percent 3 4 4 4" xfId="1073"/>
    <cellStyle name="Percent 3 4 4 5" xfId="1074"/>
    <cellStyle name="Percent 3 4 5" xfId="1075"/>
    <cellStyle name="Percent 3 5" xfId="1076"/>
    <cellStyle name="Percent 3 5 2" xfId="1077"/>
    <cellStyle name="Percent 3 6" xfId="1078"/>
    <cellStyle name="Percent 3 6 2" xfId="1079"/>
    <cellStyle name="Percent 3 6 3" xfId="1080"/>
    <cellStyle name="Percent 3 6 4" xfId="1081"/>
    <cellStyle name="Percent 3 7" xfId="1082"/>
    <cellStyle name="Percent 3 7 2" xfId="1083"/>
    <cellStyle name="Percent 3 7 3" xfId="1084"/>
    <cellStyle name="Percent 3 7 4" xfId="1085"/>
    <cellStyle name="Percent 3 8" xfId="1086"/>
    <cellStyle name="Percent 3 8 2" xfId="1087"/>
    <cellStyle name="Percent 3 8 3" xfId="1088"/>
    <cellStyle name="Percent 3 8 4" xfId="1089"/>
    <cellStyle name="Percent 3 9" xfId="1090"/>
    <cellStyle name="Percent 3 9 2" xfId="1091"/>
    <cellStyle name="Percent 3 9 3" xfId="1092"/>
    <cellStyle name="Percent 3 9 4" xfId="1093"/>
    <cellStyle name="Percent 4" xfId="1094"/>
    <cellStyle name="Percent 4 2" xfId="1095"/>
    <cellStyle name="Percent 4 2 2" xfId="1096"/>
    <cellStyle name="Percent 4 2 3" xfId="1097"/>
    <cellStyle name="Percent 4 3" xfId="1098"/>
    <cellStyle name="Percent 4 3 2" xfId="1099"/>
    <cellStyle name="Percent 4 3 2 2" xfId="1100"/>
    <cellStyle name="Percent 4 3 2 3" xfId="1101"/>
    <cellStyle name="Percent 4 3 2 4" xfId="1102"/>
    <cellStyle name="Percent 4 3 2 5" xfId="1103"/>
    <cellStyle name="Percent 4 3 3" xfId="1104"/>
    <cellStyle name="Percent 4 4" xfId="1105"/>
    <cellStyle name="Percent 4 5" xfId="1106"/>
    <cellStyle name="Percent 4 5 2" xfId="1107"/>
    <cellStyle name="Percent 4 5 3" xfId="1108"/>
    <cellStyle name="Percent 4 5 4" xfId="1109"/>
    <cellStyle name="Percent 4 5 5" xfId="1110"/>
    <cellStyle name="Percent 4 6" xfId="1111"/>
    <cellStyle name="Percent 4 6 2" xfId="1112"/>
    <cellStyle name="Percent 4 6 3" xfId="1113"/>
    <cellStyle name="Percent 5" xfId="1114"/>
    <cellStyle name="Percent 5 2" xfId="1115"/>
    <cellStyle name="Percent 5 3" xfId="1116"/>
    <cellStyle name="Percent 5 4" xfId="1117"/>
    <cellStyle name="Percent 5 4 2" xfId="1118"/>
    <cellStyle name="Percent 5 4 3" xfId="1119"/>
    <cellStyle name="Percent 5 4 4" xfId="1120"/>
    <cellStyle name="Percent 5 4 5" xfId="1121"/>
    <cellStyle name="Percent 5 5" xfId="1122"/>
    <cellStyle name="Percent 6" xfId="1123"/>
    <cellStyle name="Percent 6 2" xfId="1124"/>
    <cellStyle name="Percent 6 3" xfId="1125"/>
    <cellStyle name="Percent 6 4" xfId="1126"/>
    <cellStyle name="Percent 6 4 2" xfId="1127"/>
    <cellStyle name="Percent 6 4 3" xfId="1128"/>
    <cellStyle name="Percent 7" xfId="1129"/>
    <cellStyle name="Percent 7 2" xfId="1130"/>
    <cellStyle name="Percent 7 2 2" xfId="1131"/>
    <cellStyle name="Percent 7 2 2 2" xfId="1132"/>
    <cellStyle name="Percent 7 2 2 2 2" xfId="1133"/>
    <cellStyle name="Percent 7 2 2 3" xfId="1134"/>
    <cellStyle name="Percent 7 2 2 3 2" xfId="1135"/>
    <cellStyle name="Percent 7 2 2 4" xfId="1136"/>
    <cellStyle name="Percent 7 2 2 5" xfId="1137"/>
    <cellStyle name="Percent 7 2 2 6" xfId="1138"/>
    <cellStyle name="Percent 7 2 3" xfId="1139"/>
    <cellStyle name="Percent 7 2 3 2" xfId="1140"/>
    <cellStyle name="Percent 7 2 4" xfId="1141"/>
    <cellStyle name="Percent 7 2 4 2" xfId="1142"/>
    <cellStyle name="Percent 7 2 4 3" xfId="1143"/>
    <cellStyle name="Percent 7 2 5" xfId="1144"/>
    <cellStyle name="Percent 7 2 5 2" xfId="1145"/>
    <cellStyle name="Percent 7 2 6" xfId="1146"/>
    <cellStyle name="Percent 7 3" xfId="1147"/>
    <cellStyle name="Percent 7 4" xfId="1148"/>
    <cellStyle name="Percent 7 5" xfId="1149"/>
    <cellStyle name="Percent 7 6" xfId="1150"/>
    <cellStyle name="Percent 8" xfId="1151"/>
    <cellStyle name="Percent 8 2" xfId="1152"/>
    <cellStyle name="Percent 8 3" xfId="1153"/>
    <cellStyle name="Percent 8 4" xfId="1154"/>
    <cellStyle name="Percent 9" xfId="1155"/>
    <cellStyle name="Percent 9 2" xfId="1156"/>
    <cellStyle name="Percent 9 3" xfId="1157"/>
    <cellStyle name="Percent 9 4" xfId="1158"/>
    <cellStyle name="PSChar" xfId="1159"/>
    <cellStyle name="PSChar 2" xfId="1160"/>
    <cellStyle name="PSChar 2 2" xfId="1161"/>
    <cellStyle name="PSChar 3" xfId="1162"/>
    <cellStyle name="PSChar 4" xfId="1163"/>
    <cellStyle name="PSChar 4 2" xfId="1164"/>
    <cellStyle name="PSChar 5" xfId="1165"/>
    <cellStyle name="PSChar 5 2" xfId="1166"/>
    <cellStyle name="PSDate" xfId="1167"/>
    <cellStyle name="PSDate 2" xfId="1168"/>
    <cellStyle name="PSDate 3" xfId="1169"/>
    <cellStyle name="PSDate 4" xfId="1170"/>
    <cellStyle name="PSDate 4 2" xfId="1171"/>
    <cellStyle name="PSDate 5" xfId="1172"/>
    <cellStyle name="PSDate 5 2" xfId="1173"/>
    <cellStyle name="PSDec" xfId="1174"/>
    <cellStyle name="PSDec 2" xfId="1175"/>
    <cellStyle name="PSDec 3" xfId="1176"/>
    <cellStyle name="PSDec 4" xfId="1177"/>
    <cellStyle name="PSDec 4 2" xfId="1178"/>
    <cellStyle name="PSDec 5" xfId="1179"/>
    <cellStyle name="PSDec 5 2" xfId="1180"/>
    <cellStyle name="PSdesc" xfId="1181"/>
    <cellStyle name="PSdesc 2" xfId="1182"/>
    <cellStyle name="PSHeading" xfId="1183"/>
    <cellStyle name="PSHeading 2" xfId="1184"/>
    <cellStyle name="PSHeading 3" xfId="1185"/>
    <cellStyle name="PSHeading 4" xfId="1186"/>
    <cellStyle name="PSHeading 5" xfId="1187"/>
    <cellStyle name="PSHeading 5 2" xfId="1188"/>
    <cellStyle name="PSHeading 6" xfId="1189"/>
    <cellStyle name="PSHeading 6 2" xfId="1190"/>
    <cellStyle name="PSInt" xfId="1191"/>
    <cellStyle name="PSInt 2" xfId="1192"/>
    <cellStyle name="PSInt 3" xfId="1193"/>
    <cellStyle name="PSInt 4" xfId="1194"/>
    <cellStyle name="PSInt 4 2" xfId="1195"/>
    <cellStyle name="PSInt 5" xfId="1196"/>
    <cellStyle name="PSInt 5 2" xfId="1197"/>
    <cellStyle name="PSSpacer" xfId="1198"/>
    <cellStyle name="PSSpacer 2" xfId="1199"/>
    <cellStyle name="PSSpacer 3" xfId="1200"/>
    <cellStyle name="PSSpacer 3 2" xfId="1201"/>
    <cellStyle name="PStest" xfId="1202"/>
    <cellStyle name="PStest 2" xfId="1203"/>
    <cellStyle name="R00A" xfId="1204"/>
    <cellStyle name="R00B" xfId="1205"/>
    <cellStyle name="R00L" xfId="1206"/>
    <cellStyle name="R01A" xfId="1207"/>
    <cellStyle name="R01B" xfId="1208"/>
    <cellStyle name="R01H" xfId="1209"/>
    <cellStyle name="R01L" xfId="1210"/>
    <cellStyle name="R02A" xfId="1211"/>
    <cellStyle name="R02B" xfId="1212"/>
    <cellStyle name="R02B 2" xfId="1213"/>
    <cellStyle name="R02H" xfId="1214"/>
    <cellStyle name="R02L" xfId="1215"/>
    <cellStyle name="R03A" xfId="1216"/>
    <cellStyle name="R03B" xfId="1217"/>
    <cellStyle name="R03B 2" xfId="1218"/>
    <cellStyle name="R03H" xfId="1219"/>
    <cellStyle name="R03L" xfId="1220"/>
    <cellStyle name="R04A" xfId="1221"/>
    <cellStyle name="R04B" xfId="1222"/>
    <cellStyle name="R04B 2" xfId="1223"/>
    <cellStyle name="R04H" xfId="1224"/>
    <cellStyle name="R04L" xfId="1225"/>
    <cellStyle name="R05A" xfId="1226"/>
    <cellStyle name="R05B" xfId="1227"/>
    <cellStyle name="R05B 2" xfId="1228"/>
    <cellStyle name="R05H" xfId="1229"/>
    <cellStyle name="R05L" xfId="1230"/>
    <cellStyle name="R05L 2" xfId="1231"/>
    <cellStyle name="R06A" xfId="1232"/>
    <cellStyle name="R06B" xfId="1233"/>
    <cellStyle name="R06B 2" xfId="1234"/>
    <cellStyle name="R06H" xfId="1235"/>
    <cellStyle name="R06L" xfId="1236"/>
    <cellStyle name="R07A" xfId="1237"/>
    <cellStyle name="R07B" xfId="1238"/>
    <cellStyle name="R07B 2" xfId="1239"/>
    <cellStyle name="R07H" xfId="1240"/>
    <cellStyle name="R07L" xfId="1241"/>
    <cellStyle name="Title" xfId="1242" builtinId="15" customBuiltin="1"/>
    <cellStyle name="Title 2" xfId="1243"/>
    <cellStyle name="Title 2 2" xfId="1244"/>
    <cellStyle name="Title 2 3" xfId="1245"/>
    <cellStyle name="Title 2 4" xfId="1246"/>
    <cellStyle name="Total" xfId="1247" builtinId="25" customBuiltin="1"/>
    <cellStyle name="Total 2" xfId="1248"/>
    <cellStyle name="Total 2 2" xfId="1249"/>
    <cellStyle name="Total 2 3" xfId="1250"/>
    <cellStyle name="Total 2 4" xfId="1251"/>
    <cellStyle name="Total 2 5" xfId="1252"/>
    <cellStyle name="Total 3" xfId="1253"/>
    <cellStyle name="Total 3 2" xfId="1254"/>
    <cellStyle name="Warning Text" xfId="1255" builtinId="11" customBuiltin="1"/>
    <cellStyle name="Warning Text 2" xfId="1256"/>
    <cellStyle name="Warning Text 2 2" xfId="1257"/>
    <cellStyle name="Warning Text 2 3" xfId="1258"/>
    <cellStyle name="Warning Text 2 4" xfId="1259"/>
    <cellStyle name="Warning Text 2 5" xfId="1260"/>
  </cellStyles>
  <dxfs count="160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428625</xdr:colOff>
      <xdr:row>28</xdr:row>
      <xdr:rowOff>114300</xdr:rowOff>
    </xdr:from>
    <xdr:to>
      <xdr:col>4</xdr:col>
      <xdr:colOff>533400</xdr:colOff>
      <xdr:row>30</xdr:row>
      <xdr:rowOff>9525</xdr:rowOff>
    </xdr:to>
    <xdr:sp macro="" textlink="">
      <xdr:nvSpPr>
        <xdr:cNvPr id="1511" name="Text Box 1"/>
        <xdr:cNvSpPr txBox="1">
          <a:spLocks noChangeArrowheads="1"/>
        </xdr:cNvSpPr>
      </xdr:nvSpPr>
      <xdr:spPr bwMode="auto">
        <a:xfrm>
          <a:off x="3924300" y="518160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196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249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4651</xdr:colOff>
      <xdr:row>34</xdr:row>
      <xdr:rowOff>112395</xdr:rowOff>
    </xdr:from>
    <xdr:to>
      <xdr:col>15</xdr:col>
      <xdr:colOff>73030</xdr:colOff>
      <xdr:row>52</xdr:row>
      <xdr:rowOff>91</xdr:rowOff>
    </xdr:to>
    <xdr:sp macro="" textlink="">
      <xdr:nvSpPr>
        <xdr:cNvPr id="22532" name="WordArt 4"/>
        <xdr:cNvSpPr>
          <a:spLocks noChangeArrowheads="1" noChangeShapeType="1" noTextEdit="1"/>
        </xdr:cNvSpPr>
      </xdr:nvSpPr>
      <xdr:spPr bwMode="auto">
        <a:xfrm rot="20358274">
          <a:off x="74295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116205</xdr:rowOff>
    </xdr:from>
    <xdr:to>
      <xdr:col>15</xdr:col>
      <xdr:colOff>4169</xdr:colOff>
      <xdr:row>133</xdr:row>
      <xdr:rowOff>140356</xdr:rowOff>
    </xdr:to>
    <xdr:sp macro="" textlink="">
      <xdr:nvSpPr>
        <xdr:cNvPr id="22533" name="WordArt 5"/>
        <xdr:cNvSpPr>
          <a:spLocks noChangeArrowheads="1" noChangeShapeType="1" noTextEdit="1"/>
        </xdr:cNvSpPr>
      </xdr:nvSpPr>
      <xdr:spPr bwMode="auto">
        <a:xfrm rot="20358274">
          <a:off x="695325" y="2050732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351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34</xdr:row>
      <xdr:rowOff>113665</xdr:rowOff>
    </xdr:from>
    <xdr:to>
      <xdr:col>15</xdr:col>
      <xdr:colOff>85725</xdr:colOff>
      <xdr:row>52</xdr:row>
      <xdr:rowOff>3269</xdr:rowOff>
    </xdr:to>
    <xdr:sp macro="" textlink="">
      <xdr:nvSpPr>
        <xdr:cNvPr id="23555" name="WordArt 3"/>
        <xdr:cNvSpPr>
          <a:spLocks noChangeArrowheads="1" noChangeShapeType="1" noTextEdit="1"/>
        </xdr:cNvSpPr>
      </xdr:nvSpPr>
      <xdr:spPr bwMode="auto">
        <a:xfrm rot="20358274">
          <a:off x="76200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138430</xdr:rowOff>
    </xdr:from>
    <xdr:to>
      <xdr:col>15</xdr:col>
      <xdr:colOff>28574</xdr:colOff>
      <xdr:row>134</xdr:row>
      <xdr:rowOff>1960</xdr:rowOff>
    </xdr:to>
    <xdr:sp macro="" textlink="">
      <xdr:nvSpPr>
        <xdr:cNvPr id="23556" name="WordArt 4"/>
        <xdr:cNvSpPr>
          <a:spLocks noChangeArrowheads="1" noChangeShapeType="1" noTextEdit="1"/>
        </xdr:cNvSpPr>
      </xdr:nvSpPr>
      <xdr:spPr bwMode="auto">
        <a:xfrm rot="20358274">
          <a:off x="723900" y="2052637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504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6074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708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811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913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0158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454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421005</xdr:colOff>
      <xdr:row>34</xdr:row>
      <xdr:rowOff>137160</xdr:rowOff>
    </xdr:from>
    <xdr:to>
      <xdr:col>15</xdr:col>
      <xdr:colOff>80645</xdr:colOff>
      <xdr:row>52</xdr:row>
      <xdr:rowOff>1994</xdr:rowOff>
    </xdr:to>
    <xdr:sp macro="" textlink="">
      <xdr:nvSpPr>
        <xdr:cNvPr id="30723" name="WordArt 3"/>
        <xdr:cNvSpPr>
          <a:spLocks noChangeArrowheads="1" noChangeShapeType="1" noTextEdit="1"/>
        </xdr:cNvSpPr>
      </xdr:nvSpPr>
      <xdr:spPr bwMode="auto">
        <a:xfrm rot="20358274">
          <a:off x="742950" y="6372225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405765</xdr:colOff>
      <xdr:row>116</xdr:row>
      <xdr:rowOff>154305</xdr:rowOff>
    </xdr:from>
    <xdr:to>
      <xdr:col>15</xdr:col>
      <xdr:colOff>34303</xdr:colOff>
      <xdr:row>134</xdr:row>
      <xdr:rowOff>34298</xdr:rowOff>
    </xdr:to>
    <xdr:sp macro="" textlink="">
      <xdr:nvSpPr>
        <xdr:cNvPr id="30725" name="WordArt 5"/>
        <xdr:cNvSpPr>
          <a:spLocks noChangeArrowheads="1" noChangeShapeType="1" noTextEdit="1"/>
        </xdr:cNvSpPr>
      </xdr:nvSpPr>
      <xdr:spPr bwMode="auto">
        <a:xfrm rot="20358274">
          <a:off x="714375" y="20535900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51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220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556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533400</xdr:colOff>
      <xdr:row>27</xdr:row>
      <xdr:rowOff>47625</xdr:rowOff>
    </xdr:from>
    <xdr:to>
      <xdr:col>14</xdr:col>
      <xdr:colOff>876300</xdr:colOff>
      <xdr:row>67</xdr:row>
      <xdr:rowOff>95250</xdr:rowOff>
    </xdr:to>
    <xdr:pic>
      <xdr:nvPicPr>
        <xdr:cNvPr id="105566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5133975"/>
          <a:ext cx="13220700" cy="652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99</xdr:row>
      <xdr:rowOff>19050</xdr:rowOff>
    </xdr:from>
    <xdr:to>
      <xdr:col>14</xdr:col>
      <xdr:colOff>361950</xdr:colOff>
      <xdr:row>139</xdr:row>
      <xdr:rowOff>76200</xdr:rowOff>
    </xdr:to>
    <xdr:pic>
      <xdr:nvPicPr>
        <xdr:cNvPr id="105567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7649825"/>
          <a:ext cx="13220700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732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937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039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142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244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3469" name="Text Box 1"/>
        <xdr:cNvSpPr txBox="1">
          <a:spLocks noChangeArrowheads="1"/>
        </xdr:cNvSpPr>
      </xdr:nvSpPr>
      <xdr:spPr bwMode="auto">
        <a:xfrm>
          <a:off x="43338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449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166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479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268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370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473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575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678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780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985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189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087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882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5822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390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4928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5952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697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8000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897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000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102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204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307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684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409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512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614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716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819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921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018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120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223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325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786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4282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520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622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725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827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930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032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134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237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7463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7464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889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8487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8488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1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2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5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123825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123825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60325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60325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60325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60325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2749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9918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0946" name="Text Box 1"/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/dbw/SWPP%20Form%20Rate/Lila%20added/AEP%20SPP%20For%20Rate%20Proj%20w%2013%20mth%20rate%20base%20june-07%20-%20June-08x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 of Revisions"/>
      <sheetName val="Zonal Rates"/>
      <sheetName val="Sch 1 Rates"/>
      <sheetName val="Load WS"/>
      <sheetName val="PSO 2008 TCOS 13 Mnth"/>
      <sheetName val="PSO WsA Rev Credits"/>
      <sheetName val="PSO WsB IPP"/>
      <sheetName val="PSO WsC RB Tax"/>
      <sheetName val="PSO Ws C-1 2008 ADIT Avg Bal"/>
      <sheetName val="PSO WsD Misc Exp"/>
      <sheetName val="PSO WsE Acct 561"/>
      <sheetName val="PSO WsF Inc Prjts"/>
      <sheetName val="PSO WsG BPU"/>
      <sheetName val="PSO WsI Bal Sheet"/>
      <sheetName val="PSO WsI - 1 13 Month Prepaids"/>
      <sheetName val="PSO WsJ Tax"/>
      <sheetName val="PSO WsK CWIP"/>
      <sheetName val="SWP TCOS 2008 13 Month"/>
      <sheetName val="SWP WsA Rev Credits"/>
      <sheetName val="SWP WsB IPP"/>
      <sheetName val="SWP WsC RB Tax"/>
      <sheetName val="SWP WsC-1 ADIT 2008 13 Mth Avg "/>
      <sheetName val="SWP WsD Misc Exp"/>
      <sheetName val="SWP WsE Acct 561"/>
      <sheetName val="SWP WsF Inc Prjts"/>
      <sheetName val="SWP WsG BPU"/>
      <sheetName val="SWP WsI Bal Sheet"/>
      <sheetName val="SWP WsI-1 13 Month Prepaids "/>
      <sheetName val="SWP WsJ Tax"/>
      <sheetName val="SWP WsK CWIP"/>
      <sheetName val="FERC Balance Sheet"/>
      <sheetName val="PSO 13 Month Rate Base"/>
      <sheetName val="SWEPCo 13 Month Rate Base"/>
      <sheetName val="Plant Detail - Book"/>
      <sheetName val="FERC Income Stmt w Details"/>
      <sheetName val="Depreciation Detail"/>
      <sheetName val="Taxes Other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17">
          <cell r="I317" t="str">
            <v>CE</v>
          </cell>
          <cell r="J317">
            <v>6.3272239966292818E-2</v>
          </cell>
        </row>
        <row r="318">
          <cell r="I318" t="str">
            <v>DA</v>
          </cell>
          <cell r="J318">
            <v>1</v>
          </cell>
        </row>
        <row r="319">
          <cell r="I319" t="str">
            <v>GP(b)</v>
          </cell>
          <cell r="J319">
            <v>0.17830317329522682</v>
          </cell>
        </row>
        <row r="320">
          <cell r="I320" t="str">
            <v>GP(p)</v>
          </cell>
          <cell r="J320">
            <v>0.17830317329522682</v>
          </cell>
        </row>
        <row r="321">
          <cell r="I321" t="str">
            <v>GTD(p)</v>
          </cell>
          <cell r="J321">
            <v>0.35796417623075211</v>
          </cell>
        </row>
        <row r="322">
          <cell r="I322" t="str">
            <v>GTD(h)</v>
          </cell>
          <cell r="J322">
            <v>0.35796417623075211</v>
          </cell>
        </row>
        <row r="323">
          <cell r="I323" t="str">
            <v>NA</v>
          </cell>
          <cell r="J323">
            <v>0</v>
          </cell>
        </row>
        <row r="324">
          <cell r="I324" t="str">
            <v>NP(b)</v>
          </cell>
          <cell r="J324">
            <v>0.21388078637862473</v>
          </cell>
        </row>
        <row r="325">
          <cell r="I325" t="str">
            <v>NP(p)</v>
          </cell>
          <cell r="J325">
            <v>0.21388078637862473</v>
          </cell>
        </row>
        <row r="326">
          <cell r="I326" t="str">
            <v>TP</v>
          </cell>
          <cell r="J326">
            <v>0.97384420488446088</v>
          </cell>
        </row>
        <row r="327">
          <cell r="I327" t="str">
            <v>TP1</v>
          </cell>
          <cell r="J327">
            <v>0.98824625472059235</v>
          </cell>
        </row>
        <row r="328">
          <cell r="I328" t="str">
            <v>W/S</v>
          </cell>
          <cell r="J328">
            <v>6.3272239966292818E-2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15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16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W179"/>
  <sheetViews>
    <sheetView tabSelected="1" zoomScale="60" zoomScaleNormal="60" workbookViewId="0">
      <pane ySplit="16" topLeftCell="A17" activePane="bottomLeft" state="frozen"/>
      <selection activeCell="A17" sqref="A17"/>
      <selection pane="bottomLeft" activeCell="B2" sqref="B2"/>
    </sheetView>
  </sheetViews>
  <sheetFormatPr defaultColWidth="8.7265625" defaultRowHeight="12.75" customHeight="1"/>
  <cols>
    <col min="1" max="1" width="7.453125" style="183" customWidth="1"/>
    <col min="2" max="2" width="7" style="183" bestFit="1" customWidth="1"/>
    <col min="3" max="3" width="45.7265625" style="183" customWidth="1"/>
    <col min="4" max="4" width="9.26953125" style="183" customWidth="1"/>
    <col min="5" max="7" width="15.453125" style="183" bestFit="1" customWidth="1"/>
    <col min="8" max="8" width="3.26953125" style="183" customWidth="1"/>
    <col min="9" max="9" width="18.7265625" style="183" bestFit="1" customWidth="1"/>
    <col min="10" max="10" width="15.7265625" style="183" customWidth="1"/>
    <col min="11" max="11" width="17.1796875" style="183" customWidth="1"/>
    <col min="12" max="12" width="15.26953125" style="183" customWidth="1"/>
    <col min="13" max="13" width="2.453125" style="183" customWidth="1"/>
    <col min="14" max="14" width="6.26953125" style="183" customWidth="1"/>
    <col min="15" max="15" width="7.54296875" style="183" customWidth="1"/>
    <col min="16" max="16" width="10.7265625" style="183" customWidth="1"/>
    <col min="17" max="17" width="11.1796875" style="183" bestFit="1" customWidth="1"/>
    <col min="18" max="18" width="18.54296875" style="183" customWidth="1"/>
    <col min="19" max="19" width="2.453125" style="183" customWidth="1"/>
    <col min="20" max="20" width="19.1796875" style="183" bestFit="1" customWidth="1"/>
    <col min="21" max="21" width="8.7265625" style="183"/>
    <col min="22" max="22" width="16.7265625" style="183" customWidth="1"/>
    <col min="23" max="16384" width="8.7265625" style="183"/>
  </cols>
  <sheetData>
    <row r="1" spans="1:23" ht="15.5">
      <c r="H1" s="184" t="s">
        <v>166</v>
      </c>
      <c r="U1" s="183">
        <v>2021</v>
      </c>
    </row>
    <row r="2" spans="1:23" ht="15.5">
      <c r="H2" s="185" t="s">
        <v>167</v>
      </c>
    </row>
    <row r="3" spans="1:23" ht="15.5">
      <c r="H3" s="186" t="str">
        <f>"For Calendar Year "&amp;U1-1&amp;" and Projected Year "&amp;U1</f>
        <v>For Calendar Year 2020 and Projected Year 2021</v>
      </c>
    </row>
    <row r="4" spans="1:23" ht="15.5">
      <c r="H4" s="187"/>
    </row>
    <row r="5" spans="1:23" ht="15.5">
      <c r="H5" s="188" t="s">
        <v>168</v>
      </c>
    </row>
    <row r="7" spans="1:23" ht="18">
      <c r="C7" s="189"/>
      <c r="E7" s="189"/>
      <c r="F7" s="189"/>
      <c r="G7" s="189"/>
      <c r="H7" s="190" t="s">
        <v>135</v>
      </c>
      <c r="I7" s="189"/>
      <c r="J7" s="189"/>
      <c r="K7" s="189"/>
      <c r="L7" s="189"/>
    </row>
    <row r="8" spans="1:23" ht="12.5">
      <c r="D8" s="191"/>
    </row>
    <row r="9" spans="1:23" ht="11.5" customHeight="1">
      <c r="A9" s="183" t="str">
        <f>"Note: Some project's final trued-up cost may not meet SPP's $100,000 threshold for socialization.  In that case a true-up of the pirior year ARR will be made in columns "&amp;I12&amp;" through "&amp;Q12&amp;", but no projected ARR will be shown in columns "&amp;E12&amp;" through "&amp;LEFT(G12,3)&amp;" for the current year."</f>
        <v>Note: Some project's final trued-up cost may not meet SPP's $100,000 threshold for socialization.  In that case a true-up of the pirior year ARR will be made in columns (H) through (O), but no projected ARR will be shown in columns (E) through (G) for the current year.</v>
      </c>
    </row>
    <row r="12" spans="1:23" ht="24.75" customHeight="1">
      <c r="A12" s="192" t="s">
        <v>169</v>
      </c>
      <c r="B12" s="192" t="s">
        <v>170</v>
      </c>
      <c r="C12" s="193" t="s">
        <v>171</v>
      </c>
      <c r="D12" s="192" t="s">
        <v>172</v>
      </c>
      <c r="E12" s="192" t="s">
        <v>173</v>
      </c>
      <c r="F12" s="192" t="s">
        <v>174</v>
      </c>
      <c r="G12" s="192" t="str">
        <f>"(G) = "&amp;E12&amp;" + "&amp;F12</f>
        <v>(G) = (E) + (F)</v>
      </c>
      <c r="H12" s="192"/>
      <c r="I12" s="192" t="s">
        <v>175</v>
      </c>
      <c r="J12" s="192" t="s">
        <v>176</v>
      </c>
      <c r="K12" s="192" t="s">
        <v>212</v>
      </c>
      <c r="L12" s="192" t="str">
        <f>"(K) = "&amp;J12&amp;" - "&amp;K12</f>
        <v>(K) = (I) - (J)</v>
      </c>
      <c r="M12" s="192"/>
      <c r="N12" s="192" t="s">
        <v>216</v>
      </c>
      <c r="O12" s="192" t="s">
        <v>177</v>
      </c>
      <c r="P12" s="192" t="str">
        <f>"(N) = "&amp;N12&amp;"-"&amp;O12</f>
        <v>(N) = (L)-(M)</v>
      </c>
      <c r="Q12" s="192" t="s">
        <v>217</v>
      </c>
      <c r="R12" s="192" t="str">
        <f>"(P) = "&amp;I12&amp;"+"&amp;LEFT(L12,3)&amp;"+"&amp;LEFT(P12,3)&amp;"+"&amp;Q12</f>
        <v>(P) = (H)+(K)+(N)+(O)</v>
      </c>
      <c r="S12" s="192"/>
      <c r="T12" s="192" t="str">
        <f>"(R) = "&amp;LEFT(G12,3)&amp;" + "&amp;LEFT(R12,3)</f>
        <v>(R) = (G) + (P)</v>
      </c>
      <c r="U12" s="192"/>
      <c r="V12" s="194"/>
      <c r="W12" s="194"/>
    </row>
    <row r="13" spans="1:23" ht="16.5" customHeight="1">
      <c r="A13" s="195"/>
      <c r="B13" s="195"/>
      <c r="C13" s="195"/>
      <c r="D13" s="195"/>
      <c r="E13" s="666" t="str">
        <f>"Projected ARR For "&amp;U1&amp;" From WS-F"</f>
        <v>Projected ARR For 2021 From WS-F</v>
      </c>
      <c r="F13" s="666"/>
      <c r="G13" s="666"/>
      <c r="H13" s="195"/>
      <c r="I13" s="196" t="str">
        <f>"True-Up ARR CY"&amp;U1-1&amp;" From Worksheet G  (includes adjustment for SPP Collections)"</f>
        <v>True-Up ARR CY2020 From Worksheet G  (includes adjustment for SPP Collections)</v>
      </c>
      <c r="J13" s="196"/>
      <c r="K13" s="196"/>
      <c r="L13" s="196"/>
      <c r="M13" s="196"/>
      <c r="N13" s="196"/>
      <c r="O13" s="196"/>
      <c r="P13" s="196"/>
      <c r="Q13" s="196"/>
      <c r="R13" s="196"/>
      <c r="S13" s="195"/>
      <c r="T13" s="195"/>
      <c r="U13" s="195"/>
    </row>
    <row r="14" spans="1:23" ht="18" customHeight="1">
      <c r="I14" s="197"/>
      <c r="T14" s="667" t="str">
        <f>"Total ADJUSTED Revenue Requirement Effective
1/1/"&amp;U1&amp;""</f>
        <v>Total ADJUSTED Revenue Requirement Effective
1/1/2021</v>
      </c>
    </row>
    <row r="15" spans="1:23" ht="18" customHeight="1" thickBot="1">
      <c r="D15" s="195"/>
      <c r="E15" s="198"/>
      <c r="F15" s="198"/>
      <c r="G15" s="198"/>
      <c r="I15" s="196" t="s">
        <v>181</v>
      </c>
      <c r="J15" s="199"/>
      <c r="K15" s="196"/>
      <c r="L15" s="199"/>
      <c r="M15" s="200"/>
      <c r="N15" s="196" t="s">
        <v>218</v>
      </c>
      <c r="O15" s="201"/>
      <c r="P15" s="201"/>
      <c r="Q15" s="202"/>
      <c r="T15" s="667"/>
    </row>
    <row r="16" spans="1:23" ht="71.25" customHeight="1">
      <c r="A16" s="203" t="s">
        <v>178</v>
      </c>
      <c r="B16" s="204" t="s">
        <v>179</v>
      </c>
      <c r="C16" s="204" t="s">
        <v>117</v>
      </c>
      <c r="D16" s="205" t="s">
        <v>180</v>
      </c>
      <c r="E16" s="206" t="s">
        <v>181</v>
      </c>
      <c r="F16" s="206" t="s">
        <v>182</v>
      </c>
      <c r="G16" s="205" t="s">
        <v>183</v>
      </c>
      <c r="I16" s="207" t="s">
        <v>211</v>
      </c>
      <c r="J16" s="207" t="s">
        <v>264</v>
      </c>
      <c r="K16" s="207" t="s">
        <v>232</v>
      </c>
      <c r="L16" s="207" t="s">
        <v>215</v>
      </c>
      <c r="M16" s="207"/>
      <c r="N16" s="208" t="s">
        <v>184</v>
      </c>
      <c r="O16" s="208" t="s">
        <v>185</v>
      </c>
      <c r="P16" s="209" t="s">
        <v>186</v>
      </c>
      <c r="Q16" s="209" t="s">
        <v>187</v>
      </c>
      <c r="R16" s="210" t="s">
        <v>219</v>
      </c>
      <c r="T16" s="667"/>
      <c r="V16" s="211" t="s">
        <v>220</v>
      </c>
    </row>
    <row r="17" spans="1:23" ht="13">
      <c r="B17" s="195"/>
      <c r="C17" s="195"/>
      <c r="E17" s="212"/>
      <c r="F17" s="212"/>
      <c r="G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T17" s="212"/>
      <c r="V17" s="213"/>
    </row>
    <row r="18" spans="1:23" ht="13">
      <c r="A18" s="214" t="s">
        <v>190</v>
      </c>
      <c r="B18" s="192" t="s">
        <v>191</v>
      </c>
      <c r="C18" s="215" t="str">
        <f t="shared" ref="C18:F37" ca="1" si="0">INDIRECT("'"&amp; $A18 &amp; "'!" &amp;C$100)</f>
        <v>Arsenal Hill Auto xfmr &amp; AH to Water Works line</v>
      </c>
      <c r="D18" s="216">
        <f t="shared" ca="1" si="0"/>
        <v>2009</v>
      </c>
      <c r="E18" s="217">
        <v>0</v>
      </c>
      <c r="F18" s="218">
        <f t="shared" ca="1" si="0"/>
        <v>0</v>
      </c>
      <c r="G18" s="218">
        <f t="shared" ref="G18:G23" ca="1" si="1">+E18+F18</f>
        <v>0</v>
      </c>
      <c r="H18" s="219"/>
      <c r="I18" s="220">
        <f ca="1">INDIRECT("'"&amp; $A18 &amp; "'!" &amp;I$100)</f>
        <v>67560.239250978688</v>
      </c>
      <c r="J18" s="221">
        <v>1368439.6921812859</v>
      </c>
      <c r="K18" s="221">
        <f t="shared" ref="K18:K49" si="2">J18/J$93*K$93</f>
        <v>1484877.0690016339</v>
      </c>
      <c r="L18" s="217">
        <f t="shared" ref="L18:L42" si="3">+J18-K18</f>
        <v>-116437.37682034797</v>
      </c>
      <c r="M18" s="217"/>
      <c r="N18" s="218">
        <v>0</v>
      </c>
      <c r="O18" s="218">
        <v>0</v>
      </c>
      <c r="P18" s="218">
        <f t="shared" ref="P18:P23" si="4">+N18-O18</f>
        <v>0</v>
      </c>
      <c r="Q18" s="217">
        <f t="shared" ref="Q18:Q49" ca="1" si="5">+V18/$V$93 * $Q$93</f>
        <v>-3375.6544632937412</v>
      </c>
      <c r="R18" s="222">
        <f ca="1">I18+L18+P18+Q18</f>
        <v>-52252.792032663026</v>
      </c>
      <c r="S18" s="222"/>
      <c r="T18" s="223">
        <f t="shared" ref="T18:T42" ca="1" si="6">+G18+R18</f>
        <v>-52252.792032663026</v>
      </c>
      <c r="V18" s="224">
        <f ca="1">+I18+L18+P18</f>
        <v>-48877.137569369283</v>
      </c>
      <c r="W18" s="183" t="str">
        <f>A18</f>
        <v>S.001</v>
      </c>
    </row>
    <row r="19" spans="1:23" ht="13">
      <c r="A19" s="214" t="s">
        <v>192</v>
      </c>
      <c r="B19" s="192" t="s">
        <v>191</v>
      </c>
      <c r="C19" s="215" t="str">
        <f t="shared" ca="1" si="0"/>
        <v>SW Shreveport (sub work &amp; tap)</v>
      </c>
      <c r="D19" s="216">
        <f t="shared" ca="1" si="0"/>
        <v>2009</v>
      </c>
      <c r="E19" s="217">
        <v>0</v>
      </c>
      <c r="F19" s="218">
        <f t="shared" ca="1" si="0"/>
        <v>0</v>
      </c>
      <c r="G19" s="218">
        <f t="shared" ca="1" si="1"/>
        <v>0</v>
      </c>
      <c r="H19" s="219"/>
      <c r="I19" s="220">
        <f t="shared" ref="I19:I82" ca="1" si="7">INDIRECT("'"&amp; $A19 &amp; "'!" &amp;I$100)</f>
        <v>40602.768254629686</v>
      </c>
      <c r="J19" s="221">
        <v>644858.18752635922</v>
      </c>
      <c r="K19" s="221">
        <f t="shared" si="2"/>
        <v>699727.6832050524</v>
      </c>
      <c r="L19" s="217">
        <f t="shared" si="3"/>
        <v>-54869.495678693173</v>
      </c>
      <c r="M19" s="217"/>
      <c r="N19" s="218">
        <v>0</v>
      </c>
      <c r="O19" s="218">
        <v>0</v>
      </c>
      <c r="P19" s="218">
        <f t="shared" si="4"/>
        <v>0</v>
      </c>
      <c r="Q19" s="217">
        <f t="shared" ca="1" si="5"/>
        <v>-985.31838197939271</v>
      </c>
      <c r="R19" s="222">
        <f t="shared" ref="R19:R42" ca="1" si="8">I19+L19+P19+Q19</f>
        <v>-15252.045806042879</v>
      </c>
      <c r="S19" s="222"/>
      <c r="T19" s="225">
        <f t="shared" ca="1" si="6"/>
        <v>-15252.045806042879</v>
      </c>
      <c r="V19" s="224">
        <f t="shared" ref="V19:V37" ca="1" si="9">+I19+L19+P19</f>
        <v>-14266.727424063487</v>
      </c>
      <c r="W19" s="183" t="str">
        <f t="shared" ref="W19:W37" si="10">A19</f>
        <v>S.002</v>
      </c>
    </row>
    <row r="20" spans="1:23" ht="25">
      <c r="A20" s="214" t="s">
        <v>193</v>
      </c>
      <c r="B20" s="192" t="s">
        <v>191</v>
      </c>
      <c r="C20" s="226" t="str">
        <f t="shared" ca="1" si="0"/>
        <v>[NW Ark Area Improve - 2009]  E. Centerton-Flint Crk, E Rogers-N Rogers, Centerton</v>
      </c>
      <c r="D20" s="216">
        <f t="shared" ca="1" si="0"/>
        <v>2009</v>
      </c>
      <c r="E20" s="217">
        <v>0</v>
      </c>
      <c r="F20" s="218">
        <f t="shared" ca="1" si="0"/>
        <v>0</v>
      </c>
      <c r="G20" s="218">
        <f t="shared" ca="1" si="1"/>
        <v>0</v>
      </c>
      <c r="H20" s="219"/>
      <c r="I20" s="220">
        <f t="shared" ca="1" si="7"/>
        <v>37803.229294261662</v>
      </c>
      <c r="J20" s="221">
        <v>1038042.6708129914</v>
      </c>
      <c r="K20" s="221">
        <f t="shared" si="2"/>
        <v>1126367.3272137363</v>
      </c>
      <c r="L20" s="217">
        <f t="shared" si="3"/>
        <v>-88324.656400744803</v>
      </c>
      <c r="M20" s="217"/>
      <c r="N20" s="218">
        <v>0</v>
      </c>
      <c r="O20" s="218">
        <v>0</v>
      </c>
      <c r="P20" s="218">
        <f t="shared" si="4"/>
        <v>0</v>
      </c>
      <c r="Q20" s="217">
        <f t="shared" ca="1" si="5"/>
        <v>-3489.2158048724687</v>
      </c>
      <c r="R20" s="222">
        <f t="shared" ca="1" si="8"/>
        <v>-54010.642911355608</v>
      </c>
      <c r="S20" s="222"/>
      <c r="T20" s="225">
        <f t="shared" ca="1" si="6"/>
        <v>-54010.642911355608</v>
      </c>
      <c r="V20" s="224">
        <f t="shared" ca="1" si="9"/>
        <v>-50521.427106483141</v>
      </c>
      <c r="W20" s="183" t="str">
        <f t="shared" si="10"/>
        <v>S.003</v>
      </c>
    </row>
    <row r="21" spans="1:23" ht="13">
      <c r="A21" s="214" t="s">
        <v>194</v>
      </c>
      <c r="B21" s="192" t="s">
        <v>191</v>
      </c>
      <c r="C21" s="226" t="str">
        <f t="shared" ca="1" si="0"/>
        <v>Rebuild N. Magazine - Danville 161 kV Line</v>
      </c>
      <c r="D21" s="216">
        <f t="shared" ca="1" si="0"/>
        <v>2009</v>
      </c>
      <c r="E21" s="217">
        <v>0</v>
      </c>
      <c r="F21" s="218">
        <f t="shared" ca="1" si="0"/>
        <v>0</v>
      </c>
      <c r="G21" s="218">
        <f t="shared" ca="1" si="1"/>
        <v>0</v>
      </c>
      <c r="H21" s="219"/>
      <c r="I21" s="220">
        <f t="shared" ca="1" si="7"/>
        <v>34690.601784731727</v>
      </c>
      <c r="J21" s="221">
        <v>876467.92836966342</v>
      </c>
      <c r="K21" s="221">
        <f t="shared" si="2"/>
        <v>951044.56264125148</v>
      </c>
      <c r="L21" s="217">
        <f t="shared" si="3"/>
        <v>-74576.63427158806</v>
      </c>
      <c r="M21" s="217"/>
      <c r="N21" s="218">
        <v>0</v>
      </c>
      <c r="O21" s="218">
        <v>0</v>
      </c>
      <c r="P21" s="218">
        <f t="shared" si="4"/>
        <v>0</v>
      </c>
      <c r="Q21" s="217">
        <f t="shared" ca="1" si="5"/>
        <v>-2754.6920765612495</v>
      </c>
      <c r="R21" s="222">
        <f t="shared" ca="1" si="8"/>
        <v>-42640.724563417585</v>
      </c>
      <c r="S21" s="222"/>
      <c r="T21" s="225">
        <f t="shared" ca="1" si="6"/>
        <v>-42640.724563417585</v>
      </c>
      <c r="V21" s="224">
        <f t="shared" ca="1" si="9"/>
        <v>-39886.032486856333</v>
      </c>
      <c r="W21" s="183" t="str">
        <f t="shared" si="10"/>
        <v>S.004</v>
      </c>
    </row>
    <row r="22" spans="1:23" ht="25">
      <c r="A22" s="214" t="s">
        <v>195</v>
      </c>
      <c r="B22" s="192" t="s">
        <v>191</v>
      </c>
      <c r="C22" s="226" t="str">
        <f t="shared" ca="1" si="0"/>
        <v>[Greenwood, AR Area Improve]  N Huntington, Greenwood, Reeves, Bonanza</v>
      </c>
      <c r="D22" s="216">
        <f t="shared" ca="1" si="0"/>
        <v>2009</v>
      </c>
      <c r="E22" s="217">
        <v>0</v>
      </c>
      <c r="F22" s="218">
        <f t="shared" ca="1" si="0"/>
        <v>0</v>
      </c>
      <c r="G22" s="218">
        <f t="shared" ca="1" si="1"/>
        <v>0</v>
      </c>
      <c r="H22" s="219"/>
      <c r="I22" s="220">
        <f t="shared" ca="1" si="7"/>
        <v>11366.943264105939</v>
      </c>
      <c r="J22" s="221">
        <v>230873.40493133722</v>
      </c>
      <c r="K22" s="221">
        <f t="shared" si="2"/>
        <v>250517.8903999929</v>
      </c>
      <c r="L22" s="217">
        <f t="shared" si="3"/>
        <v>-19644.485468655679</v>
      </c>
      <c r="M22" s="217"/>
      <c r="N22" s="218">
        <v>0</v>
      </c>
      <c r="O22" s="218">
        <v>0</v>
      </c>
      <c r="P22" s="218">
        <f t="shared" si="4"/>
        <v>0</v>
      </c>
      <c r="Q22" s="217">
        <f t="shared" ca="1" si="5"/>
        <v>-571.68082415287836</v>
      </c>
      <c r="R22" s="222">
        <f t="shared" ca="1" si="8"/>
        <v>-8849.2230287026177</v>
      </c>
      <c r="S22" s="222"/>
      <c r="T22" s="225">
        <f t="shared" ca="1" si="6"/>
        <v>-8849.2230287026177</v>
      </c>
      <c r="V22" s="224">
        <f t="shared" ca="1" si="9"/>
        <v>-8277.5422045497398</v>
      </c>
      <c r="W22" s="183" t="str">
        <f t="shared" si="10"/>
        <v>S.005</v>
      </c>
    </row>
    <row r="23" spans="1:23" ht="13">
      <c r="A23" s="214" t="s">
        <v>196</v>
      </c>
      <c r="B23" s="192" t="s">
        <v>191</v>
      </c>
      <c r="C23" s="226" t="str">
        <f t="shared" ca="1" si="0"/>
        <v>Port Robson-Caplis Line (SW 138 kV Loop -- 2009)</v>
      </c>
      <c r="D23" s="216">
        <f t="shared" ca="1" si="0"/>
        <v>2009</v>
      </c>
      <c r="E23" s="217">
        <v>0</v>
      </c>
      <c r="F23" s="218">
        <f t="shared" ca="1" si="0"/>
        <v>0</v>
      </c>
      <c r="G23" s="218">
        <f t="shared" ca="1" si="1"/>
        <v>0</v>
      </c>
      <c r="H23" s="219"/>
      <c r="I23" s="220">
        <f t="shared" ca="1" si="7"/>
        <v>176791.9819471105</v>
      </c>
      <c r="J23" s="221">
        <v>2990644.6929131523</v>
      </c>
      <c r="K23" s="221">
        <f t="shared" si="2"/>
        <v>3245111.7512965859</v>
      </c>
      <c r="L23" s="217">
        <f t="shared" si="3"/>
        <v>-254467.05838343361</v>
      </c>
      <c r="M23" s="217"/>
      <c r="N23" s="218">
        <v>0</v>
      </c>
      <c r="O23" s="218">
        <v>0</v>
      </c>
      <c r="P23" s="218">
        <f t="shared" si="4"/>
        <v>0</v>
      </c>
      <c r="Q23" s="217">
        <f t="shared" ca="1" si="5"/>
        <v>-5364.557572276427</v>
      </c>
      <c r="R23" s="222">
        <f t="shared" ca="1" si="8"/>
        <v>-83039.634008599547</v>
      </c>
      <c r="S23" s="222"/>
      <c r="T23" s="225">
        <f t="shared" ca="1" si="6"/>
        <v>-83039.634008599547</v>
      </c>
      <c r="U23" s="227"/>
      <c r="V23" s="224">
        <f t="shared" ca="1" si="9"/>
        <v>-77675.076436323114</v>
      </c>
      <c r="W23" s="227" t="str">
        <f t="shared" si="10"/>
        <v>S.006</v>
      </c>
    </row>
    <row r="24" spans="1:23" ht="13">
      <c r="A24" s="214" t="s">
        <v>197</v>
      </c>
      <c r="B24" s="192" t="s">
        <v>191</v>
      </c>
      <c r="C24" s="226" t="str">
        <f t="shared" ca="1" si="0"/>
        <v>Linwood 138 Station Switch Replacement*</v>
      </c>
      <c r="D24" s="216">
        <f t="shared" ca="1" si="0"/>
        <v>2009</v>
      </c>
      <c r="E24" s="217">
        <v>0</v>
      </c>
      <c r="F24" s="218">
        <f t="shared" ca="1" si="0"/>
        <v>0</v>
      </c>
      <c r="G24" s="218">
        <f t="shared" ref="G24:G36" ca="1" si="11">+E24+F24</f>
        <v>0</v>
      </c>
      <c r="H24" s="219"/>
      <c r="I24" s="220">
        <f t="shared" ca="1" si="7"/>
        <v>307.38138136342786</v>
      </c>
      <c r="J24" s="221">
        <v>5960.8668353528847</v>
      </c>
      <c r="K24" s="221">
        <f t="shared" si="2"/>
        <v>6468.0632444087778</v>
      </c>
      <c r="L24" s="217">
        <f t="shared" si="3"/>
        <v>-507.19640905589313</v>
      </c>
      <c r="M24" s="217"/>
      <c r="N24" s="218">
        <v>0</v>
      </c>
      <c r="O24" s="218">
        <v>0</v>
      </c>
      <c r="P24" s="218">
        <f t="shared" ref="P24:P36" si="12">+N24-O24</f>
        <v>0</v>
      </c>
      <c r="Q24" s="217">
        <f t="shared" ca="1" si="5"/>
        <v>-13.800040747188476</v>
      </c>
      <c r="R24" s="222">
        <f t="shared" ca="1" si="8"/>
        <v>-213.61506843965373</v>
      </c>
      <c r="S24" s="228" t="s">
        <v>266</v>
      </c>
      <c r="T24" s="225">
        <f t="shared" ca="1" si="6"/>
        <v>-213.61506843965373</v>
      </c>
      <c r="V24" s="224">
        <f t="shared" ca="1" si="9"/>
        <v>-199.81502769246526</v>
      </c>
      <c r="W24" s="183" t="str">
        <f t="shared" si="10"/>
        <v>S.007</v>
      </c>
    </row>
    <row r="25" spans="1:23" ht="25">
      <c r="A25" s="214" t="s">
        <v>198</v>
      </c>
      <c r="B25" s="192" t="s">
        <v>191</v>
      </c>
      <c r="C25" s="226" t="str">
        <f t="shared" ca="1" si="0"/>
        <v>Dyess to S. Fayetteville 69 kV Convert to 161 kV (multi-projects)</v>
      </c>
      <c r="D25" s="216">
        <f t="shared" ca="1" si="0"/>
        <v>2008</v>
      </c>
      <c r="E25" s="217">
        <v>0</v>
      </c>
      <c r="F25" s="218">
        <f t="shared" ca="1" si="0"/>
        <v>0</v>
      </c>
      <c r="G25" s="218">
        <f t="shared" ca="1" si="11"/>
        <v>0</v>
      </c>
      <c r="H25" s="219"/>
      <c r="I25" s="220">
        <f t="shared" ca="1" si="7"/>
        <v>43016.883067985764</v>
      </c>
      <c r="J25" s="221">
        <v>736865.0144492744</v>
      </c>
      <c r="K25" s="221">
        <f t="shared" si="2"/>
        <v>799563.15879818529</v>
      </c>
      <c r="L25" s="217">
        <f t="shared" si="3"/>
        <v>-62698.144348910893</v>
      </c>
      <c r="M25" s="217"/>
      <c r="N25" s="218">
        <v>0</v>
      </c>
      <c r="O25" s="218">
        <v>0</v>
      </c>
      <c r="P25" s="218">
        <f t="shared" si="12"/>
        <v>0</v>
      </c>
      <c r="Q25" s="217">
        <f t="shared" ca="1" si="5"/>
        <v>-1359.2681730167556</v>
      </c>
      <c r="R25" s="222">
        <f t="shared" ca="1" si="8"/>
        <v>-21040.529453941886</v>
      </c>
      <c r="S25" s="222"/>
      <c r="T25" s="225">
        <f t="shared" ca="1" si="6"/>
        <v>-21040.529453941886</v>
      </c>
      <c r="V25" s="224">
        <f t="shared" ca="1" si="9"/>
        <v>-19681.26128092513</v>
      </c>
      <c r="W25" s="183" t="str">
        <f t="shared" si="10"/>
        <v>S.008</v>
      </c>
    </row>
    <row r="26" spans="1:23" ht="25">
      <c r="A26" s="214" t="s">
        <v>199</v>
      </c>
      <c r="B26" s="192" t="s">
        <v>191</v>
      </c>
      <c r="C26" s="226" t="str">
        <f t="shared" ca="1" si="0"/>
        <v>Northwest Texarkana-Bann-Alumax Tap 138kV -- reconductor</v>
      </c>
      <c r="D26" s="216">
        <f t="shared" ca="1" si="0"/>
        <v>2008</v>
      </c>
      <c r="E26" s="217">
        <v>0</v>
      </c>
      <c r="F26" s="218">
        <f t="shared" ca="1" si="0"/>
        <v>0</v>
      </c>
      <c r="G26" s="218">
        <f t="shared" ca="1" si="11"/>
        <v>0</v>
      </c>
      <c r="H26" s="219"/>
      <c r="I26" s="220">
        <f t="shared" ca="1" si="7"/>
        <v>7503.8412003653939</v>
      </c>
      <c r="J26" s="221">
        <v>209310.54417228789</v>
      </c>
      <c r="K26" s="221">
        <f t="shared" si="2"/>
        <v>227120.29555812545</v>
      </c>
      <c r="L26" s="217">
        <f t="shared" si="3"/>
        <v>-17809.751385837561</v>
      </c>
      <c r="M26" s="217"/>
      <c r="N26" s="218">
        <v>0</v>
      </c>
      <c r="O26" s="218">
        <v>0</v>
      </c>
      <c r="P26" s="218">
        <f t="shared" si="12"/>
        <v>0</v>
      </c>
      <c r="Q26" s="217">
        <f t="shared" ca="1" si="5"/>
        <v>-711.7681895041153</v>
      </c>
      <c r="R26" s="222">
        <f t="shared" ca="1" si="8"/>
        <v>-11017.678374976282</v>
      </c>
      <c r="S26" s="222"/>
      <c r="T26" s="225">
        <f t="shared" ca="1" si="6"/>
        <v>-11017.678374976282</v>
      </c>
      <c r="V26" s="224">
        <f t="shared" ca="1" si="9"/>
        <v>-10305.910185472167</v>
      </c>
      <c r="W26" s="183" t="str">
        <f t="shared" si="10"/>
        <v>S.009</v>
      </c>
    </row>
    <row r="27" spans="1:23" ht="13">
      <c r="A27" s="214" t="s">
        <v>200</v>
      </c>
      <c r="B27" s="192" t="s">
        <v>191</v>
      </c>
      <c r="C27" s="229" t="str">
        <f t="shared" ca="1" si="0"/>
        <v>Tontitown - Elm Springs REC 161 kV line***</v>
      </c>
      <c r="D27" s="216">
        <f t="shared" ca="1" si="0"/>
        <v>2008</v>
      </c>
      <c r="E27" s="217">
        <v>0</v>
      </c>
      <c r="F27" s="218">
        <f t="shared" ca="1" si="0"/>
        <v>0</v>
      </c>
      <c r="G27" s="218">
        <f t="shared" ca="1" si="11"/>
        <v>0</v>
      </c>
      <c r="H27" s="219"/>
      <c r="I27" s="220">
        <f t="shared" ca="1" si="7"/>
        <v>0</v>
      </c>
      <c r="J27" s="221">
        <v>0</v>
      </c>
      <c r="K27" s="221">
        <f t="shared" si="2"/>
        <v>0</v>
      </c>
      <c r="L27" s="217">
        <f t="shared" si="3"/>
        <v>0</v>
      </c>
      <c r="M27" s="217"/>
      <c r="N27" s="218">
        <v>0</v>
      </c>
      <c r="O27" s="218">
        <v>0</v>
      </c>
      <c r="P27" s="218">
        <f t="shared" si="12"/>
        <v>0</v>
      </c>
      <c r="Q27" s="217">
        <f t="shared" ca="1" si="5"/>
        <v>0</v>
      </c>
      <c r="R27" s="222">
        <f t="shared" ca="1" si="8"/>
        <v>0</v>
      </c>
      <c r="S27" s="222"/>
      <c r="T27" s="225">
        <f t="shared" ca="1" si="6"/>
        <v>0</v>
      </c>
      <c r="V27" s="224">
        <f t="shared" ca="1" si="9"/>
        <v>0</v>
      </c>
      <c r="W27" s="183" t="str">
        <f t="shared" si="10"/>
        <v>S.010</v>
      </c>
    </row>
    <row r="28" spans="1:23" ht="16.5" customHeight="1">
      <c r="A28" s="214" t="s">
        <v>201</v>
      </c>
      <c r="B28" s="192" t="s">
        <v>191</v>
      </c>
      <c r="C28" s="229" t="str">
        <f t="shared" ca="1" si="0"/>
        <v>Siloam Springs - Chamber Springs 161 kV line***</v>
      </c>
      <c r="D28" s="216">
        <f t="shared" ca="1" si="0"/>
        <v>2007</v>
      </c>
      <c r="E28" s="217">
        <v>0</v>
      </c>
      <c r="F28" s="218">
        <f t="shared" ca="1" si="0"/>
        <v>0</v>
      </c>
      <c r="G28" s="218">
        <f t="shared" ca="1" si="11"/>
        <v>0</v>
      </c>
      <c r="H28" s="219"/>
      <c r="I28" s="220">
        <f t="shared" ca="1" si="7"/>
        <v>0</v>
      </c>
      <c r="J28" s="221">
        <v>0</v>
      </c>
      <c r="K28" s="221">
        <f t="shared" si="2"/>
        <v>0</v>
      </c>
      <c r="L28" s="217">
        <f t="shared" si="3"/>
        <v>0</v>
      </c>
      <c r="M28" s="217"/>
      <c r="N28" s="218">
        <v>0</v>
      </c>
      <c r="O28" s="218">
        <v>0</v>
      </c>
      <c r="P28" s="218">
        <f t="shared" si="12"/>
        <v>0</v>
      </c>
      <c r="Q28" s="217">
        <f t="shared" ca="1" si="5"/>
        <v>0</v>
      </c>
      <c r="R28" s="222">
        <f t="shared" ca="1" si="8"/>
        <v>0</v>
      </c>
      <c r="S28" s="222"/>
      <c r="T28" s="225">
        <f t="shared" ca="1" si="6"/>
        <v>0</v>
      </c>
      <c r="V28" s="224">
        <f t="shared" ca="1" si="9"/>
        <v>0</v>
      </c>
      <c r="W28" s="183" t="str">
        <f t="shared" si="10"/>
        <v>S.011</v>
      </c>
    </row>
    <row r="29" spans="1:23" ht="25">
      <c r="A29" s="214" t="s">
        <v>202</v>
      </c>
      <c r="B29" s="192" t="s">
        <v>191</v>
      </c>
      <c r="C29" s="226" t="str">
        <f t="shared" ca="1" si="0"/>
        <v>Knox Lee - Oak Hill #2 138 kV line, S. Shreveport  (SWE Minor Proj II)</v>
      </c>
      <c r="D29" s="216">
        <f t="shared" ca="1" si="0"/>
        <v>2007</v>
      </c>
      <c r="E29" s="217">
        <v>0</v>
      </c>
      <c r="F29" s="218">
        <f t="shared" ca="1" si="0"/>
        <v>0</v>
      </c>
      <c r="G29" s="218">
        <f t="shared" ca="1" si="11"/>
        <v>0</v>
      </c>
      <c r="H29" s="219"/>
      <c r="I29" s="220">
        <f t="shared" ca="1" si="7"/>
        <v>373.86869428755381</v>
      </c>
      <c r="J29" s="221">
        <v>13484.563634754122</v>
      </c>
      <c r="K29" s="221">
        <f t="shared" si="2"/>
        <v>14631.934049518317</v>
      </c>
      <c r="L29" s="217">
        <f t="shared" si="3"/>
        <v>-1147.3704147641947</v>
      </c>
      <c r="M29" s="217"/>
      <c r="N29" s="218">
        <v>0</v>
      </c>
      <c r="O29" s="218">
        <v>0</v>
      </c>
      <c r="P29" s="218">
        <f t="shared" si="12"/>
        <v>0</v>
      </c>
      <c r="Q29" s="217">
        <f t="shared" ca="1" si="5"/>
        <v>-53.421183500907183</v>
      </c>
      <c r="R29" s="222">
        <f t="shared" ca="1" si="8"/>
        <v>-826.92290397754812</v>
      </c>
      <c r="S29" s="222"/>
      <c r="T29" s="225">
        <f ca="1">+G29+R29</f>
        <v>-826.92290397754812</v>
      </c>
      <c r="V29" s="224">
        <f t="shared" ca="1" si="9"/>
        <v>-773.50172047664091</v>
      </c>
      <c r="W29" s="183" t="str">
        <f t="shared" si="10"/>
        <v>S.012</v>
      </c>
    </row>
    <row r="30" spans="1:23" ht="13">
      <c r="A30" s="214" t="s">
        <v>203</v>
      </c>
      <c r="B30" s="192" t="s">
        <v>191</v>
      </c>
      <c r="C30" s="226" t="str">
        <f t="shared" ca="1" si="0"/>
        <v xml:space="preserve">Carthage REC - Carthage T 138 kV </v>
      </c>
      <c r="D30" s="216">
        <f t="shared" ca="1" si="0"/>
        <v>2006</v>
      </c>
      <c r="E30" s="217">
        <v>0</v>
      </c>
      <c r="F30" s="218">
        <f t="shared" ca="1" si="0"/>
        <v>0</v>
      </c>
      <c r="G30" s="218">
        <f t="shared" ca="1" si="11"/>
        <v>0</v>
      </c>
      <c r="H30" s="219"/>
      <c r="I30" s="220">
        <f t="shared" ca="1" si="7"/>
        <v>23490.683028161759</v>
      </c>
      <c r="J30" s="221">
        <v>373469.87129429192</v>
      </c>
      <c r="K30" s="221">
        <f t="shared" si="2"/>
        <v>405247.56115771888</v>
      </c>
      <c r="L30" s="217">
        <f t="shared" si="3"/>
        <v>-31777.68986342696</v>
      </c>
      <c r="M30" s="217"/>
      <c r="N30" s="218">
        <v>0</v>
      </c>
      <c r="O30" s="218">
        <v>0</v>
      </c>
      <c r="P30" s="218">
        <f t="shared" si="12"/>
        <v>0</v>
      </c>
      <c r="Q30" s="217">
        <f t="shared" ca="1" si="5"/>
        <v>-572.33449015107078</v>
      </c>
      <c r="R30" s="222">
        <f t="shared" ca="1" si="8"/>
        <v>-8859.3413254162715</v>
      </c>
      <c r="S30" s="222"/>
      <c r="T30" s="225">
        <f t="shared" ca="1" si="6"/>
        <v>-8859.3413254162715</v>
      </c>
      <c r="V30" s="224">
        <f t="shared" ca="1" si="9"/>
        <v>-8287.0068352652015</v>
      </c>
      <c r="W30" s="183" t="str">
        <f t="shared" si="10"/>
        <v>S.013</v>
      </c>
    </row>
    <row r="31" spans="1:23" ht="13">
      <c r="A31" s="214" t="s">
        <v>204</v>
      </c>
      <c r="B31" s="192" t="s">
        <v>191</v>
      </c>
      <c r="C31" s="229" t="str">
        <f t="shared" ca="1" si="0"/>
        <v>NW Henderson - Oak Hill 138 kV line*</v>
      </c>
      <c r="D31" s="216">
        <f t="shared" ca="1" si="0"/>
        <v>2007</v>
      </c>
      <c r="E31" s="217">
        <v>0</v>
      </c>
      <c r="F31" s="218">
        <f t="shared" ca="1" si="0"/>
        <v>0</v>
      </c>
      <c r="G31" s="218">
        <f t="shared" ca="1" si="11"/>
        <v>0</v>
      </c>
      <c r="H31" s="219"/>
      <c r="I31" s="220">
        <f t="shared" ca="1" si="7"/>
        <v>291.60247922730287</v>
      </c>
      <c r="J31" s="221">
        <v>6101.988741781116</v>
      </c>
      <c r="K31" s="221">
        <f t="shared" si="2"/>
        <v>6621.1928883283099</v>
      </c>
      <c r="L31" s="217">
        <f t="shared" si="3"/>
        <v>-519.20414654719389</v>
      </c>
      <c r="M31" s="217"/>
      <c r="N31" s="218">
        <v>0</v>
      </c>
      <c r="O31" s="218">
        <v>0</v>
      </c>
      <c r="P31" s="218">
        <f t="shared" si="12"/>
        <v>0</v>
      </c>
      <c r="Q31" s="217">
        <f t="shared" ca="1" si="5"/>
        <v>-15.719099406160288</v>
      </c>
      <c r="R31" s="222">
        <f t="shared" ca="1" si="8"/>
        <v>-243.32076672605132</v>
      </c>
      <c r="S31" s="228" t="s">
        <v>266</v>
      </c>
      <c r="T31" s="225">
        <f t="shared" ca="1" si="6"/>
        <v>-243.32076672605132</v>
      </c>
      <c r="V31" s="224">
        <f t="shared" ca="1" si="9"/>
        <v>-227.60166731989102</v>
      </c>
      <c r="W31" s="183" t="str">
        <f t="shared" si="10"/>
        <v>S.014</v>
      </c>
    </row>
    <row r="32" spans="1:23" ht="13">
      <c r="A32" s="214" t="s">
        <v>205</v>
      </c>
      <c r="B32" s="192" t="s">
        <v>191</v>
      </c>
      <c r="C32" s="226" t="str">
        <f t="shared" ca="1" si="0"/>
        <v>Arsenal Hill 138kV Device (Cap. Bank)</v>
      </c>
      <c r="D32" s="216">
        <f t="shared" ca="1" si="0"/>
        <v>2007</v>
      </c>
      <c r="E32" s="217">
        <v>0</v>
      </c>
      <c r="F32" s="218">
        <f t="shared" ca="1" si="0"/>
        <v>0</v>
      </c>
      <c r="G32" s="218">
        <f t="shared" ca="1" si="11"/>
        <v>0</v>
      </c>
      <c r="H32" s="219"/>
      <c r="I32" s="220">
        <f t="shared" ca="1" si="7"/>
        <v>972.3460209898185</v>
      </c>
      <c r="J32" s="221">
        <v>26498.989416022559</v>
      </c>
      <c r="K32" s="221">
        <f t="shared" si="2"/>
        <v>28753.727300067421</v>
      </c>
      <c r="L32" s="217">
        <f t="shared" si="3"/>
        <v>-2254.7378840448619</v>
      </c>
      <c r="M32" s="217"/>
      <c r="N32" s="218">
        <v>0</v>
      </c>
      <c r="O32" s="218">
        <v>0</v>
      </c>
      <c r="P32" s="218">
        <f t="shared" si="12"/>
        <v>0</v>
      </c>
      <c r="Q32" s="217">
        <f t="shared" ca="1" si="5"/>
        <v>-88.567212228201555</v>
      </c>
      <c r="R32" s="222">
        <f t="shared" ca="1" si="8"/>
        <v>-1370.9590752832448</v>
      </c>
      <c r="S32" s="222"/>
      <c r="T32" s="225">
        <f t="shared" ca="1" si="6"/>
        <v>-1370.9590752832448</v>
      </c>
      <c r="V32" s="224">
        <f t="shared" ca="1" si="9"/>
        <v>-1282.3918630550434</v>
      </c>
      <c r="W32" s="183" t="str">
        <f t="shared" si="10"/>
        <v>S.015</v>
      </c>
    </row>
    <row r="33" spans="1:23" ht="13">
      <c r="A33" s="214" t="s">
        <v>206</v>
      </c>
      <c r="B33" s="192" t="s">
        <v>191</v>
      </c>
      <c r="C33" s="226" t="str">
        <f t="shared" ca="1" si="0"/>
        <v>Daingerfield - Jenkins REC 69 kV CB Repl**</v>
      </c>
      <c r="D33" s="216">
        <f t="shared" ca="1" si="0"/>
        <v>2008</v>
      </c>
      <c r="E33" s="217">
        <v>0</v>
      </c>
      <c r="F33" s="218">
        <f t="shared" ca="1" si="0"/>
        <v>0</v>
      </c>
      <c r="G33" s="218">
        <f t="shared" ca="1" si="11"/>
        <v>0</v>
      </c>
      <c r="H33" s="219"/>
      <c r="I33" s="220">
        <f t="shared" ca="1" si="7"/>
        <v>2028.4811927987248</v>
      </c>
      <c r="J33" s="221">
        <v>30634.070909704162</v>
      </c>
      <c r="K33" s="221">
        <f t="shared" si="2"/>
        <v>33240.653339631186</v>
      </c>
      <c r="L33" s="217">
        <f t="shared" si="3"/>
        <v>-2606.5824299270244</v>
      </c>
      <c r="M33" s="217"/>
      <c r="N33" s="218">
        <v>0</v>
      </c>
      <c r="O33" s="218">
        <v>0</v>
      </c>
      <c r="P33" s="218">
        <f t="shared" si="12"/>
        <v>0</v>
      </c>
      <c r="Q33" s="217">
        <f t="shared" ca="1" si="5"/>
        <v>-39.92602919060343</v>
      </c>
      <c r="R33" s="222">
        <f t="shared" ca="1" si="8"/>
        <v>-618.027266318903</v>
      </c>
      <c r="S33" s="222"/>
      <c r="T33" s="225">
        <f t="shared" ca="1" si="6"/>
        <v>-618.027266318903</v>
      </c>
      <c r="V33" s="224">
        <f t="shared" ca="1" si="9"/>
        <v>-578.10123712829954</v>
      </c>
      <c r="W33" s="183" t="str">
        <f t="shared" si="10"/>
        <v>S.016</v>
      </c>
    </row>
    <row r="34" spans="1:23" ht="13">
      <c r="A34" s="214" t="s">
        <v>207</v>
      </c>
      <c r="B34" s="192" t="s">
        <v>191</v>
      </c>
      <c r="C34" s="226" t="str">
        <f t="shared" ca="1" si="0"/>
        <v>Linwood-McWillie 138 kV Rebuild</v>
      </c>
      <c r="D34" s="216">
        <f t="shared" ca="1" si="0"/>
        <v>2008</v>
      </c>
      <c r="E34" s="217">
        <v>0</v>
      </c>
      <c r="F34" s="218">
        <f t="shared" ca="1" si="0"/>
        <v>0</v>
      </c>
      <c r="G34" s="218">
        <f t="shared" ca="1" si="11"/>
        <v>0</v>
      </c>
      <c r="H34" s="219"/>
      <c r="I34" s="220">
        <f t="shared" ca="1" si="7"/>
        <v>5418.6774423878815</v>
      </c>
      <c r="J34" s="221">
        <v>144109.28639219119</v>
      </c>
      <c r="K34" s="221">
        <f t="shared" si="2"/>
        <v>156371.21315361993</v>
      </c>
      <c r="L34" s="217">
        <f t="shared" si="3"/>
        <v>-12261.926761428738</v>
      </c>
      <c r="M34" s="217"/>
      <c r="N34" s="218">
        <v>0</v>
      </c>
      <c r="O34" s="218">
        <v>0</v>
      </c>
      <c r="P34" s="218">
        <f t="shared" si="12"/>
        <v>0</v>
      </c>
      <c r="Q34" s="217">
        <f t="shared" ca="1" si="5"/>
        <v>-472.62270779393793</v>
      </c>
      <c r="R34" s="222">
        <f t="shared" ca="1" si="8"/>
        <v>-7315.8720268347952</v>
      </c>
      <c r="S34" s="222"/>
      <c r="T34" s="225">
        <f t="shared" ca="1" si="6"/>
        <v>-7315.8720268347952</v>
      </c>
      <c r="V34" s="224">
        <f t="shared" ca="1" si="9"/>
        <v>-6843.2493190408568</v>
      </c>
      <c r="W34" s="183" t="str">
        <f t="shared" si="10"/>
        <v>S.017</v>
      </c>
    </row>
    <row r="35" spans="1:23" ht="13">
      <c r="A35" s="214" t="s">
        <v>208</v>
      </c>
      <c r="B35" s="192" t="s">
        <v>191</v>
      </c>
      <c r="C35" s="226" t="str">
        <f t="shared" ca="1" si="0"/>
        <v>Port Robson (SW 138 kV Loop -- 2008)</v>
      </c>
      <c r="D35" s="216">
        <f t="shared" ca="1" si="0"/>
        <v>2009</v>
      </c>
      <c r="E35" s="217">
        <v>0</v>
      </c>
      <c r="F35" s="218">
        <f t="shared" ca="1" si="0"/>
        <v>0</v>
      </c>
      <c r="G35" s="218">
        <f t="shared" ca="1" si="11"/>
        <v>0</v>
      </c>
      <c r="H35" s="219"/>
      <c r="I35" s="220">
        <f t="shared" ca="1" si="7"/>
        <v>0</v>
      </c>
      <c r="J35" s="221">
        <v>0</v>
      </c>
      <c r="K35" s="221">
        <f t="shared" si="2"/>
        <v>0</v>
      </c>
      <c r="L35" s="217">
        <f t="shared" si="3"/>
        <v>0</v>
      </c>
      <c r="M35" s="217"/>
      <c r="N35" s="218">
        <v>0</v>
      </c>
      <c r="O35" s="218">
        <v>0</v>
      </c>
      <c r="P35" s="218">
        <f t="shared" si="12"/>
        <v>0</v>
      </c>
      <c r="Q35" s="217">
        <f t="shared" ca="1" si="5"/>
        <v>0</v>
      </c>
      <c r="R35" s="222">
        <f t="shared" ca="1" si="8"/>
        <v>0</v>
      </c>
      <c r="S35" s="222"/>
      <c r="T35" s="225">
        <f t="shared" ca="1" si="6"/>
        <v>0</v>
      </c>
      <c r="V35" s="224">
        <f t="shared" ca="1" si="9"/>
        <v>0</v>
      </c>
      <c r="W35" s="183" t="str">
        <f t="shared" si="10"/>
        <v>S.018</v>
      </c>
    </row>
    <row r="36" spans="1:23" ht="13">
      <c r="A36" s="214" t="s">
        <v>209</v>
      </c>
      <c r="B36" s="192" t="s">
        <v>191</v>
      </c>
      <c r="C36" s="226" t="str">
        <f t="shared" ca="1" si="0"/>
        <v>Wallace Lake-Prt Robson-Red Point 138 kV Loop</v>
      </c>
      <c r="D36" s="216">
        <f t="shared" ca="1" si="0"/>
        <v>2008</v>
      </c>
      <c r="E36" s="217">
        <v>0</v>
      </c>
      <c r="F36" s="218">
        <f t="shared" ca="1" si="0"/>
        <v>0</v>
      </c>
      <c r="G36" s="218">
        <f t="shared" ca="1" si="11"/>
        <v>0</v>
      </c>
      <c r="H36" s="219"/>
      <c r="I36" s="220">
        <f t="shared" ca="1" si="7"/>
        <v>11943.098654895206</v>
      </c>
      <c r="J36" s="221">
        <v>330329.33844980702</v>
      </c>
      <c r="K36" s="221">
        <f t="shared" si="2"/>
        <v>358436.29988600092</v>
      </c>
      <c r="L36" s="217">
        <f t="shared" si="3"/>
        <v>-28106.961436193902</v>
      </c>
      <c r="M36" s="217"/>
      <c r="N36" s="218">
        <v>0</v>
      </c>
      <c r="O36" s="218">
        <v>0</v>
      </c>
      <c r="P36" s="218">
        <f t="shared" si="12"/>
        <v>0</v>
      </c>
      <c r="Q36" s="217">
        <f t="shared" ca="1" si="5"/>
        <v>-1116.3422871136563</v>
      </c>
      <c r="R36" s="222">
        <f t="shared" ca="1" si="8"/>
        <v>-17280.205068412353</v>
      </c>
      <c r="S36" s="222"/>
      <c r="T36" s="225">
        <f t="shared" ca="1" si="6"/>
        <v>-17280.205068412353</v>
      </c>
      <c r="V36" s="224">
        <f t="shared" ca="1" si="9"/>
        <v>-16163.862781298696</v>
      </c>
      <c r="W36" s="183" t="str">
        <f t="shared" si="10"/>
        <v>S.019</v>
      </c>
    </row>
    <row r="37" spans="1:23" ht="25">
      <c r="A37" s="214" t="s">
        <v>210</v>
      </c>
      <c r="B37" s="192" t="s">
        <v>191</v>
      </c>
      <c r="C37" s="226" t="str">
        <f t="shared" ca="1" si="0"/>
        <v>[NW Ark Area Improve - 2008]  Elm Springs, East Rogers, Shipe Road Stations</v>
      </c>
      <c r="D37" s="216">
        <f t="shared" ca="1" si="0"/>
        <v>2008</v>
      </c>
      <c r="E37" s="217">
        <v>0</v>
      </c>
      <c r="F37" s="218">
        <f t="shared" ca="1" si="0"/>
        <v>0</v>
      </c>
      <c r="G37" s="218">
        <f t="shared" ref="G37:G42" ca="1" si="13">+E37+F37</f>
        <v>0</v>
      </c>
      <c r="H37" s="219"/>
      <c r="I37" s="220">
        <f t="shared" ca="1" si="7"/>
        <v>0</v>
      </c>
      <c r="J37" s="221">
        <v>0</v>
      </c>
      <c r="K37" s="221">
        <f t="shared" si="2"/>
        <v>0</v>
      </c>
      <c r="L37" s="217">
        <f t="shared" si="3"/>
        <v>0</v>
      </c>
      <c r="M37" s="217"/>
      <c r="N37" s="218">
        <v>0</v>
      </c>
      <c r="O37" s="218">
        <v>0</v>
      </c>
      <c r="P37" s="218">
        <f t="shared" ref="P37:P42" si="14">+N37-O37</f>
        <v>0</v>
      </c>
      <c r="Q37" s="217">
        <f t="shared" ca="1" si="5"/>
        <v>0</v>
      </c>
      <c r="R37" s="222">
        <f t="shared" ca="1" si="8"/>
        <v>0</v>
      </c>
      <c r="S37" s="222"/>
      <c r="T37" s="225">
        <f t="shared" ca="1" si="6"/>
        <v>0</v>
      </c>
      <c r="V37" s="224">
        <f t="shared" ca="1" si="9"/>
        <v>0</v>
      </c>
      <c r="W37" s="183" t="str">
        <f t="shared" si="10"/>
        <v>S.020</v>
      </c>
    </row>
    <row r="38" spans="1:23" ht="13">
      <c r="A38" s="214" t="s">
        <v>255</v>
      </c>
      <c r="B38" s="192" t="s">
        <v>191</v>
      </c>
      <c r="C38" s="226" t="str">
        <f t="shared" ref="C38:F57" ca="1" si="15">INDIRECT("'"&amp; $A38 &amp; "'!" &amp;C$100)</f>
        <v>Reconductor 4 mi. of McNabb-Turk</v>
      </c>
      <c r="D38" s="216">
        <f t="shared" ca="1" si="15"/>
        <v>2010</v>
      </c>
      <c r="E38" s="217">
        <v>0</v>
      </c>
      <c r="F38" s="218">
        <f t="shared" ca="1" si="15"/>
        <v>0</v>
      </c>
      <c r="G38" s="218">
        <f t="shared" ca="1" si="13"/>
        <v>0</v>
      </c>
      <c r="H38" s="219"/>
      <c r="I38" s="220">
        <f t="shared" ca="1" si="7"/>
        <v>7173.4989406265086</v>
      </c>
      <c r="J38" s="221">
        <v>129565.05686468646</v>
      </c>
      <c r="K38" s="221">
        <f t="shared" si="2"/>
        <v>140589.44868487399</v>
      </c>
      <c r="L38" s="217">
        <f t="shared" si="3"/>
        <v>-11024.391820187535</v>
      </c>
      <c r="M38" s="217"/>
      <c r="N38" s="218">
        <v>0</v>
      </c>
      <c r="O38" s="218">
        <v>0</v>
      </c>
      <c r="P38" s="218">
        <f t="shared" si="14"/>
        <v>0</v>
      </c>
      <c r="Q38" s="217">
        <f t="shared" ca="1" si="5"/>
        <v>-265.95836792011244</v>
      </c>
      <c r="R38" s="222">
        <f t="shared" ca="1" si="8"/>
        <v>-4116.8512474811387</v>
      </c>
      <c r="S38" s="222"/>
      <c r="T38" s="225">
        <f t="shared" ca="1" si="6"/>
        <v>-4116.8512474811387</v>
      </c>
      <c r="V38" s="224">
        <f t="shared" ref="V38:V43" ca="1" si="16">+I38+L38+P38</f>
        <v>-3850.8928795610263</v>
      </c>
      <c r="W38" s="183" t="str">
        <f t="shared" ref="W38:W43" si="17">A38</f>
        <v>S.021</v>
      </c>
    </row>
    <row r="39" spans="1:23" ht="13">
      <c r="A39" s="214" t="s">
        <v>256</v>
      </c>
      <c r="B39" s="192" t="s">
        <v>191</v>
      </c>
      <c r="C39" s="226" t="str">
        <f t="shared" ca="1" si="15"/>
        <v>Longwood: r&amp;r switches, upgrade bus</v>
      </c>
      <c r="D39" s="216">
        <f t="shared" ca="1" si="15"/>
        <v>2010</v>
      </c>
      <c r="E39" s="217">
        <v>0</v>
      </c>
      <c r="F39" s="218">
        <f t="shared" ca="1" si="15"/>
        <v>0</v>
      </c>
      <c r="G39" s="218">
        <f t="shared" ca="1" si="13"/>
        <v>0</v>
      </c>
      <c r="H39" s="219"/>
      <c r="I39" s="220">
        <f t="shared" ca="1" si="7"/>
        <v>764.38385324627961</v>
      </c>
      <c r="J39" s="221">
        <v>16089.410967255204</v>
      </c>
      <c r="K39" s="221">
        <f t="shared" si="2"/>
        <v>17458.421832926259</v>
      </c>
      <c r="L39" s="217">
        <f t="shared" si="3"/>
        <v>-1369.0108656710545</v>
      </c>
      <c r="M39" s="217"/>
      <c r="N39" s="218">
        <v>0</v>
      </c>
      <c r="O39" s="218">
        <v>0</v>
      </c>
      <c r="P39" s="218">
        <f t="shared" si="14"/>
        <v>0</v>
      </c>
      <c r="Q39" s="217">
        <f t="shared" ca="1" si="5"/>
        <v>-41.75800741651306</v>
      </c>
      <c r="R39" s="222">
        <f t="shared" ca="1" si="8"/>
        <v>-646.38501984128789</v>
      </c>
      <c r="S39" s="222"/>
      <c r="T39" s="225">
        <f t="shared" ca="1" si="6"/>
        <v>-646.38501984128789</v>
      </c>
      <c r="V39" s="224">
        <f t="shared" ca="1" si="16"/>
        <v>-604.62701242477488</v>
      </c>
      <c r="W39" s="183" t="str">
        <f t="shared" si="17"/>
        <v>S.022</v>
      </c>
    </row>
    <row r="40" spans="1:23" ht="25">
      <c r="A40" s="214" t="s">
        <v>257</v>
      </c>
      <c r="B40" s="192" t="s">
        <v>191</v>
      </c>
      <c r="C40" s="226" t="str">
        <f t="shared" ca="1" si="15"/>
        <v>Reconductor: Greggton-Lake Lamond &amp; Quitman-Westwood 69 kV lines</v>
      </c>
      <c r="D40" s="216">
        <f t="shared" ca="1" si="15"/>
        <v>2010</v>
      </c>
      <c r="E40" s="217">
        <v>0</v>
      </c>
      <c r="F40" s="218">
        <f t="shared" ca="1" si="15"/>
        <v>0</v>
      </c>
      <c r="G40" s="218">
        <f t="shared" ca="1" si="13"/>
        <v>0</v>
      </c>
      <c r="H40" s="219"/>
      <c r="I40" s="220">
        <f t="shared" ca="1" si="7"/>
        <v>18174.583427341538</v>
      </c>
      <c r="J40" s="221">
        <v>375286.67149525345</v>
      </c>
      <c r="K40" s="221">
        <f t="shared" si="2"/>
        <v>407218.94869695726</v>
      </c>
      <c r="L40" s="217">
        <f t="shared" si="3"/>
        <v>-31932.277201703808</v>
      </c>
      <c r="M40" s="217"/>
      <c r="N40" s="218">
        <v>0</v>
      </c>
      <c r="O40" s="218">
        <v>0</v>
      </c>
      <c r="P40" s="218">
        <f t="shared" si="14"/>
        <v>0</v>
      </c>
      <c r="Q40" s="217">
        <f t="shared" ca="1" si="5"/>
        <v>-950.16244206491069</v>
      </c>
      <c r="R40" s="222">
        <f t="shared" ca="1" si="8"/>
        <v>-14707.856216427181</v>
      </c>
      <c r="S40" s="222"/>
      <c r="T40" s="225">
        <f t="shared" ca="1" si="6"/>
        <v>-14707.856216427181</v>
      </c>
      <c r="V40" s="224">
        <f t="shared" ca="1" si="16"/>
        <v>-13757.693774362269</v>
      </c>
      <c r="W40" s="183" t="str">
        <f t="shared" si="17"/>
        <v>S.023</v>
      </c>
    </row>
    <row r="41" spans="1:23" ht="25">
      <c r="A41" s="214" t="s">
        <v>258</v>
      </c>
      <c r="B41" s="192" t="s">
        <v>191</v>
      </c>
      <c r="C41" s="226" t="str">
        <f t="shared" ca="1" si="15"/>
        <v>Rebuild/reconductor Dyess-Elm Springs REC [Dyess Station-Flint Creek]</v>
      </c>
      <c r="D41" s="216">
        <f t="shared" ca="1" si="15"/>
        <v>2010</v>
      </c>
      <c r="E41" s="217">
        <v>0</v>
      </c>
      <c r="F41" s="218">
        <f t="shared" ca="1" si="15"/>
        <v>0</v>
      </c>
      <c r="G41" s="218">
        <f t="shared" ca="1" si="13"/>
        <v>0</v>
      </c>
      <c r="H41" s="219"/>
      <c r="I41" s="220">
        <f t="shared" ca="1" si="7"/>
        <v>20136.010654697428</v>
      </c>
      <c r="J41" s="221">
        <v>411177.60285073705</v>
      </c>
      <c r="K41" s="221">
        <f t="shared" si="2"/>
        <v>446163.75661167031</v>
      </c>
      <c r="L41" s="217">
        <f t="shared" si="3"/>
        <v>-34986.153760933259</v>
      </c>
      <c r="M41" s="217"/>
      <c r="N41" s="218">
        <v>0</v>
      </c>
      <c r="O41" s="218">
        <v>0</v>
      </c>
      <c r="P41" s="218">
        <f t="shared" si="14"/>
        <v>0</v>
      </c>
      <c r="Q41" s="217">
        <f t="shared" ca="1" si="5"/>
        <v>-1025.6114484194136</v>
      </c>
      <c r="R41" s="222">
        <f t="shared" ca="1" si="8"/>
        <v>-15875.754554655245</v>
      </c>
      <c r="S41" s="222"/>
      <c r="T41" s="225">
        <f t="shared" ca="1" si="6"/>
        <v>-15875.754554655245</v>
      </c>
      <c r="V41" s="224">
        <f t="shared" ca="1" si="16"/>
        <v>-14850.143106235832</v>
      </c>
      <c r="W41" s="183" t="str">
        <f t="shared" si="17"/>
        <v>S.024</v>
      </c>
    </row>
    <row r="42" spans="1:23" ht="13">
      <c r="A42" s="214" t="s">
        <v>259</v>
      </c>
      <c r="B42" s="192" t="s">
        <v>191</v>
      </c>
      <c r="C42" s="226" t="str">
        <f t="shared" ca="1" si="15"/>
        <v>Replace switch at Diana*</v>
      </c>
      <c r="D42" s="216">
        <f t="shared" ca="1" si="15"/>
        <v>2010</v>
      </c>
      <c r="E42" s="217">
        <v>0</v>
      </c>
      <c r="F42" s="218">
        <f t="shared" ca="1" si="15"/>
        <v>0</v>
      </c>
      <c r="G42" s="218">
        <f t="shared" ca="1" si="13"/>
        <v>0</v>
      </c>
      <c r="H42" s="219"/>
      <c r="I42" s="220">
        <f t="shared" ca="1" si="7"/>
        <v>332.55783513858296</v>
      </c>
      <c r="J42" s="221">
        <v>7025.2892970521261</v>
      </c>
      <c r="K42" s="221">
        <f t="shared" si="2"/>
        <v>7623.0549580648658</v>
      </c>
      <c r="L42" s="217">
        <f t="shared" si="3"/>
        <v>-597.76566101273966</v>
      </c>
      <c r="M42" s="217"/>
      <c r="N42" s="218">
        <v>0</v>
      </c>
      <c r="O42" s="218">
        <v>0</v>
      </c>
      <c r="P42" s="218">
        <f t="shared" si="14"/>
        <v>0</v>
      </c>
      <c r="Q42" s="217">
        <f t="shared" ca="1" si="5"/>
        <v>-18.316334090594715</v>
      </c>
      <c r="R42" s="222">
        <f t="shared" ca="1" si="8"/>
        <v>-283.52415996475139</v>
      </c>
      <c r="S42" s="228" t="s">
        <v>266</v>
      </c>
      <c r="T42" s="225">
        <f t="shared" ca="1" si="6"/>
        <v>-283.52415996475139</v>
      </c>
      <c r="V42" s="224">
        <f t="shared" ca="1" si="16"/>
        <v>-265.2078258741567</v>
      </c>
      <c r="W42" s="183" t="str">
        <f t="shared" si="17"/>
        <v>S.025</v>
      </c>
    </row>
    <row r="43" spans="1:23" ht="13">
      <c r="A43" s="214" t="s">
        <v>274</v>
      </c>
      <c r="B43" s="192" t="s">
        <v>191</v>
      </c>
      <c r="C43" s="226" t="str">
        <f t="shared" ca="1" si="15"/>
        <v>Whitney repl CB and Switches</v>
      </c>
      <c r="D43" s="216">
        <f t="shared" ca="1" si="15"/>
        <v>2011</v>
      </c>
      <c r="E43" s="217">
        <v>0</v>
      </c>
      <c r="F43" s="218">
        <f t="shared" ca="1" si="15"/>
        <v>0</v>
      </c>
      <c r="G43" s="218">
        <f ca="1">+E43+F43</f>
        <v>0</v>
      </c>
      <c r="H43" s="219"/>
      <c r="I43" s="220">
        <f t="shared" ca="1" si="7"/>
        <v>629.80461980259133</v>
      </c>
      <c r="J43" s="221">
        <v>19608.226173147759</v>
      </c>
      <c r="K43" s="221">
        <f t="shared" si="2"/>
        <v>21276.644907817841</v>
      </c>
      <c r="L43" s="217">
        <f>+J43-K43</f>
        <v>-1668.4187346700819</v>
      </c>
      <c r="M43" s="217"/>
      <c r="N43" s="218">
        <v>0</v>
      </c>
      <c r="O43" s="218">
        <v>0</v>
      </c>
      <c r="P43" s="218">
        <f>+N43-O43</f>
        <v>0</v>
      </c>
      <c r="Q43" s="217">
        <f t="shared" ca="1" si="5"/>
        <v>-71.730926704052592</v>
      </c>
      <c r="R43" s="222">
        <f ca="1">I43+L43+P43+Q43</f>
        <v>-1110.3450415715431</v>
      </c>
      <c r="S43" s="228" t="s">
        <v>266</v>
      </c>
      <c r="T43" s="225">
        <f ca="1">+G43+R43</f>
        <v>-1110.3450415715431</v>
      </c>
      <c r="V43" s="224">
        <f t="shared" ca="1" si="16"/>
        <v>-1038.6141148674906</v>
      </c>
      <c r="W43" s="183" t="str">
        <f t="shared" si="17"/>
        <v>S.026</v>
      </c>
    </row>
    <row r="44" spans="1:23" ht="13">
      <c r="A44" s="214" t="s">
        <v>290</v>
      </c>
      <c r="B44" s="192" t="s">
        <v>191</v>
      </c>
      <c r="C44" s="226" t="str">
        <f t="shared" ca="1" si="15"/>
        <v>Linwood - Powell Street 138 kV</v>
      </c>
      <c r="D44" s="216">
        <f t="shared" ca="1" si="15"/>
        <v>2012</v>
      </c>
      <c r="E44" s="217">
        <v>0</v>
      </c>
      <c r="F44" s="218">
        <f t="shared" ca="1" si="15"/>
        <v>0</v>
      </c>
      <c r="G44" s="218">
        <f t="shared" ref="G44:G50" ca="1" si="18">+E44+F44</f>
        <v>0</v>
      </c>
      <c r="H44" s="219"/>
      <c r="I44" s="220">
        <f t="shared" ca="1" si="7"/>
        <v>1675.3620998191836</v>
      </c>
      <c r="J44" s="221">
        <v>34468.076173064583</v>
      </c>
      <c r="K44" s="221">
        <f t="shared" si="2"/>
        <v>37400.885266929938</v>
      </c>
      <c r="L44" s="217">
        <f t="shared" ref="L44:L50" si="19">+J44-K44</f>
        <v>-2932.809093865355</v>
      </c>
      <c r="M44" s="217"/>
      <c r="N44" s="218">
        <v>0</v>
      </c>
      <c r="O44" s="218">
        <v>0</v>
      </c>
      <c r="P44" s="218">
        <f t="shared" ref="P44:P50" si="20">+N44-O44</f>
        <v>0</v>
      </c>
      <c r="Q44" s="217">
        <f t="shared" ca="1" si="5"/>
        <v>-86.844417838154328</v>
      </c>
      <c r="R44" s="222">
        <f t="shared" ref="R44:R50" ca="1" si="21">I44+L44+P44+Q44</f>
        <v>-1344.2914118843257</v>
      </c>
      <c r="S44" s="228" t="s">
        <v>266</v>
      </c>
      <c r="T44" s="225">
        <f t="shared" ref="T44:T50" ca="1" si="22">+G44+R44</f>
        <v>-1344.2914118843257</v>
      </c>
      <c r="V44" s="224">
        <f t="shared" ref="V44:V50" ca="1" si="23">+I44+L44+P44</f>
        <v>-1257.4469940461713</v>
      </c>
      <c r="W44" s="183" t="str">
        <f t="shared" ref="W44:W50" si="24">A44</f>
        <v>S.027</v>
      </c>
    </row>
    <row r="45" spans="1:23" ht="13">
      <c r="A45" s="214" t="s">
        <v>291</v>
      </c>
      <c r="B45" s="192" t="s">
        <v>191</v>
      </c>
      <c r="C45" s="226" t="str">
        <f t="shared" ca="1" si="15"/>
        <v xml:space="preserve">Bloomburg-Texarkana Plant </v>
      </c>
      <c r="D45" s="216">
        <f t="shared" ca="1" si="15"/>
        <v>2012</v>
      </c>
      <c r="E45" s="217">
        <v>0</v>
      </c>
      <c r="F45" s="218">
        <f t="shared" ca="1" si="15"/>
        <v>0</v>
      </c>
      <c r="G45" s="218">
        <f t="shared" ca="1" si="18"/>
        <v>0</v>
      </c>
      <c r="H45" s="219"/>
      <c r="I45" s="220">
        <f t="shared" ca="1" si="7"/>
        <v>21063.953208932187</v>
      </c>
      <c r="J45" s="221">
        <v>431204.83864240273</v>
      </c>
      <c r="K45" s="221">
        <f t="shared" si="2"/>
        <v>467895.06369991397</v>
      </c>
      <c r="L45" s="217">
        <f t="shared" si="19"/>
        <v>-36690.225057511241</v>
      </c>
      <c r="M45" s="217"/>
      <c r="N45" s="218">
        <v>0</v>
      </c>
      <c r="O45" s="218">
        <v>0</v>
      </c>
      <c r="P45" s="218">
        <f t="shared" si="20"/>
        <v>0</v>
      </c>
      <c r="Q45" s="217">
        <f t="shared" ca="1" si="5"/>
        <v>-1079.2140647645931</v>
      </c>
      <c r="R45" s="222">
        <f t="shared" ca="1" si="21"/>
        <v>-16705.485913343648</v>
      </c>
      <c r="S45" s="228" t="s">
        <v>266</v>
      </c>
      <c r="T45" s="225">
        <f t="shared" ca="1" si="22"/>
        <v>-16705.485913343648</v>
      </c>
      <c r="V45" s="224">
        <f t="shared" ca="1" si="23"/>
        <v>-15626.271848579054</v>
      </c>
      <c r="W45" s="183" t="str">
        <f t="shared" si="24"/>
        <v>S.028</v>
      </c>
    </row>
    <row r="46" spans="1:23" ht="37.5">
      <c r="A46" s="214" t="s">
        <v>292</v>
      </c>
      <c r="B46" s="192" t="s">
        <v>191</v>
      </c>
      <c r="C46" s="226" t="str">
        <f t="shared" ca="1" si="15"/>
        <v xml:space="preserve">Knox Lee - Pirkey 138 kV / Pirkey - Whitney 138 kV - Replace Breaker,  Wavetraps, and reset relays and CT's </v>
      </c>
      <c r="D46" s="216">
        <f t="shared" ca="1" si="15"/>
        <v>2012</v>
      </c>
      <c r="E46" s="217">
        <v>0</v>
      </c>
      <c r="F46" s="218">
        <f t="shared" ca="1" si="15"/>
        <v>0</v>
      </c>
      <c r="G46" s="218">
        <f t="shared" ca="1" si="18"/>
        <v>0</v>
      </c>
      <c r="H46" s="219"/>
      <c r="I46" s="220">
        <f t="shared" ca="1" si="7"/>
        <v>7413.8231298359751</v>
      </c>
      <c r="J46" s="221">
        <v>155493.33170513224</v>
      </c>
      <c r="K46" s="221">
        <f t="shared" si="2"/>
        <v>168723.90062259926</v>
      </c>
      <c r="L46" s="217">
        <f t="shared" si="19"/>
        <v>-13230.568917467026</v>
      </c>
      <c r="M46" s="217"/>
      <c r="N46" s="218">
        <v>0</v>
      </c>
      <c r="O46" s="218">
        <v>0</v>
      </c>
      <c r="P46" s="218">
        <f t="shared" si="20"/>
        <v>0</v>
      </c>
      <c r="Q46" s="217">
        <f t="shared" ca="1" si="5"/>
        <v>-401.72818737583043</v>
      </c>
      <c r="R46" s="222">
        <f t="shared" ca="1" si="21"/>
        <v>-6218.4739750068811</v>
      </c>
      <c r="S46" s="228" t="s">
        <v>266</v>
      </c>
      <c r="T46" s="225">
        <f t="shared" ca="1" si="22"/>
        <v>-6218.4739750068811</v>
      </c>
      <c r="V46" s="224">
        <f t="shared" ca="1" si="23"/>
        <v>-5816.7457876310509</v>
      </c>
      <c r="W46" s="183" t="str">
        <f t="shared" si="24"/>
        <v>S.029</v>
      </c>
    </row>
    <row r="47" spans="1:23" ht="13">
      <c r="A47" s="214" t="s">
        <v>293</v>
      </c>
      <c r="B47" s="192" t="s">
        <v>191</v>
      </c>
      <c r="C47" s="226" t="str">
        <f t="shared" ca="1" si="15"/>
        <v>NW Texarkana - Turk 345</v>
      </c>
      <c r="D47" s="216">
        <f t="shared" ca="1" si="15"/>
        <v>2012</v>
      </c>
      <c r="E47" s="217">
        <v>0</v>
      </c>
      <c r="F47" s="218">
        <f t="shared" ca="1" si="15"/>
        <v>0</v>
      </c>
      <c r="G47" s="218">
        <f t="shared" ca="1" si="18"/>
        <v>0</v>
      </c>
      <c r="H47" s="219"/>
      <c r="I47" s="220">
        <f t="shared" ca="1" si="7"/>
        <v>184554.46457349043</v>
      </c>
      <c r="J47" s="221">
        <v>3908819.8376830211</v>
      </c>
      <c r="K47" s="221">
        <f t="shared" si="2"/>
        <v>4241412.3011752702</v>
      </c>
      <c r="L47" s="217">
        <f t="shared" si="19"/>
        <v>-332592.46349224914</v>
      </c>
      <c r="M47" s="217"/>
      <c r="N47" s="218">
        <v>0</v>
      </c>
      <c r="O47" s="218">
        <v>0</v>
      </c>
      <c r="P47" s="218">
        <f t="shared" si="20"/>
        <v>0</v>
      </c>
      <c r="Q47" s="217">
        <f t="shared" ca="1" si="5"/>
        <v>-10224.107970274299</v>
      </c>
      <c r="R47" s="222">
        <f t="shared" ca="1" si="21"/>
        <v>-158262.10688903299</v>
      </c>
      <c r="S47" s="228" t="s">
        <v>266</v>
      </c>
      <c r="T47" s="225">
        <f t="shared" ca="1" si="22"/>
        <v>-158262.10688903299</v>
      </c>
      <c r="V47" s="224">
        <f t="shared" ca="1" si="23"/>
        <v>-148037.99891875871</v>
      </c>
      <c r="W47" s="183" t="str">
        <f t="shared" si="24"/>
        <v>S.030</v>
      </c>
    </row>
    <row r="48" spans="1:23" ht="25">
      <c r="A48" s="214" t="s">
        <v>294</v>
      </c>
      <c r="B48" s="192" t="s">
        <v>191</v>
      </c>
      <c r="C48" s="226" t="str">
        <f t="shared" ca="1" si="15"/>
        <v>Lone Star South - Pittsburg 138 kV - Replace Wavetraps, reset CT's and Relays</v>
      </c>
      <c r="D48" s="216">
        <f t="shared" ca="1" si="15"/>
        <v>2012</v>
      </c>
      <c r="E48" s="217">
        <v>0</v>
      </c>
      <c r="F48" s="218">
        <f t="shared" ca="1" si="15"/>
        <v>0</v>
      </c>
      <c r="G48" s="218">
        <f t="shared" ca="1" si="18"/>
        <v>0</v>
      </c>
      <c r="H48" s="219"/>
      <c r="I48" s="220">
        <f t="shared" ca="1" si="7"/>
        <v>958.20695373444323</v>
      </c>
      <c r="J48" s="221">
        <v>18921.507658425711</v>
      </c>
      <c r="K48" s="221">
        <f t="shared" si="2"/>
        <v>20531.495098735468</v>
      </c>
      <c r="L48" s="217">
        <f t="shared" si="19"/>
        <v>-1609.9874403097565</v>
      </c>
      <c r="M48" s="217"/>
      <c r="N48" s="218">
        <v>0</v>
      </c>
      <c r="O48" s="218">
        <v>0</v>
      </c>
      <c r="P48" s="218">
        <f t="shared" si="20"/>
        <v>0</v>
      </c>
      <c r="Q48" s="217">
        <f t="shared" ca="1" si="5"/>
        <v>-45.014618654234624</v>
      </c>
      <c r="R48" s="222">
        <f t="shared" ca="1" si="21"/>
        <v>-696.79510522954786</v>
      </c>
      <c r="S48" s="228" t="s">
        <v>266</v>
      </c>
      <c r="T48" s="225">
        <f t="shared" ca="1" si="22"/>
        <v>-696.79510522954786</v>
      </c>
      <c r="V48" s="224">
        <f t="shared" ca="1" si="23"/>
        <v>-651.78048657531326</v>
      </c>
      <c r="W48" s="183" t="str">
        <f t="shared" si="24"/>
        <v>S.031</v>
      </c>
    </row>
    <row r="49" spans="1:23" ht="13">
      <c r="A49" s="214" t="s">
        <v>295</v>
      </c>
      <c r="B49" s="192" t="s">
        <v>191</v>
      </c>
      <c r="C49" s="226" t="str">
        <f t="shared" ca="1" si="15"/>
        <v>Howell-Kilgore 69 kV rebuild</v>
      </c>
      <c r="D49" s="216">
        <f t="shared" ca="1" si="15"/>
        <v>2012</v>
      </c>
      <c r="E49" s="217">
        <v>0</v>
      </c>
      <c r="F49" s="218">
        <f t="shared" ca="1" si="15"/>
        <v>0</v>
      </c>
      <c r="G49" s="218">
        <f t="shared" ca="1" si="18"/>
        <v>0</v>
      </c>
      <c r="H49" s="219"/>
      <c r="I49" s="220">
        <f t="shared" ca="1" si="7"/>
        <v>15967.269709832151</v>
      </c>
      <c r="J49" s="221">
        <v>340997.95893521741</v>
      </c>
      <c r="K49" s="221">
        <f t="shared" si="2"/>
        <v>370012.68867914937</v>
      </c>
      <c r="L49" s="217">
        <f t="shared" si="19"/>
        <v>-29014.729743931966</v>
      </c>
      <c r="M49" s="217"/>
      <c r="N49" s="218">
        <v>0</v>
      </c>
      <c r="O49" s="218">
        <v>0</v>
      </c>
      <c r="P49" s="218">
        <f t="shared" si="20"/>
        <v>0</v>
      </c>
      <c r="Q49" s="217">
        <f t="shared" ca="1" si="5"/>
        <v>-901.11080331261905</v>
      </c>
      <c r="R49" s="222">
        <f t="shared" ca="1" si="21"/>
        <v>-13948.570837412433</v>
      </c>
      <c r="S49" s="228" t="s">
        <v>266</v>
      </c>
      <c r="T49" s="225">
        <f t="shared" ca="1" si="22"/>
        <v>-13948.570837412433</v>
      </c>
      <c r="V49" s="224">
        <f t="shared" ca="1" si="23"/>
        <v>-13047.460034099815</v>
      </c>
      <c r="W49" s="183" t="str">
        <f t="shared" si="24"/>
        <v>S.032</v>
      </c>
    </row>
    <row r="50" spans="1:23" ht="13">
      <c r="A50" s="214" t="s">
        <v>296</v>
      </c>
      <c r="B50" s="192" t="s">
        <v>191</v>
      </c>
      <c r="C50" s="226" t="str">
        <f t="shared" ca="1" si="15"/>
        <v xml:space="preserve"> Flint Creek-Shipe Road 345 kV Line</v>
      </c>
      <c r="D50" s="216">
        <f t="shared" ca="1" si="15"/>
        <v>2012</v>
      </c>
      <c r="E50" s="217">
        <v>0</v>
      </c>
      <c r="F50" s="218">
        <f t="shared" ca="1" si="15"/>
        <v>0</v>
      </c>
      <c r="G50" s="218">
        <f t="shared" ca="1" si="18"/>
        <v>0</v>
      </c>
      <c r="H50" s="219"/>
      <c r="I50" s="220">
        <f t="shared" ca="1" si="7"/>
        <v>238348.48691303749</v>
      </c>
      <c r="J50" s="221">
        <v>4989955.3066815631</v>
      </c>
      <c r="K50" s="221">
        <f t="shared" ref="K50:K81" si="25">J50/J$93*K$93</f>
        <v>5414539.0933697717</v>
      </c>
      <c r="L50" s="217">
        <f t="shared" si="19"/>
        <v>-424583.78668820858</v>
      </c>
      <c r="M50" s="217"/>
      <c r="N50" s="218">
        <v>0</v>
      </c>
      <c r="O50" s="218">
        <v>0</v>
      </c>
      <c r="P50" s="218">
        <f t="shared" si="20"/>
        <v>0</v>
      </c>
      <c r="Q50" s="217">
        <f t="shared" ref="Q50:Q81" ca="1" si="26">+V50/$V$93 * $Q$93</f>
        <v>-12862.169353036779</v>
      </c>
      <c r="R50" s="222">
        <f t="shared" ca="1" si="21"/>
        <v>-199097.46912820789</v>
      </c>
      <c r="S50" s="228" t="s">
        <v>266</v>
      </c>
      <c r="T50" s="225">
        <f t="shared" ca="1" si="22"/>
        <v>-199097.46912820789</v>
      </c>
      <c r="V50" s="224">
        <f t="shared" ca="1" si="23"/>
        <v>-186235.29977517109</v>
      </c>
      <c r="W50" s="183" t="str">
        <f t="shared" si="24"/>
        <v>S.033</v>
      </c>
    </row>
    <row r="51" spans="1:23" ht="13">
      <c r="A51" s="214" t="s">
        <v>306</v>
      </c>
      <c r="B51" s="192" t="s">
        <v>191</v>
      </c>
      <c r="C51" s="226" t="str">
        <f t="shared" ca="1" si="15"/>
        <v>Bann - LS Ordnance - Hooks 69 kV - Rebuild 7.1 mi</v>
      </c>
      <c r="D51" s="216">
        <f t="shared" ca="1" si="15"/>
        <v>2013</v>
      </c>
      <c r="E51" s="217">
        <v>0</v>
      </c>
      <c r="F51" s="218">
        <f t="shared" ca="1" si="15"/>
        <v>0</v>
      </c>
      <c r="G51" s="218">
        <f t="shared" ref="G51:G60" ca="1" si="27">+E51+F51</f>
        <v>0</v>
      </c>
      <c r="H51" s="219"/>
      <c r="I51" s="220">
        <f t="shared" ca="1" si="7"/>
        <v>33838.936298704939</v>
      </c>
      <c r="J51" s="221">
        <v>717751.22994703578</v>
      </c>
      <c r="K51" s="221">
        <f t="shared" si="25"/>
        <v>778823.02646252292</v>
      </c>
      <c r="L51" s="217">
        <f t="shared" ref="L51:L60" si="28">+J51-K51</f>
        <v>-61071.796515487134</v>
      </c>
      <c r="M51" s="217"/>
      <c r="N51" s="218">
        <v>0</v>
      </c>
      <c r="O51" s="218">
        <v>0</v>
      </c>
      <c r="P51" s="218">
        <f t="shared" ref="P51:P60" si="29">+N51-O51</f>
        <v>0</v>
      </c>
      <c r="Q51" s="217">
        <f t="shared" ca="1" si="26"/>
        <v>-1880.8123943134922</v>
      </c>
      <c r="R51" s="222">
        <f t="shared" ref="R51:R60" ca="1" si="30">I51+L51+P51+Q51</f>
        <v>-29113.672611095688</v>
      </c>
      <c r="S51" s="228" t="s">
        <v>266</v>
      </c>
      <c r="T51" s="225">
        <f t="shared" ref="T51:T60" ca="1" si="31">+G51+R51</f>
        <v>-29113.672611095688</v>
      </c>
      <c r="V51" s="224">
        <f t="shared" ref="V51:V60" ca="1" si="32">+I51+L51+P51</f>
        <v>-27232.860216782195</v>
      </c>
      <c r="W51" s="183" t="str">
        <f t="shared" ref="W51:W60" si="33">A51</f>
        <v>S.034</v>
      </c>
    </row>
    <row r="52" spans="1:23" ht="13">
      <c r="A52" s="214" t="s">
        <v>307</v>
      </c>
      <c r="B52" s="192" t="s">
        <v>191</v>
      </c>
      <c r="C52" s="226" t="str">
        <f t="shared" ca="1" si="15"/>
        <v>Diana - Replace North Autotransformer #3</v>
      </c>
      <c r="D52" s="216">
        <f t="shared" ca="1" si="15"/>
        <v>2013</v>
      </c>
      <c r="E52" s="217">
        <v>0</v>
      </c>
      <c r="F52" s="218">
        <f t="shared" ca="1" si="15"/>
        <v>0</v>
      </c>
      <c r="G52" s="218">
        <f t="shared" ca="1" si="27"/>
        <v>0</v>
      </c>
      <c r="H52" s="219"/>
      <c r="I52" s="220">
        <f t="shared" ca="1" si="7"/>
        <v>16690.539234238444</v>
      </c>
      <c r="J52" s="221">
        <v>362533.23089828237</v>
      </c>
      <c r="K52" s="221">
        <f t="shared" si="25"/>
        <v>393380.34725802136</v>
      </c>
      <c r="L52" s="217">
        <f t="shared" si="28"/>
        <v>-30847.116359738982</v>
      </c>
      <c r="M52" s="217"/>
      <c r="N52" s="218">
        <v>0</v>
      </c>
      <c r="O52" s="218">
        <v>0</v>
      </c>
      <c r="P52" s="218">
        <f t="shared" si="29"/>
        <v>0</v>
      </c>
      <c r="Q52" s="217">
        <f t="shared" ca="1" si="26"/>
        <v>-977.71095311862041</v>
      </c>
      <c r="R52" s="222">
        <f t="shared" ca="1" si="30"/>
        <v>-15134.288078619158</v>
      </c>
      <c r="S52" s="228" t="s">
        <v>266</v>
      </c>
      <c r="T52" s="225">
        <f t="shared" ca="1" si="31"/>
        <v>-15134.288078619158</v>
      </c>
      <c r="V52" s="224">
        <f t="shared" ca="1" si="32"/>
        <v>-14156.577125500538</v>
      </c>
      <c r="W52" s="183" t="str">
        <f t="shared" si="33"/>
        <v>S.035</v>
      </c>
    </row>
    <row r="53" spans="1:23" ht="13">
      <c r="A53" s="214" t="s">
        <v>308</v>
      </c>
      <c r="B53" s="192" t="s">
        <v>191</v>
      </c>
      <c r="C53" s="226" t="str">
        <f t="shared" ca="1" si="15"/>
        <v>Osburn 161 kV Line Work</v>
      </c>
      <c r="D53" s="216">
        <f t="shared" ca="1" si="15"/>
        <v>2013</v>
      </c>
      <c r="E53" s="217">
        <v>0</v>
      </c>
      <c r="F53" s="218">
        <f t="shared" ca="1" si="15"/>
        <v>0</v>
      </c>
      <c r="G53" s="218">
        <f t="shared" ca="1" si="27"/>
        <v>0</v>
      </c>
      <c r="H53" s="219"/>
      <c r="I53" s="220">
        <f t="shared" ca="1" si="7"/>
        <v>16297.461809086264</v>
      </c>
      <c r="J53" s="221">
        <v>528610.74473003112</v>
      </c>
      <c r="K53" s="221">
        <f t="shared" si="25"/>
        <v>573589.01364979986</v>
      </c>
      <c r="L53" s="217">
        <f t="shared" si="28"/>
        <v>-44978.268919768743</v>
      </c>
      <c r="M53" s="217"/>
      <c r="N53" s="218">
        <v>0</v>
      </c>
      <c r="O53" s="218">
        <v>0</v>
      </c>
      <c r="P53" s="218">
        <f t="shared" si="29"/>
        <v>0</v>
      </c>
      <c r="Q53" s="217">
        <f t="shared" ca="1" si="26"/>
        <v>-1980.8135121790749</v>
      </c>
      <c r="R53" s="222">
        <f t="shared" ca="1" si="30"/>
        <v>-30661.620622861556</v>
      </c>
      <c r="S53" s="228" t="s">
        <v>266</v>
      </c>
      <c r="T53" s="225">
        <f t="shared" ca="1" si="31"/>
        <v>-30661.620622861556</v>
      </c>
      <c r="V53" s="224">
        <f t="shared" ca="1" si="32"/>
        <v>-28680.807110682479</v>
      </c>
      <c r="W53" s="183" t="str">
        <f t="shared" si="33"/>
        <v>S.036</v>
      </c>
    </row>
    <row r="54" spans="1:23" ht="25">
      <c r="A54" s="214" t="s">
        <v>309</v>
      </c>
      <c r="B54" s="192" t="s">
        <v>191</v>
      </c>
      <c r="C54" s="226" t="str">
        <f t="shared" ca="1" si="15"/>
        <v>SW Shreveport to Spring Ridge REC 138 kV Line Rebuild</v>
      </c>
      <c r="D54" s="216">
        <f t="shared" ca="1" si="15"/>
        <v>2013</v>
      </c>
      <c r="E54" s="217">
        <v>0</v>
      </c>
      <c r="F54" s="218">
        <f t="shared" ca="1" si="15"/>
        <v>0</v>
      </c>
      <c r="G54" s="218">
        <f t="shared" ca="1" si="27"/>
        <v>0</v>
      </c>
      <c r="H54" s="219"/>
      <c r="I54" s="220">
        <f t="shared" ca="1" si="7"/>
        <v>19607.187948014238</v>
      </c>
      <c r="J54" s="221">
        <v>421187.5641546587</v>
      </c>
      <c r="K54" s="221">
        <f t="shared" si="25"/>
        <v>457025.44243290997</v>
      </c>
      <c r="L54" s="217">
        <f t="shared" si="28"/>
        <v>-35837.878278251272</v>
      </c>
      <c r="M54" s="217"/>
      <c r="N54" s="218">
        <v>0</v>
      </c>
      <c r="O54" s="218">
        <v>0</v>
      </c>
      <c r="P54" s="218">
        <f t="shared" si="29"/>
        <v>0</v>
      </c>
      <c r="Q54" s="217">
        <f t="shared" ca="1" si="26"/>
        <v>-1120.9576701958697</v>
      </c>
      <c r="R54" s="222">
        <f t="shared" ca="1" si="30"/>
        <v>-17351.648000432902</v>
      </c>
      <c r="S54" s="228" t="s">
        <v>266</v>
      </c>
      <c r="T54" s="225">
        <f t="shared" ca="1" si="31"/>
        <v>-17351.648000432902</v>
      </c>
      <c r="V54" s="224">
        <f t="shared" ca="1" si="32"/>
        <v>-16230.690330237034</v>
      </c>
      <c r="W54" s="183" t="str">
        <f t="shared" si="33"/>
        <v>S.037</v>
      </c>
    </row>
    <row r="55" spans="1:23" ht="25">
      <c r="A55" s="214" t="s">
        <v>310</v>
      </c>
      <c r="B55" s="192" t="s">
        <v>191</v>
      </c>
      <c r="C55" s="226" t="str">
        <f t="shared" ca="1" si="15"/>
        <v>Eastex Switching Station - Whitney 138 kV Station - Rebuild 2.5 miles of 138 Kv</v>
      </c>
      <c r="D55" s="216">
        <f t="shared" ca="1" si="15"/>
        <v>2013</v>
      </c>
      <c r="E55" s="217">
        <v>0</v>
      </c>
      <c r="F55" s="218">
        <f t="shared" ca="1" si="15"/>
        <v>0</v>
      </c>
      <c r="G55" s="218">
        <f t="shared" ca="1" si="27"/>
        <v>0</v>
      </c>
      <c r="H55" s="219"/>
      <c r="I55" s="220">
        <f t="shared" ca="1" si="7"/>
        <v>11092.334955340077</v>
      </c>
      <c r="J55" s="221">
        <v>220642.34803125361</v>
      </c>
      <c r="K55" s="221">
        <f t="shared" si="25"/>
        <v>239416.29646831634</v>
      </c>
      <c r="L55" s="217">
        <f t="shared" si="28"/>
        <v>-18773.948437062732</v>
      </c>
      <c r="M55" s="217"/>
      <c r="N55" s="218">
        <v>0</v>
      </c>
      <c r="O55" s="218">
        <v>0</v>
      </c>
      <c r="P55" s="218">
        <f t="shared" si="29"/>
        <v>0</v>
      </c>
      <c r="Q55" s="217">
        <f t="shared" ca="1" si="26"/>
        <v>-530.52355609148378</v>
      </c>
      <c r="R55" s="222">
        <f t="shared" ca="1" si="30"/>
        <v>-8212.1370378141401</v>
      </c>
      <c r="S55" s="228" t="s">
        <v>266</v>
      </c>
      <c r="T55" s="225">
        <f t="shared" ca="1" si="31"/>
        <v>-8212.1370378141401</v>
      </c>
      <c r="V55" s="224">
        <f t="shared" ca="1" si="32"/>
        <v>-7681.6134817226557</v>
      </c>
      <c r="W55" s="183" t="str">
        <f t="shared" si="33"/>
        <v>S.038</v>
      </c>
    </row>
    <row r="56" spans="1:23" ht="25">
      <c r="A56" s="230" t="s">
        <v>320</v>
      </c>
      <c r="B56" s="192" t="s">
        <v>191</v>
      </c>
      <c r="C56" s="226" t="str">
        <f t="shared" ca="1" si="15"/>
        <v>Ashdown West - Craig Junction 138KV Rebuild (tie w/PSO)</v>
      </c>
      <c r="D56" s="216">
        <f t="shared" ca="1" si="15"/>
        <v>2013</v>
      </c>
      <c r="E56" s="217">
        <v>0</v>
      </c>
      <c r="F56" s="218">
        <f t="shared" ca="1" si="15"/>
        <v>0</v>
      </c>
      <c r="G56" s="218">
        <f t="shared" ca="1" si="27"/>
        <v>0</v>
      </c>
      <c r="H56" s="219"/>
      <c r="I56" s="220">
        <f t="shared" ca="1" si="7"/>
        <v>17067.083761063113</v>
      </c>
      <c r="J56" s="221">
        <v>357940.92851200665</v>
      </c>
      <c r="K56" s="221">
        <f t="shared" si="25"/>
        <v>388397.29645478661</v>
      </c>
      <c r="L56" s="217">
        <f t="shared" si="28"/>
        <v>-30456.367942779965</v>
      </c>
      <c r="M56" s="217"/>
      <c r="N56" s="218">
        <v>0</v>
      </c>
      <c r="O56" s="218">
        <v>0</v>
      </c>
      <c r="P56" s="218">
        <f t="shared" si="29"/>
        <v>0</v>
      </c>
      <c r="Q56" s="217">
        <f t="shared" ca="1" si="26"/>
        <v>-924.71857305828757</v>
      </c>
      <c r="R56" s="222">
        <f t="shared" ca="1" si="30"/>
        <v>-14314.00275477514</v>
      </c>
      <c r="S56" s="228" t="s">
        <v>266</v>
      </c>
      <c r="T56" s="225">
        <f t="shared" ca="1" si="31"/>
        <v>-14314.00275477514</v>
      </c>
      <c r="V56" s="224">
        <f t="shared" ca="1" si="32"/>
        <v>-13389.284181716852</v>
      </c>
      <c r="W56" s="183" t="str">
        <f t="shared" si="33"/>
        <v>S.039</v>
      </c>
    </row>
    <row r="57" spans="1:23" ht="13">
      <c r="A57" s="230" t="s">
        <v>321</v>
      </c>
      <c r="B57" s="192" t="s">
        <v>191</v>
      </c>
      <c r="C57" s="226" t="str">
        <f t="shared" ca="1" si="15"/>
        <v xml:space="preserve">Rock Hill to Carthage 69 kV Rebuild 11.4 Miles </v>
      </c>
      <c r="D57" s="216">
        <f t="shared" ca="1" si="15"/>
        <v>2014</v>
      </c>
      <c r="E57" s="217">
        <v>0</v>
      </c>
      <c r="F57" s="218">
        <f t="shared" ca="1" si="15"/>
        <v>0</v>
      </c>
      <c r="G57" s="218">
        <f t="shared" ca="1" si="27"/>
        <v>0</v>
      </c>
      <c r="H57" s="219"/>
      <c r="I57" s="220">
        <f t="shared" ca="1" si="7"/>
        <v>39366.615323581733</v>
      </c>
      <c r="J57" s="221">
        <v>819153.61752190988</v>
      </c>
      <c r="K57" s="221">
        <f t="shared" si="25"/>
        <v>888853.50929069833</v>
      </c>
      <c r="L57" s="217">
        <f t="shared" si="28"/>
        <v>-69699.891768788453</v>
      </c>
      <c r="M57" s="217"/>
      <c r="N57" s="218">
        <v>0</v>
      </c>
      <c r="O57" s="218">
        <v>0</v>
      </c>
      <c r="P57" s="218">
        <f t="shared" si="29"/>
        <v>0</v>
      </c>
      <c r="Q57" s="217">
        <f t="shared" ca="1" si="26"/>
        <v>-2094.9397839278231</v>
      </c>
      <c r="R57" s="222">
        <f t="shared" ca="1" si="30"/>
        <v>-32428.216229134545</v>
      </c>
      <c r="S57" s="228" t="s">
        <v>266</v>
      </c>
      <c r="T57" s="225">
        <f t="shared" ca="1" si="31"/>
        <v>-32428.216229134545</v>
      </c>
      <c r="V57" s="224">
        <f t="shared" ca="1" si="32"/>
        <v>-30333.27644520672</v>
      </c>
      <c r="W57" s="183" t="str">
        <f t="shared" si="33"/>
        <v>S.040</v>
      </c>
    </row>
    <row r="58" spans="1:23" ht="13">
      <c r="A58" s="230" t="s">
        <v>322</v>
      </c>
      <c r="B58" s="192" t="s">
        <v>191</v>
      </c>
      <c r="C58" s="226" t="str">
        <f t="shared" ref="C58:F77" ca="1" si="34">INDIRECT("'"&amp; $A58 &amp; "'!" &amp;C$100)</f>
        <v>Broadmoor to Fern Street 69 kV Rebuild 1 mile</v>
      </c>
      <c r="D58" s="216">
        <f t="shared" ca="1" si="34"/>
        <v>2014</v>
      </c>
      <c r="E58" s="217">
        <v>0</v>
      </c>
      <c r="F58" s="218">
        <f t="shared" ca="1" si="34"/>
        <v>0</v>
      </c>
      <c r="G58" s="218">
        <f t="shared" ca="1" si="27"/>
        <v>0</v>
      </c>
      <c r="H58" s="219"/>
      <c r="I58" s="220">
        <f t="shared" ca="1" si="7"/>
        <v>20494.538683497114</v>
      </c>
      <c r="J58" s="221">
        <v>419844.84921261383</v>
      </c>
      <c r="K58" s="221">
        <f t="shared" si="25"/>
        <v>455568.47897369444</v>
      </c>
      <c r="L58" s="217">
        <f t="shared" si="28"/>
        <v>-35723.629761080607</v>
      </c>
      <c r="M58" s="217"/>
      <c r="N58" s="218">
        <v>0</v>
      </c>
      <c r="O58" s="218">
        <v>0</v>
      </c>
      <c r="P58" s="218">
        <f t="shared" si="29"/>
        <v>0</v>
      </c>
      <c r="Q58" s="217">
        <f t="shared" ca="1" si="26"/>
        <v>-1051.7831408394193</v>
      </c>
      <c r="R58" s="222">
        <f t="shared" ca="1" si="30"/>
        <v>-16280.874218422912</v>
      </c>
      <c r="S58" s="228" t="s">
        <v>266</v>
      </c>
      <c r="T58" s="225">
        <f t="shared" ca="1" si="31"/>
        <v>-16280.874218422912</v>
      </c>
      <c r="V58" s="224">
        <f t="shared" ca="1" si="32"/>
        <v>-15229.091077583493</v>
      </c>
      <c r="W58" s="183" t="str">
        <f t="shared" si="33"/>
        <v>S.041</v>
      </c>
    </row>
    <row r="59" spans="1:23" ht="25.5" customHeight="1">
      <c r="A59" s="230" t="s">
        <v>323</v>
      </c>
      <c r="B59" s="192" t="s">
        <v>191</v>
      </c>
      <c r="C59" s="226" t="str">
        <f t="shared" ca="1" si="34"/>
        <v>Northwest Henderson to Poynter 69 kV Rebuild 3.2 miles</v>
      </c>
      <c r="D59" s="216">
        <f t="shared" ca="1" si="34"/>
        <v>2014</v>
      </c>
      <c r="E59" s="217">
        <v>0</v>
      </c>
      <c r="F59" s="218">
        <f t="shared" ca="1" si="34"/>
        <v>0</v>
      </c>
      <c r="G59" s="218">
        <f t="shared" ca="1" si="27"/>
        <v>0</v>
      </c>
      <c r="H59" s="219"/>
      <c r="I59" s="220">
        <f t="shared" ca="1" si="7"/>
        <v>20856.255350229098</v>
      </c>
      <c r="J59" s="221">
        <v>450464.42945499613</v>
      </c>
      <c r="K59" s="221">
        <f t="shared" si="25"/>
        <v>488793.40866854705</v>
      </c>
      <c r="L59" s="217">
        <f t="shared" si="28"/>
        <v>-38328.97921355092</v>
      </c>
      <c r="M59" s="217"/>
      <c r="N59" s="218">
        <v>0</v>
      </c>
      <c r="O59" s="218">
        <v>0</v>
      </c>
      <c r="P59" s="218">
        <f t="shared" si="29"/>
        <v>0</v>
      </c>
      <c r="Q59" s="217">
        <f t="shared" ca="1" si="26"/>
        <v>-1206.737571557067</v>
      </c>
      <c r="R59" s="222">
        <f t="shared" ca="1" si="30"/>
        <v>-18679.461434878889</v>
      </c>
      <c r="S59" s="228" t="s">
        <v>266</v>
      </c>
      <c r="T59" s="225">
        <f t="shared" ca="1" si="31"/>
        <v>-18679.461434878889</v>
      </c>
      <c r="V59" s="224">
        <f t="shared" ca="1" si="32"/>
        <v>-17472.723863321822</v>
      </c>
      <c r="W59" s="183" t="str">
        <f t="shared" si="33"/>
        <v>S.042</v>
      </c>
    </row>
    <row r="60" spans="1:23" ht="28.5" customHeight="1">
      <c r="A60" s="230" t="s">
        <v>324</v>
      </c>
      <c r="B60" s="192" t="s">
        <v>191</v>
      </c>
      <c r="C60" s="226" t="str">
        <f t="shared" ca="1" si="34"/>
        <v>Diana to Perdue 138 kV Rebuild 21.8 miles; Station Upgrades at Diana and Perdue</v>
      </c>
      <c r="D60" s="216">
        <f t="shared" ca="1" si="34"/>
        <v>2014</v>
      </c>
      <c r="E60" s="217">
        <v>0</v>
      </c>
      <c r="F60" s="218">
        <f t="shared" ca="1" si="34"/>
        <v>0</v>
      </c>
      <c r="G60" s="218">
        <f t="shared" ca="1" si="27"/>
        <v>0</v>
      </c>
      <c r="H60" s="219"/>
      <c r="I60" s="220">
        <f t="shared" ca="1" si="7"/>
        <v>62867.124774531927</v>
      </c>
      <c r="J60" s="221">
        <v>1283139.31561582</v>
      </c>
      <c r="K60" s="221">
        <f t="shared" si="25"/>
        <v>1392318.6801570598</v>
      </c>
      <c r="L60" s="217">
        <f t="shared" si="28"/>
        <v>-109179.3645412398</v>
      </c>
      <c r="M60" s="217"/>
      <c r="N60" s="218">
        <v>0</v>
      </c>
      <c r="O60" s="218">
        <v>0</v>
      </c>
      <c r="P60" s="218">
        <f t="shared" si="29"/>
        <v>0</v>
      </c>
      <c r="Q60" s="217">
        <f t="shared" ca="1" si="26"/>
        <v>-3198.5121602454492</v>
      </c>
      <c r="R60" s="222">
        <f t="shared" ca="1" si="30"/>
        <v>-49510.751926953322</v>
      </c>
      <c r="S60" s="228" t="s">
        <v>266</v>
      </c>
      <c r="T60" s="225">
        <f t="shared" ca="1" si="31"/>
        <v>-49510.751926953322</v>
      </c>
      <c r="V60" s="224">
        <f t="shared" ca="1" si="32"/>
        <v>-46312.239766707877</v>
      </c>
      <c r="W60" s="183" t="str">
        <f t="shared" si="33"/>
        <v>S.043</v>
      </c>
    </row>
    <row r="61" spans="1:23" ht="17.25" customHeight="1">
      <c r="A61" s="230" t="s">
        <v>347</v>
      </c>
      <c r="B61" s="192" t="s">
        <v>191</v>
      </c>
      <c r="C61" s="226" t="str">
        <f t="shared" ca="1" si="34"/>
        <v>Pittsburg-Winnsboro-North Mineola</v>
      </c>
      <c r="D61" s="216">
        <f t="shared" ca="1" si="34"/>
        <v>2007</v>
      </c>
      <c r="E61" s="217">
        <v>0</v>
      </c>
      <c r="F61" s="218">
        <f t="shared" ca="1" si="34"/>
        <v>0</v>
      </c>
      <c r="G61" s="218">
        <f t="shared" ref="G61:G71" ca="1" si="35">+E61+F61</f>
        <v>0</v>
      </c>
      <c r="H61" s="219"/>
      <c r="I61" s="220">
        <f t="shared" ca="1" si="7"/>
        <v>636683.74824586092</v>
      </c>
      <c r="J61" s="221">
        <v>3029947.0026541217</v>
      </c>
      <c r="K61" s="221">
        <f t="shared" si="25"/>
        <v>3287758.2039145604</v>
      </c>
      <c r="L61" s="217">
        <f t="shared" ref="L61:L71" si="36">+J61-K61</f>
        <v>-257811.20126043865</v>
      </c>
      <c r="M61" s="217"/>
      <c r="N61" s="218">
        <v>0</v>
      </c>
      <c r="O61" s="218">
        <v>0</v>
      </c>
      <c r="P61" s="218">
        <f t="shared" ref="P61:P71" si="37">+N61-O61</f>
        <v>0</v>
      </c>
      <c r="Q61" s="217">
        <f t="shared" ca="1" si="26"/>
        <v>26166.48330593538</v>
      </c>
      <c r="R61" s="222">
        <f t="shared" ref="R61:R71" ca="1" si="38">I61+L61+P61+Q61</f>
        <v>405039.03029135766</v>
      </c>
      <c r="S61" s="228" t="s">
        <v>266</v>
      </c>
      <c r="T61" s="225">
        <f t="shared" ref="T61:T70" ca="1" si="39">+G61+R61</f>
        <v>405039.03029135766</v>
      </c>
      <c r="V61" s="224">
        <f t="shared" ref="V61:V71" ca="1" si="40">+I61+L61+P61</f>
        <v>378872.54698542226</v>
      </c>
      <c r="W61" s="183" t="str">
        <f t="shared" ref="W61:W71" si="41">A61</f>
        <v>S.044</v>
      </c>
    </row>
    <row r="62" spans="1:23" ht="17.25" customHeight="1">
      <c r="A62" s="230" t="s">
        <v>348</v>
      </c>
      <c r="B62" s="192" t="s">
        <v>191</v>
      </c>
      <c r="C62" s="226" t="str">
        <f t="shared" ca="1" si="34"/>
        <v>CHAMBER SPRINGS - TONTITOWN 161KV CKT 1</v>
      </c>
      <c r="D62" s="216">
        <f t="shared" ca="1" si="34"/>
        <v>2007</v>
      </c>
      <c r="E62" s="217">
        <v>0</v>
      </c>
      <c r="F62" s="218">
        <f t="shared" ca="1" si="34"/>
        <v>0</v>
      </c>
      <c r="G62" s="218">
        <f t="shared" ca="1" si="35"/>
        <v>0</v>
      </c>
      <c r="H62" s="219"/>
      <c r="I62" s="220">
        <f t="shared" ca="1" si="7"/>
        <v>62576.399197709688</v>
      </c>
      <c r="J62" s="221">
        <v>281205.14737973601</v>
      </c>
      <c r="K62" s="221">
        <f t="shared" si="25"/>
        <v>305132.24471281911</v>
      </c>
      <c r="L62" s="217">
        <f t="shared" si="36"/>
        <v>-23927.097333083104</v>
      </c>
      <c r="M62" s="217"/>
      <c r="N62" s="218">
        <v>0</v>
      </c>
      <c r="O62" s="218">
        <v>0</v>
      </c>
      <c r="P62" s="218">
        <f t="shared" si="37"/>
        <v>0</v>
      </c>
      <c r="Q62" s="217">
        <f t="shared" ca="1" si="26"/>
        <v>2669.2784158513359</v>
      </c>
      <c r="R62" s="222">
        <f t="shared" ca="1" si="38"/>
        <v>41318.580280477923</v>
      </c>
      <c r="S62" s="228" t="s">
        <v>266</v>
      </c>
      <c r="T62" s="225">
        <f t="shared" ca="1" si="39"/>
        <v>41318.580280477923</v>
      </c>
      <c r="V62" s="224">
        <f t="shared" ca="1" si="40"/>
        <v>38649.301864626585</v>
      </c>
      <c r="W62" s="183" t="str">
        <f t="shared" si="41"/>
        <v>S.045</v>
      </c>
    </row>
    <row r="63" spans="1:23" ht="17.25" customHeight="1">
      <c r="A63" s="230" t="s">
        <v>349</v>
      </c>
      <c r="B63" s="192" t="s">
        <v>191</v>
      </c>
      <c r="C63" s="226" t="str">
        <f t="shared" ca="1" si="34"/>
        <v>CHAMBER SPRINGS - TONTITOWN 345KV CKT 1</v>
      </c>
      <c r="D63" s="216">
        <f t="shared" ca="1" si="34"/>
        <v>2008</v>
      </c>
      <c r="E63" s="217">
        <v>0</v>
      </c>
      <c r="F63" s="218">
        <f t="shared" ca="1" si="34"/>
        <v>0</v>
      </c>
      <c r="G63" s="218">
        <f t="shared" ca="1" si="35"/>
        <v>0</v>
      </c>
      <c r="H63" s="219"/>
      <c r="I63" s="220">
        <f t="shared" ca="1" si="7"/>
        <v>336573.91027413309</v>
      </c>
      <c r="J63" s="221">
        <v>1678130.1691034937</v>
      </c>
      <c r="K63" s="221">
        <f t="shared" si="25"/>
        <v>1820918.3942404275</v>
      </c>
      <c r="L63" s="217">
        <f t="shared" si="36"/>
        <v>-142788.22513693385</v>
      </c>
      <c r="M63" s="217"/>
      <c r="N63" s="218">
        <v>0</v>
      </c>
      <c r="O63" s="218">
        <v>0</v>
      </c>
      <c r="P63" s="218">
        <f t="shared" si="37"/>
        <v>0</v>
      </c>
      <c r="Q63" s="217">
        <f t="shared" ca="1" si="26"/>
        <v>13383.629759975394</v>
      </c>
      <c r="R63" s="222">
        <f t="shared" ca="1" si="38"/>
        <v>207169.31489717463</v>
      </c>
      <c r="S63" s="228" t="s">
        <v>266</v>
      </c>
      <c r="T63" s="225">
        <f t="shared" ca="1" si="39"/>
        <v>207169.31489717463</v>
      </c>
      <c r="V63" s="224">
        <f t="shared" ca="1" si="40"/>
        <v>193785.68513719924</v>
      </c>
      <c r="W63" s="183" t="str">
        <f t="shared" si="41"/>
        <v>S.046</v>
      </c>
    </row>
    <row r="64" spans="1:23" ht="17.25" customHeight="1">
      <c r="A64" s="230" t="s">
        <v>350</v>
      </c>
      <c r="B64" s="192" t="s">
        <v>191</v>
      </c>
      <c r="C64" s="226" t="str">
        <f t="shared" ca="1" si="34"/>
        <v>FULTON - HOPE 115KV CKT 1</v>
      </c>
      <c r="D64" s="216">
        <f t="shared" ca="1" si="34"/>
        <v>2012</v>
      </c>
      <c r="E64" s="217">
        <v>0</v>
      </c>
      <c r="F64" s="218">
        <f t="shared" ca="1" si="34"/>
        <v>0</v>
      </c>
      <c r="G64" s="218">
        <f t="shared" ca="1" si="35"/>
        <v>0</v>
      </c>
      <c r="H64" s="219"/>
      <c r="I64" s="220">
        <f t="shared" ca="1" si="7"/>
        <v>8870.805685418105</v>
      </c>
      <c r="J64" s="221">
        <v>73565.443112594061</v>
      </c>
      <c r="K64" s="221">
        <f t="shared" si="25"/>
        <v>79824.956973232824</v>
      </c>
      <c r="L64" s="217">
        <f t="shared" si="36"/>
        <v>-6259.5138606387627</v>
      </c>
      <c r="M64" s="217"/>
      <c r="N64" s="218">
        <v>0</v>
      </c>
      <c r="O64" s="218">
        <v>0</v>
      </c>
      <c r="P64" s="218">
        <f t="shared" si="37"/>
        <v>0</v>
      </c>
      <c r="Q64" s="217">
        <f t="shared" ca="1" si="26"/>
        <v>180.34646343125843</v>
      </c>
      <c r="R64" s="222">
        <f t="shared" ca="1" si="38"/>
        <v>2791.6382882106009</v>
      </c>
      <c r="S64" s="228" t="s">
        <v>266</v>
      </c>
      <c r="T64" s="225">
        <f t="shared" ca="1" si="39"/>
        <v>2791.6382882106009</v>
      </c>
      <c r="V64" s="224">
        <f t="shared" ca="1" si="40"/>
        <v>2611.2918247793423</v>
      </c>
      <c r="W64" s="183" t="str">
        <f t="shared" si="41"/>
        <v>S.047</v>
      </c>
    </row>
    <row r="65" spans="1:23" ht="17.25" customHeight="1">
      <c r="A65" s="230" t="s">
        <v>351</v>
      </c>
      <c r="B65" s="192" t="s">
        <v>191</v>
      </c>
      <c r="C65" s="226" t="str">
        <f t="shared" ca="1" si="34"/>
        <v>MINEOLA - NORTH MINEOLA 69KV CKT 1</v>
      </c>
      <c r="D65" s="216">
        <f t="shared" ca="1" si="34"/>
        <v>2010</v>
      </c>
      <c r="E65" s="217">
        <v>0</v>
      </c>
      <c r="F65" s="218">
        <f t="shared" ca="1" si="34"/>
        <v>0</v>
      </c>
      <c r="G65" s="218">
        <f t="shared" ca="1" si="35"/>
        <v>0</v>
      </c>
      <c r="H65" s="219"/>
      <c r="I65" s="220">
        <f t="shared" ca="1" si="7"/>
        <v>2572.1050690208776</v>
      </c>
      <c r="J65" s="221">
        <v>15742.302221111373</v>
      </c>
      <c r="K65" s="221">
        <f t="shared" si="25"/>
        <v>17081.778404250705</v>
      </c>
      <c r="L65" s="217">
        <f t="shared" si="36"/>
        <v>-1339.4761831393316</v>
      </c>
      <c r="M65" s="217"/>
      <c r="N65" s="218">
        <v>0</v>
      </c>
      <c r="O65" s="218">
        <v>0</v>
      </c>
      <c r="P65" s="218">
        <f t="shared" si="37"/>
        <v>0</v>
      </c>
      <c r="Q65" s="217">
        <f t="shared" ca="1" si="26"/>
        <v>85.130378068997985</v>
      </c>
      <c r="R65" s="222">
        <f t="shared" ca="1" si="38"/>
        <v>1317.759263950544</v>
      </c>
      <c r="S65" s="228" t="s">
        <v>266</v>
      </c>
      <c r="T65" s="225">
        <f t="shared" ca="1" si="39"/>
        <v>1317.759263950544</v>
      </c>
      <c r="V65" s="224">
        <f t="shared" ca="1" si="40"/>
        <v>1232.628885881546</v>
      </c>
      <c r="W65" s="183" t="str">
        <f t="shared" si="41"/>
        <v>S.048</v>
      </c>
    </row>
    <row r="66" spans="1:23" ht="17.25" customHeight="1">
      <c r="A66" s="230" t="s">
        <v>352</v>
      </c>
      <c r="B66" s="192" t="s">
        <v>191</v>
      </c>
      <c r="C66" s="226" t="str">
        <f t="shared" ca="1" si="34"/>
        <v xml:space="preserve">SUGAR HILL 138/69KV TRANSFORMER CKT 1 </v>
      </c>
      <c r="D66" s="216">
        <f t="shared" ca="1" si="34"/>
        <v>2010</v>
      </c>
      <c r="E66" s="217">
        <v>0</v>
      </c>
      <c r="F66" s="218">
        <f t="shared" ca="1" si="34"/>
        <v>0</v>
      </c>
      <c r="G66" s="218">
        <f t="shared" ca="1" si="35"/>
        <v>0</v>
      </c>
      <c r="H66" s="219"/>
      <c r="I66" s="220">
        <f t="shared" ca="1" si="7"/>
        <v>232.09013202523147</v>
      </c>
      <c r="J66" s="221">
        <v>2177.8344044784762</v>
      </c>
      <c r="K66" s="221">
        <f t="shared" si="25"/>
        <v>2363.1413103329614</v>
      </c>
      <c r="L66" s="217">
        <f t="shared" si="36"/>
        <v>-185.30690585448519</v>
      </c>
      <c r="M66" s="217"/>
      <c r="N66" s="218">
        <v>0</v>
      </c>
      <c r="O66" s="218">
        <v>0</v>
      </c>
      <c r="P66" s="218">
        <f t="shared" si="37"/>
        <v>0</v>
      </c>
      <c r="Q66" s="217">
        <f t="shared" ca="1" si="26"/>
        <v>3.2310404022008301</v>
      </c>
      <c r="R66" s="222">
        <f t="shared" ca="1" si="38"/>
        <v>50.014266572947108</v>
      </c>
      <c r="S66" s="228" t="s">
        <v>266</v>
      </c>
      <c r="T66" s="225">
        <f t="shared" ca="1" si="39"/>
        <v>50.014266572947108</v>
      </c>
      <c r="V66" s="224">
        <f t="shared" ca="1" si="40"/>
        <v>46.783226170746275</v>
      </c>
      <c r="W66" s="183" t="str">
        <f t="shared" si="41"/>
        <v>S.049</v>
      </c>
    </row>
    <row r="67" spans="1:23" ht="17.25" customHeight="1">
      <c r="A67" s="230" t="s">
        <v>353</v>
      </c>
      <c r="B67" s="192" t="s">
        <v>191</v>
      </c>
      <c r="C67" s="226" t="str">
        <f t="shared" ca="1" si="34"/>
        <v>Dekalb-New Boston 69 kV</v>
      </c>
      <c r="D67" s="216">
        <f t="shared" ca="1" si="34"/>
        <v>2015</v>
      </c>
      <c r="E67" s="217">
        <v>0</v>
      </c>
      <c r="F67" s="218">
        <f t="shared" ca="1" si="34"/>
        <v>0</v>
      </c>
      <c r="G67" s="218">
        <f t="shared" ca="1" si="35"/>
        <v>0</v>
      </c>
      <c r="H67" s="219"/>
      <c r="I67" s="220">
        <f t="shared" ca="1" si="7"/>
        <v>31047.641597541282</v>
      </c>
      <c r="J67" s="221">
        <v>1457584.7738164885</v>
      </c>
      <c r="K67" s="221">
        <f t="shared" si="25"/>
        <v>1581607.3000017263</v>
      </c>
      <c r="L67" s="217">
        <f t="shared" si="36"/>
        <v>-124022.5261852378</v>
      </c>
      <c r="M67" s="217"/>
      <c r="N67" s="218">
        <v>0</v>
      </c>
      <c r="O67" s="218">
        <v>0</v>
      </c>
      <c r="P67" s="218">
        <f t="shared" si="37"/>
        <v>0</v>
      </c>
      <c r="Q67" s="217">
        <f t="shared" ca="1" si="26"/>
        <v>-6421.2247226475256</v>
      </c>
      <c r="R67" s="222">
        <f t="shared" ca="1" si="38"/>
        <v>-99396.109310344051</v>
      </c>
      <c r="S67" s="228" t="s">
        <v>266</v>
      </c>
      <c r="T67" s="225">
        <f t="shared" ca="1" si="39"/>
        <v>-99396.109310344051</v>
      </c>
      <c r="V67" s="224">
        <f t="shared" ca="1" si="40"/>
        <v>-92974.884587696521</v>
      </c>
      <c r="W67" s="183" t="str">
        <f t="shared" si="41"/>
        <v>S.050</v>
      </c>
    </row>
    <row r="68" spans="1:23" ht="17.25" customHeight="1">
      <c r="A68" s="230" t="s">
        <v>354</v>
      </c>
      <c r="B68" s="192" t="s">
        <v>191</v>
      </c>
      <c r="C68" s="226" t="str">
        <f t="shared" ca="1" si="34"/>
        <v>Hardy Street-Waterworks 69 kV</v>
      </c>
      <c r="D68" s="216">
        <f t="shared" ca="1" si="34"/>
        <v>2015</v>
      </c>
      <c r="E68" s="217">
        <v>0</v>
      </c>
      <c r="F68" s="218">
        <f t="shared" ca="1" si="34"/>
        <v>0</v>
      </c>
      <c r="G68" s="218">
        <f t="shared" ca="1" si="35"/>
        <v>0</v>
      </c>
      <c r="H68" s="219"/>
      <c r="I68" s="220">
        <f t="shared" ca="1" si="7"/>
        <v>23025.762232962064</v>
      </c>
      <c r="J68" s="221">
        <v>508840.23060936271</v>
      </c>
      <c r="K68" s="221">
        <f t="shared" si="25"/>
        <v>552136.27208735736</v>
      </c>
      <c r="L68" s="217">
        <f t="shared" si="36"/>
        <v>-43296.041477994644</v>
      </c>
      <c r="M68" s="217"/>
      <c r="N68" s="218">
        <v>0</v>
      </c>
      <c r="O68" s="218">
        <v>0</v>
      </c>
      <c r="P68" s="218">
        <f t="shared" si="37"/>
        <v>0</v>
      </c>
      <c r="Q68" s="217">
        <f t="shared" ca="1" si="26"/>
        <v>-1399.9481558958178</v>
      </c>
      <c r="R68" s="222">
        <f t="shared" ca="1" si="38"/>
        <v>-21670.227400928397</v>
      </c>
      <c r="S68" s="228" t="s">
        <v>266</v>
      </c>
      <c r="T68" s="225">
        <f t="shared" ca="1" si="39"/>
        <v>-21670.227400928397</v>
      </c>
      <c r="V68" s="224">
        <f t="shared" ca="1" si="40"/>
        <v>-20270.27924503258</v>
      </c>
      <c r="W68" s="183" t="str">
        <f t="shared" si="41"/>
        <v>S.051</v>
      </c>
    </row>
    <row r="69" spans="1:23" ht="17.25" customHeight="1">
      <c r="A69" s="230" t="s">
        <v>355</v>
      </c>
      <c r="B69" s="192" t="s">
        <v>191</v>
      </c>
      <c r="C69" s="226" t="str">
        <f t="shared" ca="1" si="34"/>
        <v>Red Oak (State Line)-North Huntington 69 kV</v>
      </c>
      <c r="D69" s="216">
        <f t="shared" ca="1" si="34"/>
        <v>2015</v>
      </c>
      <c r="E69" s="217">
        <v>0</v>
      </c>
      <c r="F69" s="218">
        <f t="shared" ca="1" si="34"/>
        <v>0</v>
      </c>
      <c r="G69" s="218">
        <f t="shared" ca="1" si="35"/>
        <v>0</v>
      </c>
      <c r="H69" s="219"/>
      <c r="I69" s="220">
        <f t="shared" ca="1" si="7"/>
        <v>51328.273144993</v>
      </c>
      <c r="J69" s="221">
        <v>1045909.796211792</v>
      </c>
      <c r="K69" s="221">
        <f t="shared" si="25"/>
        <v>1134903.8481655794</v>
      </c>
      <c r="L69" s="217">
        <f t="shared" si="36"/>
        <v>-88994.051953787333</v>
      </c>
      <c r="M69" s="217"/>
      <c r="N69" s="218">
        <v>0</v>
      </c>
      <c r="O69" s="218">
        <v>0</v>
      </c>
      <c r="P69" s="218">
        <f t="shared" si="37"/>
        <v>0</v>
      </c>
      <c r="Q69" s="217">
        <f t="shared" ca="1" si="26"/>
        <v>-2601.3523023701514</v>
      </c>
      <c r="R69" s="222">
        <f t="shared" ca="1" si="38"/>
        <v>-40267.131111164483</v>
      </c>
      <c r="S69" s="228" t="s">
        <v>266</v>
      </c>
      <c r="T69" s="225">
        <f t="shared" ca="1" si="39"/>
        <v>-40267.131111164483</v>
      </c>
      <c r="V69" s="224">
        <f t="shared" ca="1" si="40"/>
        <v>-37665.778808794334</v>
      </c>
      <c r="W69" s="183" t="str">
        <f t="shared" si="41"/>
        <v>S.052</v>
      </c>
    </row>
    <row r="70" spans="1:23" ht="17.25" customHeight="1">
      <c r="A70" s="230" t="s">
        <v>356</v>
      </c>
      <c r="B70" s="192" t="s">
        <v>191</v>
      </c>
      <c r="C70" s="226" t="str">
        <f t="shared" ca="1" si="34"/>
        <v>Mt. Pleasant - West Mt. Pleasant 69 kV Ckt 1)</v>
      </c>
      <c r="D70" s="216">
        <f t="shared" ca="1" si="34"/>
        <v>2015</v>
      </c>
      <c r="E70" s="217">
        <v>0</v>
      </c>
      <c r="F70" s="218">
        <f t="shared" ca="1" si="34"/>
        <v>0</v>
      </c>
      <c r="G70" s="218">
        <f t="shared" ca="1" si="35"/>
        <v>0</v>
      </c>
      <c r="H70" s="219"/>
      <c r="I70" s="220">
        <f t="shared" ca="1" si="7"/>
        <v>24659.457093549659</v>
      </c>
      <c r="J70" s="221">
        <v>503524.05896433274</v>
      </c>
      <c r="K70" s="221">
        <f t="shared" si="25"/>
        <v>546367.75965989416</v>
      </c>
      <c r="L70" s="217">
        <f t="shared" si="36"/>
        <v>-42843.70069556142</v>
      </c>
      <c r="M70" s="217"/>
      <c r="N70" s="218">
        <v>0</v>
      </c>
      <c r="O70" s="218">
        <v>0</v>
      </c>
      <c r="P70" s="218">
        <f t="shared" si="37"/>
        <v>0</v>
      </c>
      <c r="Q70" s="217">
        <f t="shared" ca="1" si="26"/>
        <v>-1255.8780266056353</v>
      </c>
      <c r="R70" s="222">
        <f t="shared" ca="1" si="38"/>
        <v>-19440.121628617395</v>
      </c>
      <c r="S70" s="228" t="s">
        <v>266</v>
      </c>
      <c r="T70" s="225">
        <f t="shared" ca="1" si="39"/>
        <v>-19440.121628617395</v>
      </c>
      <c r="V70" s="224">
        <f t="shared" ca="1" si="40"/>
        <v>-18184.24360201176</v>
      </c>
      <c r="W70" s="183" t="str">
        <f t="shared" si="41"/>
        <v>S.053</v>
      </c>
    </row>
    <row r="71" spans="1:23" ht="17.25" customHeight="1">
      <c r="A71" s="230" t="s">
        <v>357</v>
      </c>
      <c r="B71" s="192" t="s">
        <v>191</v>
      </c>
      <c r="C71" s="226" t="str">
        <f t="shared" ca="1" si="34"/>
        <v>Benteler - Port Robson 138 kV Ckt 1 and 2</v>
      </c>
      <c r="D71" s="216">
        <f t="shared" ca="1" si="34"/>
        <v>2015</v>
      </c>
      <c r="E71" s="217">
        <v>0</v>
      </c>
      <c r="F71" s="218">
        <f t="shared" ca="1" si="34"/>
        <v>0</v>
      </c>
      <c r="G71" s="218">
        <f t="shared" ca="1" si="35"/>
        <v>0</v>
      </c>
      <c r="H71" s="219"/>
      <c r="I71" s="220">
        <f t="shared" ca="1" si="7"/>
        <v>59576.992679451359</v>
      </c>
      <c r="J71" s="221">
        <v>1215892.9598409836</v>
      </c>
      <c r="K71" s="221">
        <f t="shared" si="25"/>
        <v>1319350.487086881</v>
      </c>
      <c r="L71" s="217">
        <f t="shared" si="36"/>
        <v>-103457.52724589733</v>
      </c>
      <c r="M71" s="217"/>
      <c r="N71" s="218">
        <v>0</v>
      </c>
      <c r="O71" s="218">
        <v>0</v>
      </c>
      <c r="P71" s="218">
        <f t="shared" si="37"/>
        <v>0</v>
      </c>
      <c r="Q71" s="217">
        <f t="shared" ca="1" si="26"/>
        <v>-3030.5686815376671</v>
      </c>
      <c r="R71" s="222">
        <f t="shared" ca="1" si="38"/>
        <v>-46911.103247983643</v>
      </c>
      <c r="S71" s="228" t="s">
        <v>266</v>
      </c>
      <c r="T71" s="225">
        <f ca="1">+G71+R71</f>
        <v>-46911.103247983643</v>
      </c>
      <c r="V71" s="224">
        <f t="shared" ca="1" si="40"/>
        <v>-43880.534566445975</v>
      </c>
      <c r="W71" s="183" t="str">
        <f t="shared" si="41"/>
        <v>S.054</v>
      </c>
    </row>
    <row r="72" spans="1:23" ht="17.25" customHeight="1">
      <c r="A72" s="230" t="s">
        <v>367</v>
      </c>
      <c r="B72" s="192" t="s">
        <v>191</v>
      </c>
      <c r="C72" s="226" t="str">
        <f t="shared" ca="1" si="34"/>
        <v>Ellerbe Rd-S Shreveport 69 kv Build</v>
      </c>
      <c r="D72" s="216">
        <f t="shared" ca="1" si="34"/>
        <v>2016</v>
      </c>
      <c r="E72" s="217">
        <v>0</v>
      </c>
      <c r="F72" s="218">
        <f t="shared" ca="1" si="34"/>
        <v>0</v>
      </c>
      <c r="G72" s="218">
        <f t="shared" ref="G72:G77" ca="1" si="42">+E72+F72</f>
        <v>0</v>
      </c>
      <c r="H72" s="219"/>
      <c r="I72" s="220">
        <f t="shared" ca="1" si="7"/>
        <v>36850.43791345018</v>
      </c>
      <c r="J72" s="221">
        <v>840423.37065890571</v>
      </c>
      <c r="K72" s="221">
        <f t="shared" si="25"/>
        <v>911933.05665906472</v>
      </c>
      <c r="L72" s="217">
        <f t="shared" ref="L72:L77" si="43">+J72-K72</f>
        <v>-71509.68600015901</v>
      </c>
      <c r="M72" s="217"/>
      <c r="N72" s="218">
        <v>0</v>
      </c>
      <c r="O72" s="218">
        <v>0</v>
      </c>
      <c r="P72" s="218">
        <f t="shared" ref="P72:P77" si="44">+N72-O72</f>
        <v>0</v>
      </c>
      <c r="Q72" s="217">
        <f t="shared" ca="1" si="26"/>
        <v>-2393.7090287305355</v>
      </c>
      <c r="R72" s="222">
        <f t="shared" ref="R72:R77" ca="1" si="45">I72+L72+P72+Q72</f>
        <v>-37052.957115439363</v>
      </c>
      <c r="S72" s="228" t="s">
        <v>266</v>
      </c>
      <c r="T72" s="225">
        <f t="shared" ref="T72:T77" ca="1" si="46">+G72+R72</f>
        <v>-37052.957115439363</v>
      </c>
      <c r="V72" s="224">
        <f ca="1">+I72+L72+P72</f>
        <v>-34659.248086708831</v>
      </c>
      <c r="W72" s="183" t="str">
        <f>A72</f>
        <v>S.055</v>
      </c>
    </row>
    <row r="73" spans="1:23" ht="17.25" customHeight="1">
      <c r="A73" s="230" t="s">
        <v>368</v>
      </c>
      <c r="B73" s="192" t="s">
        <v>191</v>
      </c>
      <c r="C73" s="226" t="str">
        <f t="shared" ca="1" si="34"/>
        <v>Logansport 138 kv</v>
      </c>
      <c r="D73" s="216">
        <f t="shared" ca="1" si="34"/>
        <v>2016</v>
      </c>
      <c r="E73" s="217">
        <v>0</v>
      </c>
      <c r="F73" s="218">
        <f t="shared" ca="1" si="34"/>
        <v>0</v>
      </c>
      <c r="G73" s="218">
        <f t="shared" ca="1" si="42"/>
        <v>0</v>
      </c>
      <c r="H73" s="219"/>
      <c r="I73" s="220">
        <f t="shared" ca="1" si="7"/>
        <v>7377.8622899875045</v>
      </c>
      <c r="J73" s="221">
        <v>140573.7932879609</v>
      </c>
      <c r="K73" s="221">
        <f t="shared" si="25"/>
        <v>152534.89309649207</v>
      </c>
      <c r="L73" s="217">
        <f t="shared" si="43"/>
        <v>-11961.099808531173</v>
      </c>
      <c r="M73" s="217"/>
      <c r="N73" s="218">
        <v>0</v>
      </c>
      <c r="O73" s="218">
        <v>0</v>
      </c>
      <c r="P73" s="218">
        <f t="shared" si="44"/>
        <v>0</v>
      </c>
      <c r="Q73" s="217">
        <f t="shared" ca="1" si="26"/>
        <v>-316.53707551612069</v>
      </c>
      <c r="R73" s="222">
        <f t="shared" ca="1" si="45"/>
        <v>-4899.7745940597888</v>
      </c>
      <c r="S73" s="228" t="s">
        <v>266</v>
      </c>
      <c r="T73" s="225">
        <f t="shared" ca="1" si="46"/>
        <v>-4899.7745940597888</v>
      </c>
      <c r="V73" s="224">
        <f ca="1">+I73+L73+P73</f>
        <v>-4583.2375185436686</v>
      </c>
      <c r="W73" s="183" t="str">
        <f>A73</f>
        <v>S.056</v>
      </c>
    </row>
    <row r="74" spans="1:23" ht="17.25" customHeight="1">
      <c r="A74" s="230" t="s">
        <v>369</v>
      </c>
      <c r="B74" s="192" t="s">
        <v>191</v>
      </c>
      <c r="C74" s="226" t="str">
        <f t="shared" ca="1" si="34"/>
        <v>Winnsboro 138 kw</v>
      </c>
      <c r="D74" s="216">
        <f t="shared" ca="1" si="34"/>
        <v>2016</v>
      </c>
      <c r="E74" s="217">
        <v>0</v>
      </c>
      <c r="F74" s="218">
        <f t="shared" ca="1" si="34"/>
        <v>0</v>
      </c>
      <c r="G74" s="218">
        <f t="shared" ca="1" si="42"/>
        <v>0</v>
      </c>
      <c r="H74" s="219"/>
      <c r="I74" s="220">
        <f t="shared" ca="1" si="7"/>
        <v>4780.2268840905745</v>
      </c>
      <c r="J74" s="221">
        <v>110177.0853827079</v>
      </c>
      <c r="K74" s="221">
        <f t="shared" si="25"/>
        <v>119551.79943183424</v>
      </c>
      <c r="L74" s="217">
        <f t="shared" si="43"/>
        <v>-9374.7140491263417</v>
      </c>
      <c r="M74" s="217"/>
      <c r="N74" s="218">
        <v>0</v>
      </c>
      <c r="O74" s="218">
        <v>0</v>
      </c>
      <c r="P74" s="218">
        <f t="shared" si="44"/>
        <v>0</v>
      </c>
      <c r="Q74" s="217">
        <f t="shared" ca="1" si="26"/>
        <v>-317.31402198393778</v>
      </c>
      <c r="R74" s="222">
        <f t="shared" ca="1" si="45"/>
        <v>-4911.8011870197051</v>
      </c>
      <c r="S74" s="228" t="s">
        <v>266</v>
      </c>
      <c r="T74" s="225">
        <f t="shared" ca="1" si="46"/>
        <v>-4911.8011870197051</v>
      </c>
      <c r="V74" s="224">
        <f ca="1">+I74+L74+P74</f>
        <v>-4594.4871650357672</v>
      </c>
      <c r="W74" s="183" t="str">
        <f>A74</f>
        <v>S.057</v>
      </c>
    </row>
    <row r="75" spans="1:23" ht="17.25" customHeight="1">
      <c r="A75" s="230" t="s">
        <v>370</v>
      </c>
      <c r="B75" s="192" t="s">
        <v>191</v>
      </c>
      <c r="C75" s="226" t="str">
        <f t="shared" ca="1" si="34"/>
        <v>Rock Hill-Springridge Pan-Harr REC 138 kv</v>
      </c>
      <c r="D75" s="216">
        <f t="shared" ca="1" si="34"/>
        <v>2016</v>
      </c>
      <c r="E75" s="217">
        <v>0</v>
      </c>
      <c r="F75" s="218">
        <f t="shared" ca="1" si="34"/>
        <v>0</v>
      </c>
      <c r="G75" s="218">
        <f t="shared" ca="1" si="42"/>
        <v>0</v>
      </c>
      <c r="H75" s="219"/>
      <c r="I75" s="220">
        <f t="shared" ca="1" si="7"/>
        <v>137045.11198162427</v>
      </c>
      <c r="J75" s="221">
        <v>2324514.5689148423</v>
      </c>
      <c r="K75" s="221">
        <f t="shared" si="25"/>
        <v>2522302.1516132769</v>
      </c>
      <c r="L75" s="217">
        <f t="shared" si="43"/>
        <v>-197787.58269843459</v>
      </c>
      <c r="M75" s="217"/>
      <c r="N75" s="218">
        <v>0</v>
      </c>
      <c r="O75" s="218">
        <v>0</v>
      </c>
      <c r="P75" s="218">
        <f t="shared" si="44"/>
        <v>0</v>
      </c>
      <c r="Q75" s="217">
        <f t="shared" ca="1" si="26"/>
        <v>-4195.12276257335</v>
      </c>
      <c r="R75" s="222">
        <f t="shared" ca="1" si="45"/>
        <v>-64937.593479383671</v>
      </c>
      <c r="S75" s="228" t="s">
        <v>266</v>
      </c>
      <c r="T75" s="225">
        <f t="shared" ca="1" si="46"/>
        <v>-64937.593479383671</v>
      </c>
      <c r="V75" s="224">
        <f ca="1">+I75+L75+P75</f>
        <v>-60742.47071681032</v>
      </c>
      <c r="W75" s="183" t="str">
        <f>A75</f>
        <v>S.058</v>
      </c>
    </row>
    <row r="76" spans="1:23" ht="17.25" customHeight="1">
      <c r="A76" s="230" t="s">
        <v>371</v>
      </c>
      <c r="B76" s="192" t="s">
        <v>191</v>
      </c>
      <c r="C76" s="226" t="str">
        <f t="shared" ca="1" si="34"/>
        <v>Brownlee-North Mrket 69 kv Rebuild</v>
      </c>
      <c r="D76" s="216">
        <f t="shared" ca="1" si="34"/>
        <v>2017</v>
      </c>
      <c r="E76" s="217">
        <v>0</v>
      </c>
      <c r="F76" s="218">
        <f t="shared" ca="1" si="34"/>
        <v>0</v>
      </c>
      <c r="G76" s="218">
        <f t="shared" ca="1" si="42"/>
        <v>0</v>
      </c>
      <c r="H76" s="219"/>
      <c r="I76" s="220">
        <f t="shared" ca="1" si="7"/>
        <v>78119.365202613873</v>
      </c>
      <c r="J76" s="221">
        <v>1212173.5037109051</v>
      </c>
      <c r="K76" s="221">
        <f t="shared" si="25"/>
        <v>1315314.5510143843</v>
      </c>
      <c r="L76" s="217">
        <f t="shared" si="43"/>
        <v>-103141.04730347916</v>
      </c>
      <c r="M76" s="217"/>
      <c r="N76" s="218">
        <v>0</v>
      </c>
      <c r="O76" s="218">
        <v>0</v>
      </c>
      <c r="P76" s="218">
        <f t="shared" si="44"/>
        <v>0</v>
      </c>
      <c r="Q76" s="217">
        <f t="shared" ca="1" si="26"/>
        <v>-1728.0994154583218</v>
      </c>
      <c r="R76" s="222">
        <f t="shared" ca="1" si="45"/>
        <v>-26749.781516323612</v>
      </c>
      <c r="S76" s="228" t="s">
        <v>266</v>
      </c>
      <c r="T76" s="225">
        <f t="shared" ca="1" si="46"/>
        <v>-26749.781516323612</v>
      </c>
      <c r="V76" s="224">
        <f ca="1">+I76+L76+P76</f>
        <v>-25021.682100865291</v>
      </c>
      <c r="W76" s="183" t="str">
        <f>A76</f>
        <v>S.059</v>
      </c>
    </row>
    <row r="77" spans="1:23" ht="17.25" customHeight="1">
      <c r="A77" s="230" t="s">
        <v>375</v>
      </c>
      <c r="B77" s="192" t="s">
        <v>191</v>
      </c>
      <c r="C77" s="226" t="str">
        <f t="shared" ca="1" si="34"/>
        <v>Valliant-NW Texarkana 345 kV</v>
      </c>
      <c r="D77" s="216">
        <f t="shared" ca="1" si="34"/>
        <v>2016</v>
      </c>
      <c r="E77" s="217">
        <v>0</v>
      </c>
      <c r="F77" s="218">
        <f t="shared" ca="1" si="34"/>
        <v>0</v>
      </c>
      <c r="G77" s="218">
        <f t="shared" ca="1" si="42"/>
        <v>0</v>
      </c>
      <c r="H77" s="219"/>
      <c r="I77" s="220">
        <f t="shared" ca="1" si="7"/>
        <v>445327.20085370913</v>
      </c>
      <c r="J77" s="221">
        <v>7891821.7721710633</v>
      </c>
      <c r="K77" s="221">
        <f t="shared" si="25"/>
        <v>8563318.6826564521</v>
      </c>
      <c r="L77" s="217">
        <f t="shared" si="43"/>
        <v>-671496.91048538871</v>
      </c>
      <c r="M77" s="217"/>
      <c r="N77" s="218">
        <v>0</v>
      </c>
      <c r="O77" s="218">
        <v>0</v>
      </c>
      <c r="P77" s="218">
        <f t="shared" si="44"/>
        <v>0</v>
      </c>
      <c r="Q77" s="217">
        <f t="shared" ca="1" si="26"/>
        <v>-15620.202568050683</v>
      </c>
      <c r="R77" s="222">
        <f t="shared" ca="1" si="45"/>
        <v>-241789.91219973026</v>
      </c>
      <c r="S77" s="228" t="s">
        <v>266</v>
      </c>
      <c r="T77" s="225">
        <f t="shared" ca="1" si="46"/>
        <v>-241789.91219973026</v>
      </c>
      <c r="V77" s="224">
        <f t="shared" ref="V77:V84" ca="1" si="47">+I77+L77+P77</f>
        <v>-226169.70963167958</v>
      </c>
      <c r="W77" s="183" t="str">
        <f t="shared" ref="W77:W84" si="48">A77</f>
        <v>S.060</v>
      </c>
    </row>
    <row r="78" spans="1:23" ht="17.25" customHeight="1">
      <c r="A78" s="230" t="s">
        <v>376</v>
      </c>
      <c r="B78" s="192" t="s">
        <v>191</v>
      </c>
      <c r="C78" s="226" t="str">
        <f t="shared" ref="C78:F91" ca="1" si="49">INDIRECT("'"&amp; $A78 &amp; "'!" &amp;C$100)</f>
        <v>Messick 500/230 kV</v>
      </c>
      <c r="D78" s="216">
        <f t="shared" ca="1" si="49"/>
        <v>2016</v>
      </c>
      <c r="E78" s="217">
        <v>0</v>
      </c>
      <c r="F78" s="218">
        <f t="shared" ca="1" si="49"/>
        <v>0</v>
      </c>
      <c r="G78" s="218">
        <f t="shared" ref="G78:G84" ca="1" si="50">+E78+F78</f>
        <v>0</v>
      </c>
      <c r="H78" s="219"/>
      <c r="I78" s="220">
        <f t="shared" ca="1" si="7"/>
        <v>266555.8070573071</v>
      </c>
      <c r="J78" s="221">
        <v>5066664.5972869545</v>
      </c>
      <c r="K78" s="221">
        <f t="shared" si="25"/>
        <v>5497775.4005670343</v>
      </c>
      <c r="L78" s="217">
        <f t="shared" ref="L78:L84" si="51">+J78-K78</f>
        <v>-431110.80328007974</v>
      </c>
      <c r="M78" s="217"/>
      <c r="N78" s="218">
        <v>0</v>
      </c>
      <c r="O78" s="218">
        <v>0</v>
      </c>
      <c r="P78" s="218">
        <f t="shared" ref="P78:P84" si="52">+N78-O78</f>
        <v>0</v>
      </c>
      <c r="Q78" s="217">
        <f t="shared" ca="1" si="26"/>
        <v>-11364.839167766657</v>
      </c>
      <c r="R78" s="222">
        <f t="shared" ref="R78:R84" ca="1" si="53">I78+L78+P78+Q78</f>
        <v>-175919.83539053929</v>
      </c>
      <c r="S78" s="228" t="s">
        <v>266</v>
      </c>
      <c r="T78" s="225">
        <f t="shared" ref="T78:T84" ca="1" si="54">+G78+R78</f>
        <v>-175919.83539053929</v>
      </c>
      <c r="V78" s="224">
        <f t="shared" ca="1" si="47"/>
        <v>-164554.99622277264</v>
      </c>
      <c r="W78" s="183" t="str">
        <f t="shared" si="48"/>
        <v>S.061</v>
      </c>
    </row>
    <row r="79" spans="1:23" ht="17.25" customHeight="1">
      <c r="A79" s="230" t="s">
        <v>377</v>
      </c>
      <c r="B79" s="192" t="s">
        <v>191</v>
      </c>
      <c r="C79" s="226" t="str">
        <f t="shared" ca="1" si="49"/>
        <v>Letourneau 69 kV Capacitor Bank Addition</v>
      </c>
      <c r="D79" s="216">
        <f t="shared" ca="1" si="49"/>
        <v>2017</v>
      </c>
      <c r="E79" s="217">
        <v>0</v>
      </c>
      <c r="F79" s="218">
        <f t="shared" ca="1" si="49"/>
        <v>0</v>
      </c>
      <c r="G79" s="218">
        <f t="shared" ca="1" si="50"/>
        <v>0</v>
      </c>
      <c r="H79" s="219"/>
      <c r="I79" s="220">
        <f t="shared" ca="1" si="7"/>
        <v>5185.9572387451481</v>
      </c>
      <c r="J79" s="221">
        <v>127688.27093948759</v>
      </c>
      <c r="K79" s="221">
        <f t="shared" si="25"/>
        <v>138552.97137449236</v>
      </c>
      <c r="L79" s="217">
        <f t="shared" si="51"/>
        <v>-10864.700435004779</v>
      </c>
      <c r="M79" s="217"/>
      <c r="N79" s="218">
        <v>0</v>
      </c>
      <c r="O79" s="218">
        <v>0</v>
      </c>
      <c r="P79" s="218">
        <f t="shared" si="52"/>
        <v>0</v>
      </c>
      <c r="Q79" s="217">
        <f t="shared" ca="1" si="26"/>
        <v>-392.19716557964045</v>
      </c>
      <c r="R79" s="222">
        <f t="shared" ca="1" si="53"/>
        <v>-6070.9403618392716</v>
      </c>
      <c r="S79" s="228" t="s">
        <v>266</v>
      </c>
      <c r="T79" s="225">
        <f t="shared" ca="1" si="54"/>
        <v>-6070.9403618392716</v>
      </c>
      <c r="V79" s="224">
        <f t="shared" ca="1" si="47"/>
        <v>-5678.7431962596311</v>
      </c>
      <c r="W79" s="183" t="str">
        <f t="shared" si="48"/>
        <v>S.062</v>
      </c>
    </row>
    <row r="80" spans="1:23" ht="17.25" customHeight="1">
      <c r="A80" s="230" t="s">
        <v>378</v>
      </c>
      <c r="B80" s="192" t="s">
        <v>191</v>
      </c>
      <c r="C80" s="226" t="str">
        <f t="shared" ca="1" si="49"/>
        <v>Brooks Street - Edwards Street 69 kV Line Rebuild</v>
      </c>
      <c r="D80" s="216">
        <f t="shared" ca="1" si="49"/>
        <v>2017</v>
      </c>
      <c r="E80" s="217">
        <v>0</v>
      </c>
      <c r="F80" s="218">
        <f t="shared" ca="1" si="49"/>
        <v>0</v>
      </c>
      <c r="G80" s="218">
        <f t="shared" ca="1" si="50"/>
        <v>0</v>
      </c>
      <c r="H80" s="219"/>
      <c r="I80" s="220">
        <f t="shared" ca="1" si="7"/>
        <v>25361.728578974144</v>
      </c>
      <c r="J80" s="221">
        <v>225205.51447771111</v>
      </c>
      <c r="K80" s="221">
        <f t="shared" si="25"/>
        <v>244367.73222182179</v>
      </c>
      <c r="L80" s="217">
        <f t="shared" si="51"/>
        <v>-19162.217744110676</v>
      </c>
      <c r="M80" s="217"/>
      <c r="N80" s="218">
        <v>0</v>
      </c>
      <c r="O80" s="218">
        <v>0</v>
      </c>
      <c r="P80" s="218">
        <f t="shared" si="52"/>
        <v>0</v>
      </c>
      <c r="Q80" s="217">
        <f t="shared" ca="1" si="26"/>
        <v>428.16350262417433</v>
      </c>
      <c r="R80" s="222">
        <f t="shared" ca="1" si="53"/>
        <v>6627.6743374876423</v>
      </c>
      <c r="S80" s="228" t="s">
        <v>266</v>
      </c>
      <c r="T80" s="225">
        <f t="shared" ca="1" si="54"/>
        <v>6627.6743374876423</v>
      </c>
      <c r="V80" s="224">
        <f t="shared" ca="1" si="47"/>
        <v>6199.5108348634676</v>
      </c>
      <c r="W80" s="183" t="str">
        <f t="shared" si="48"/>
        <v>S.063</v>
      </c>
    </row>
    <row r="81" spans="1:23" ht="17.25" customHeight="1">
      <c r="A81" s="230" t="s">
        <v>379</v>
      </c>
      <c r="B81" s="192" t="s">
        <v>191</v>
      </c>
      <c r="C81" s="226" t="str">
        <f t="shared" ca="1" si="49"/>
        <v>Hallsville - Marshall New 69 kV Circuit</v>
      </c>
      <c r="D81" s="216">
        <f t="shared" ca="1" si="49"/>
        <v>2017</v>
      </c>
      <c r="E81" s="217">
        <v>0</v>
      </c>
      <c r="F81" s="218">
        <f t="shared" ca="1" si="49"/>
        <v>0</v>
      </c>
      <c r="G81" s="218">
        <f t="shared" ca="1" si="50"/>
        <v>0</v>
      </c>
      <c r="H81" s="219"/>
      <c r="I81" s="220">
        <f t="shared" ca="1" si="7"/>
        <v>49815.497693509562</v>
      </c>
      <c r="J81" s="221">
        <v>2033656.615000641</v>
      </c>
      <c r="K81" s="221">
        <f t="shared" si="25"/>
        <v>2206695.7653241567</v>
      </c>
      <c r="L81" s="217">
        <f t="shared" si="51"/>
        <v>-173039.15032351576</v>
      </c>
      <c r="M81" s="217"/>
      <c r="N81" s="218">
        <v>0</v>
      </c>
      <c r="O81" s="218">
        <v>0</v>
      </c>
      <c r="P81" s="218">
        <f t="shared" si="52"/>
        <v>0</v>
      </c>
      <c r="Q81" s="217">
        <f t="shared" ca="1" si="26"/>
        <v>-8510.3280116083442</v>
      </c>
      <c r="R81" s="222">
        <f t="shared" ca="1" si="53"/>
        <v>-131733.98064161453</v>
      </c>
      <c r="S81" s="228" t="s">
        <v>266</v>
      </c>
      <c r="T81" s="225">
        <f t="shared" ca="1" si="54"/>
        <v>-131733.98064161453</v>
      </c>
      <c r="V81" s="224">
        <f t="shared" ca="1" si="47"/>
        <v>-123223.6526300062</v>
      </c>
      <c r="W81" s="183" t="str">
        <f t="shared" si="48"/>
        <v>S.064</v>
      </c>
    </row>
    <row r="82" spans="1:23" ht="17.25" customHeight="1">
      <c r="A82" s="230" t="s">
        <v>380</v>
      </c>
      <c r="B82" s="192" t="s">
        <v>191</v>
      </c>
      <c r="C82" s="226" t="str">
        <f t="shared" ca="1" si="49"/>
        <v>Daingerfield - Jenkins Rebuild</v>
      </c>
      <c r="D82" s="216">
        <f t="shared" ca="1" si="49"/>
        <v>2017</v>
      </c>
      <c r="E82" s="217">
        <v>0</v>
      </c>
      <c r="F82" s="218">
        <f t="shared" ca="1" si="49"/>
        <v>0</v>
      </c>
      <c r="G82" s="218">
        <f t="shared" ca="1" si="50"/>
        <v>0</v>
      </c>
      <c r="H82" s="219"/>
      <c r="I82" s="220">
        <f t="shared" ca="1" si="7"/>
        <v>7609.9505373238935</v>
      </c>
      <c r="J82" s="221">
        <v>335696.4346423063</v>
      </c>
      <c r="K82" s="221">
        <f t="shared" ref="K82:K88" si="55">J82/J$93*K$93</f>
        <v>364260.06991320971</v>
      </c>
      <c r="L82" s="217">
        <f t="shared" si="51"/>
        <v>-28563.635270903411</v>
      </c>
      <c r="M82" s="217"/>
      <c r="N82" s="218">
        <v>0</v>
      </c>
      <c r="O82" s="218">
        <v>0</v>
      </c>
      <c r="P82" s="218">
        <f t="shared" si="52"/>
        <v>0</v>
      </c>
      <c r="Q82" s="217">
        <f t="shared" ref="Q82:Q88" ca="1" si="56">+V82/$V$93 * $Q$93</f>
        <v>-1447.146926167067</v>
      </c>
      <c r="R82" s="222">
        <f t="shared" ca="1" si="53"/>
        <v>-22400.831659746586</v>
      </c>
      <c r="S82" s="228" t="s">
        <v>266</v>
      </c>
      <c r="T82" s="225">
        <f t="shared" ca="1" si="54"/>
        <v>-22400.831659746586</v>
      </c>
      <c r="V82" s="224">
        <f t="shared" ca="1" si="47"/>
        <v>-20953.684733579517</v>
      </c>
      <c r="W82" s="183" t="str">
        <f t="shared" si="48"/>
        <v>S.065</v>
      </c>
    </row>
    <row r="83" spans="1:23" ht="17.25" customHeight="1">
      <c r="A83" s="230" t="s">
        <v>381</v>
      </c>
      <c r="B83" s="192" t="s">
        <v>191</v>
      </c>
      <c r="C83" s="226" t="str">
        <f t="shared" ca="1" si="49"/>
        <v>Broadmoor - Fort Humbug Rebuild</v>
      </c>
      <c r="D83" s="216">
        <f t="shared" ca="1" si="49"/>
        <v>2017</v>
      </c>
      <c r="E83" s="217">
        <v>0</v>
      </c>
      <c r="F83" s="218">
        <f t="shared" ca="1" si="49"/>
        <v>0</v>
      </c>
      <c r="G83" s="218">
        <f t="shared" ca="1" si="50"/>
        <v>0</v>
      </c>
      <c r="H83" s="219"/>
      <c r="I83" s="220">
        <f t="shared" ref="I83:I91" ca="1" si="57">INDIRECT("'"&amp; $A83 &amp; "'!" &amp;I$100)</f>
        <v>22236.460397831164</v>
      </c>
      <c r="J83" s="221">
        <v>649110.80639172392</v>
      </c>
      <c r="K83" s="221">
        <f t="shared" si="55"/>
        <v>704342.14760013181</v>
      </c>
      <c r="L83" s="217">
        <f t="shared" si="51"/>
        <v>-55231.341208407888</v>
      </c>
      <c r="M83" s="217"/>
      <c r="N83" s="218">
        <v>0</v>
      </c>
      <c r="O83" s="218">
        <v>0</v>
      </c>
      <c r="P83" s="218">
        <f t="shared" si="52"/>
        <v>0</v>
      </c>
      <c r="Q83" s="217">
        <f t="shared" ca="1" si="56"/>
        <v>-2278.761036609239</v>
      </c>
      <c r="R83" s="222">
        <f t="shared" ca="1" si="53"/>
        <v>-35273.641847185965</v>
      </c>
      <c r="S83" s="228" t="s">
        <v>266</v>
      </c>
      <c r="T83" s="225">
        <f t="shared" ca="1" si="54"/>
        <v>-35273.641847185965</v>
      </c>
      <c r="V83" s="224">
        <f t="shared" ca="1" si="47"/>
        <v>-32994.880810576724</v>
      </c>
      <c r="W83" s="183" t="str">
        <f t="shared" si="48"/>
        <v>S.066</v>
      </c>
    </row>
    <row r="84" spans="1:23" ht="17.25" customHeight="1">
      <c r="A84" s="230" t="s">
        <v>382</v>
      </c>
      <c r="B84" s="192" t="s">
        <v>191</v>
      </c>
      <c r="C84" s="226" t="str">
        <f t="shared" ca="1" si="49"/>
        <v>Chamber Springs - Farmington 161 kV Line</v>
      </c>
      <c r="D84" s="216">
        <f t="shared" ca="1" si="49"/>
        <v>2017</v>
      </c>
      <c r="E84" s="217">
        <v>0</v>
      </c>
      <c r="F84" s="218">
        <f t="shared" ca="1" si="49"/>
        <v>0</v>
      </c>
      <c r="G84" s="218">
        <f t="shared" ca="1" si="50"/>
        <v>0</v>
      </c>
      <c r="H84" s="219"/>
      <c r="I84" s="220">
        <f t="shared" ca="1" si="57"/>
        <v>37236.09112433577</v>
      </c>
      <c r="J84" s="221">
        <v>1288334.4709410549</v>
      </c>
      <c r="K84" s="221">
        <f t="shared" si="55"/>
        <v>1397955.8792652257</v>
      </c>
      <c r="L84" s="217">
        <f t="shared" si="51"/>
        <v>-109621.40832417086</v>
      </c>
      <c r="M84" s="217"/>
      <c r="N84" s="218">
        <v>0</v>
      </c>
      <c r="O84" s="218">
        <v>0</v>
      </c>
      <c r="P84" s="218">
        <f t="shared" si="52"/>
        <v>0</v>
      </c>
      <c r="Q84" s="217">
        <f t="shared" ca="1" si="56"/>
        <v>-4999.2252254085843</v>
      </c>
      <c r="R84" s="222">
        <f t="shared" ca="1" si="53"/>
        <v>-77384.542425243679</v>
      </c>
      <c r="S84" s="228" t="s">
        <v>266</v>
      </c>
      <c r="T84" s="225">
        <f t="shared" ca="1" si="54"/>
        <v>-77384.542425243679</v>
      </c>
      <c r="V84" s="224">
        <f t="shared" ca="1" si="47"/>
        <v>-72385.317199835088</v>
      </c>
      <c r="W84" s="183" t="str">
        <f t="shared" si="48"/>
        <v>S.067</v>
      </c>
    </row>
    <row r="85" spans="1:23" ht="17.25" customHeight="1">
      <c r="A85" s="230" t="s">
        <v>432</v>
      </c>
      <c r="B85" s="192" t="s">
        <v>191</v>
      </c>
      <c r="C85" s="226" t="str">
        <f t="shared" ca="1" si="49"/>
        <v>Evenside - Northwest Henderson 69 KV Line Rebuild</v>
      </c>
      <c r="D85" s="216">
        <f t="shared" ca="1" si="49"/>
        <v>2018</v>
      </c>
      <c r="E85" s="217">
        <v>0</v>
      </c>
      <c r="F85" s="218">
        <f t="shared" ca="1" si="49"/>
        <v>0</v>
      </c>
      <c r="G85" s="218">
        <f t="shared" ref="G85:G91" ca="1" si="58">+E85+F85</f>
        <v>0</v>
      </c>
      <c r="H85" s="219"/>
      <c r="I85" s="220">
        <f t="shared" ca="1" si="57"/>
        <v>45884.735089221271</v>
      </c>
      <c r="J85" s="221">
        <v>1175040.0245365952</v>
      </c>
      <c r="K85" s="221">
        <f t="shared" si="55"/>
        <v>1275021.4697531327</v>
      </c>
      <c r="L85" s="217">
        <f t="shared" ref="L85:L91" si="59">+J85-K85</f>
        <v>-99981.445216537453</v>
      </c>
      <c r="M85" s="217"/>
      <c r="N85" s="218">
        <v>0</v>
      </c>
      <c r="O85" s="218">
        <v>0</v>
      </c>
      <c r="P85" s="218">
        <f t="shared" ref="P85:P91" si="60">+N85-O85</f>
        <v>0</v>
      </c>
      <c r="Q85" s="217">
        <f t="shared" ca="1" si="56"/>
        <v>-3736.1394318889747</v>
      </c>
      <c r="R85" s="222">
        <f t="shared" ref="R85:R91" ca="1" si="61">I85+L85+P85+Q85</f>
        <v>-57832.849559205155</v>
      </c>
      <c r="S85" s="228" t="s">
        <v>266</v>
      </c>
      <c r="T85" s="225">
        <f t="shared" ref="T85:T91" ca="1" si="62">+G85+R85</f>
        <v>-57832.849559205155</v>
      </c>
      <c r="V85" s="224">
        <f t="shared" ref="V85:V91" ca="1" si="63">+I85+L85+P85</f>
        <v>-54096.710127316182</v>
      </c>
      <c r="W85" s="183" t="str">
        <f t="shared" ref="W85:W91" si="64">A85</f>
        <v>S.068</v>
      </c>
    </row>
    <row r="86" spans="1:23" ht="17.25" customHeight="1">
      <c r="A86" s="230" t="s">
        <v>433</v>
      </c>
      <c r="B86" s="192" t="s">
        <v>191</v>
      </c>
      <c r="C86" s="226" t="str">
        <f t="shared" ca="1" si="49"/>
        <v>Hallsville - Longview Heights 69 KV Line Rebuild</v>
      </c>
      <c r="D86" s="216">
        <f t="shared" ca="1" si="49"/>
        <v>2017</v>
      </c>
      <c r="E86" s="217">
        <v>0</v>
      </c>
      <c r="F86" s="218">
        <f t="shared" ca="1" si="49"/>
        <v>0</v>
      </c>
      <c r="G86" s="218">
        <f t="shared" ca="1" si="58"/>
        <v>0</v>
      </c>
      <c r="H86" s="219"/>
      <c r="I86" s="220">
        <f t="shared" ca="1" si="57"/>
        <v>17142.733048987808</v>
      </c>
      <c r="J86" s="221">
        <v>952880.75724314502</v>
      </c>
      <c r="K86" s="221">
        <f t="shared" si="55"/>
        <v>1033959.1828616855</v>
      </c>
      <c r="L86" s="217">
        <f t="shared" si="59"/>
        <v>-81078.425618540496</v>
      </c>
      <c r="M86" s="217"/>
      <c r="N86" s="218">
        <v>0</v>
      </c>
      <c r="O86" s="218">
        <v>0</v>
      </c>
      <c r="P86" s="218">
        <f t="shared" si="60"/>
        <v>0</v>
      </c>
      <c r="Q86" s="217">
        <f t="shared" ca="1" si="56"/>
        <v>-4415.6596871057736</v>
      </c>
      <c r="R86" s="222">
        <f t="shared" ca="1" si="61"/>
        <v>-68351.352256658458</v>
      </c>
      <c r="S86" s="228" t="s">
        <v>266</v>
      </c>
      <c r="T86" s="225">
        <f t="shared" ca="1" si="62"/>
        <v>-68351.352256658458</v>
      </c>
      <c r="V86" s="224">
        <f t="shared" ca="1" si="63"/>
        <v>-63935.692569552688</v>
      </c>
      <c r="W86" s="183" t="str">
        <f t="shared" si="64"/>
        <v>S.069</v>
      </c>
    </row>
    <row r="87" spans="1:23" ht="17.25" customHeight="1">
      <c r="A87" s="230" t="s">
        <v>434</v>
      </c>
      <c r="B87" s="192" t="s">
        <v>191</v>
      </c>
      <c r="C87" s="226" t="str">
        <f t="shared" ca="1" si="49"/>
        <v>Linwood - South Shreveport 138 KV Kine Rebuild</v>
      </c>
      <c r="D87" s="216">
        <f t="shared" ca="1" si="49"/>
        <v>2018</v>
      </c>
      <c r="E87" s="217">
        <v>0</v>
      </c>
      <c r="F87" s="218">
        <f t="shared" ca="1" si="49"/>
        <v>0</v>
      </c>
      <c r="G87" s="218">
        <f t="shared" ca="1" si="58"/>
        <v>0</v>
      </c>
      <c r="H87" s="219"/>
      <c r="I87" s="220">
        <f t="shared" ca="1" si="57"/>
        <v>35706.112049174146</v>
      </c>
      <c r="J87" s="221">
        <v>630950.6246437314</v>
      </c>
      <c r="K87" s="221">
        <f t="shared" si="55"/>
        <v>684636.75787739363</v>
      </c>
      <c r="L87" s="217">
        <f t="shared" si="59"/>
        <v>-53686.133233662229</v>
      </c>
      <c r="M87" s="217"/>
      <c r="N87" s="218">
        <v>0</v>
      </c>
      <c r="O87" s="218">
        <v>0</v>
      </c>
      <c r="P87" s="218">
        <f t="shared" si="60"/>
        <v>0</v>
      </c>
      <c r="Q87" s="217">
        <f t="shared" ca="1" si="56"/>
        <v>-1241.7735935414032</v>
      </c>
      <c r="R87" s="222">
        <f t="shared" ca="1" si="61"/>
        <v>-19221.794778029485</v>
      </c>
      <c r="S87" s="228" t="s">
        <v>266</v>
      </c>
      <c r="T87" s="225">
        <f t="shared" ca="1" si="62"/>
        <v>-19221.794778029485</v>
      </c>
      <c r="V87" s="224">
        <f t="shared" ca="1" si="63"/>
        <v>-17980.021184488083</v>
      </c>
      <c r="W87" s="183" t="str">
        <f t="shared" si="64"/>
        <v>S.070</v>
      </c>
    </row>
    <row r="88" spans="1:23" ht="17.25" customHeight="1">
      <c r="A88" s="230" t="s">
        <v>435</v>
      </c>
      <c r="B88" s="192" t="s">
        <v>191</v>
      </c>
      <c r="C88" s="226" t="str">
        <f t="shared" ca="1" si="49"/>
        <v>IPC 138 KV Capacitor Bank Addition</v>
      </c>
      <c r="D88" s="216">
        <f t="shared" ca="1" si="49"/>
        <v>2018</v>
      </c>
      <c r="E88" s="217">
        <v>0</v>
      </c>
      <c r="F88" s="218">
        <f t="shared" ca="1" si="49"/>
        <v>0</v>
      </c>
      <c r="G88" s="218">
        <f t="shared" ca="1" si="58"/>
        <v>0</v>
      </c>
      <c r="H88" s="219"/>
      <c r="I88" s="220">
        <f t="shared" ca="1" si="57"/>
        <v>13516.031625778793</v>
      </c>
      <c r="J88" s="221">
        <v>219882.68648936495</v>
      </c>
      <c r="K88" s="221">
        <f t="shared" si="55"/>
        <v>238591.99707814385</v>
      </c>
      <c r="L88" s="217">
        <f t="shared" si="59"/>
        <v>-18709.310588778899</v>
      </c>
      <c r="M88" s="217"/>
      <c r="N88" s="218">
        <v>0</v>
      </c>
      <c r="O88" s="218">
        <v>0</v>
      </c>
      <c r="P88" s="218">
        <f t="shared" si="60"/>
        <v>0</v>
      </c>
      <c r="Q88" s="217">
        <f t="shared" ca="1" si="56"/>
        <v>-358.66902569120759</v>
      </c>
      <c r="R88" s="222">
        <f t="shared" ca="1" si="61"/>
        <v>-5551.9479886913141</v>
      </c>
      <c r="S88" s="228" t="s">
        <v>266</v>
      </c>
      <c r="T88" s="225">
        <f t="shared" ca="1" si="62"/>
        <v>-5551.9479886913141</v>
      </c>
      <c r="V88" s="224">
        <f t="shared" ca="1" si="63"/>
        <v>-5193.2789630001062</v>
      </c>
      <c r="W88" s="183" t="str">
        <f t="shared" si="64"/>
        <v>S.071</v>
      </c>
    </row>
    <row r="89" spans="1:23" ht="17.25" customHeight="1">
      <c r="A89" s="230" t="s">
        <v>458</v>
      </c>
      <c r="B89" s="192" t="s">
        <v>191</v>
      </c>
      <c r="C89" s="226" t="str">
        <f t="shared" ca="1" si="49"/>
        <v>Ellerbe Road - Lucas 69 kV Rebuild</v>
      </c>
      <c r="D89" s="216">
        <f t="shared" ca="1" si="49"/>
        <v>2019</v>
      </c>
      <c r="E89" s="217">
        <v>0</v>
      </c>
      <c r="F89" s="218">
        <f t="shared" ca="1" si="49"/>
        <v>0</v>
      </c>
      <c r="G89" s="218">
        <f t="shared" ca="1" si="58"/>
        <v>0</v>
      </c>
      <c r="H89" s="219"/>
      <c r="I89" s="220">
        <f t="shared" ca="1" si="57"/>
        <v>236165.94976535754</v>
      </c>
      <c r="J89" s="221">
        <v>998426.09511782171</v>
      </c>
      <c r="K89" s="221">
        <f t="shared" ref="K89:K91" si="65">J89/J$93*K$93</f>
        <v>1083379.8684764372</v>
      </c>
      <c r="L89" s="217">
        <f t="shared" si="59"/>
        <v>-84953.773358615465</v>
      </c>
      <c r="M89" s="217"/>
      <c r="N89" s="218">
        <v>0</v>
      </c>
      <c r="O89" s="218">
        <v>0</v>
      </c>
      <c r="P89" s="218">
        <f t="shared" si="60"/>
        <v>0</v>
      </c>
      <c r="Q89" s="217">
        <f t="shared" ref="Q89:Q91" ca="1" si="66">+V89/$V$93 * $Q$93</f>
        <v>10443.329613305057</v>
      </c>
      <c r="R89" s="222">
        <f t="shared" ca="1" si="61"/>
        <v>161655.50602004712</v>
      </c>
      <c r="S89" s="228" t="s">
        <v>266</v>
      </c>
      <c r="T89" s="225">
        <f t="shared" ca="1" si="62"/>
        <v>161655.50602004712</v>
      </c>
      <c r="V89" s="224">
        <f t="shared" ca="1" si="63"/>
        <v>151212.17640674207</v>
      </c>
      <c r="W89" s="183" t="str">
        <f t="shared" si="64"/>
        <v>S.072</v>
      </c>
    </row>
    <row r="90" spans="1:23" ht="17.25" customHeight="1">
      <c r="A90" s="230" t="s">
        <v>457</v>
      </c>
      <c r="B90" s="192" t="s">
        <v>191</v>
      </c>
      <c r="C90" s="226" t="str">
        <f t="shared" ca="1" si="49"/>
        <v>Siloam Springs - Siloam Springs City 161 kV Rebuild</v>
      </c>
      <c r="D90" s="216">
        <f t="shared" ca="1" si="49"/>
        <v>2019</v>
      </c>
      <c r="E90" s="217">
        <v>0</v>
      </c>
      <c r="F90" s="218">
        <f t="shared" ca="1" si="49"/>
        <v>0</v>
      </c>
      <c r="G90" s="218">
        <f t="shared" ca="1" si="58"/>
        <v>0</v>
      </c>
      <c r="H90" s="219"/>
      <c r="I90" s="220">
        <f t="shared" ca="1" si="57"/>
        <v>12114.354311025876</v>
      </c>
      <c r="J90" s="221">
        <v>484092.97891210701</v>
      </c>
      <c r="K90" s="221">
        <f t="shared" si="65"/>
        <v>525283.33382780361</v>
      </c>
      <c r="L90" s="217">
        <f t="shared" si="59"/>
        <v>-41190.354915696604</v>
      </c>
      <c r="M90" s="217"/>
      <c r="N90" s="218">
        <v>0</v>
      </c>
      <c r="O90" s="218">
        <v>0</v>
      </c>
      <c r="P90" s="218">
        <f t="shared" si="60"/>
        <v>0</v>
      </c>
      <c r="Q90" s="217">
        <f t="shared" ca="1" si="66"/>
        <v>-2008.1071866491222</v>
      </c>
      <c r="R90" s="222">
        <f t="shared" ca="1" si="61"/>
        <v>-31084.10779131985</v>
      </c>
      <c r="S90" s="228" t="s">
        <v>266</v>
      </c>
      <c r="T90" s="225">
        <f t="shared" ca="1" si="62"/>
        <v>-31084.10779131985</v>
      </c>
      <c r="V90" s="224">
        <f t="shared" ca="1" si="63"/>
        <v>-29076.000604670728</v>
      </c>
      <c r="W90" s="183" t="str">
        <f t="shared" si="64"/>
        <v>S.073</v>
      </c>
    </row>
    <row r="91" spans="1:23" ht="13">
      <c r="A91" s="230" t="s">
        <v>463</v>
      </c>
      <c r="B91" s="192" t="s">
        <v>191</v>
      </c>
      <c r="C91" s="226" t="str">
        <f t="shared" ca="1" si="49"/>
        <v>Figure Five - VBI North 69 kV Rebuild</v>
      </c>
      <c r="D91" s="216">
        <f t="shared" ca="1" si="49"/>
        <v>2019</v>
      </c>
      <c r="E91" s="217">
        <v>0</v>
      </c>
      <c r="F91" s="218">
        <f t="shared" ca="1" si="49"/>
        <v>0</v>
      </c>
      <c r="G91" s="218">
        <f t="shared" ca="1" si="58"/>
        <v>0</v>
      </c>
      <c r="H91" s="231"/>
      <c r="I91" s="220">
        <f t="shared" ca="1" si="57"/>
        <v>133699.63434435116</v>
      </c>
      <c r="J91" s="221">
        <v>240163.83980112415</v>
      </c>
      <c r="K91" s="221">
        <f t="shared" si="65"/>
        <v>260598.82694255281</v>
      </c>
      <c r="L91" s="217">
        <f t="shared" si="59"/>
        <v>-20434.987141428661</v>
      </c>
      <c r="M91" s="231"/>
      <c r="N91" s="218">
        <v>0</v>
      </c>
      <c r="O91" s="218">
        <v>0</v>
      </c>
      <c r="P91" s="218">
        <f t="shared" si="60"/>
        <v>0</v>
      </c>
      <c r="Q91" s="217">
        <f t="shared" ca="1" si="66"/>
        <v>7822.5184795507676</v>
      </c>
      <c r="R91" s="222">
        <f t="shared" ca="1" si="61"/>
        <v>121087.16568247326</v>
      </c>
      <c r="S91" s="231"/>
      <c r="T91" s="225">
        <f t="shared" ca="1" si="62"/>
        <v>121087.16568247326</v>
      </c>
      <c r="U91" s="233"/>
      <c r="V91" s="224">
        <f t="shared" ca="1" si="63"/>
        <v>113264.6472029225</v>
      </c>
      <c r="W91" s="183" t="str">
        <f t="shared" si="64"/>
        <v>S.074</v>
      </c>
    </row>
    <row r="92" spans="1:23" ht="13">
      <c r="A92" s="194"/>
      <c r="B92" s="194"/>
      <c r="C92" s="194"/>
      <c r="D92" s="192"/>
      <c r="E92" s="231"/>
      <c r="F92" s="231"/>
      <c r="G92" s="231"/>
      <c r="H92" s="222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22"/>
      <c r="T92" s="232"/>
      <c r="V92" s="213"/>
    </row>
    <row r="93" spans="1:23" ht="13">
      <c r="A93" s="194"/>
      <c r="B93" s="194"/>
      <c r="C93" s="214" t="s">
        <v>247</v>
      </c>
      <c r="D93" s="192"/>
      <c r="E93" s="222">
        <f>SUM(E18:E91)</f>
        <v>0</v>
      </c>
      <c r="F93" s="222">
        <f ca="1">SUM(F18:F91)</f>
        <v>0</v>
      </c>
      <c r="G93" s="222">
        <f ca="1">SUM(G18:G91)</f>
        <v>0</v>
      </c>
      <c r="H93" s="222"/>
      <c r="I93" s="222">
        <f ca="1">ROUND(SUM(I18:I91),0)</f>
        <v>4094412</v>
      </c>
      <c r="J93" s="222">
        <f>SUM(J18:J91)</f>
        <v>62205970.013104461</v>
      </c>
      <c r="K93" s="222">
        <v>67498932.510666668</v>
      </c>
      <c r="L93" s="222">
        <f>SUM(L18:L91)</f>
        <v>-5292962.4975622082</v>
      </c>
      <c r="M93" s="222"/>
      <c r="N93" s="222">
        <f>SUM(N18:N91)</f>
        <v>0</v>
      </c>
      <c r="O93" s="222">
        <f>SUM(O18:O91)</f>
        <v>0</v>
      </c>
      <c r="P93" s="222">
        <f>SUM(P18:P91)</f>
        <v>0</v>
      </c>
      <c r="Q93" s="221">
        <v>-82776.817053428618</v>
      </c>
      <c r="R93" s="222">
        <f ca="1">SUM(R18:R91)</f>
        <v>-1281327.7702594707</v>
      </c>
      <c r="S93" s="222"/>
      <c r="T93" s="234">
        <f ca="1">SUM(T18:T91)</f>
        <v>-1281327.7702594707</v>
      </c>
      <c r="V93" s="235">
        <f ca="1">SUM(V18:V91)</f>
        <v>-1198550.9532060421</v>
      </c>
      <c r="W93" s="236" t="s">
        <v>372</v>
      </c>
    </row>
    <row r="94" spans="1:23" ht="13.5" thickBot="1">
      <c r="A94" s="194"/>
      <c r="B94" s="194"/>
      <c r="C94" s="237"/>
      <c r="D94" s="194"/>
      <c r="E94" s="238"/>
      <c r="F94" s="222"/>
      <c r="G94" s="222"/>
      <c r="H94" s="194"/>
      <c r="I94" s="239" t="str">
        <f ca="1">IF(I93='SWE.WS.G.BPU.ATRR.True-up'!N19,"","Error")</f>
        <v/>
      </c>
      <c r="J94" s="238"/>
      <c r="K94" s="240" t="str">
        <f>IF(K93=SUM(K18:K91),"","Error -- check allocations above).")</f>
        <v/>
      </c>
      <c r="L94" s="241"/>
      <c r="M94" s="241"/>
      <c r="N94" s="241"/>
      <c r="O94" s="241"/>
      <c r="P94" s="241"/>
      <c r="Q94" s="240" t="str">
        <f ca="1">IF(ROUND(Q93,0)=ROUND(SUM(Q18:Q91),0),"","Error -- check allocations above).")</f>
        <v/>
      </c>
      <c r="R94" s="222"/>
      <c r="S94" s="222"/>
      <c r="T94" s="222"/>
      <c r="V94" s="242"/>
      <c r="W94" s="236"/>
    </row>
    <row r="95" spans="1:23" ht="12.5">
      <c r="A95" s="194"/>
      <c r="B95" s="194"/>
      <c r="C95" s="243" t="s">
        <v>267</v>
      </c>
      <c r="D95" s="194"/>
      <c r="E95" s="222"/>
      <c r="F95" s="222"/>
      <c r="G95" s="222"/>
      <c r="H95" s="194"/>
      <c r="I95" s="244"/>
      <c r="J95" s="244"/>
      <c r="K95" s="241"/>
      <c r="L95" s="194"/>
      <c r="M95" s="194"/>
      <c r="N95" s="241"/>
      <c r="O95" s="241"/>
      <c r="P95" s="241"/>
      <c r="Q95" s="241"/>
      <c r="R95" s="222"/>
      <c r="S95" s="222"/>
      <c r="T95" s="222"/>
    </row>
    <row r="96" spans="1:23" ht="12.5">
      <c r="A96" s="194"/>
      <c r="B96" s="194"/>
      <c r="C96" s="243"/>
      <c r="D96" s="194"/>
      <c r="E96" s="222"/>
      <c r="F96" s="222"/>
      <c r="G96" s="222"/>
      <c r="H96" s="194"/>
      <c r="I96" s="245"/>
      <c r="J96" s="245"/>
      <c r="K96" s="221"/>
      <c r="L96" s="194"/>
      <c r="M96" s="194"/>
      <c r="N96" s="241"/>
      <c r="O96" s="241"/>
      <c r="P96" s="241"/>
      <c r="Q96" s="246"/>
      <c r="R96" s="241"/>
      <c r="S96" s="194"/>
      <c r="T96" s="194"/>
    </row>
    <row r="97" spans="1:22" ht="12.5">
      <c r="E97" s="247"/>
      <c r="F97" s="247"/>
      <c r="G97" s="247"/>
      <c r="I97" s="247"/>
      <c r="K97" s="247"/>
      <c r="N97" s="248"/>
      <c r="O97" s="248"/>
      <c r="P97" s="248"/>
      <c r="Q97" s="248"/>
      <c r="R97" s="248"/>
    </row>
    <row r="98" spans="1:22" ht="12.5">
      <c r="E98" s="247"/>
      <c r="F98" s="247"/>
      <c r="G98" s="247"/>
      <c r="K98" s="249"/>
      <c r="V98" s="183" t="s">
        <v>221</v>
      </c>
    </row>
    <row r="99" spans="1:22" ht="12.5">
      <c r="A99" s="250" t="s">
        <v>188</v>
      </c>
      <c r="B99" s="251"/>
      <c r="C99" s="251"/>
      <c r="D99" s="251"/>
      <c r="E99" s="252"/>
      <c r="F99" s="252"/>
      <c r="G99" s="252"/>
      <c r="H99" s="251"/>
      <c r="I99" s="251"/>
      <c r="J99" s="251"/>
      <c r="K99" s="251"/>
      <c r="L99" s="251"/>
      <c r="M99" s="251"/>
      <c r="N99" s="251"/>
      <c r="O99" s="253"/>
      <c r="V99" s="183" t="s">
        <v>222</v>
      </c>
    </row>
    <row r="100" spans="1:22" ht="15.5">
      <c r="A100" s="254" t="s">
        <v>213</v>
      </c>
      <c r="B100" s="233"/>
      <c r="C100" s="255" t="str">
        <f ca="1">RIGHT(CELL("address",S.001!D7),4)</f>
        <v>$D$7</v>
      </c>
      <c r="D100" s="255" t="str">
        <f ca="1">RIGHT(CELL("address",S.001!D11),4)</f>
        <v>D$11</v>
      </c>
      <c r="E100" s="255" t="str">
        <f ca="1">RIGHT(CELL("address",S.001!N5),4)</f>
        <v>$N$5</v>
      </c>
      <c r="F100" s="255" t="str">
        <f ca="1">RIGHT(CELL("address",S.001!N7),4)</f>
        <v>$N$7</v>
      </c>
      <c r="G100" s="233"/>
      <c r="H100" s="256"/>
      <c r="I100" s="255" t="str">
        <f ca="1">RIGHT(CELL("address",S.001!M89),4)</f>
        <v>M$89</v>
      </c>
      <c r="J100" s="255"/>
      <c r="K100" s="233"/>
      <c r="L100" s="233"/>
      <c r="M100" s="233"/>
      <c r="N100" s="255" t="str">
        <f ca="1">RIGHT(CELL("address",S.001!N87),4)</f>
        <v>N$87</v>
      </c>
      <c r="O100" s="257" t="str">
        <f ca="1">RIGHT(CELL("address",S.001!N88),4)</f>
        <v>N$88</v>
      </c>
      <c r="P100" s="212" t="s">
        <v>189</v>
      </c>
      <c r="V100" s="183" t="s">
        <v>223</v>
      </c>
    </row>
    <row r="101" spans="1:22" ht="12.5">
      <c r="A101" s="258" t="s">
        <v>214</v>
      </c>
      <c r="B101" s="259"/>
      <c r="C101" s="259"/>
      <c r="D101" s="259"/>
      <c r="E101" s="260"/>
      <c r="F101" s="260"/>
      <c r="G101" s="260"/>
      <c r="H101" s="259"/>
      <c r="I101" s="259"/>
      <c r="J101" s="259"/>
      <c r="K101" s="259"/>
      <c r="L101" s="259"/>
      <c r="M101" s="259"/>
      <c r="N101" s="259"/>
      <c r="O101" s="261"/>
      <c r="V101" s="183" t="s">
        <v>224</v>
      </c>
    </row>
    <row r="102" spans="1:22" ht="12.5">
      <c r="E102" s="247"/>
      <c r="F102" s="247"/>
      <c r="G102" s="247"/>
      <c r="V102" s="262" t="s">
        <v>269</v>
      </c>
    </row>
    <row r="105" spans="1:22" ht="12.75" customHeight="1">
      <c r="E105" s="195"/>
      <c r="F105" s="195"/>
      <c r="G105" s="195"/>
      <c r="H105" s="195"/>
      <c r="I105" s="263"/>
      <c r="J105" s="263"/>
    </row>
    <row r="106" spans="1:22" ht="12.75" customHeight="1">
      <c r="K106" s="183" t="s">
        <v>478</v>
      </c>
    </row>
    <row r="107" spans="1:22" ht="12.75" customHeight="1">
      <c r="E107" s="264"/>
      <c r="F107" s="264"/>
      <c r="G107" s="249"/>
      <c r="H107" s="249"/>
      <c r="I107" s="265"/>
      <c r="J107" s="266"/>
    </row>
    <row r="108" spans="1:22" ht="12.75" customHeight="1">
      <c r="E108" s="264"/>
      <c r="F108" s="264"/>
      <c r="G108" s="249"/>
      <c r="H108" s="249"/>
      <c r="I108" s="265"/>
      <c r="J108" s="266"/>
    </row>
    <row r="109" spans="1:22" ht="12.75" customHeight="1">
      <c r="E109" s="264"/>
      <c r="F109" s="264"/>
      <c r="G109" s="249"/>
      <c r="H109" s="249"/>
      <c r="I109" s="265"/>
      <c r="J109" s="266"/>
    </row>
    <row r="110" spans="1:22" ht="12.75" customHeight="1">
      <c r="E110" s="264"/>
      <c r="F110" s="264"/>
      <c r="G110" s="249"/>
      <c r="H110" s="249"/>
      <c r="I110" s="265"/>
      <c r="J110" s="266"/>
    </row>
    <row r="111" spans="1:22" ht="12.75" customHeight="1">
      <c r="E111" s="264"/>
      <c r="F111" s="264"/>
      <c r="G111" s="249"/>
      <c r="H111" s="249"/>
      <c r="I111" s="265"/>
      <c r="J111" s="266"/>
    </row>
    <row r="112" spans="1:22" ht="12.75" customHeight="1">
      <c r="E112" s="264"/>
      <c r="F112" s="264"/>
      <c r="G112" s="249"/>
      <c r="H112" s="249"/>
      <c r="I112" s="265"/>
      <c r="J112" s="266"/>
    </row>
    <row r="113" spans="5:10" ht="12.75" customHeight="1">
      <c r="E113" s="264"/>
      <c r="F113" s="264"/>
      <c r="G113" s="249"/>
      <c r="H113" s="249"/>
      <c r="I113" s="265"/>
      <c r="J113" s="266"/>
    </row>
    <row r="114" spans="5:10" ht="12.75" customHeight="1">
      <c r="E114" s="264"/>
      <c r="F114" s="264"/>
      <c r="G114" s="249"/>
      <c r="H114" s="249"/>
      <c r="I114" s="265"/>
      <c r="J114" s="266"/>
    </row>
    <row r="115" spans="5:10" ht="12.75" customHeight="1">
      <c r="E115" s="264"/>
      <c r="F115" s="264"/>
      <c r="G115" s="249"/>
      <c r="H115" s="249"/>
      <c r="I115" s="265"/>
      <c r="J115" s="266"/>
    </row>
    <row r="116" spans="5:10" ht="12.75" customHeight="1">
      <c r="E116" s="264"/>
      <c r="F116" s="264"/>
      <c r="G116" s="249"/>
      <c r="H116" s="249"/>
      <c r="I116" s="265"/>
      <c r="J116" s="266"/>
    </row>
    <row r="117" spans="5:10" ht="12.75" customHeight="1">
      <c r="E117" s="264"/>
      <c r="F117" s="264"/>
      <c r="G117" s="249"/>
      <c r="H117" s="249"/>
      <c r="I117" s="265"/>
      <c r="J117" s="266"/>
    </row>
    <row r="118" spans="5:10" ht="12.75" customHeight="1">
      <c r="E118" s="264"/>
      <c r="F118" s="264"/>
      <c r="G118" s="249"/>
      <c r="H118" s="249"/>
      <c r="I118" s="265"/>
      <c r="J118" s="266"/>
    </row>
    <row r="119" spans="5:10" ht="12.75" customHeight="1">
      <c r="E119" s="264"/>
      <c r="F119" s="264"/>
      <c r="G119" s="249"/>
      <c r="H119" s="249"/>
      <c r="I119" s="265"/>
      <c r="J119" s="266"/>
    </row>
    <row r="120" spans="5:10" ht="12.75" customHeight="1">
      <c r="E120" s="264"/>
      <c r="F120" s="264"/>
      <c r="G120" s="249"/>
      <c r="H120" s="249"/>
      <c r="I120" s="265"/>
      <c r="J120" s="266"/>
    </row>
    <row r="121" spans="5:10" ht="12.75" customHeight="1">
      <c r="E121" s="264"/>
      <c r="F121" s="264"/>
      <c r="G121" s="249"/>
      <c r="H121" s="249"/>
      <c r="I121" s="265"/>
      <c r="J121" s="266"/>
    </row>
    <row r="122" spans="5:10" ht="12.75" customHeight="1">
      <c r="E122" s="264"/>
      <c r="F122" s="264"/>
      <c r="G122" s="249"/>
      <c r="H122" s="249"/>
      <c r="I122" s="265"/>
      <c r="J122" s="266"/>
    </row>
    <row r="123" spans="5:10" ht="12.75" customHeight="1">
      <c r="E123" s="264"/>
      <c r="F123" s="264"/>
      <c r="G123" s="249"/>
      <c r="H123" s="249"/>
      <c r="I123" s="265"/>
      <c r="J123" s="266"/>
    </row>
    <row r="124" spans="5:10" ht="12.75" customHeight="1">
      <c r="E124" s="264"/>
      <c r="F124" s="264"/>
      <c r="G124" s="249"/>
      <c r="H124" s="249"/>
      <c r="I124" s="265"/>
      <c r="J124" s="266"/>
    </row>
    <row r="125" spans="5:10" ht="12.75" customHeight="1">
      <c r="E125" s="264"/>
      <c r="F125" s="264"/>
      <c r="G125" s="249"/>
      <c r="H125" s="249"/>
      <c r="I125" s="265"/>
      <c r="J125" s="266"/>
    </row>
    <row r="126" spans="5:10" ht="12.75" customHeight="1">
      <c r="E126" s="264"/>
      <c r="F126" s="264"/>
      <c r="G126" s="249"/>
      <c r="H126" s="249"/>
      <c r="I126" s="265"/>
      <c r="J126" s="266"/>
    </row>
    <row r="127" spans="5:10" ht="12.75" customHeight="1">
      <c r="E127" s="264"/>
      <c r="F127" s="264"/>
      <c r="G127" s="249"/>
      <c r="H127" s="249"/>
      <c r="I127" s="265"/>
      <c r="J127" s="266"/>
    </row>
    <row r="128" spans="5:10" ht="12.75" customHeight="1">
      <c r="E128" s="264"/>
      <c r="F128" s="264"/>
      <c r="G128" s="249"/>
      <c r="H128" s="249"/>
      <c r="I128" s="265"/>
      <c r="J128" s="266"/>
    </row>
    <row r="129" spans="5:10" ht="12.75" customHeight="1">
      <c r="E129" s="264"/>
      <c r="F129" s="264"/>
      <c r="G129" s="249"/>
      <c r="H129" s="249"/>
      <c r="I129" s="265"/>
      <c r="J129" s="266"/>
    </row>
    <row r="130" spans="5:10" ht="12.75" customHeight="1">
      <c r="E130" s="264"/>
      <c r="F130" s="264"/>
      <c r="G130" s="249"/>
      <c r="H130" s="249"/>
      <c r="I130" s="265"/>
      <c r="J130" s="266"/>
    </row>
    <row r="131" spans="5:10" ht="12.75" customHeight="1">
      <c r="E131" s="264"/>
      <c r="F131" s="264"/>
      <c r="G131" s="249"/>
      <c r="H131" s="249"/>
      <c r="I131" s="265"/>
      <c r="J131" s="266"/>
    </row>
    <row r="132" spans="5:10" ht="12.75" customHeight="1">
      <c r="E132" s="264"/>
      <c r="F132" s="264"/>
      <c r="G132" s="249"/>
      <c r="H132" s="249"/>
      <c r="I132" s="265"/>
      <c r="J132" s="266"/>
    </row>
    <row r="133" spans="5:10" ht="12.75" customHeight="1">
      <c r="E133" s="264"/>
      <c r="F133" s="264"/>
      <c r="G133" s="249"/>
      <c r="H133" s="249"/>
      <c r="I133" s="265"/>
      <c r="J133" s="266"/>
    </row>
    <row r="134" spans="5:10" ht="12.75" customHeight="1">
      <c r="E134" s="264"/>
      <c r="F134" s="264"/>
      <c r="G134" s="249"/>
      <c r="H134" s="249"/>
      <c r="I134" s="265"/>
      <c r="J134" s="266"/>
    </row>
    <row r="135" spans="5:10" ht="12.75" customHeight="1">
      <c r="E135" s="264"/>
      <c r="F135" s="264"/>
      <c r="G135" s="249"/>
      <c r="H135" s="249"/>
      <c r="I135" s="265"/>
      <c r="J135" s="266"/>
    </row>
    <row r="136" spans="5:10" ht="12.75" customHeight="1">
      <c r="E136" s="264"/>
      <c r="F136" s="264"/>
      <c r="G136" s="249"/>
      <c r="H136" s="249"/>
      <c r="I136" s="265"/>
      <c r="J136" s="266"/>
    </row>
    <row r="137" spans="5:10" ht="12.75" customHeight="1">
      <c r="E137" s="264"/>
      <c r="F137" s="264"/>
      <c r="G137" s="249"/>
      <c r="H137" s="249"/>
      <c r="I137" s="265"/>
      <c r="J137" s="266"/>
    </row>
    <row r="138" spans="5:10" ht="12.75" customHeight="1">
      <c r="E138" s="264"/>
      <c r="F138" s="264"/>
      <c r="G138" s="249"/>
      <c r="H138" s="249"/>
      <c r="I138" s="265"/>
      <c r="J138" s="266"/>
    </row>
    <row r="139" spans="5:10" ht="12.75" customHeight="1">
      <c r="E139" s="264"/>
      <c r="F139" s="264"/>
      <c r="G139" s="249"/>
      <c r="H139" s="249"/>
      <c r="I139" s="265"/>
      <c r="J139" s="266"/>
    </row>
    <row r="140" spans="5:10" ht="12.75" customHeight="1">
      <c r="E140" s="264"/>
      <c r="F140" s="264"/>
      <c r="G140" s="249"/>
      <c r="H140" s="249"/>
      <c r="I140" s="265"/>
      <c r="J140" s="266"/>
    </row>
    <row r="141" spans="5:10" ht="12.75" customHeight="1">
      <c r="E141" s="264"/>
      <c r="F141" s="264"/>
      <c r="G141" s="249"/>
      <c r="H141" s="249"/>
      <c r="I141" s="265"/>
      <c r="J141" s="266"/>
    </row>
    <row r="142" spans="5:10" ht="12.75" customHeight="1">
      <c r="E142" s="264"/>
      <c r="F142" s="264"/>
      <c r="G142" s="249"/>
      <c r="H142" s="249"/>
      <c r="I142" s="265"/>
      <c r="J142" s="266"/>
    </row>
    <row r="143" spans="5:10" ht="12.75" customHeight="1">
      <c r="E143" s="264"/>
      <c r="F143" s="264"/>
      <c r="G143" s="249"/>
      <c r="H143" s="249"/>
      <c r="I143" s="265"/>
      <c r="J143" s="266"/>
    </row>
    <row r="144" spans="5:10" ht="12.75" customHeight="1">
      <c r="E144" s="264"/>
      <c r="F144" s="264"/>
      <c r="G144" s="249"/>
      <c r="H144" s="249"/>
      <c r="I144" s="265"/>
      <c r="J144" s="266"/>
    </row>
    <row r="145" spans="5:10" ht="12.75" customHeight="1">
      <c r="E145" s="264"/>
      <c r="F145" s="264"/>
      <c r="G145" s="249"/>
      <c r="H145" s="249"/>
      <c r="I145" s="265"/>
      <c r="J145" s="266"/>
    </row>
    <row r="146" spans="5:10" ht="12.75" customHeight="1">
      <c r="E146" s="264"/>
      <c r="F146" s="264"/>
      <c r="G146" s="249"/>
      <c r="H146" s="249"/>
      <c r="I146" s="265"/>
      <c r="J146" s="266"/>
    </row>
    <row r="147" spans="5:10" ht="12.75" customHeight="1">
      <c r="E147" s="264"/>
      <c r="F147" s="264"/>
      <c r="G147" s="249"/>
      <c r="H147" s="249"/>
      <c r="I147" s="265"/>
      <c r="J147" s="266"/>
    </row>
    <row r="148" spans="5:10" ht="12.75" customHeight="1">
      <c r="E148" s="264"/>
      <c r="F148" s="264"/>
      <c r="G148" s="249"/>
      <c r="H148" s="249"/>
      <c r="I148" s="265"/>
      <c r="J148" s="266"/>
    </row>
    <row r="149" spans="5:10" ht="12.75" customHeight="1">
      <c r="E149" s="264"/>
      <c r="F149" s="264"/>
      <c r="G149" s="249"/>
      <c r="H149" s="249"/>
      <c r="I149" s="265"/>
      <c r="J149" s="266"/>
    </row>
    <row r="150" spans="5:10" ht="12.75" customHeight="1">
      <c r="E150" s="264"/>
      <c r="F150" s="264"/>
      <c r="G150" s="249"/>
      <c r="H150" s="249"/>
      <c r="I150" s="265"/>
      <c r="J150" s="266"/>
    </row>
    <row r="151" spans="5:10" ht="12.75" customHeight="1">
      <c r="E151" s="264"/>
      <c r="F151" s="264"/>
      <c r="G151" s="249"/>
      <c r="H151" s="249"/>
      <c r="I151" s="265"/>
      <c r="J151" s="266"/>
    </row>
    <row r="152" spans="5:10" ht="12.75" customHeight="1">
      <c r="E152" s="264"/>
      <c r="F152" s="264"/>
      <c r="G152" s="249"/>
      <c r="H152" s="249"/>
      <c r="I152" s="265"/>
      <c r="J152" s="266"/>
    </row>
    <row r="153" spans="5:10" ht="12.75" customHeight="1">
      <c r="E153" s="264"/>
      <c r="F153" s="264"/>
      <c r="G153" s="249"/>
      <c r="H153" s="249"/>
      <c r="I153" s="265"/>
      <c r="J153" s="266"/>
    </row>
    <row r="154" spans="5:10" ht="12.75" customHeight="1">
      <c r="E154" s="264"/>
      <c r="F154" s="264"/>
      <c r="G154" s="249"/>
      <c r="H154" s="249"/>
      <c r="I154" s="265"/>
      <c r="J154" s="266"/>
    </row>
    <row r="155" spans="5:10" ht="12.75" customHeight="1">
      <c r="E155" s="264"/>
      <c r="F155" s="264"/>
      <c r="G155" s="249"/>
      <c r="H155" s="249"/>
      <c r="I155" s="265"/>
      <c r="J155" s="266"/>
    </row>
    <row r="156" spans="5:10" ht="12.75" customHeight="1">
      <c r="E156" s="264"/>
      <c r="F156" s="264"/>
      <c r="G156" s="249"/>
      <c r="H156" s="249"/>
      <c r="I156" s="265"/>
      <c r="J156" s="266"/>
    </row>
    <row r="157" spans="5:10" ht="12.75" customHeight="1">
      <c r="E157" s="264"/>
      <c r="F157" s="264"/>
      <c r="G157" s="249"/>
      <c r="H157" s="249"/>
      <c r="I157" s="265"/>
      <c r="J157" s="266"/>
    </row>
    <row r="158" spans="5:10" ht="12.75" customHeight="1">
      <c r="E158" s="264"/>
      <c r="F158" s="264"/>
      <c r="G158" s="249"/>
      <c r="H158" s="249"/>
      <c r="I158" s="265"/>
      <c r="J158" s="266"/>
    </row>
    <row r="159" spans="5:10" ht="12.75" customHeight="1">
      <c r="E159" s="264"/>
      <c r="F159" s="264"/>
      <c r="G159" s="249"/>
      <c r="H159" s="249"/>
      <c r="I159" s="265"/>
      <c r="J159" s="266"/>
    </row>
    <row r="160" spans="5:10" ht="12.75" customHeight="1">
      <c r="E160" s="264"/>
      <c r="F160" s="264"/>
      <c r="G160" s="249"/>
      <c r="H160" s="249"/>
      <c r="I160" s="265"/>
      <c r="J160" s="266"/>
    </row>
    <row r="161" spans="5:10" ht="12.75" customHeight="1">
      <c r="E161" s="264"/>
      <c r="F161" s="264"/>
      <c r="G161" s="249"/>
      <c r="H161" s="249"/>
      <c r="I161" s="265"/>
      <c r="J161" s="266"/>
    </row>
    <row r="162" spans="5:10" ht="12.75" customHeight="1">
      <c r="E162" s="264"/>
      <c r="F162" s="264"/>
      <c r="G162" s="249"/>
      <c r="H162" s="249"/>
      <c r="I162" s="265"/>
      <c r="J162" s="266"/>
    </row>
    <row r="163" spans="5:10" ht="12.75" customHeight="1">
      <c r="E163" s="264"/>
      <c r="F163" s="264"/>
      <c r="G163" s="249"/>
      <c r="H163" s="249"/>
      <c r="I163" s="265"/>
      <c r="J163" s="266"/>
    </row>
    <row r="164" spans="5:10" ht="12.75" customHeight="1">
      <c r="E164" s="264"/>
      <c r="F164" s="264"/>
      <c r="G164" s="249"/>
      <c r="H164" s="249"/>
      <c r="I164" s="265"/>
      <c r="J164" s="266"/>
    </row>
    <row r="165" spans="5:10" ht="12.75" customHeight="1">
      <c r="E165" s="264"/>
      <c r="F165" s="264"/>
      <c r="G165" s="249"/>
      <c r="H165" s="249"/>
      <c r="I165" s="265"/>
      <c r="J165" s="266"/>
    </row>
    <row r="166" spans="5:10" ht="12.75" customHeight="1">
      <c r="E166" s="264"/>
      <c r="F166" s="264"/>
      <c r="G166" s="249"/>
      <c r="H166" s="249"/>
      <c r="I166" s="265"/>
      <c r="J166" s="266"/>
    </row>
    <row r="167" spans="5:10" ht="12.75" customHeight="1">
      <c r="E167" s="264"/>
      <c r="F167" s="264"/>
      <c r="G167" s="249"/>
      <c r="H167" s="249"/>
      <c r="I167" s="265"/>
      <c r="J167" s="266"/>
    </row>
    <row r="168" spans="5:10" ht="12.75" customHeight="1">
      <c r="E168" s="264"/>
      <c r="F168" s="264"/>
      <c r="G168" s="249"/>
      <c r="H168" s="249"/>
      <c r="I168" s="265"/>
      <c r="J168" s="266"/>
    </row>
    <row r="169" spans="5:10" ht="12.75" customHeight="1">
      <c r="E169" s="264"/>
      <c r="F169" s="264"/>
      <c r="G169" s="249"/>
      <c r="H169" s="249"/>
      <c r="I169" s="265"/>
      <c r="J169" s="266"/>
    </row>
    <row r="170" spans="5:10" ht="12.75" customHeight="1">
      <c r="E170" s="264"/>
      <c r="F170" s="264"/>
      <c r="G170" s="249"/>
      <c r="H170" s="249"/>
      <c r="I170" s="265"/>
      <c r="J170" s="266"/>
    </row>
    <row r="171" spans="5:10" ht="12.75" customHeight="1">
      <c r="E171" s="264"/>
      <c r="F171" s="264"/>
      <c r="G171" s="249"/>
      <c r="H171" s="249"/>
      <c r="I171" s="265"/>
      <c r="J171" s="266"/>
    </row>
    <row r="172" spans="5:10" ht="12.75" customHeight="1">
      <c r="E172" s="264"/>
      <c r="F172" s="264"/>
      <c r="G172" s="249"/>
      <c r="H172" s="249"/>
      <c r="I172" s="265"/>
      <c r="J172" s="266"/>
    </row>
    <row r="173" spans="5:10" ht="12.75" customHeight="1">
      <c r="E173" s="264"/>
      <c r="F173" s="264"/>
      <c r="G173" s="249"/>
      <c r="H173" s="249"/>
      <c r="I173" s="265"/>
      <c r="J173" s="266"/>
    </row>
    <row r="174" spans="5:10" ht="12.75" customHeight="1">
      <c r="E174" s="264"/>
      <c r="F174" s="264"/>
      <c r="G174" s="249"/>
      <c r="H174" s="249"/>
      <c r="I174" s="265"/>
      <c r="J174" s="266"/>
    </row>
    <row r="175" spans="5:10" ht="12.75" customHeight="1">
      <c r="E175" s="264"/>
      <c r="F175" s="264"/>
      <c r="G175" s="249"/>
      <c r="H175" s="249"/>
      <c r="I175" s="265"/>
      <c r="J175" s="266"/>
    </row>
    <row r="176" spans="5:10" ht="12.75" customHeight="1">
      <c r="E176" s="264"/>
      <c r="F176" s="264"/>
      <c r="G176" s="249"/>
      <c r="H176" s="249"/>
      <c r="I176" s="265"/>
      <c r="J176" s="266"/>
    </row>
    <row r="177" spans="5:10" ht="12.75" customHeight="1">
      <c r="E177" s="264"/>
      <c r="F177" s="264"/>
      <c r="G177" s="249"/>
      <c r="H177" s="249"/>
      <c r="I177" s="265"/>
      <c r="J177" s="266"/>
    </row>
    <row r="178" spans="5:10" ht="12.75" customHeight="1">
      <c r="E178" s="249"/>
      <c r="F178" s="249"/>
      <c r="H178" s="249"/>
      <c r="I178" s="249"/>
      <c r="J178" s="249"/>
    </row>
    <row r="179" spans="5:10" ht="12.75" customHeight="1">
      <c r="E179" s="249"/>
      <c r="F179" s="249"/>
      <c r="G179" s="249"/>
      <c r="H179" s="249"/>
      <c r="I179" s="249"/>
      <c r="J179" s="249"/>
    </row>
  </sheetData>
  <mergeCells count="2">
    <mergeCell ref="E13:G13"/>
    <mergeCell ref="T14:T16"/>
  </mergeCells>
  <phoneticPr fontId="62" type="noConversion"/>
  <pageMargins left="0.25" right="0.25" top="1" bottom="1" header="0.65" footer="0.5"/>
  <pageSetup scale="52" fitToHeight="0" orientation="landscape" horizontalDpi="1200" verticalDpi="1200" r:id="rId1"/>
  <headerFooter alignWithMargins="0">
    <oddHeader xml:space="preserve">&amp;R&amp;16AEP - SPP Formula Rate
Schedule 11 Revenue Requirements
Southwestern Electric Power Company
Page: &amp;P of &amp;N
</oddHeader>
    <oddFooter>&amp;L&amp;A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5">
    <tabColor indexed="16"/>
  </sheetPr>
  <dimension ref="A1:Q162"/>
  <sheetViews>
    <sheetView view="pageBreakPreview" topLeftCell="A91" zoomScale="80" zoomScaleNormal="100" zoomScaleSheetLayoutView="80" workbookViewId="0">
      <selection activeCell="L109" sqref="L109:N109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7 of 74</v>
      </c>
      <c r="Q1" s="594" t="s">
        <v>165</v>
      </c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7714.1850577819459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7714.1850577819459</v>
      </c>
      <c r="O6" s="269"/>
      <c r="P6" s="269"/>
    </row>
    <row r="7" spans="1:17" ht="13.5" thickBot="1">
      <c r="C7" s="467" t="s">
        <v>48</v>
      </c>
      <c r="D7" s="468" t="s">
        <v>234</v>
      </c>
      <c r="E7" s="269"/>
      <c r="F7" s="269"/>
      <c r="G7" s="269"/>
      <c r="H7" s="595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146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77750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1851.1904761904761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64397</v>
      </c>
      <c r="E17" s="509">
        <v>1015</v>
      </c>
      <c r="F17" s="508">
        <v>63382</v>
      </c>
      <c r="G17" s="509">
        <v>0</v>
      </c>
      <c r="H17" s="510">
        <v>0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81941</v>
      </c>
      <c r="E18" s="516">
        <v>2183</v>
      </c>
      <c r="F18" s="515">
        <v>79757</v>
      </c>
      <c r="G18" s="516">
        <v>13649</v>
      </c>
      <c r="H18" s="510">
        <v>13649</v>
      </c>
      <c r="I18" s="517">
        <v>0</v>
      </c>
      <c r="J18" s="511"/>
      <c r="K18" s="518">
        <f t="shared" ref="K18:K23" si="4">G18</f>
        <v>13649</v>
      </c>
      <c r="L18" s="519">
        <f t="shared" si="1"/>
        <v>0</v>
      </c>
      <c r="M18" s="518">
        <f t="shared" ref="M18:M23" si="5">H18</f>
        <v>13649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74552</v>
      </c>
      <c r="E19" s="516">
        <v>1896.3414634146341</v>
      </c>
      <c r="F19" s="515">
        <v>72655.658536585368</v>
      </c>
      <c r="G19" s="516">
        <v>13244.587478742107</v>
      </c>
      <c r="H19" s="510">
        <v>13244.587478742107</v>
      </c>
      <c r="I19" s="517">
        <v>0</v>
      </c>
      <c r="J19" s="511"/>
      <c r="K19" s="518">
        <f t="shared" si="4"/>
        <v>13244.587478742107</v>
      </c>
      <c r="L19" s="519">
        <f t="shared" si="1"/>
        <v>0</v>
      </c>
      <c r="M19" s="518">
        <f t="shared" si="5"/>
        <v>13244.587478742107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72655.658536585368</v>
      </c>
      <c r="E20" s="516">
        <v>1851.1904761904761</v>
      </c>
      <c r="F20" s="515">
        <v>70804.468060394895</v>
      </c>
      <c r="G20" s="516">
        <v>12381.24088352887</v>
      </c>
      <c r="H20" s="510">
        <v>12381.24088352887</v>
      </c>
      <c r="I20" s="517">
        <v>0</v>
      </c>
      <c r="J20" s="511"/>
      <c r="K20" s="518">
        <f t="shared" si="4"/>
        <v>12381.24088352887</v>
      </c>
      <c r="L20" s="519">
        <f t="shared" si="1"/>
        <v>0</v>
      </c>
      <c r="M20" s="518">
        <f t="shared" si="5"/>
        <v>12381.24088352887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70804.468060394895</v>
      </c>
      <c r="E21" s="516">
        <v>1851.1904761904761</v>
      </c>
      <c r="F21" s="515">
        <v>68953.277584204421</v>
      </c>
      <c r="G21" s="516">
        <v>11503.75860476607</v>
      </c>
      <c r="H21" s="510">
        <v>11503.75860476607</v>
      </c>
      <c r="I21" s="596">
        <v>0</v>
      </c>
      <c r="J21" s="511"/>
      <c r="K21" s="518">
        <f t="shared" si="4"/>
        <v>11503.75860476607</v>
      </c>
      <c r="L21" s="519">
        <f t="shared" ref="L21:L26" si="7">IF(K21&lt;&gt;0,+G21-K21,0)</f>
        <v>0</v>
      </c>
      <c r="M21" s="518">
        <f t="shared" si="5"/>
        <v>11503.75860476607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68953.277584204421</v>
      </c>
      <c r="E22" s="516">
        <v>1851.1904761904761</v>
      </c>
      <c r="F22" s="515">
        <v>67102.087108013948</v>
      </c>
      <c r="G22" s="516">
        <v>10903.96715256805</v>
      </c>
      <c r="H22" s="510">
        <v>10903.96715256805</v>
      </c>
      <c r="I22" s="596">
        <v>0</v>
      </c>
      <c r="J22" s="511"/>
      <c r="K22" s="518">
        <f t="shared" si="4"/>
        <v>10903.96715256805</v>
      </c>
      <c r="L22" s="519">
        <f t="shared" si="7"/>
        <v>0</v>
      </c>
      <c r="M22" s="518">
        <f t="shared" si="5"/>
        <v>10903.96715256805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67102.087108013948</v>
      </c>
      <c r="E23" s="516">
        <v>1851.1904761904761</v>
      </c>
      <c r="F23" s="515">
        <v>65250.896631823474</v>
      </c>
      <c r="G23" s="516">
        <v>10445.046830532348</v>
      </c>
      <c r="H23" s="510">
        <v>10445.046830532348</v>
      </c>
      <c r="I23" s="511">
        <v>0</v>
      </c>
      <c r="J23" s="511"/>
      <c r="K23" s="518">
        <f t="shared" si="4"/>
        <v>10445.046830532348</v>
      </c>
      <c r="L23" s="519">
        <f t="shared" si="7"/>
        <v>0</v>
      </c>
      <c r="M23" s="518">
        <f t="shared" si="5"/>
        <v>10445.046830532348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2016</v>
      </c>
      <c r="D24" s="515">
        <v>65250.896631823474</v>
      </c>
      <c r="E24" s="516">
        <v>1851.1904761904761</v>
      </c>
      <c r="F24" s="515">
        <v>63399.706155633001</v>
      </c>
      <c r="G24" s="516">
        <v>10098.222669121984</v>
      </c>
      <c r="H24" s="510">
        <v>10098.222669121984</v>
      </c>
      <c r="I24" s="511">
        <f t="shared" si="0"/>
        <v>0</v>
      </c>
      <c r="J24" s="511"/>
      <c r="K24" s="518">
        <f>G24</f>
        <v>10098.222669121984</v>
      </c>
      <c r="L24" s="519">
        <f t="shared" si="7"/>
        <v>0</v>
      </c>
      <c r="M24" s="518">
        <f>H24</f>
        <v>10098.222669121984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63399.706155633001</v>
      </c>
      <c r="E25" s="516">
        <v>1808.1395348837209</v>
      </c>
      <c r="F25" s="515">
        <v>61591.566620749283</v>
      </c>
      <c r="G25" s="516">
        <v>9550.8822669869332</v>
      </c>
      <c r="H25" s="510">
        <v>9550.8822669869332</v>
      </c>
      <c r="I25" s="511">
        <f t="shared" si="0"/>
        <v>0</v>
      </c>
      <c r="J25" s="511"/>
      <c r="K25" s="518">
        <f>G25</f>
        <v>9550.8822669869332</v>
      </c>
      <c r="L25" s="519">
        <f t="shared" si="7"/>
        <v>0</v>
      </c>
      <c r="M25" s="518">
        <f>H25</f>
        <v>9550.8822669869332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61591.566620749283</v>
      </c>
      <c r="E26" s="516">
        <v>1896.3414634146341</v>
      </c>
      <c r="F26" s="515">
        <v>59695.225157334651</v>
      </c>
      <c r="G26" s="516">
        <v>9603.7592198821312</v>
      </c>
      <c r="H26" s="510">
        <v>9603.7592198821312</v>
      </c>
      <c r="I26" s="511">
        <f t="shared" si="0"/>
        <v>0</v>
      </c>
      <c r="J26" s="511"/>
      <c r="K26" s="518">
        <f>G26</f>
        <v>9603.7592198821312</v>
      </c>
      <c r="L26" s="519">
        <f t="shared" si="7"/>
        <v>0</v>
      </c>
      <c r="M26" s="518">
        <f>H26</f>
        <v>9603.7592198821312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59695.225157334651</v>
      </c>
      <c r="E27" s="516">
        <v>1896.3414634146341</v>
      </c>
      <c r="F27" s="515">
        <v>57798.883693920019</v>
      </c>
      <c r="G27" s="516">
        <v>9362.7454103291529</v>
      </c>
      <c r="H27" s="510">
        <v>9362.7454103291529</v>
      </c>
      <c r="I27" s="511">
        <f t="shared" si="0"/>
        <v>0</v>
      </c>
      <c r="J27" s="511"/>
      <c r="K27" s="518">
        <f>G27</f>
        <v>9362.7454103291529</v>
      </c>
      <c r="L27" s="519">
        <f t="shared" ref="L27" si="10">IF(K27&lt;&gt;0,+G27-K27,0)</f>
        <v>0</v>
      </c>
      <c r="M27" s="518">
        <f>H27</f>
        <v>9362.7454103291529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57798.883693920019</v>
      </c>
      <c r="E28" s="516">
        <v>1896.3414634146341</v>
      </c>
      <c r="F28" s="515">
        <v>55902.542230505387</v>
      </c>
      <c r="G28" s="516">
        <v>7714.1850577819459</v>
      </c>
      <c r="H28" s="510">
        <v>7714.1850577819459</v>
      </c>
      <c r="I28" s="511">
        <f t="shared" si="0"/>
        <v>0</v>
      </c>
      <c r="J28" s="511"/>
      <c r="K28" s="518">
        <f>G28</f>
        <v>7714.1850577819459</v>
      </c>
      <c r="L28" s="519">
        <f t="shared" ref="L28" si="11">IF(K28&lt;&gt;0,+G28-K28,0)</f>
        <v>0</v>
      </c>
      <c r="M28" s="518">
        <f>H28</f>
        <v>7714.1850577819459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2021</v>
      </c>
      <c r="D29" s="523">
        <f>IF(F28+SUM(E$17:E28)=D$10,F28,D$10-SUM(E$17:E28))</f>
        <v>55902.542230505387</v>
      </c>
      <c r="E29" s="522">
        <f>IF(+I14&lt;F28,I14,D29)</f>
        <v>1851.1904761904761</v>
      </c>
      <c r="F29" s="523">
        <f t="shared" ref="F29:F48" si="12">+D29-E29</f>
        <v>54051.351754314914</v>
      </c>
      <c r="G29" s="524">
        <f t="shared" ref="G29:G72" si="13">+I$12*((D29+F29)/2)+E29</f>
        <v>7723.7165574582232</v>
      </c>
      <c r="H29" s="491">
        <f t="shared" ref="H29:H72" si="14">+I$13*((D29+F29)/2)+E29</f>
        <v>7723.7165574582232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/>
      </c>
      <c r="C30" s="507">
        <f>IF(D11="","-",+C29+1)</f>
        <v>2022</v>
      </c>
      <c r="D30" s="523">
        <f>IF(F29+SUM(E$17:E29)=D$10,F29,D$10-SUM(E$17:E29))</f>
        <v>54051.351754314914</v>
      </c>
      <c r="E30" s="522">
        <f>IF(+I14&lt;F29,I14,D30)</f>
        <v>1851.1904761904761</v>
      </c>
      <c r="F30" s="523">
        <f t="shared" si="12"/>
        <v>52200.16127812444</v>
      </c>
      <c r="G30" s="524">
        <f t="shared" si="13"/>
        <v>7525.9761417468189</v>
      </c>
      <c r="H30" s="491">
        <f t="shared" si="14"/>
        <v>7525.9761417468189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52200.16127812444</v>
      </c>
      <c r="E31" s="522">
        <f>IF(+I14&lt;F30,I14,D31)</f>
        <v>1851.1904761904761</v>
      </c>
      <c r="F31" s="523">
        <f t="shared" si="12"/>
        <v>50348.970801933967</v>
      </c>
      <c r="G31" s="524">
        <f t="shared" si="13"/>
        <v>7328.2357260354147</v>
      </c>
      <c r="H31" s="491">
        <f t="shared" si="14"/>
        <v>7328.2357260354147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50348.970801933967</v>
      </c>
      <c r="E32" s="522">
        <f>IF(+I14&lt;F31,I14,D32)</f>
        <v>1851.1904761904761</v>
      </c>
      <c r="F32" s="523">
        <f t="shared" si="12"/>
        <v>48497.780325743493</v>
      </c>
      <c r="G32" s="524">
        <f t="shared" si="13"/>
        <v>7130.4953103240105</v>
      </c>
      <c r="H32" s="491">
        <f t="shared" si="14"/>
        <v>7130.4953103240105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48497.780325743493</v>
      </c>
      <c r="E33" s="522">
        <f>IF(+I14&lt;F32,I14,D33)</f>
        <v>1851.1904761904761</v>
      </c>
      <c r="F33" s="523">
        <f t="shared" si="12"/>
        <v>46646.58984955302</v>
      </c>
      <c r="G33" s="524">
        <f t="shared" si="13"/>
        <v>6932.7548946126062</v>
      </c>
      <c r="H33" s="491">
        <f t="shared" si="14"/>
        <v>6932.7548946126062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46646.589849552969</v>
      </c>
      <c r="E34" s="522">
        <f>IF(+I14&lt;F33,I14,D34)</f>
        <v>1851.1904761904761</v>
      </c>
      <c r="F34" s="523">
        <f t="shared" si="12"/>
        <v>44795.399373362496</v>
      </c>
      <c r="G34" s="524">
        <f t="shared" si="13"/>
        <v>6735.0144789011974</v>
      </c>
      <c r="H34" s="491">
        <f t="shared" si="14"/>
        <v>6735.0144789011974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44795.399373362496</v>
      </c>
      <c r="E35" s="522">
        <f>IF(+I14&lt;F34,I14,D35)</f>
        <v>1851.1904761904761</v>
      </c>
      <c r="F35" s="523">
        <f t="shared" si="12"/>
        <v>42944.208897172022</v>
      </c>
      <c r="G35" s="524">
        <f t="shared" si="13"/>
        <v>6537.2740631897932</v>
      </c>
      <c r="H35" s="491">
        <f t="shared" si="14"/>
        <v>6537.2740631897932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42944.208897172022</v>
      </c>
      <c r="E36" s="522">
        <f>IF(+I14&lt;F35,I14,D36)</f>
        <v>1851.1904761904761</v>
      </c>
      <c r="F36" s="523">
        <f t="shared" si="12"/>
        <v>41093.018420981549</v>
      </c>
      <c r="G36" s="524">
        <f t="shared" si="13"/>
        <v>6339.533647478389</v>
      </c>
      <c r="H36" s="491">
        <f t="shared" si="14"/>
        <v>6339.533647478389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41093.018420981549</v>
      </c>
      <c r="E37" s="522">
        <f>IF(+I14&lt;F36,I14,D37)</f>
        <v>1851.1904761904761</v>
      </c>
      <c r="F37" s="523">
        <f t="shared" si="12"/>
        <v>39241.827944791075</v>
      </c>
      <c r="G37" s="524">
        <f t="shared" si="13"/>
        <v>6141.7932317669847</v>
      </c>
      <c r="H37" s="491">
        <f t="shared" si="14"/>
        <v>6141.7932317669847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39241.827944791075</v>
      </c>
      <c r="E38" s="522">
        <f>IF(+I14&lt;F37,I14,D38)</f>
        <v>1851.1904761904761</v>
      </c>
      <c r="F38" s="523">
        <f t="shared" si="12"/>
        <v>37390.637468600602</v>
      </c>
      <c r="G38" s="524">
        <f t="shared" si="13"/>
        <v>5944.0528160555805</v>
      </c>
      <c r="H38" s="491">
        <f t="shared" si="14"/>
        <v>5944.0528160555805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37390.637468600602</v>
      </c>
      <c r="E39" s="522">
        <f>IF(+I14&lt;F38,I14,D39)</f>
        <v>1851.1904761904761</v>
      </c>
      <c r="F39" s="523">
        <f t="shared" si="12"/>
        <v>35539.446992410129</v>
      </c>
      <c r="G39" s="524">
        <f t="shared" si="13"/>
        <v>5746.3124003441762</v>
      </c>
      <c r="H39" s="491">
        <f t="shared" si="14"/>
        <v>5746.3124003441762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35539.446992410129</v>
      </c>
      <c r="E40" s="522">
        <f>IF(+I14&lt;F39,I14,D40)</f>
        <v>1851.1904761904761</v>
      </c>
      <c r="F40" s="523">
        <f t="shared" si="12"/>
        <v>33688.256516219655</v>
      </c>
      <c r="G40" s="524">
        <f t="shared" si="13"/>
        <v>5548.571984632772</v>
      </c>
      <c r="H40" s="491">
        <f t="shared" si="14"/>
        <v>5548.571984632772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33688.256516219655</v>
      </c>
      <c r="E41" s="522">
        <f>IF(+I14&lt;F40,I14,D41)</f>
        <v>1851.1904761904761</v>
      </c>
      <c r="F41" s="523">
        <f t="shared" si="12"/>
        <v>31837.066040029178</v>
      </c>
      <c r="G41" s="524">
        <f t="shared" si="13"/>
        <v>5350.8315689213678</v>
      </c>
      <c r="H41" s="491">
        <f t="shared" si="14"/>
        <v>5350.8315689213678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31837.066040029178</v>
      </c>
      <c r="E42" s="522">
        <f>IF(+I14&lt;F41,I14,D42)</f>
        <v>1851.1904761904761</v>
      </c>
      <c r="F42" s="523">
        <f t="shared" si="12"/>
        <v>29985.875563838701</v>
      </c>
      <c r="G42" s="524">
        <f t="shared" si="13"/>
        <v>5153.0911532099626</v>
      </c>
      <c r="H42" s="491">
        <f t="shared" si="14"/>
        <v>5153.0911532099626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29985.875563838701</v>
      </c>
      <c r="E43" s="522">
        <f>IF(+I14&lt;F42,I14,D43)</f>
        <v>1851.1904761904761</v>
      </c>
      <c r="F43" s="523">
        <f t="shared" si="12"/>
        <v>28134.685087648224</v>
      </c>
      <c r="G43" s="524">
        <f t="shared" si="13"/>
        <v>4955.3507374985584</v>
      </c>
      <c r="H43" s="491">
        <f t="shared" si="14"/>
        <v>4955.3507374985584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28134.685087648224</v>
      </c>
      <c r="E44" s="522">
        <f>IF(+I14&lt;F43,I14,D44)</f>
        <v>1851.1904761904761</v>
      </c>
      <c r="F44" s="523">
        <f t="shared" si="12"/>
        <v>26283.494611457747</v>
      </c>
      <c r="G44" s="524">
        <f t="shared" si="13"/>
        <v>4757.6103217871532</v>
      </c>
      <c r="H44" s="491">
        <f t="shared" si="14"/>
        <v>4757.6103217871532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26283.494611457747</v>
      </c>
      <c r="E45" s="522">
        <f>IF(+I14&lt;F44,I14,D45)</f>
        <v>1851.1904761904761</v>
      </c>
      <c r="F45" s="523">
        <f t="shared" si="12"/>
        <v>24432.30413526727</v>
      </c>
      <c r="G45" s="524">
        <f t="shared" si="13"/>
        <v>4559.8699060757499</v>
      </c>
      <c r="H45" s="491">
        <f t="shared" si="14"/>
        <v>4559.8699060757499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24432.30413526727</v>
      </c>
      <c r="E46" s="522">
        <f>IF(+I14&lt;F45,I14,D46)</f>
        <v>1851.1904761904761</v>
      </c>
      <c r="F46" s="523">
        <f t="shared" si="12"/>
        <v>22581.113659076793</v>
      </c>
      <c r="G46" s="524">
        <f t="shared" si="13"/>
        <v>4362.1294903643447</v>
      </c>
      <c r="H46" s="491">
        <f t="shared" si="14"/>
        <v>4362.1294903643447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22581.113659076793</v>
      </c>
      <c r="E47" s="522">
        <f>IF(+I14&lt;F46,I14,D47)</f>
        <v>1851.1904761904761</v>
      </c>
      <c r="F47" s="523">
        <f t="shared" si="12"/>
        <v>20729.923182886316</v>
      </c>
      <c r="G47" s="524">
        <f t="shared" si="13"/>
        <v>4164.3890746529396</v>
      </c>
      <c r="H47" s="491">
        <f t="shared" si="14"/>
        <v>4164.3890746529396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20729.923182886316</v>
      </c>
      <c r="E48" s="522">
        <f>IF(+I14&lt;F47,I14,D48)</f>
        <v>1851.1904761904761</v>
      </c>
      <c r="F48" s="523">
        <f t="shared" si="12"/>
        <v>18878.732706695839</v>
      </c>
      <c r="G48" s="524">
        <f t="shared" si="13"/>
        <v>3966.6486589415349</v>
      </c>
      <c r="H48" s="491">
        <f t="shared" si="14"/>
        <v>3966.6486589415349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18878.732706695839</v>
      </c>
      <c r="E49" s="522">
        <f>IF(+I14&lt;F48,I14,D49)</f>
        <v>1851.1904761904761</v>
      </c>
      <c r="F49" s="523">
        <f t="shared" ref="F49:F72" si="15">+D49-E49</f>
        <v>17027.542230505362</v>
      </c>
      <c r="G49" s="524">
        <f t="shared" si="13"/>
        <v>3768.9082432301311</v>
      </c>
      <c r="H49" s="491">
        <f t="shared" si="14"/>
        <v>3768.9082432301311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17027.542230505362</v>
      </c>
      <c r="E50" s="522">
        <f>IF(+I14&lt;F49,I14,D50)</f>
        <v>1851.1904761904761</v>
      </c>
      <c r="F50" s="523">
        <f t="shared" si="15"/>
        <v>15176.351754314885</v>
      </c>
      <c r="G50" s="524">
        <f t="shared" si="13"/>
        <v>3571.167827518726</v>
      </c>
      <c r="H50" s="491">
        <f t="shared" si="14"/>
        <v>3571.167827518726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15176.351754314885</v>
      </c>
      <c r="E51" s="522">
        <f>IF(+I14&lt;F50,I14,D51)</f>
        <v>1851.1904761904761</v>
      </c>
      <c r="F51" s="523">
        <f t="shared" si="15"/>
        <v>13325.161278124408</v>
      </c>
      <c r="G51" s="524">
        <f t="shared" si="13"/>
        <v>3373.4274118073217</v>
      </c>
      <c r="H51" s="491">
        <f t="shared" si="14"/>
        <v>3373.4274118073217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13325.161278124408</v>
      </c>
      <c r="E52" s="522">
        <f>IF(+I14&lt;F51,I14,D52)</f>
        <v>1851.1904761904761</v>
      </c>
      <c r="F52" s="523">
        <f t="shared" si="15"/>
        <v>11473.97080193393</v>
      </c>
      <c r="G52" s="524">
        <f t="shared" si="13"/>
        <v>3175.686996095917</v>
      </c>
      <c r="H52" s="491">
        <f t="shared" si="14"/>
        <v>3175.686996095917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11473.97080193393</v>
      </c>
      <c r="E53" s="522">
        <f>IF(+I14&lt;F52,I14,D53)</f>
        <v>1851.1904761904761</v>
      </c>
      <c r="F53" s="523">
        <f t="shared" si="15"/>
        <v>9622.7803257434534</v>
      </c>
      <c r="G53" s="524">
        <f t="shared" si="13"/>
        <v>2977.9465803845123</v>
      </c>
      <c r="H53" s="491">
        <f t="shared" si="14"/>
        <v>2977.9465803845123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9622.7803257434534</v>
      </c>
      <c r="E54" s="522">
        <f>IF(+I14&lt;F53,I14,D54)</f>
        <v>1851.1904761904761</v>
      </c>
      <c r="F54" s="523">
        <f t="shared" si="15"/>
        <v>7771.5898495529773</v>
      </c>
      <c r="G54" s="524">
        <f t="shared" si="13"/>
        <v>2780.2061646731077</v>
      </c>
      <c r="H54" s="491">
        <f t="shared" si="14"/>
        <v>2780.2061646731077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7771.5898495529773</v>
      </c>
      <c r="E55" s="522">
        <f>IF(+I14&lt;F54,I14,D55)</f>
        <v>1851.1904761904761</v>
      </c>
      <c r="F55" s="523">
        <f t="shared" si="15"/>
        <v>5920.3993733625011</v>
      </c>
      <c r="G55" s="524">
        <f t="shared" si="13"/>
        <v>2582.4657489617034</v>
      </c>
      <c r="H55" s="491">
        <f t="shared" si="14"/>
        <v>2582.4657489617034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6"/>
        <v>IU</v>
      </c>
      <c r="C56" s="507">
        <f>IF(D11="","-",+C55+1)</f>
        <v>2048</v>
      </c>
      <c r="D56" s="523">
        <f>IF(F55+SUM(E$17:E55)=D$10,F55,D$10-SUM(E$17:E55))</f>
        <v>5920.3993733625539</v>
      </c>
      <c r="E56" s="522">
        <f>IF(+I14&lt;F55,I14,D56)</f>
        <v>1851.1904761904761</v>
      </c>
      <c r="F56" s="523">
        <f t="shared" si="15"/>
        <v>4069.2088971720777</v>
      </c>
      <c r="G56" s="524">
        <f t="shared" si="13"/>
        <v>2384.7253332503042</v>
      </c>
      <c r="H56" s="491">
        <f t="shared" si="14"/>
        <v>2384.7253332503042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4069.2088971720777</v>
      </c>
      <c r="E57" s="522">
        <f>IF(+I14&lt;F56,I14,D57)</f>
        <v>1851.1904761904761</v>
      </c>
      <c r="F57" s="523">
        <f t="shared" si="15"/>
        <v>2218.0184209816016</v>
      </c>
      <c r="G57" s="524">
        <f t="shared" si="13"/>
        <v>2186.9849175388999</v>
      </c>
      <c r="H57" s="491">
        <f t="shared" si="14"/>
        <v>2186.9849175388999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582" t="str">
        <f t="shared" si="6"/>
        <v/>
      </c>
      <c r="C58" s="507">
        <f>IF(D11="","-",+C57+1)</f>
        <v>2050</v>
      </c>
      <c r="D58" s="523">
        <f>IF(F57+SUM(E$17:E57)=D$10,F57,D$10-SUM(E$17:E57))</f>
        <v>2218.0184209816016</v>
      </c>
      <c r="E58" s="522">
        <f>IF(+I14&lt;F57,I14,D58)</f>
        <v>1851.1904761904761</v>
      </c>
      <c r="F58" s="523">
        <f t="shared" si="15"/>
        <v>366.82794479112545</v>
      </c>
      <c r="G58" s="524">
        <f t="shared" si="13"/>
        <v>1989.2445018274955</v>
      </c>
      <c r="H58" s="491">
        <f t="shared" si="14"/>
        <v>1989.2445018274955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366.82794479112545</v>
      </c>
      <c r="E59" s="522">
        <f>IF(+I14&lt;F58,I14,D59)</f>
        <v>366.82794479112545</v>
      </c>
      <c r="F59" s="523">
        <f t="shared" si="15"/>
        <v>0</v>
      </c>
      <c r="G59" s="524">
        <f t="shared" si="13"/>
        <v>386.41985368178399</v>
      </c>
      <c r="H59" s="491">
        <f t="shared" si="14"/>
        <v>386.41985368178399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13"/>
        <v>0</v>
      </c>
      <c r="H60" s="491">
        <f t="shared" si="14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13"/>
        <v>0</v>
      </c>
      <c r="H61" s="491">
        <f t="shared" si="14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3"/>
        <v>0</v>
      </c>
      <c r="H62" s="491">
        <f t="shared" si="14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3"/>
        <v>0</v>
      </c>
      <c r="H63" s="491">
        <f t="shared" si="14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3"/>
        <v>0</v>
      </c>
      <c r="H64" s="491">
        <f t="shared" si="14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3"/>
        <v>0</v>
      </c>
      <c r="H65" s="491">
        <f t="shared" si="14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3"/>
        <v>0</v>
      </c>
      <c r="H66" s="491">
        <f t="shared" si="14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3"/>
        <v>0</v>
      </c>
      <c r="H67" s="491">
        <f t="shared" si="14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3"/>
        <v>0</v>
      </c>
      <c r="H68" s="491">
        <f t="shared" si="14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3"/>
        <v>0</v>
      </c>
      <c r="H69" s="491">
        <f t="shared" si="14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3"/>
        <v>0</v>
      </c>
      <c r="H70" s="491">
        <f t="shared" si="14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3"/>
        <v>0</v>
      </c>
      <c r="H71" s="491">
        <f t="shared" si="14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3"/>
        <v>0</v>
      </c>
      <c r="H72" s="471">
        <f t="shared" si="14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77749.999999999985</v>
      </c>
      <c r="F73" s="375"/>
      <c r="G73" s="375">
        <f>SUM(G17:G72)</f>
        <v>264538.2313172071</v>
      </c>
      <c r="H73" s="375">
        <f>SUM(H17:H72)</f>
        <v>264538.2313172071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7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7714.1850577819459</v>
      </c>
      <c r="N87" s="546">
        <f>IF(J92&lt;D11,0,VLOOKUP(J92,C17:O72,11))</f>
        <v>7714.1850577819459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8021.5664391453738</v>
      </c>
      <c r="N88" s="550">
        <f>IF(J92&lt;D11,0,VLOOKUP(J92,C99:P154,7))</f>
        <v>8021.5664391453738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Linwood 138 Station Switch Replacement*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307.38138136342786</v>
      </c>
      <c r="N89" s="555">
        <f>+N88-N87</f>
        <v>307.38138136342786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TP2008080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77750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1851.1904761904761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994</v>
      </c>
      <c r="F99" s="515">
        <v>63775</v>
      </c>
      <c r="G99" s="574">
        <v>318887</v>
      </c>
      <c r="H99" s="575">
        <v>5610</v>
      </c>
      <c r="I99" s="576">
        <v>5610</v>
      </c>
      <c r="J99" s="514">
        <f t="shared" ref="J99:J130" si="20">+I99-H99</f>
        <v>0</v>
      </c>
      <c r="K99" s="514"/>
      <c r="L99" s="512">
        <f t="shared" ref="L99:L104" si="21">H99</f>
        <v>5610</v>
      </c>
      <c r="M99" s="597">
        <f t="shared" ref="M99:M130" si="22">IF(L99&lt;&gt;0,+H99-L99,0)</f>
        <v>0</v>
      </c>
      <c r="N99" s="512">
        <f t="shared" ref="N99:N104" si="23">I99</f>
        <v>5610</v>
      </c>
      <c r="O99" s="513">
        <f t="shared" ref="O99:O130" si="24">IF(N99&lt;&gt;0,+I99-N99,0)</f>
        <v>0</v>
      </c>
      <c r="P99" s="513">
        <f t="shared" ref="P99:P130" si="25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76756</v>
      </c>
      <c r="E100" s="516">
        <v>1896.3414634146341</v>
      </c>
      <c r="F100" s="515">
        <v>74859.658536585368</v>
      </c>
      <c r="G100" s="515">
        <v>75807.829268292684</v>
      </c>
      <c r="H100" s="516">
        <v>14411.158990782849</v>
      </c>
      <c r="I100" s="510">
        <v>14411.158990782849</v>
      </c>
      <c r="J100" s="514">
        <f t="shared" si="20"/>
        <v>0</v>
      </c>
      <c r="K100" s="514"/>
      <c r="L100" s="518">
        <f t="shared" si="21"/>
        <v>14411.158990782849</v>
      </c>
      <c r="M100" s="519">
        <f t="shared" si="22"/>
        <v>0</v>
      </c>
      <c r="N100" s="518">
        <f t="shared" si="23"/>
        <v>14411.158990782849</v>
      </c>
      <c r="O100" s="514">
        <f t="shared" si="24"/>
        <v>0</v>
      </c>
      <c r="P100" s="514">
        <f t="shared" si="25"/>
        <v>0</v>
      </c>
      <c r="Q100" s="269"/>
    </row>
    <row r="101" spans="1:17" ht="12.5">
      <c r="B101" s="195" t="str">
        <f t="shared" ref="B101:B154" si="26">IF(D101=F100,"","IU")</f>
        <v/>
      </c>
      <c r="C101" s="507">
        <f>IF(D93="","-",+C100+1)</f>
        <v>2011</v>
      </c>
      <c r="D101" s="508">
        <v>74859.658536585368</v>
      </c>
      <c r="E101" s="520">
        <v>1851.1904761904761</v>
      </c>
      <c r="F101" s="515">
        <v>73008.468060394895</v>
      </c>
      <c r="G101" s="515">
        <v>73934.063298490131</v>
      </c>
      <c r="H101" s="516">
        <v>12969.387615340562</v>
      </c>
      <c r="I101" s="510">
        <v>12969.387615340562</v>
      </c>
      <c r="J101" s="514">
        <f t="shared" si="20"/>
        <v>0</v>
      </c>
      <c r="K101" s="514"/>
      <c r="L101" s="518">
        <f t="shared" si="21"/>
        <v>12969.387615340562</v>
      </c>
      <c r="M101" s="519">
        <f t="shared" si="22"/>
        <v>0</v>
      </c>
      <c r="N101" s="518">
        <f t="shared" si="23"/>
        <v>12969.387615340562</v>
      </c>
      <c r="O101" s="514">
        <f t="shared" si="24"/>
        <v>0</v>
      </c>
      <c r="P101" s="514">
        <f t="shared" si="25"/>
        <v>0</v>
      </c>
      <c r="Q101" s="269"/>
    </row>
    <row r="102" spans="1:17" ht="12.5">
      <c r="B102" s="195" t="str">
        <f t="shared" si="26"/>
        <v/>
      </c>
      <c r="C102" s="507">
        <f>IF(D93="","-",+C101+1)</f>
        <v>2012</v>
      </c>
      <c r="D102" s="508">
        <v>73008.468060394895</v>
      </c>
      <c r="E102" s="516">
        <v>1851.1904761904761</v>
      </c>
      <c r="F102" s="515">
        <v>71157.277584204421</v>
      </c>
      <c r="G102" s="515">
        <v>72082.872822299658</v>
      </c>
      <c r="H102" s="516">
        <v>12458.468627153823</v>
      </c>
      <c r="I102" s="510">
        <v>12458.468627153823</v>
      </c>
      <c r="J102" s="514">
        <f t="shared" si="20"/>
        <v>0</v>
      </c>
      <c r="K102" s="514"/>
      <c r="L102" s="518">
        <f t="shared" si="21"/>
        <v>12458.468627153823</v>
      </c>
      <c r="M102" s="519">
        <f t="shared" si="22"/>
        <v>0</v>
      </c>
      <c r="N102" s="518">
        <f t="shared" si="23"/>
        <v>12458.468627153823</v>
      </c>
      <c r="O102" s="514">
        <f t="shared" si="24"/>
        <v>0</v>
      </c>
      <c r="P102" s="514">
        <f t="shared" si="25"/>
        <v>0</v>
      </c>
      <c r="Q102" s="269"/>
    </row>
    <row r="103" spans="1:17" ht="12.5">
      <c r="B103" s="195" t="str">
        <f t="shared" si="26"/>
        <v/>
      </c>
      <c r="C103" s="507">
        <f>IF(D93="","-",+C102+1)</f>
        <v>2013</v>
      </c>
      <c r="D103" s="508">
        <v>71157.277584204421</v>
      </c>
      <c r="E103" s="516">
        <v>1851.1904761904761</v>
      </c>
      <c r="F103" s="515">
        <v>69306.087108013948</v>
      </c>
      <c r="G103" s="515">
        <v>70231.682346109184</v>
      </c>
      <c r="H103" s="516">
        <v>11352.954336851966</v>
      </c>
      <c r="I103" s="510">
        <v>11352.954336851966</v>
      </c>
      <c r="J103" s="514">
        <v>0</v>
      </c>
      <c r="K103" s="514"/>
      <c r="L103" s="518">
        <f t="shared" si="21"/>
        <v>11352.954336851966</v>
      </c>
      <c r="M103" s="519">
        <f t="shared" ref="M103:M108" si="27">IF(L103&lt;&gt;0,+H103-L103,0)</f>
        <v>0</v>
      </c>
      <c r="N103" s="518">
        <f t="shared" si="23"/>
        <v>11352.954336851966</v>
      </c>
      <c r="O103" s="514">
        <f t="shared" ref="O103:O108" si="28">IF(N103&lt;&gt;0,+I103-N103,0)</f>
        <v>0</v>
      </c>
      <c r="P103" s="514">
        <f t="shared" ref="P103:P108" si="29">+O103-M103</f>
        <v>0</v>
      </c>
      <c r="Q103" s="269"/>
    </row>
    <row r="104" spans="1:17" ht="12.5">
      <c r="B104" s="195" t="str">
        <f t="shared" si="26"/>
        <v/>
      </c>
      <c r="C104" s="507">
        <f>IF(D93="","-",+C103+1)</f>
        <v>2014</v>
      </c>
      <c r="D104" s="508">
        <v>69306.087108013948</v>
      </c>
      <c r="E104" s="516">
        <v>1851.1904761904761</v>
      </c>
      <c r="F104" s="515">
        <v>67454.896631823474</v>
      </c>
      <c r="G104" s="515">
        <v>68380.491869918711</v>
      </c>
      <c r="H104" s="516">
        <v>11145.703511546504</v>
      </c>
      <c r="I104" s="510">
        <v>11145.703511546504</v>
      </c>
      <c r="J104" s="514">
        <v>0</v>
      </c>
      <c r="K104" s="514"/>
      <c r="L104" s="518">
        <f t="shared" si="21"/>
        <v>11145.703511546504</v>
      </c>
      <c r="M104" s="519">
        <f t="shared" si="27"/>
        <v>0</v>
      </c>
      <c r="N104" s="518">
        <f t="shared" si="23"/>
        <v>11145.703511546504</v>
      </c>
      <c r="O104" s="514">
        <f t="shared" si="28"/>
        <v>0</v>
      </c>
      <c r="P104" s="514">
        <f t="shared" si="29"/>
        <v>0</v>
      </c>
      <c r="Q104" s="269"/>
    </row>
    <row r="105" spans="1:17" ht="12.5">
      <c r="B105" s="195" t="str">
        <f t="shared" si="26"/>
        <v/>
      </c>
      <c r="C105" s="507">
        <f>IF(D93="","-",+C104+1)</f>
        <v>2015</v>
      </c>
      <c r="D105" s="508">
        <v>67454.896631823474</v>
      </c>
      <c r="E105" s="516">
        <v>1851.1904761904761</v>
      </c>
      <c r="F105" s="515">
        <v>65603.706155633001</v>
      </c>
      <c r="G105" s="515">
        <v>66529.301393728238</v>
      </c>
      <c r="H105" s="516">
        <v>10617.681866649142</v>
      </c>
      <c r="I105" s="510">
        <v>10617.681866649142</v>
      </c>
      <c r="J105" s="514">
        <f t="shared" si="20"/>
        <v>0</v>
      </c>
      <c r="K105" s="514"/>
      <c r="L105" s="518">
        <f>H105</f>
        <v>10617.681866649142</v>
      </c>
      <c r="M105" s="519">
        <f t="shared" si="27"/>
        <v>0</v>
      </c>
      <c r="N105" s="518">
        <f>I105</f>
        <v>10617.681866649142</v>
      </c>
      <c r="O105" s="514">
        <f t="shared" si="28"/>
        <v>0</v>
      </c>
      <c r="P105" s="514">
        <f t="shared" si="29"/>
        <v>0</v>
      </c>
      <c r="Q105" s="269"/>
    </row>
    <row r="106" spans="1:17" ht="12.5">
      <c r="B106" s="195" t="str">
        <f t="shared" si="26"/>
        <v/>
      </c>
      <c r="C106" s="507">
        <f>IF(D93="","-",+C105+1)</f>
        <v>2016</v>
      </c>
      <c r="D106" s="508">
        <v>65603.706155633001</v>
      </c>
      <c r="E106" s="516">
        <v>1808.1395348837209</v>
      </c>
      <c r="F106" s="515">
        <v>63795.566620749283</v>
      </c>
      <c r="G106" s="515">
        <v>64699.636388191138</v>
      </c>
      <c r="H106" s="516">
        <v>10021.757616625862</v>
      </c>
      <c r="I106" s="510">
        <v>10021.757616625862</v>
      </c>
      <c r="J106" s="514">
        <f t="shared" si="20"/>
        <v>0</v>
      </c>
      <c r="K106" s="514"/>
      <c r="L106" s="518">
        <f>H106</f>
        <v>10021.757616625862</v>
      </c>
      <c r="M106" s="519">
        <f t="shared" si="27"/>
        <v>0</v>
      </c>
      <c r="N106" s="518">
        <f>I106</f>
        <v>10021.757616625862</v>
      </c>
      <c r="O106" s="514">
        <f t="shared" si="28"/>
        <v>0</v>
      </c>
      <c r="P106" s="514">
        <f t="shared" si="29"/>
        <v>0</v>
      </c>
      <c r="Q106" s="269"/>
    </row>
    <row r="107" spans="1:17" ht="12.5">
      <c r="B107" s="195" t="str">
        <f t="shared" si="26"/>
        <v/>
      </c>
      <c r="C107" s="507">
        <f>IF(D93="","-",+C106+1)</f>
        <v>2017</v>
      </c>
      <c r="D107" s="508">
        <v>63795.566620749283</v>
      </c>
      <c r="E107" s="516">
        <v>1851.1904761904761</v>
      </c>
      <c r="F107" s="515">
        <v>61944.37614455881</v>
      </c>
      <c r="G107" s="515">
        <v>62869.971382654046</v>
      </c>
      <c r="H107" s="516">
        <v>9488.0975445916993</v>
      </c>
      <c r="I107" s="510">
        <v>9488.0975445916993</v>
      </c>
      <c r="J107" s="514">
        <f t="shared" si="20"/>
        <v>0</v>
      </c>
      <c r="K107" s="514"/>
      <c r="L107" s="518">
        <f>H107</f>
        <v>9488.0975445916993</v>
      </c>
      <c r="M107" s="519">
        <f t="shared" si="27"/>
        <v>0</v>
      </c>
      <c r="N107" s="518">
        <f>I107</f>
        <v>9488.0975445916993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6"/>
        <v/>
      </c>
      <c r="C108" s="507">
        <f>IF(D93="","-",+C107+1)</f>
        <v>2018</v>
      </c>
      <c r="D108" s="508">
        <v>61944.37614455881</v>
      </c>
      <c r="E108" s="516">
        <v>1851.1904761904761</v>
      </c>
      <c r="F108" s="515">
        <v>60093.185668368336</v>
      </c>
      <c r="G108" s="515">
        <v>61018.780906463573</v>
      </c>
      <c r="H108" s="516">
        <v>8295.0535610460302</v>
      </c>
      <c r="I108" s="510">
        <v>8295.0535610460302</v>
      </c>
      <c r="J108" s="514">
        <f t="shared" si="20"/>
        <v>0</v>
      </c>
      <c r="K108" s="514"/>
      <c r="L108" s="518">
        <f>H108</f>
        <v>8295.0535610460302</v>
      </c>
      <c r="M108" s="519">
        <f t="shared" si="27"/>
        <v>0</v>
      </c>
      <c r="N108" s="518">
        <f>I108</f>
        <v>8295.0535610460302</v>
      </c>
      <c r="O108" s="514">
        <f t="shared" si="28"/>
        <v>0</v>
      </c>
      <c r="P108" s="514">
        <f t="shared" si="29"/>
        <v>0</v>
      </c>
      <c r="Q108" s="269"/>
    </row>
    <row r="109" spans="1:17" ht="12.5">
      <c r="B109" s="195" t="str">
        <f t="shared" si="26"/>
        <v/>
      </c>
      <c r="C109" s="507">
        <f>IF(D93="","-",+C108+1)</f>
        <v>2019</v>
      </c>
      <c r="D109" s="508">
        <v>60093.185668368336</v>
      </c>
      <c r="E109" s="516">
        <v>1808.1395348837209</v>
      </c>
      <c r="F109" s="515">
        <v>58285.046133484619</v>
      </c>
      <c r="G109" s="515">
        <v>59189.115900926481</v>
      </c>
      <c r="H109" s="516">
        <v>8143.7748502603245</v>
      </c>
      <c r="I109" s="510">
        <v>8143.7748502603245</v>
      </c>
      <c r="J109" s="514">
        <f t="shared" si="20"/>
        <v>0</v>
      </c>
      <c r="K109" s="514"/>
      <c r="L109" s="518">
        <f>H109</f>
        <v>8143.7748502603245</v>
      </c>
      <c r="M109" s="519">
        <f t="shared" ref="M109" si="30">IF(L109&lt;&gt;0,+H109-L109,0)</f>
        <v>0</v>
      </c>
      <c r="N109" s="518">
        <f>I109</f>
        <v>8143.7748502603245</v>
      </c>
      <c r="O109" s="514">
        <f t="shared" si="24"/>
        <v>0</v>
      </c>
      <c r="P109" s="514">
        <f t="shared" si="25"/>
        <v>0</v>
      </c>
      <c r="Q109" s="269"/>
    </row>
    <row r="110" spans="1:17" ht="12.5">
      <c r="B110" s="195" t="str">
        <f t="shared" si="26"/>
        <v/>
      </c>
      <c r="C110" s="507">
        <f>IF(D93="","-",+C109+1)</f>
        <v>2020</v>
      </c>
      <c r="D110" s="374">
        <f>IF(F109+SUM(E$99:E109)=D$92,F109,D$92-SUM(E$99:E109))</f>
        <v>58285.046133484619</v>
      </c>
      <c r="E110" s="522">
        <f>IF(+J96&lt;F109,J96,D110)</f>
        <v>1851.1904761904761</v>
      </c>
      <c r="F110" s="523">
        <f t="shared" ref="F110:F130" si="31">+D110-E110</f>
        <v>56433.855657294145</v>
      </c>
      <c r="G110" s="523">
        <f t="shared" ref="G110:G130" si="32">+(F110+D110)/2</f>
        <v>57359.450895389382</v>
      </c>
      <c r="H110" s="526">
        <f>+J$94*G110+E110</f>
        <v>8021.5664391453738</v>
      </c>
      <c r="I110" s="577">
        <f>+J$95*G110+E110</f>
        <v>8021.5664391453738</v>
      </c>
      <c r="J110" s="514">
        <f t="shared" si="20"/>
        <v>0</v>
      </c>
      <c r="K110" s="514"/>
      <c r="L110" s="525"/>
      <c r="M110" s="514">
        <f t="shared" si="22"/>
        <v>0</v>
      </c>
      <c r="N110" s="525"/>
      <c r="O110" s="514">
        <f t="shared" si="24"/>
        <v>0</v>
      </c>
      <c r="P110" s="514">
        <f t="shared" si="25"/>
        <v>0</v>
      </c>
      <c r="Q110" s="269"/>
    </row>
    <row r="111" spans="1:17" ht="12.5">
      <c r="B111" s="195" t="str">
        <f t="shared" si="26"/>
        <v/>
      </c>
      <c r="C111" s="507">
        <f>IF(D93="","-",+C110+1)</f>
        <v>2021</v>
      </c>
      <c r="D111" s="374">
        <f>IF(F110+SUM(E$99:E110)=D$92,F110,D$92-SUM(E$99:E110))</f>
        <v>56433.855657294145</v>
      </c>
      <c r="E111" s="522">
        <f>IF(+J96&lt;F110,J96,D111)</f>
        <v>1851.1904761904761</v>
      </c>
      <c r="F111" s="523">
        <f t="shared" si="31"/>
        <v>54582.665181103672</v>
      </c>
      <c r="G111" s="523">
        <f t="shared" si="32"/>
        <v>55508.260419198908</v>
      </c>
      <c r="H111" s="526">
        <f>+J$94*G111+E111</f>
        <v>7822.4267849326989</v>
      </c>
      <c r="I111" s="577">
        <f>+J$95*G111+E111</f>
        <v>7822.4267849326989</v>
      </c>
      <c r="J111" s="514">
        <f t="shared" si="20"/>
        <v>0</v>
      </c>
      <c r="K111" s="514"/>
      <c r="L111" s="525"/>
      <c r="M111" s="514">
        <f t="shared" si="22"/>
        <v>0</v>
      </c>
      <c r="N111" s="525"/>
      <c r="O111" s="514">
        <f t="shared" si="24"/>
        <v>0</v>
      </c>
      <c r="P111" s="514">
        <f t="shared" si="25"/>
        <v>0</v>
      </c>
      <c r="Q111" s="269"/>
    </row>
    <row r="112" spans="1:17" ht="12.5">
      <c r="B112" s="195" t="str">
        <f t="shared" si="26"/>
        <v/>
      </c>
      <c r="C112" s="507">
        <f>IF(D93="","-",+C111+1)</f>
        <v>2022</v>
      </c>
      <c r="D112" s="374">
        <f>IF(F111+SUM(E$99:E111)=D$92,F111,D$92-SUM(E$99:E111))</f>
        <v>54582.665181103672</v>
      </c>
      <c r="E112" s="522">
        <f>IF(+J96&lt;F111,J96,D112)</f>
        <v>1851.1904761904761</v>
      </c>
      <c r="F112" s="523">
        <f t="shared" si="31"/>
        <v>52731.474704913198</v>
      </c>
      <c r="G112" s="523">
        <f t="shared" si="32"/>
        <v>53657.069943008435</v>
      </c>
      <c r="H112" s="526">
        <f>+J$94*G112+E112</f>
        <v>7623.2871307200248</v>
      </c>
      <c r="I112" s="577">
        <f>+J$95*G112+E112</f>
        <v>7623.2871307200248</v>
      </c>
      <c r="J112" s="514">
        <f t="shared" si="20"/>
        <v>0</v>
      </c>
      <c r="K112" s="514"/>
      <c r="L112" s="525"/>
      <c r="M112" s="514">
        <f t="shared" si="22"/>
        <v>0</v>
      </c>
      <c r="N112" s="525"/>
      <c r="O112" s="514">
        <f t="shared" si="24"/>
        <v>0</v>
      </c>
      <c r="P112" s="514">
        <f t="shared" si="25"/>
        <v>0</v>
      </c>
      <c r="Q112" s="269"/>
    </row>
    <row r="113" spans="2:17" ht="12.5">
      <c r="B113" s="195" t="str">
        <f t="shared" si="26"/>
        <v/>
      </c>
      <c r="C113" s="507">
        <f>IF(D93="","-",+C112+1)</f>
        <v>2023</v>
      </c>
      <c r="D113" s="374">
        <f>IF(F112+SUM(E$99:E112)=D$92,F112,D$92-SUM(E$99:E112))</f>
        <v>52731.474704913198</v>
      </c>
      <c r="E113" s="522">
        <f>IF(+J96&lt;F112,J96,D113)</f>
        <v>1851.1904761904761</v>
      </c>
      <c r="F113" s="523">
        <f t="shared" si="31"/>
        <v>50880.284228722725</v>
      </c>
      <c r="G113" s="523">
        <f t="shared" si="32"/>
        <v>51805.879466817962</v>
      </c>
      <c r="H113" s="526">
        <f t="shared" ref="H113:H154" si="33">+J$94*G113+E113</f>
        <v>7424.1474765073499</v>
      </c>
      <c r="I113" s="577">
        <f t="shared" ref="I113:I154" si="34">+J$95*G113+E113</f>
        <v>7424.1474765073499</v>
      </c>
      <c r="J113" s="514">
        <f t="shared" si="20"/>
        <v>0</v>
      </c>
      <c r="K113" s="514"/>
      <c r="L113" s="525"/>
      <c r="M113" s="514">
        <f t="shared" si="22"/>
        <v>0</v>
      </c>
      <c r="N113" s="525"/>
      <c r="O113" s="514">
        <f t="shared" si="24"/>
        <v>0</v>
      </c>
      <c r="P113" s="514">
        <f t="shared" si="25"/>
        <v>0</v>
      </c>
      <c r="Q113" s="269"/>
    </row>
    <row r="114" spans="2:17" ht="12.5">
      <c r="B114" s="195" t="str">
        <f t="shared" si="26"/>
        <v/>
      </c>
      <c r="C114" s="507">
        <f>IF(D93="","-",+C113+1)</f>
        <v>2024</v>
      </c>
      <c r="D114" s="374">
        <f>IF(F113+SUM(E$99:E113)=D$92,F113,D$92-SUM(E$99:E113))</f>
        <v>50880.284228722725</v>
      </c>
      <c r="E114" s="522">
        <f>IF(+J96&lt;F113,J96,D114)</f>
        <v>1851.1904761904761</v>
      </c>
      <c r="F114" s="523">
        <f t="shared" si="31"/>
        <v>49029.093752532252</v>
      </c>
      <c r="G114" s="523">
        <f t="shared" si="32"/>
        <v>49954.688990627488</v>
      </c>
      <c r="H114" s="526">
        <f t="shared" si="33"/>
        <v>7225.007822294675</v>
      </c>
      <c r="I114" s="577">
        <f t="shared" si="34"/>
        <v>7225.007822294675</v>
      </c>
      <c r="J114" s="514">
        <f t="shared" si="20"/>
        <v>0</v>
      </c>
      <c r="K114" s="514"/>
      <c r="L114" s="525"/>
      <c r="M114" s="514">
        <f t="shared" si="22"/>
        <v>0</v>
      </c>
      <c r="N114" s="525"/>
      <c r="O114" s="514">
        <f t="shared" si="24"/>
        <v>0</v>
      </c>
      <c r="P114" s="514">
        <f t="shared" si="25"/>
        <v>0</v>
      </c>
      <c r="Q114" s="269"/>
    </row>
    <row r="115" spans="2:17" ht="12.5">
      <c r="B115" s="195" t="str">
        <f t="shared" si="26"/>
        <v>IU</v>
      </c>
      <c r="C115" s="507">
        <f>IF(D93="","-",+C114+1)</f>
        <v>2025</v>
      </c>
      <c r="D115" s="374">
        <f>IF(F114+SUM(E$99:E114)=D$92,F114,D$92-SUM(E$99:E114))</f>
        <v>49029.093752532201</v>
      </c>
      <c r="E115" s="522">
        <f>IF(+J96&lt;F114,J96,D115)</f>
        <v>1851.1904761904761</v>
      </c>
      <c r="F115" s="523">
        <f t="shared" si="31"/>
        <v>47177.903276341727</v>
      </c>
      <c r="G115" s="523">
        <f t="shared" si="32"/>
        <v>48103.498514436964</v>
      </c>
      <c r="H115" s="526">
        <f t="shared" si="33"/>
        <v>7025.8681680819955</v>
      </c>
      <c r="I115" s="577">
        <f t="shared" si="34"/>
        <v>7025.8681680819955</v>
      </c>
      <c r="J115" s="514">
        <f t="shared" si="20"/>
        <v>0</v>
      </c>
      <c r="K115" s="514"/>
      <c r="L115" s="525"/>
      <c r="M115" s="514">
        <f t="shared" si="22"/>
        <v>0</v>
      </c>
      <c r="N115" s="525"/>
      <c r="O115" s="514">
        <f t="shared" si="24"/>
        <v>0</v>
      </c>
      <c r="P115" s="514">
        <f t="shared" si="25"/>
        <v>0</v>
      </c>
      <c r="Q115" s="269"/>
    </row>
    <row r="116" spans="2:17" ht="12.5">
      <c r="B116" s="195" t="str">
        <f t="shared" si="26"/>
        <v/>
      </c>
      <c r="C116" s="507">
        <f>IF(D93="","-",+C115+1)</f>
        <v>2026</v>
      </c>
      <c r="D116" s="374">
        <f>IF(F115+SUM(E$99:E115)=D$92,F115,D$92-SUM(E$99:E115))</f>
        <v>47177.903276341727</v>
      </c>
      <c r="E116" s="522">
        <f>IF(+J96&lt;F115,J96,D116)</f>
        <v>1851.1904761904761</v>
      </c>
      <c r="F116" s="523">
        <f t="shared" si="31"/>
        <v>45326.712800151254</v>
      </c>
      <c r="G116" s="523">
        <f t="shared" si="32"/>
        <v>46252.30803824649</v>
      </c>
      <c r="H116" s="526">
        <f t="shared" si="33"/>
        <v>6826.7285138693205</v>
      </c>
      <c r="I116" s="577">
        <f t="shared" si="34"/>
        <v>6826.7285138693205</v>
      </c>
      <c r="J116" s="514">
        <f t="shared" si="20"/>
        <v>0</v>
      </c>
      <c r="K116" s="514"/>
      <c r="L116" s="525"/>
      <c r="M116" s="514">
        <f t="shared" si="22"/>
        <v>0</v>
      </c>
      <c r="N116" s="525"/>
      <c r="O116" s="514">
        <f t="shared" si="24"/>
        <v>0</v>
      </c>
      <c r="P116" s="514">
        <f t="shared" si="25"/>
        <v>0</v>
      </c>
      <c r="Q116" s="269"/>
    </row>
    <row r="117" spans="2:17" ht="12.5">
      <c r="B117" s="195" t="str">
        <f t="shared" si="26"/>
        <v/>
      </c>
      <c r="C117" s="507">
        <f>IF(D93="","-",+C116+1)</f>
        <v>2027</v>
      </c>
      <c r="D117" s="374">
        <f>IF(F116+SUM(E$99:E116)=D$92,F116,D$92-SUM(E$99:E116))</f>
        <v>45326.712800151254</v>
      </c>
      <c r="E117" s="522">
        <f>IF(+J96&lt;F116,J96,D117)</f>
        <v>1851.1904761904761</v>
      </c>
      <c r="F117" s="523">
        <f t="shared" si="31"/>
        <v>43475.52232396078</v>
      </c>
      <c r="G117" s="523">
        <f t="shared" si="32"/>
        <v>44401.117562056017</v>
      </c>
      <c r="H117" s="526">
        <f t="shared" si="33"/>
        <v>6627.5888596566465</v>
      </c>
      <c r="I117" s="577">
        <f t="shared" si="34"/>
        <v>6627.5888596566465</v>
      </c>
      <c r="J117" s="514">
        <f t="shared" si="20"/>
        <v>0</v>
      </c>
      <c r="K117" s="514"/>
      <c r="L117" s="525"/>
      <c r="M117" s="514">
        <f t="shared" si="22"/>
        <v>0</v>
      </c>
      <c r="N117" s="525"/>
      <c r="O117" s="514">
        <f t="shared" si="24"/>
        <v>0</v>
      </c>
      <c r="P117" s="514">
        <f t="shared" si="25"/>
        <v>0</v>
      </c>
      <c r="Q117" s="269"/>
    </row>
    <row r="118" spans="2:17" ht="12.5">
      <c r="B118" s="195" t="str">
        <f t="shared" si="26"/>
        <v/>
      </c>
      <c r="C118" s="507">
        <f>IF(D93="","-",+C117+1)</f>
        <v>2028</v>
      </c>
      <c r="D118" s="374">
        <f>IF(F117+SUM(E$99:E117)=D$92,F117,D$92-SUM(E$99:E117))</f>
        <v>43475.52232396078</v>
      </c>
      <c r="E118" s="522">
        <f>IF(+J96&lt;F117,J96,D118)</f>
        <v>1851.1904761904761</v>
      </c>
      <c r="F118" s="523">
        <f t="shared" si="31"/>
        <v>41624.331847770307</v>
      </c>
      <c r="G118" s="523">
        <f t="shared" si="32"/>
        <v>42549.927085865544</v>
      </c>
      <c r="H118" s="526">
        <f t="shared" si="33"/>
        <v>6428.4492054439716</v>
      </c>
      <c r="I118" s="577">
        <f t="shared" si="34"/>
        <v>6428.4492054439716</v>
      </c>
      <c r="J118" s="514">
        <f t="shared" si="20"/>
        <v>0</v>
      </c>
      <c r="K118" s="514"/>
      <c r="L118" s="525"/>
      <c r="M118" s="514">
        <f t="shared" si="22"/>
        <v>0</v>
      </c>
      <c r="N118" s="525"/>
      <c r="O118" s="514">
        <f t="shared" si="24"/>
        <v>0</v>
      </c>
      <c r="P118" s="514">
        <f t="shared" si="25"/>
        <v>0</v>
      </c>
      <c r="Q118" s="269"/>
    </row>
    <row r="119" spans="2:17" ht="12.5">
      <c r="B119" s="195" t="str">
        <f t="shared" si="26"/>
        <v/>
      </c>
      <c r="C119" s="507">
        <f>IF(D93="","-",+C118+1)</f>
        <v>2029</v>
      </c>
      <c r="D119" s="374">
        <f>IF(F118+SUM(E$99:E118)=D$92,F118,D$92-SUM(E$99:E118))</f>
        <v>41624.331847770307</v>
      </c>
      <c r="E119" s="522">
        <f>IF(+J96&lt;F118,J96,D119)</f>
        <v>1851.1904761904761</v>
      </c>
      <c r="F119" s="523">
        <f t="shared" si="31"/>
        <v>39773.141371579834</v>
      </c>
      <c r="G119" s="523">
        <f t="shared" si="32"/>
        <v>40698.73660967507</v>
      </c>
      <c r="H119" s="526">
        <f t="shared" si="33"/>
        <v>6229.3095512312975</v>
      </c>
      <c r="I119" s="577">
        <f t="shared" si="34"/>
        <v>6229.3095512312975</v>
      </c>
      <c r="J119" s="514">
        <f t="shared" si="20"/>
        <v>0</v>
      </c>
      <c r="K119" s="514"/>
      <c r="L119" s="525"/>
      <c r="M119" s="514">
        <f t="shared" si="22"/>
        <v>0</v>
      </c>
      <c r="N119" s="525"/>
      <c r="O119" s="514">
        <f t="shared" si="24"/>
        <v>0</v>
      </c>
      <c r="P119" s="514">
        <f t="shared" si="25"/>
        <v>0</v>
      </c>
      <c r="Q119" s="269"/>
    </row>
    <row r="120" spans="2:17" ht="12.5">
      <c r="B120" s="195" t="str">
        <f t="shared" si="26"/>
        <v/>
      </c>
      <c r="C120" s="507">
        <f>IF(D93="","-",+C119+1)</f>
        <v>2030</v>
      </c>
      <c r="D120" s="374">
        <f>IF(F119+SUM(E$99:E119)=D$92,F119,D$92-SUM(E$99:E119))</f>
        <v>39773.141371579834</v>
      </c>
      <c r="E120" s="522">
        <f>IF(+J96&lt;F119,J96,D120)</f>
        <v>1851.1904761904761</v>
      </c>
      <c r="F120" s="523">
        <f t="shared" si="31"/>
        <v>37921.95089538936</v>
      </c>
      <c r="G120" s="523">
        <f t="shared" si="32"/>
        <v>38847.546133484597</v>
      </c>
      <c r="H120" s="526">
        <f t="shared" si="33"/>
        <v>6030.1698970186226</v>
      </c>
      <c r="I120" s="577">
        <f t="shared" si="34"/>
        <v>6030.1698970186226</v>
      </c>
      <c r="J120" s="514">
        <f t="shared" si="20"/>
        <v>0</v>
      </c>
      <c r="K120" s="514"/>
      <c r="L120" s="525"/>
      <c r="M120" s="514">
        <f t="shared" si="22"/>
        <v>0</v>
      </c>
      <c r="N120" s="525"/>
      <c r="O120" s="514">
        <f t="shared" si="24"/>
        <v>0</v>
      </c>
      <c r="P120" s="514">
        <f t="shared" si="25"/>
        <v>0</v>
      </c>
      <c r="Q120" s="269"/>
    </row>
    <row r="121" spans="2:17" ht="12.5">
      <c r="B121" s="195" t="str">
        <f t="shared" si="26"/>
        <v/>
      </c>
      <c r="C121" s="507">
        <f>IF(D93="","-",+C120+1)</f>
        <v>2031</v>
      </c>
      <c r="D121" s="374">
        <f>IF(F120+SUM(E$99:E120)=D$92,F120,D$92-SUM(E$99:E120))</f>
        <v>37921.95089538936</v>
      </c>
      <c r="E121" s="522">
        <f>IF(+J96&lt;F120,J96,D121)</f>
        <v>1851.1904761904761</v>
      </c>
      <c r="F121" s="523">
        <f t="shared" si="31"/>
        <v>36070.760419198887</v>
      </c>
      <c r="G121" s="523">
        <f t="shared" si="32"/>
        <v>36996.355657294123</v>
      </c>
      <c r="H121" s="526">
        <f t="shared" si="33"/>
        <v>5831.0302428059476</v>
      </c>
      <c r="I121" s="577">
        <f t="shared" si="34"/>
        <v>5831.0302428059476</v>
      </c>
      <c r="J121" s="514">
        <f t="shared" si="20"/>
        <v>0</v>
      </c>
      <c r="K121" s="514"/>
      <c r="L121" s="525"/>
      <c r="M121" s="514">
        <f t="shared" si="22"/>
        <v>0</v>
      </c>
      <c r="N121" s="525"/>
      <c r="O121" s="514">
        <f t="shared" si="24"/>
        <v>0</v>
      </c>
      <c r="P121" s="514">
        <f t="shared" si="25"/>
        <v>0</v>
      </c>
      <c r="Q121" s="269"/>
    </row>
    <row r="122" spans="2:17" ht="12.5">
      <c r="B122" s="195" t="str">
        <f t="shared" si="26"/>
        <v/>
      </c>
      <c r="C122" s="507">
        <f>IF(D93="","-",+C121+1)</f>
        <v>2032</v>
      </c>
      <c r="D122" s="374">
        <f>IF(F121+SUM(E$99:E121)=D$92,F121,D$92-SUM(E$99:E121))</f>
        <v>36070.760419198887</v>
      </c>
      <c r="E122" s="522">
        <f>IF(+J96&lt;F121,J96,D122)</f>
        <v>1851.1904761904761</v>
      </c>
      <c r="F122" s="523">
        <f t="shared" si="31"/>
        <v>34219.569943008413</v>
      </c>
      <c r="G122" s="523">
        <f t="shared" si="32"/>
        <v>35145.16518110365</v>
      </c>
      <c r="H122" s="526">
        <f t="shared" si="33"/>
        <v>5631.8905885932736</v>
      </c>
      <c r="I122" s="577">
        <f t="shared" si="34"/>
        <v>5631.8905885932736</v>
      </c>
      <c r="J122" s="514">
        <f t="shared" si="20"/>
        <v>0</v>
      </c>
      <c r="K122" s="514"/>
      <c r="L122" s="525"/>
      <c r="M122" s="514">
        <f t="shared" si="22"/>
        <v>0</v>
      </c>
      <c r="N122" s="525"/>
      <c r="O122" s="514">
        <f t="shared" si="24"/>
        <v>0</v>
      </c>
      <c r="P122" s="514">
        <f t="shared" si="25"/>
        <v>0</v>
      </c>
      <c r="Q122" s="269"/>
    </row>
    <row r="123" spans="2:17" ht="12.5">
      <c r="B123" s="195" t="str">
        <f t="shared" si="26"/>
        <v/>
      </c>
      <c r="C123" s="507">
        <f>IF(D93="","-",+C122+1)</f>
        <v>2033</v>
      </c>
      <c r="D123" s="374">
        <f>IF(F122+SUM(E$99:E122)=D$92,F122,D$92-SUM(E$99:E122))</f>
        <v>34219.569943008413</v>
      </c>
      <c r="E123" s="522">
        <f>IF(+J96&lt;F122,J96,D123)</f>
        <v>1851.1904761904761</v>
      </c>
      <c r="F123" s="523">
        <f t="shared" si="31"/>
        <v>32368.379466817936</v>
      </c>
      <c r="G123" s="523">
        <f t="shared" si="32"/>
        <v>33293.974704913177</v>
      </c>
      <c r="H123" s="526">
        <f t="shared" si="33"/>
        <v>5432.7509343805987</v>
      </c>
      <c r="I123" s="577">
        <f t="shared" si="34"/>
        <v>5432.7509343805987</v>
      </c>
      <c r="J123" s="514">
        <f t="shared" si="20"/>
        <v>0</v>
      </c>
      <c r="K123" s="514"/>
      <c r="L123" s="525"/>
      <c r="M123" s="514">
        <f t="shared" si="22"/>
        <v>0</v>
      </c>
      <c r="N123" s="525"/>
      <c r="O123" s="514">
        <f t="shared" si="24"/>
        <v>0</v>
      </c>
      <c r="P123" s="514">
        <f t="shared" si="25"/>
        <v>0</v>
      </c>
      <c r="Q123" s="269"/>
    </row>
    <row r="124" spans="2:17" ht="12.5">
      <c r="B124" s="195" t="str">
        <f t="shared" si="26"/>
        <v/>
      </c>
      <c r="C124" s="507">
        <f>IF(D93="","-",+C123+1)</f>
        <v>2034</v>
      </c>
      <c r="D124" s="374">
        <f>IF(F123+SUM(E$99:E123)=D$92,F123,D$92-SUM(E$99:E123))</f>
        <v>32368.379466817936</v>
      </c>
      <c r="E124" s="522">
        <f>IF(+J96&lt;F123,J96,D124)</f>
        <v>1851.1904761904761</v>
      </c>
      <c r="F124" s="523">
        <f t="shared" si="31"/>
        <v>30517.188990627459</v>
      </c>
      <c r="G124" s="523">
        <f t="shared" si="32"/>
        <v>31442.784228722696</v>
      </c>
      <c r="H124" s="526">
        <f t="shared" si="33"/>
        <v>5233.6112801679237</v>
      </c>
      <c r="I124" s="577">
        <f t="shared" si="34"/>
        <v>5233.6112801679237</v>
      </c>
      <c r="J124" s="514">
        <f t="shared" si="20"/>
        <v>0</v>
      </c>
      <c r="K124" s="514"/>
      <c r="L124" s="525"/>
      <c r="M124" s="514">
        <f t="shared" si="22"/>
        <v>0</v>
      </c>
      <c r="N124" s="525"/>
      <c r="O124" s="514">
        <f t="shared" si="24"/>
        <v>0</v>
      </c>
      <c r="P124" s="514">
        <f t="shared" si="25"/>
        <v>0</v>
      </c>
      <c r="Q124" s="269"/>
    </row>
    <row r="125" spans="2:17" ht="12.5">
      <c r="B125" s="195" t="str">
        <f t="shared" si="26"/>
        <v/>
      </c>
      <c r="C125" s="507">
        <f>IF(D93="","-",+C124+1)</f>
        <v>2035</v>
      </c>
      <c r="D125" s="374">
        <f>IF(F124+SUM(E$99:E124)=D$92,F124,D$92-SUM(E$99:E124))</f>
        <v>30517.188990627459</v>
      </c>
      <c r="E125" s="522">
        <f>IF(+J96&lt;F124,J96,D125)</f>
        <v>1851.1904761904761</v>
      </c>
      <c r="F125" s="523">
        <f t="shared" si="31"/>
        <v>28665.998514436982</v>
      </c>
      <c r="G125" s="523">
        <f t="shared" si="32"/>
        <v>29591.593752532222</v>
      </c>
      <c r="H125" s="526">
        <f t="shared" si="33"/>
        <v>5034.4716259552488</v>
      </c>
      <c r="I125" s="577">
        <f t="shared" si="34"/>
        <v>5034.4716259552488</v>
      </c>
      <c r="J125" s="514">
        <f t="shared" si="20"/>
        <v>0</v>
      </c>
      <c r="K125" s="514"/>
      <c r="L125" s="525"/>
      <c r="M125" s="514">
        <f t="shared" si="22"/>
        <v>0</v>
      </c>
      <c r="N125" s="525"/>
      <c r="O125" s="514">
        <f t="shared" si="24"/>
        <v>0</v>
      </c>
      <c r="P125" s="514">
        <f t="shared" si="25"/>
        <v>0</v>
      </c>
      <c r="Q125" s="269"/>
    </row>
    <row r="126" spans="2:17" ht="12.5">
      <c r="B126" s="195" t="str">
        <f t="shared" si="26"/>
        <v/>
      </c>
      <c r="C126" s="507">
        <f>IF(D93="","-",+C125+1)</f>
        <v>2036</v>
      </c>
      <c r="D126" s="374">
        <f>IF(F125+SUM(E$99:E125)=D$92,F125,D$92-SUM(E$99:E125))</f>
        <v>28665.998514436982</v>
      </c>
      <c r="E126" s="522">
        <f>IF(+J96&lt;F125,J96,D126)</f>
        <v>1851.1904761904761</v>
      </c>
      <c r="F126" s="523">
        <f t="shared" si="31"/>
        <v>26814.808038246505</v>
      </c>
      <c r="G126" s="523">
        <f t="shared" si="32"/>
        <v>27740.403276341742</v>
      </c>
      <c r="H126" s="526">
        <f t="shared" si="33"/>
        <v>4835.3319717425738</v>
      </c>
      <c r="I126" s="577">
        <f t="shared" si="34"/>
        <v>4835.3319717425738</v>
      </c>
      <c r="J126" s="514">
        <f t="shared" si="20"/>
        <v>0</v>
      </c>
      <c r="K126" s="514"/>
      <c r="L126" s="525"/>
      <c r="M126" s="514">
        <f t="shared" si="22"/>
        <v>0</v>
      </c>
      <c r="N126" s="525"/>
      <c r="O126" s="514">
        <f t="shared" si="24"/>
        <v>0</v>
      </c>
      <c r="P126" s="514">
        <f t="shared" si="25"/>
        <v>0</v>
      </c>
      <c r="Q126" s="269"/>
    </row>
    <row r="127" spans="2:17" ht="12.5">
      <c r="B127" s="195" t="str">
        <f t="shared" si="26"/>
        <v/>
      </c>
      <c r="C127" s="507">
        <f>IF(D93="","-",+C126+1)</f>
        <v>2037</v>
      </c>
      <c r="D127" s="374">
        <f>IF(F126+SUM(E$99:E126)=D$92,F126,D$92-SUM(E$99:E126))</f>
        <v>26814.808038246505</v>
      </c>
      <c r="E127" s="522">
        <f>IF(+J96&lt;F126,J96,D127)</f>
        <v>1851.1904761904761</v>
      </c>
      <c r="F127" s="523">
        <f t="shared" si="31"/>
        <v>24963.617562056028</v>
      </c>
      <c r="G127" s="523">
        <f t="shared" si="32"/>
        <v>25889.212800151268</v>
      </c>
      <c r="H127" s="526">
        <f t="shared" si="33"/>
        <v>4636.1923175298989</v>
      </c>
      <c r="I127" s="577">
        <f t="shared" si="34"/>
        <v>4636.1923175298989</v>
      </c>
      <c r="J127" s="514">
        <f t="shared" si="20"/>
        <v>0</v>
      </c>
      <c r="K127" s="514"/>
      <c r="L127" s="525"/>
      <c r="M127" s="514">
        <f t="shared" si="22"/>
        <v>0</v>
      </c>
      <c r="N127" s="525"/>
      <c r="O127" s="514">
        <f t="shared" si="24"/>
        <v>0</v>
      </c>
      <c r="P127" s="514">
        <f t="shared" si="25"/>
        <v>0</v>
      </c>
      <c r="Q127" s="269"/>
    </row>
    <row r="128" spans="2:17" ht="12.5">
      <c r="B128" s="195" t="str">
        <f t="shared" si="26"/>
        <v/>
      </c>
      <c r="C128" s="507">
        <f>IF(D93="","-",+C127+1)</f>
        <v>2038</v>
      </c>
      <c r="D128" s="374">
        <f>IF(F127+SUM(E$99:E127)=D$92,F127,D$92-SUM(E$99:E127))</f>
        <v>24963.617562056028</v>
      </c>
      <c r="E128" s="522">
        <f>IF(+J96&lt;F127,J96,D128)</f>
        <v>1851.1904761904761</v>
      </c>
      <c r="F128" s="523">
        <f t="shared" si="31"/>
        <v>23112.427085865551</v>
      </c>
      <c r="G128" s="523">
        <f t="shared" si="32"/>
        <v>24038.022323960788</v>
      </c>
      <c r="H128" s="526">
        <f t="shared" si="33"/>
        <v>4437.0526633172231</v>
      </c>
      <c r="I128" s="577">
        <f t="shared" si="34"/>
        <v>4437.0526633172231</v>
      </c>
      <c r="J128" s="514">
        <f t="shared" si="20"/>
        <v>0</v>
      </c>
      <c r="K128" s="514"/>
      <c r="L128" s="525"/>
      <c r="M128" s="514">
        <f t="shared" si="22"/>
        <v>0</v>
      </c>
      <c r="N128" s="525"/>
      <c r="O128" s="514">
        <f t="shared" si="24"/>
        <v>0</v>
      </c>
      <c r="P128" s="514">
        <f t="shared" si="25"/>
        <v>0</v>
      </c>
      <c r="Q128" s="269"/>
    </row>
    <row r="129" spans="2:17" ht="12.5">
      <c r="B129" s="195" t="str">
        <f t="shared" si="26"/>
        <v/>
      </c>
      <c r="C129" s="507">
        <f>IF(D93="","-",+C128+1)</f>
        <v>2039</v>
      </c>
      <c r="D129" s="374">
        <f>IF(F128+SUM(E$99:E128)=D$92,F128,D$92-SUM(E$99:E128))</f>
        <v>23112.427085865551</v>
      </c>
      <c r="E129" s="522">
        <f>IF(+J96&lt;F128,J96,D129)</f>
        <v>1851.1904761904761</v>
      </c>
      <c r="F129" s="523">
        <f t="shared" si="31"/>
        <v>21261.236609675074</v>
      </c>
      <c r="G129" s="523">
        <f t="shared" si="32"/>
        <v>22186.831847770314</v>
      </c>
      <c r="H129" s="526">
        <f t="shared" si="33"/>
        <v>4237.913009104549</v>
      </c>
      <c r="I129" s="577">
        <f t="shared" si="34"/>
        <v>4237.913009104549</v>
      </c>
      <c r="J129" s="514">
        <f t="shared" si="20"/>
        <v>0</v>
      </c>
      <c r="K129" s="514"/>
      <c r="L129" s="525"/>
      <c r="M129" s="514">
        <f t="shared" si="22"/>
        <v>0</v>
      </c>
      <c r="N129" s="525"/>
      <c r="O129" s="514">
        <f t="shared" si="24"/>
        <v>0</v>
      </c>
      <c r="P129" s="514">
        <f t="shared" si="25"/>
        <v>0</v>
      </c>
      <c r="Q129" s="269"/>
    </row>
    <row r="130" spans="2:17" ht="12.5">
      <c r="B130" s="195" t="str">
        <f t="shared" si="26"/>
        <v/>
      </c>
      <c r="C130" s="507">
        <f>IF(D93="","-",+C129+1)</f>
        <v>2040</v>
      </c>
      <c r="D130" s="374">
        <f>IF(F129+SUM(E$99:E129)=D$92,F129,D$92-SUM(E$99:E129))</f>
        <v>21261.236609675074</v>
      </c>
      <c r="E130" s="522">
        <f>IF(+J96&lt;F129,J96,D130)</f>
        <v>1851.1904761904761</v>
      </c>
      <c r="F130" s="523">
        <f t="shared" si="31"/>
        <v>19410.046133484597</v>
      </c>
      <c r="G130" s="523">
        <f t="shared" si="32"/>
        <v>20335.641371579834</v>
      </c>
      <c r="H130" s="526">
        <f t="shared" si="33"/>
        <v>4038.7733548918736</v>
      </c>
      <c r="I130" s="577">
        <f t="shared" si="34"/>
        <v>4038.7733548918736</v>
      </c>
      <c r="J130" s="514">
        <f t="shared" si="20"/>
        <v>0</v>
      </c>
      <c r="K130" s="514"/>
      <c r="L130" s="525"/>
      <c r="M130" s="514">
        <f t="shared" si="22"/>
        <v>0</v>
      </c>
      <c r="N130" s="525"/>
      <c r="O130" s="514">
        <f t="shared" si="24"/>
        <v>0</v>
      </c>
      <c r="P130" s="514">
        <f t="shared" si="25"/>
        <v>0</v>
      </c>
      <c r="Q130" s="269"/>
    </row>
    <row r="131" spans="2:17" ht="12.5">
      <c r="B131" s="195" t="str">
        <f t="shared" si="26"/>
        <v/>
      </c>
      <c r="C131" s="507">
        <f>IF(D93="","-",+C130+1)</f>
        <v>2041</v>
      </c>
      <c r="D131" s="374">
        <f>IF(F130+SUM(E$99:E130)=D$92,F130,D$92-SUM(E$99:E130))</f>
        <v>19410.046133484597</v>
      </c>
      <c r="E131" s="522">
        <f>IF(+J96&lt;F130,J96,D131)</f>
        <v>1851.1904761904761</v>
      </c>
      <c r="F131" s="523">
        <f t="shared" ref="F131:F154" si="35">+D131-E131</f>
        <v>17558.85565729412</v>
      </c>
      <c r="G131" s="523">
        <f t="shared" ref="G131:G154" si="36">+(F131+D131)/2</f>
        <v>18484.45089538936</v>
      </c>
      <c r="H131" s="526">
        <f t="shared" si="33"/>
        <v>3839.6337006791991</v>
      </c>
      <c r="I131" s="577">
        <f t="shared" si="34"/>
        <v>3839.6337006791991</v>
      </c>
      <c r="J131" s="514">
        <f t="shared" ref="J131:J154" si="37">+I131-H131</f>
        <v>0</v>
      </c>
      <c r="K131" s="514"/>
      <c r="L131" s="525"/>
      <c r="M131" s="514">
        <f t="shared" ref="M131:M154" si="38">IF(L131&lt;&gt;0,+H131-L131,0)</f>
        <v>0</v>
      </c>
      <c r="N131" s="525"/>
      <c r="O131" s="514">
        <f t="shared" ref="O131:O154" si="39">IF(N131&lt;&gt;0,+I131-N131,0)</f>
        <v>0</v>
      </c>
      <c r="P131" s="514">
        <f t="shared" ref="P131:P154" si="40">+O131-M131</f>
        <v>0</v>
      </c>
      <c r="Q131" s="269"/>
    </row>
    <row r="132" spans="2:17" ht="12.5">
      <c r="B132" s="195" t="str">
        <f t="shared" si="26"/>
        <v/>
      </c>
      <c r="C132" s="507">
        <f>IF(D93="","-",+C131+1)</f>
        <v>2042</v>
      </c>
      <c r="D132" s="374">
        <f>IF(F131+SUM(E$99:E131)=D$92,F131,D$92-SUM(E$99:E131))</f>
        <v>17558.85565729412</v>
      </c>
      <c r="E132" s="522">
        <f>IF(+J96&lt;F131,J96,D132)</f>
        <v>1851.1904761904761</v>
      </c>
      <c r="F132" s="523">
        <f t="shared" si="35"/>
        <v>15707.665181103643</v>
      </c>
      <c r="G132" s="523">
        <f t="shared" si="36"/>
        <v>16633.260419198879</v>
      </c>
      <c r="H132" s="526">
        <f t="shared" si="33"/>
        <v>3640.4940464665242</v>
      </c>
      <c r="I132" s="577">
        <f t="shared" si="34"/>
        <v>3640.4940464665242</v>
      </c>
      <c r="J132" s="514">
        <f t="shared" si="37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  <c r="Q132" s="269"/>
    </row>
    <row r="133" spans="2:17" ht="12.5">
      <c r="B133" s="195" t="str">
        <f t="shared" si="26"/>
        <v/>
      </c>
      <c r="C133" s="507">
        <f>IF(D93="","-",+C132+1)</f>
        <v>2043</v>
      </c>
      <c r="D133" s="374">
        <f>IF(F132+SUM(E$99:E132)=D$92,F132,D$92-SUM(E$99:E132))</f>
        <v>15707.665181103643</v>
      </c>
      <c r="E133" s="522">
        <f>IF(+J96&lt;F132,J96,D133)</f>
        <v>1851.1904761904761</v>
      </c>
      <c r="F133" s="523">
        <f t="shared" si="35"/>
        <v>13856.474704913166</v>
      </c>
      <c r="G133" s="523">
        <f t="shared" si="36"/>
        <v>14782.069943008404</v>
      </c>
      <c r="H133" s="526">
        <f t="shared" si="33"/>
        <v>3441.3543922538493</v>
      </c>
      <c r="I133" s="577">
        <f t="shared" si="34"/>
        <v>3441.3543922538493</v>
      </c>
      <c r="J133" s="514">
        <f t="shared" si="37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  <c r="Q133" s="269"/>
    </row>
    <row r="134" spans="2:17" ht="12.5">
      <c r="B134" s="195" t="str">
        <f t="shared" si="26"/>
        <v/>
      </c>
      <c r="C134" s="507">
        <f>IF(D93="","-",+C133+1)</f>
        <v>2044</v>
      </c>
      <c r="D134" s="374">
        <f>IF(F133+SUM(E$99:E133)=D$92,F133,D$92-SUM(E$99:E133))</f>
        <v>13856.474704913166</v>
      </c>
      <c r="E134" s="522">
        <f>IF(+J96&lt;F133,J96,D134)</f>
        <v>1851.1904761904761</v>
      </c>
      <c r="F134" s="523">
        <f t="shared" si="35"/>
        <v>12005.284228722689</v>
      </c>
      <c r="G134" s="523">
        <f t="shared" si="36"/>
        <v>12930.879466817927</v>
      </c>
      <c r="H134" s="526">
        <f t="shared" si="33"/>
        <v>3242.2147380411743</v>
      </c>
      <c r="I134" s="577">
        <f t="shared" si="34"/>
        <v>3242.2147380411743</v>
      </c>
      <c r="J134" s="514">
        <f t="shared" si="37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  <c r="Q134" s="269"/>
    </row>
    <row r="135" spans="2:17" ht="12.5">
      <c r="B135" s="195" t="str">
        <f t="shared" si="26"/>
        <v/>
      </c>
      <c r="C135" s="507">
        <f>IF(D93="","-",+C134+1)</f>
        <v>2045</v>
      </c>
      <c r="D135" s="374">
        <f>IF(F134+SUM(E$99:E134)=D$92,F134,D$92-SUM(E$99:E134))</f>
        <v>12005.284228722689</v>
      </c>
      <c r="E135" s="522">
        <f>IF(+J96&lt;F134,J96,D135)</f>
        <v>1851.1904761904761</v>
      </c>
      <c r="F135" s="523">
        <f t="shared" si="35"/>
        <v>10154.093752532212</v>
      </c>
      <c r="G135" s="523">
        <f t="shared" si="36"/>
        <v>11079.68899062745</v>
      </c>
      <c r="H135" s="526">
        <f t="shared" si="33"/>
        <v>3043.0750838284994</v>
      </c>
      <c r="I135" s="577">
        <f t="shared" si="34"/>
        <v>3043.0750838284994</v>
      </c>
      <c r="J135" s="514">
        <f t="shared" si="37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  <c r="Q135" s="269"/>
    </row>
    <row r="136" spans="2:17" ht="12.5">
      <c r="B136" s="195" t="str">
        <f t="shared" si="26"/>
        <v/>
      </c>
      <c r="C136" s="507">
        <f>IF(D93="","-",+C135+1)</f>
        <v>2046</v>
      </c>
      <c r="D136" s="374">
        <f>IF(F135+SUM(E$99:E135)=D$92,F135,D$92-SUM(E$99:E135))</f>
        <v>10154.093752532212</v>
      </c>
      <c r="E136" s="522">
        <f>IF(+J96&lt;F135,J96,D136)</f>
        <v>1851.1904761904761</v>
      </c>
      <c r="F136" s="523">
        <f t="shared" si="35"/>
        <v>8302.9032763417345</v>
      </c>
      <c r="G136" s="523">
        <f t="shared" si="36"/>
        <v>9228.498514436973</v>
      </c>
      <c r="H136" s="526">
        <f t="shared" si="33"/>
        <v>2843.9354296158244</v>
      </c>
      <c r="I136" s="577">
        <f t="shared" si="34"/>
        <v>2843.9354296158244</v>
      </c>
      <c r="J136" s="514">
        <f t="shared" si="37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  <c r="Q136" s="269"/>
    </row>
    <row r="137" spans="2:17" ht="12.5">
      <c r="B137" s="195" t="str">
        <f t="shared" si="26"/>
        <v/>
      </c>
      <c r="C137" s="507">
        <f>IF(D93="","-",+C136+1)</f>
        <v>2047</v>
      </c>
      <c r="D137" s="374">
        <f>IF(F136+SUM(E$99:E136)=D$92,F136,D$92-SUM(E$99:E136))</f>
        <v>8302.9032763417345</v>
      </c>
      <c r="E137" s="522">
        <f>IF(+J96&lt;F136,J96,D137)</f>
        <v>1851.1904761904761</v>
      </c>
      <c r="F137" s="523">
        <f t="shared" si="35"/>
        <v>6451.7128001512583</v>
      </c>
      <c r="G137" s="523">
        <f t="shared" si="36"/>
        <v>7377.3080382464959</v>
      </c>
      <c r="H137" s="526">
        <f t="shared" si="33"/>
        <v>2644.7957754031495</v>
      </c>
      <c r="I137" s="577">
        <f t="shared" si="34"/>
        <v>2644.7957754031495</v>
      </c>
      <c r="J137" s="514">
        <f t="shared" si="37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  <c r="Q137" s="269"/>
    </row>
    <row r="138" spans="2:17" ht="12.5">
      <c r="B138" s="195" t="str">
        <f t="shared" si="26"/>
        <v/>
      </c>
      <c r="C138" s="507">
        <f>IF(D93="","-",+C137+1)</f>
        <v>2048</v>
      </c>
      <c r="D138" s="374">
        <f>IF(F137+SUM(E$99:E137)=D$92,F137,D$92-SUM(E$99:E137))</f>
        <v>6451.7128001512583</v>
      </c>
      <c r="E138" s="522">
        <f>IF(+J96&lt;F137,J96,D138)</f>
        <v>1851.1904761904761</v>
      </c>
      <c r="F138" s="523">
        <f t="shared" si="35"/>
        <v>4600.5223239607822</v>
      </c>
      <c r="G138" s="523">
        <f t="shared" si="36"/>
        <v>5526.1175620560207</v>
      </c>
      <c r="H138" s="526">
        <f t="shared" si="33"/>
        <v>2445.6561211904746</v>
      </c>
      <c r="I138" s="577">
        <f t="shared" si="34"/>
        <v>2445.6561211904746</v>
      </c>
      <c r="J138" s="514">
        <f t="shared" si="37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  <c r="Q138" s="269"/>
    </row>
    <row r="139" spans="2:17" ht="12.5">
      <c r="B139" s="195" t="str">
        <f t="shared" si="26"/>
        <v/>
      </c>
      <c r="C139" s="507">
        <f>IF(D93="","-",+C138+1)</f>
        <v>2049</v>
      </c>
      <c r="D139" s="374">
        <f>IF(F138+SUM(E$99:E138)=D$92,F138,D$92-SUM(E$99:E138))</f>
        <v>4600.5223239607822</v>
      </c>
      <c r="E139" s="522">
        <f>IF(+J96&lt;F138,J96,D139)</f>
        <v>1851.1904761904761</v>
      </c>
      <c r="F139" s="523">
        <f t="shared" si="35"/>
        <v>2749.331847770306</v>
      </c>
      <c r="G139" s="523">
        <f t="shared" si="36"/>
        <v>3674.9270858655441</v>
      </c>
      <c r="H139" s="526">
        <f t="shared" si="33"/>
        <v>2246.5164669777996</v>
      </c>
      <c r="I139" s="577">
        <f t="shared" si="34"/>
        <v>2246.5164669777996</v>
      </c>
      <c r="J139" s="514">
        <f t="shared" si="37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  <c r="Q139" s="269"/>
    </row>
    <row r="140" spans="2:17" ht="12.5">
      <c r="B140" s="582" t="str">
        <f t="shared" si="26"/>
        <v>IU</v>
      </c>
      <c r="C140" s="507">
        <f>IF(D93="","-",+C139+1)</f>
        <v>2050</v>
      </c>
      <c r="D140" s="374">
        <f>IF(F139+SUM(E$99:E139)=D$92,F139,D$92-SUM(E$99:E139))</f>
        <v>2749.3318477703579</v>
      </c>
      <c r="E140" s="522">
        <f>IF(+J96&lt;F139,J96,D140)</f>
        <v>1851.1904761904761</v>
      </c>
      <c r="F140" s="523">
        <f t="shared" si="35"/>
        <v>898.14137157988171</v>
      </c>
      <c r="G140" s="523">
        <f t="shared" si="36"/>
        <v>1823.7366096751198</v>
      </c>
      <c r="H140" s="526">
        <f t="shared" si="33"/>
        <v>2047.3768127651304</v>
      </c>
      <c r="I140" s="577">
        <f t="shared" si="34"/>
        <v>2047.3768127651304</v>
      </c>
      <c r="J140" s="514">
        <f t="shared" si="37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  <c r="Q140" s="269"/>
    </row>
    <row r="141" spans="2:17" ht="12.5">
      <c r="B141" s="195" t="str">
        <f t="shared" si="26"/>
        <v/>
      </c>
      <c r="C141" s="507">
        <f>IF(D93="","-",+C140+1)</f>
        <v>2051</v>
      </c>
      <c r="D141" s="374">
        <f>IF(F140+SUM(E$99:E140)=D$92,F140,D$92-SUM(E$99:E140))</f>
        <v>898.14137157988171</v>
      </c>
      <c r="E141" s="522">
        <f>IF(+J96&lt;F140,J96,D141)</f>
        <v>898.14137157988171</v>
      </c>
      <c r="F141" s="523">
        <f t="shared" si="35"/>
        <v>0</v>
      </c>
      <c r="G141" s="523">
        <f t="shared" si="36"/>
        <v>449.07068578994085</v>
      </c>
      <c r="H141" s="526">
        <f t="shared" si="33"/>
        <v>946.44962631404019</v>
      </c>
      <c r="I141" s="577">
        <f t="shared" si="34"/>
        <v>946.44962631404019</v>
      </c>
      <c r="J141" s="514">
        <f t="shared" si="37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  <c r="Q141" s="269"/>
    </row>
    <row r="142" spans="2:17" ht="12.5">
      <c r="B142" s="195" t="str">
        <f t="shared" si="26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5"/>
        <v>0</v>
      </c>
      <c r="G142" s="523">
        <f t="shared" si="36"/>
        <v>0</v>
      </c>
      <c r="H142" s="526">
        <f t="shared" si="33"/>
        <v>0</v>
      </c>
      <c r="I142" s="577">
        <f t="shared" si="34"/>
        <v>0</v>
      </c>
      <c r="J142" s="514">
        <f t="shared" si="37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  <c r="Q142" s="269"/>
    </row>
    <row r="143" spans="2:17" ht="12.5">
      <c r="B143" s="195" t="str">
        <f t="shared" si="26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5"/>
        <v>0</v>
      </c>
      <c r="G143" s="523">
        <f t="shared" si="36"/>
        <v>0</v>
      </c>
      <c r="H143" s="526">
        <f t="shared" si="33"/>
        <v>0</v>
      </c>
      <c r="I143" s="577">
        <f t="shared" si="34"/>
        <v>0</v>
      </c>
      <c r="J143" s="514">
        <f t="shared" si="37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  <c r="Q143" s="269"/>
    </row>
    <row r="144" spans="2:17" ht="12.5">
      <c r="B144" s="195" t="str">
        <f t="shared" si="26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5"/>
        <v>0</v>
      </c>
      <c r="G144" s="523">
        <f t="shared" si="36"/>
        <v>0</v>
      </c>
      <c r="H144" s="526">
        <f t="shared" si="33"/>
        <v>0</v>
      </c>
      <c r="I144" s="577">
        <f t="shared" si="34"/>
        <v>0</v>
      </c>
      <c r="J144" s="514">
        <f t="shared" si="37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  <c r="Q144" s="269"/>
    </row>
    <row r="145" spans="2:17" ht="12.5">
      <c r="B145" s="195" t="str">
        <f t="shared" si="26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5"/>
        <v>0</v>
      </c>
      <c r="G145" s="523">
        <f t="shared" si="36"/>
        <v>0</v>
      </c>
      <c r="H145" s="526">
        <f t="shared" si="33"/>
        <v>0</v>
      </c>
      <c r="I145" s="577">
        <f t="shared" si="34"/>
        <v>0</v>
      </c>
      <c r="J145" s="514">
        <f t="shared" si="37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  <c r="Q145" s="269"/>
    </row>
    <row r="146" spans="2:17" ht="12.5">
      <c r="B146" s="195" t="str">
        <f t="shared" si="26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5"/>
        <v>0</v>
      </c>
      <c r="G146" s="523">
        <f t="shared" si="36"/>
        <v>0</v>
      </c>
      <c r="H146" s="526">
        <f t="shared" si="33"/>
        <v>0</v>
      </c>
      <c r="I146" s="577">
        <f t="shared" si="34"/>
        <v>0</v>
      </c>
      <c r="J146" s="514">
        <f t="shared" si="37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  <c r="Q146" s="269"/>
    </row>
    <row r="147" spans="2:17" ht="12.5">
      <c r="B147" s="195" t="str">
        <f t="shared" si="26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5"/>
        <v>0</v>
      </c>
      <c r="G147" s="523">
        <f t="shared" si="36"/>
        <v>0</v>
      </c>
      <c r="H147" s="526">
        <f t="shared" si="33"/>
        <v>0</v>
      </c>
      <c r="I147" s="577">
        <f t="shared" si="34"/>
        <v>0</v>
      </c>
      <c r="J147" s="514">
        <f t="shared" si="37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  <c r="Q147" s="269"/>
    </row>
    <row r="148" spans="2:17" ht="12.5">
      <c r="B148" s="195" t="str">
        <f t="shared" si="26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5"/>
        <v>0</v>
      </c>
      <c r="G148" s="523">
        <f t="shared" si="36"/>
        <v>0</v>
      </c>
      <c r="H148" s="526">
        <f t="shared" si="33"/>
        <v>0</v>
      </c>
      <c r="I148" s="577">
        <f t="shared" si="34"/>
        <v>0</v>
      </c>
      <c r="J148" s="514">
        <f t="shared" si="37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  <c r="Q148" s="269"/>
    </row>
    <row r="149" spans="2:17" ht="12.5">
      <c r="B149" s="195" t="str">
        <f t="shared" si="26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5"/>
        <v>0</v>
      </c>
      <c r="G149" s="523">
        <f t="shared" si="36"/>
        <v>0</v>
      </c>
      <c r="H149" s="526">
        <f t="shared" si="33"/>
        <v>0</v>
      </c>
      <c r="I149" s="577">
        <f t="shared" si="34"/>
        <v>0</v>
      </c>
      <c r="J149" s="514">
        <f t="shared" si="37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  <c r="Q149" s="269"/>
    </row>
    <row r="150" spans="2:17" ht="12.5">
      <c r="B150" s="195" t="str">
        <f t="shared" si="26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5"/>
        <v>0</v>
      </c>
      <c r="G150" s="523">
        <f t="shared" si="36"/>
        <v>0</v>
      </c>
      <c r="H150" s="526">
        <f t="shared" si="33"/>
        <v>0</v>
      </c>
      <c r="I150" s="577">
        <f t="shared" si="34"/>
        <v>0</v>
      </c>
      <c r="J150" s="514">
        <f t="shared" si="37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  <c r="Q150" s="269"/>
    </row>
    <row r="151" spans="2:17" ht="12.5">
      <c r="B151" s="195" t="str">
        <f t="shared" si="26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5"/>
        <v>0</v>
      </c>
      <c r="G151" s="523">
        <f t="shared" si="36"/>
        <v>0</v>
      </c>
      <c r="H151" s="526">
        <f t="shared" si="33"/>
        <v>0</v>
      </c>
      <c r="I151" s="577">
        <f t="shared" si="34"/>
        <v>0</v>
      </c>
      <c r="J151" s="514">
        <f t="shared" si="37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  <c r="Q151" s="269"/>
    </row>
    <row r="152" spans="2:17" ht="12.5">
      <c r="B152" s="195" t="str">
        <f t="shared" si="26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5"/>
        <v>0</v>
      </c>
      <c r="G152" s="523">
        <f t="shared" si="36"/>
        <v>0</v>
      </c>
      <c r="H152" s="526">
        <f t="shared" si="33"/>
        <v>0</v>
      </c>
      <c r="I152" s="577">
        <f t="shared" si="34"/>
        <v>0</v>
      </c>
      <c r="J152" s="514">
        <f t="shared" si="37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  <c r="Q152" s="269"/>
    </row>
    <row r="153" spans="2:17" ht="12.5">
      <c r="B153" s="195" t="str">
        <f t="shared" si="26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5"/>
        <v>0</v>
      </c>
      <c r="G153" s="523">
        <f t="shared" si="36"/>
        <v>0</v>
      </c>
      <c r="H153" s="526">
        <f t="shared" si="33"/>
        <v>0</v>
      </c>
      <c r="I153" s="577">
        <f t="shared" si="34"/>
        <v>0</v>
      </c>
      <c r="J153" s="514">
        <f t="shared" si="37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  <c r="Q153" s="269"/>
    </row>
    <row r="154" spans="2:17" ht="13" thickBot="1">
      <c r="B154" s="195" t="str">
        <f t="shared" si="26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5"/>
        <v>0</v>
      </c>
      <c r="G154" s="528">
        <f t="shared" si="36"/>
        <v>0</v>
      </c>
      <c r="H154" s="530">
        <f t="shared" si="33"/>
        <v>0</v>
      </c>
      <c r="I154" s="579">
        <f t="shared" si="34"/>
        <v>0</v>
      </c>
      <c r="J154" s="533">
        <f t="shared" si="37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  <c r="Q154" s="269"/>
    </row>
    <row r="155" spans="2:17" ht="12.5">
      <c r="C155" s="374" t="s">
        <v>78</v>
      </c>
      <c r="D155" s="375"/>
      <c r="E155" s="375">
        <f>SUM(E99:E154)</f>
        <v>77750</v>
      </c>
      <c r="F155" s="375"/>
      <c r="G155" s="375"/>
      <c r="H155" s="375">
        <f>SUM(H99:H154)</f>
        <v>271529.1085517754</v>
      </c>
      <c r="I155" s="375">
        <f>SUM(I99:I154)</f>
        <v>271529.1085517754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7" priority="1" stopIfTrue="1" operator="equal">
      <formula>$I$10</formula>
    </cfRule>
  </conditionalFormatting>
  <conditionalFormatting sqref="C99:C154">
    <cfRule type="cellIs" dxfId="1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Q162"/>
  <sheetViews>
    <sheetView view="pageBreakPreview" topLeftCell="A91" zoomScale="89" zoomScaleNormal="100" zoomScaleSheetLayoutView="89" workbookViewId="0">
      <selection activeCell="D111" sqref="D1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20.269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8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940594.18343292759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940594.18343292759</v>
      </c>
      <c r="O6" s="269"/>
      <c r="P6" s="269"/>
    </row>
    <row r="7" spans="1:17" ht="13.5" thickBot="1">
      <c r="C7" s="467" t="s">
        <v>48</v>
      </c>
      <c r="D7" s="468" t="s">
        <v>230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147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9655697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229897.54761904763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>
        <v>1708278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16763318</v>
      </c>
      <c r="E17" s="509">
        <v>226531</v>
      </c>
      <c r="F17" s="508">
        <v>16536787</v>
      </c>
      <c r="G17" s="509">
        <v>1708278</v>
      </c>
      <c r="H17" s="510">
        <v>1708278</v>
      </c>
      <c r="I17" s="596">
        <f t="shared" ref="I17:I48" si="0">H17-G17</f>
        <v>0</v>
      </c>
      <c r="J17" s="511"/>
      <c r="K17" s="512">
        <v>1708278</v>
      </c>
      <c r="L17" s="513">
        <f t="shared" ref="L17:L48" si="1">IF(K17&lt;&gt;0,+G17-K17,0)</f>
        <v>0</v>
      </c>
      <c r="M17" s="512">
        <f>K17</f>
        <v>1708278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2009</v>
      </c>
      <c r="D18" s="515">
        <v>6302584</v>
      </c>
      <c r="E18" s="516">
        <v>172280</v>
      </c>
      <c r="F18" s="515">
        <v>6130304</v>
      </c>
      <c r="G18" s="516">
        <v>1111825</v>
      </c>
      <c r="H18" s="510">
        <v>1111825</v>
      </c>
      <c r="I18" s="596">
        <f t="shared" si="0"/>
        <v>0</v>
      </c>
      <c r="J18" s="511"/>
      <c r="K18" s="518">
        <v>1111825</v>
      </c>
      <c r="L18" s="514">
        <f t="shared" si="1"/>
        <v>0</v>
      </c>
      <c r="M18" s="518">
        <v>1111825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2010</v>
      </c>
      <c r="D19" s="515">
        <v>6007971</v>
      </c>
      <c r="E19" s="516">
        <v>168599</v>
      </c>
      <c r="F19" s="515">
        <v>5839371</v>
      </c>
      <c r="G19" s="516">
        <v>1008096</v>
      </c>
      <c r="H19" s="510">
        <v>1008096</v>
      </c>
      <c r="I19" s="517">
        <v>0</v>
      </c>
      <c r="J19" s="511"/>
      <c r="K19" s="518">
        <f t="shared" ref="K19:K24" si="4">G19</f>
        <v>1008096</v>
      </c>
      <c r="L19" s="519">
        <f t="shared" si="1"/>
        <v>0</v>
      </c>
      <c r="M19" s="518">
        <f t="shared" ref="M19:M24" si="5">H19</f>
        <v>1008096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2011</v>
      </c>
      <c r="D20" s="515">
        <v>9088287</v>
      </c>
      <c r="E20" s="516">
        <v>235504.80487804877</v>
      </c>
      <c r="F20" s="515">
        <v>8852782.1951219514</v>
      </c>
      <c r="G20" s="516">
        <v>1618240.1938879332</v>
      </c>
      <c r="H20" s="510">
        <v>1618240.1938879332</v>
      </c>
      <c r="I20" s="517">
        <v>0</v>
      </c>
      <c r="J20" s="511"/>
      <c r="K20" s="518">
        <f t="shared" si="4"/>
        <v>1618240.1938879332</v>
      </c>
      <c r="L20" s="519">
        <f t="shared" si="1"/>
        <v>0</v>
      </c>
      <c r="M20" s="518">
        <f t="shared" si="5"/>
        <v>1618240.1938879332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8852782.1951219514</v>
      </c>
      <c r="E21" s="516">
        <v>229897.54761904763</v>
      </c>
      <c r="F21" s="515">
        <v>8622884.6475029029</v>
      </c>
      <c r="G21" s="516">
        <v>1512294.1601805561</v>
      </c>
      <c r="H21" s="510">
        <v>1512294.1601805561</v>
      </c>
      <c r="I21" s="517">
        <v>0</v>
      </c>
      <c r="J21" s="511"/>
      <c r="K21" s="518">
        <f t="shared" si="4"/>
        <v>1512294.1601805561</v>
      </c>
      <c r="L21" s="519">
        <f t="shared" si="1"/>
        <v>0</v>
      </c>
      <c r="M21" s="518">
        <f t="shared" si="5"/>
        <v>1512294.1601805561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515">
        <v>8622884.6475029029</v>
      </c>
      <c r="E22" s="516">
        <v>229897.54761904763</v>
      </c>
      <c r="F22" s="515">
        <v>8392987.0998838544</v>
      </c>
      <c r="G22" s="516">
        <v>1404807.3216316376</v>
      </c>
      <c r="H22" s="510">
        <v>1404807.3216316376</v>
      </c>
      <c r="I22" s="596">
        <v>0</v>
      </c>
      <c r="J22" s="511"/>
      <c r="K22" s="518">
        <f t="shared" si="4"/>
        <v>1404807.3216316376</v>
      </c>
      <c r="L22" s="519">
        <f t="shared" ref="L22:L27" si="7">IF(K22&lt;&gt;0,+G22-K22,0)</f>
        <v>0</v>
      </c>
      <c r="M22" s="518">
        <f t="shared" si="5"/>
        <v>1404807.3216316376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515">
        <v>8392987.0998838544</v>
      </c>
      <c r="E23" s="516">
        <v>229897.54761904763</v>
      </c>
      <c r="F23" s="515">
        <v>8163089.5522648068</v>
      </c>
      <c r="G23" s="516">
        <v>1331184.1080053137</v>
      </c>
      <c r="H23" s="510">
        <v>1331184.1080053137</v>
      </c>
      <c r="I23" s="596">
        <v>0</v>
      </c>
      <c r="J23" s="511"/>
      <c r="K23" s="518">
        <f t="shared" si="4"/>
        <v>1331184.1080053137</v>
      </c>
      <c r="L23" s="519">
        <f t="shared" si="7"/>
        <v>0</v>
      </c>
      <c r="M23" s="518">
        <f t="shared" si="5"/>
        <v>1331184.1080053137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515">
        <v>8163089.5522648068</v>
      </c>
      <c r="E24" s="516">
        <v>229897.54761904763</v>
      </c>
      <c r="F24" s="515">
        <v>7933192.0046457592</v>
      </c>
      <c r="G24" s="516">
        <v>1274737.0216882618</v>
      </c>
      <c r="H24" s="510">
        <v>1274737.0216882618</v>
      </c>
      <c r="I24" s="511">
        <v>0</v>
      </c>
      <c r="J24" s="511"/>
      <c r="K24" s="518">
        <f t="shared" si="4"/>
        <v>1274737.0216882618</v>
      </c>
      <c r="L24" s="519">
        <f t="shared" si="7"/>
        <v>0</v>
      </c>
      <c r="M24" s="518">
        <f t="shared" si="5"/>
        <v>1274737.0216882618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2016</v>
      </c>
      <c r="D25" s="515">
        <v>7933192.0046457592</v>
      </c>
      <c r="E25" s="516">
        <v>229897.54761904763</v>
      </c>
      <c r="F25" s="515">
        <v>7703294.4570267117</v>
      </c>
      <c r="G25" s="516">
        <v>1231941.898152455</v>
      </c>
      <c r="H25" s="510">
        <v>1231941.898152455</v>
      </c>
      <c r="I25" s="511">
        <f t="shared" si="0"/>
        <v>0</v>
      </c>
      <c r="J25" s="511"/>
      <c r="K25" s="518">
        <f>G25</f>
        <v>1231941.898152455</v>
      </c>
      <c r="L25" s="519">
        <f t="shared" si="7"/>
        <v>0</v>
      </c>
      <c r="M25" s="518">
        <f>H25</f>
        <v>1231941.898152455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515">
        <v>7703294.4570267117</v>
      </c>
      <c r="E26" s="516">
        <v>224551.09302325582</v>
      </c>
      <c r="F26" s="515">
        <v>7478743.3640034562</v>
      </c>
      <c r="G26" s="516">
        <v>1165021.6585770869</v>
      </c>
      <c r="H26" s="510">
        <v>1165021.6585770869</v>
      </c>
      <c r="I26" s="511">
        <f t="shared" si="0"/>
        <v>0</v>
      </c>
      <c r="J26" s="511"/>
      <c r="K26" s="518">
        <f>G26</f>
        <v>1165021.6585770869</v>
      </c>
      <c r="L26" s="519">
        <f t="shared" si="7"/>
        <v>0</v>
      </c>
      <c r="M26" s="518">
        <f>H26</f>
        <v>1165021.6585770869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515">
        <v>7478743.3640034562</v>
      </c>
      <c r="E27" s="516">
        <v>235504.80487804877</v>
      </c>
      <c r="F27" s="515">
        <v>7243238.5591254076</v>
      </c>
      <c r="G27" s="516">
        <v>1171043.3183571417</v>
      </c>
      <c r="H27" s="510">
        <v>1171043.3183571417</v>
      </c>
      <c r="I27" s="511">
        <f t="shared" si="0"/>
        <v>0</v>
      </c>
      <c r="J27" s="511"/>
      <c r="K27" s="518">
        <f>G27</f>
        <v>1171043.3183571417</v>
      </c>
      <c r="L27" s="519">
        <f t="shared" si="7"/>
        <v>0</v>
      </c>
      <c r="M27" s="518">
        <f>H27</f>
        <v>1171043.3183571417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515">
        <v>7243238.5591254076</v>
      </c>
      <c r="E28" s="516">
        <v>235504.80487804877</v>
      </c>
      <c r="F28" s="515">
        <v>7007733.754247359</v>
      </c>
      <c r="G28" s="516">
        <v>1141112.0473878908</v>
      </c>
      <c r="H28" s="510">
        <v>1141112.0473878908</v>
      </c>
      <c r="I28" s="511">
        <f t="shared" si="0"/>
        <v>0</v>
      </c>
      <c r="J28" s="511"/>
      <c r="K28" s="518">
        <f>G28</f>
        <v>1141112.0473878908</v>
      </c>
      <c r="L28" s="519">
        <f t="shared" ref="L28" si="10">IF(K28&lt;&gt;0,+G28-K28,0)</f>
        <v>0</v>
      </c>
      <c r="M28" s="518">
        <f>H28</f>
        <v>1141112.0473878908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2020</v>
      </c>
      <c r="D29" s="515">
        <v>7007733.754247359</v>
      </c>
      <c r="E29" s="516">
        <v>235504.80487804877</v>
      </c>
      <c r="F29" s="515">
        <v>6772228.9493693104</v>
      </c>
      <c r="G29" s="516">
        <v>940594.18343292759</v>
      </c>
      <c r="H29" s="510">
        <v>940594.18343292759</v>
      </c>
      <c r="I29" s="511">
        <f t="shared" si="0"/>
        <v>0</v>
      </c>
      <c r="J29" s="511"/>
      <c r="K29" s="518">
        <f>G29</f>
        <v>940594.18343292759</v>
      </c>
      <c r="L29" s="519">
        <f t="shared" ref="L29" si="11">IF(K29&lt;&gt;0,+G29-K29,0)</f>
        <v>0</v>
      </c>
      <c r="M29" s="518">
        <f>H29</f>
        <v>940594.18343292759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/>
      </c>
      <c r="C30" s="507">
        <f>IF(D11="","-",+C29+1)</f>
        <v>2021</v>
      </c>
      <c r="D30" s="523">
        <f>IF(F29+SUM(E$17:E29)=D$10,F29,D$10-SUM(E$17:E29))</f>
        <v>6772228.9493693104</v>
      </c>
      <c r="E30" s="522">
        <f>IF(+I14&lt;F29,I14,D30)</f>
        <v>229897.54761904763</v>
      </c>
      <c r="F30" s="523">
        <f t="shared" ref="F30:F48" si="12">+D30-E30</f>
        <v>6542331.4017502628</v>
      </c>
      <c r="G30" s="524">
        <f t="shared" ref="G30:G72" si="13">+I$12*((D30+F30)/2)+E30</f>
        <v>941014.72672829963</v>
      </c>
      <c r="H30" s="491">
        <f t="shared" ref="H30:H72" si="14">+I$13*((D30+F30)/2)+E30</f>
        <v>941014.72672829963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2022</v>
      </c>
      <c r="D31" s="523">
        <f>IF(F30+SUM(E$17:E30)=D$10,F30,D$10-SUM(E$17:E30))</f>
        <v>6542331.4017502628</v>
      </c>
      <c r="E31" s="522">
        <f>IF(+I14&lt;F30,I14,D31)</f>
        <v>229897.54761904763</v>
      </c>
      <c r="F31" s="523">
        <f t="shared" si="12"/>
        <v>6312433.8541312153</v>
      </c>
      <c r="G31" s="524">
        <f t="shared" si="13"/>
        <v>916457.53651912441</v>
      </c>
      <c r="H31" s="491">
        <f t="shared" si="14"/>
        <v>916457.53651912441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6312433.8541312153</v>
      </c>
      <c r="E32" s="522">
        <f>IF(+I14&lt;F31,I14,D32)</f>
        <v>229897.54761904763</v>
      </c>
      <c r="F32" s="523">
        <f t="shared" si="12"/>
        <v>6082536.3065121677</v>
      </c>
      <c r="G32" s="524">
        <f t="shared" si="13"/>
        <v>891900.34630994941</v>
      </c>
      <c r="H32" s="491">
        <f t="shared" si="14"/>
        <v>891900.34630994941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6082536.3065121677</v>
      </c>
      <c r="E33" s="522">
        <f>IF(+I14&lt;F32,I14,D33)</f>
        <v>229897.54761904763</v>
      </c>
      <c r="F33" s="523">
        <f t="shared" si="12"/>
        <v>5852638.7588931201</v>
      </c>
      <c r="G33" s="524">
        <f t="shared" si="13"/>
        <v>867343.15610077418</v>
      </c>
      <c r="H33" s="491">
        <f t="shared" si="14"/>
        <v>867343.15610077418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5852638.7588931201</v>
      </c>
      <c r="E34" s="522">
        <f>IF(+I14&lt;F33,I14,D34)</f>
        <v>229897.54761904763</v>
      </c>
      <c r="F34" s="523">
        <f t="shared" si="12"/>
        <v>5622741.2112740725</v>
      </c>
      <c r="G34" s="524">
        <f t="shared" si="13"/>
        <v>842785.96589159942</v>
      </c>
      <c r="H34" s="491">
        <f t="shared" si="14"/>
        <v>842785.96589159942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5622741.2112740725</v>
      </c>
      <c r="E35" s="522">
        <f>IF(+I14&lt;F34,I14,D35)</f>
        <v>229897.54761904763</v>
      </c>
      <c r="F35" s="523">
        <f t="shared" si="12"/>
        <v>5392843.663655025</v>
      </c>
      <c r="G35" s="524">
        <f t="shared" si="13"/>
        <v>818228.7756824242</v>
      </c>
      <c r="H35" s="491">
        <f t="shared" si="14"/>
        <v>818228.7756824242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5392843.663655025</v>
      </c>
      <c r="E36" s="522">
        <f>IF(+I14&lt;F35,I14,D36)</f>
        <v>229897.54761904763</v>
      </c>
      <c r="F36" s="523">
        <f t="shared" si="12"/>
        <v>5162946.1160359774</v>
      </c>
      <c r="G36" s="524">
        <f t="shared" si="13"/>
        <v>793671.5854732492</v>
      </c>
      <c r="H36" s="491">
        <f t="shared" si="14"/>
        <v>793671.5854732492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5162946.1160359774</v>
      </c>
      <c r="E37" s="522">
        <f>IF(+I14&lt;F36,I14,D37)</f>
        <v>229897.54761904763</v>
      </c>
      <c r="F37" s="523">
        <f t="shared" si="12"/>
        <v>4933048.5684169298</v>
      </c>
      <c r="G37" s="524">
        <f t="shared" si="13"/>
        <v>769114.39526407397</v>
      </c>
      <c r="H37" s="491">
        <f t="shared" si="14"/>
        <v>769114.39526407397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4933048.5684169298</v>
      </c>
      <c r="E38" s="522">
        <f>IF(+I14&lt;F37,I14,D38)</f>
        <v>229897.54761904763</v>
      </c>
      <c r="F38" s="523">
        <f t="shared" si="12"/>
        <v>4703151.0207978822</v>
      </c>
      <c r="G38" s="524">
        <f t="shared" si="13"/>
        <v>744557.2050548991</v>
      </c>
      <c r="H38" s="491">
        <f t="shared" si="14"/>
        <v>744557.2050548991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4703151.0207978822</v>
      </c>
      <c r="E39" s="522">
        <f>IF(+I14&lt;F38,I14,D39)</f>
        <v>229897.54761904763</v>
      </c>
      <c r="F39" s="523">
        <f t="shared" si="12"/>
        <v>4473253.4731788347</v>
      </c>
      <c r="G39" s="524">
        <f t="shared" si="13"/>
        <v>720000.01484572398</v>
      </c>
      <c r="H39" s="491">
        <f t="shared" si="14"/>
        <v>720000.01484572398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4473253.4731788347</v>
      </c>
      <c r="E40" s="522">
        <f>IF(+I14&lt;F39,I14,D40)</f>
        <v>229897.54761904763</v>
      </c>
      <c r="F40" s="523">
        <f t="shared" si="12"/>
        <v>4243355.9255597871</v>
      </c>
      <c r="G40" s="524">
        <f t="shared" si="13"/>
        <v>695442.82463654899</v>
      </c>
      <c r="H40" s="491">
        <f t="shared" si="14"/>
        <v>695442.82463654899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4243355.9255597871</v>
      </c>
      <c r="E41" s="522">
        <f>IF(+I14&lt;F40,I14,D41)</f>
        <v>229897.54761904763</v>
      </c>
      <c r="F41" s="523">
        <f t="shared" si="12"/>
        <v>4013458.3779407395</v>
      </c>
      <c r="G41" s="524">
        <f t="shared" si="13"/>
        <v>670885.63442737376</v>
      </c>
      <c r="H41" s="491">
        <f t="shared" si="14"/>
        <v>670885.63442737376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4013458.3779407395</v>
      </c>
      <c r="E42" s="522">
        <f>IF(+I14&lt;F41,I14,D42)</f>
        <v>229897.54761904763</v>
      </c>
      <c r="F42" s="523">
        <f t="shared" si="12"/>
        <v>3783560.8303216919</v>
      </c>
      <c r="G42" s="524">
        <f t="shared" si="13"/>
        <v>646328.44421819877</v>
      </c>
      <c r="H42" s="491">
        <f t="shared" si="14"/>
        <v>646328.44421819877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3783560.8303216919</v>
      </c>
      <c r="E43" s="522">
        <f>IF(+I14&lt;F42,I14,D43)</f>
        <v>229897.54761904763</v>
      </c>
      <c r="F43" s="523">
        <f t="shared" si="12"/>
        <v>3553663.2827026444</v>
      </c>
      <c r="G43" s="524">
        <f t="shared" si="13"/>
        <v>621771.25400902377</v>
      </c>
      <c r="H43" s="491">
        <f t="shared" si="14"/>
        <v>621771.25400902377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3553663.2827026444</v>
      </c>
      <c r="E44" s="522">
        <f>IF(+I14&lt;F43,I14,D44)</f>
        <v>229897.54761904763</v>
      </c>
      <c r="F44" s="523">
        <f t="shared" si="12"/>
        <v>3323765.7350835968</v>
      </c>
      <c r="G44" s="524">
        <f t="shared" si="13"/>
        <v>597214.06379984866</v>
      </c>
      <c r="H44" s="491">
        <f t="shared" si="14"/>
        <v>597214.06379984866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3323765.7350835968</v>
      </c>
      <c r="E45" s="522">
        <f>IF(+I14&lt;F44,I14,D45)</f>
        <v>229897.54761904763</v>
      </c>
      <c r="F45" s="523">
        <f t="shared" si="12"/>
        <v>3093868.1874645492</v>
      </c>
      <c r="G45" s="524">
        <f t="shared" si="13"/>
        <v>572656.87359067355</v>
      </c>
      <c r="H45" s="491">
        <f t="shared" si="14"/>
        <v>572656.87359067355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3093868.1874645492</v>
      </c>
      <c r="E46" s="522">
        <f>IF(+I14&lt;F45,I14,D46)</f>
        <v>229897.54761904763</v>
      </c>
      <c r="F46" s="523">
        <f t="shared" si="12"/>
        <v>2863970.6398455016</v>
      </c>
      <c r="G46" s="524">
        <f t="shared" si="13"/>
        <v>548099.68338149856</v>
      </c>
      <c r="H46" s="491">
        <f t="shared" si="14"/>
        <v>548099.68338149856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2863970.6398455016</v>
      </c>
      <c r="E47" s="522">
        <f>IF(+I14&lt;F46,I14,D47)</f>
        <v>229897.54761904763</v>
      </c>
      <c r="F47" s="523">
        <f t="shared" si="12"/>
        <v>2634073.0922264541</v>
      </c>
      <c r="G47" s="524">
        <f t="shared" si="13"/>
        <v>523542.49317232351</v>
      </c>
      <c r="H47" s="491">
        <f t="shared" si="14"/>
        <v>523542.49317232351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2634073.0922264541</v>
      </c>
      <c r="E48" s="522">
        <f>IF(+I14&lt;F47,I14,D48)</f>
        <v>229897.54761904763</v>
      </c>
      <c r="F48" s="523">
        <f t="shared" si="12"/>
        <v>2404175.5446074065</v>
      </c>
      <c r="G48" s="524">
        <f t="shared" si="13"/>
        <v>498985.30296314845</v>
      </c>
      <c r="H48" s="491">
        <f t="shared" si="14"/>
        <v>498985.30296314845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2404175.5446074065</v>
      </c>
      <c r="E49" s="522">
        <f>IF(+I14&lt;F48,I14,D49)</f>
        <v>229897.54761904763</v>
      </c>
      <c r="F49" s="523">
        <f t="shared" ref="F49:F72" si="15">+D49-E49</f>
        <v>2174277.9969883589</v>
      </c>
      <c r="G49" s="524">
        <f t="shared" si="13"/>
        <v>474428.11275397334</v>
      </c>
      <c r="H49" s="491">
        <f t="shared" si="14"/>
        <v>474428.11275397334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2174277.9969883589</v>
      </c>
      <c r="E50" s="522">
        <f>IF(+I14&lt;F49,I14,D50)</f>
        <v>229897.54761904763</v>
      </c>
      <c r="F50" s="523">
        <f t="shared" si="15"/>
        <v>1944380.4493693113</v>
      </c>
      <c r="G50" s="524">
        <f t="shared" si="13"/>
        <v>449870.92254479835</v>
      </c>
      <c r="H50" s="491">
        <f t="shared" si="14"/>
        <v>449870.92254479835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1944380.4493693113</v>
      </c>
      <c r="E51" s="522">
        <f>IF(+I14&lt;F50,I14,D51)</f>
        <v>229897.54761904763</v>
      </c>
      <c r="F51" s="523">
        <f t="shared" si="15"/>
        <v>1714482.9017502638</v>
      </c>
      <c r="G51" s="524">
        <f t="shared" si="13"/>
        <v>425313.73233562324</v>
      </c>
      <c r="H51" s="491">
        <f t="shared" si="14"/>
        <v>425313.73233562324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1714482.9017502638</v>
      </c>
      <c r="E52" s="522">
        <f>IF(+I14&lt;F51,I14,D52)</f>
        <v>229897.54761904763</v>
      </c>
      <c r="F52" s="523">
        <f t="shared" si="15"/>
        <v>1484585.3541312162</v>
      </c>
      <c r="G52" s="524">
        <f t="shared" si="13"/>
        <v>400756.54212644818</v>
      </c>
      <c r="H52" s="491">
        <f t="shared" si="14"/>
        <v>400756.54212644818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1484585.3541312162</v>
      </c>
      <c r="E53" s="522">
        <f>IF(+I14&lt;F52,I14,D53)</f>
        <v>229897.54761904763</v>
      </c>
      <c r="F53" s="523">
        <f t="shared" si="15"/>
        <v>1254687.8065121686</v>
      </c>
      <c r="G53" s="524">
        <f t="shared" si="13"/>
        <v>376199.35191727313</v>
      </c>
      <c r="H53" s="491">
        <f t="shared" si="14"/>
        <v>376199.35191727313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1254687.8065121686</v>
      </c>
      <c r="E54" s="522">
        <f>IF(+I14&lt;F53,I14,D54)</f>
        <v>229897.54761904763</v>
      </c>
      <c r="F54" s="523">
        <f t="shared" si="15"/>
        <v>1024790.258893121</v>
      </c>
      <c r="G54" s="524">
        <f t="shared" si="13"/>
        <v>351642.16170809808</v>
      </c>
      <c r="H54" s="491">
        <f t="shared" si="14"/>
        <v>351642.16170809808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1024790.258893121</v>
      </c>
      <c r="E55" s="522">
        <f>IF(+I14&lt;F54,I14,D55)</f>
        <v>229897.54761904763</v>
      </c>
      <c r="F55" s="523">
        <f t="shared" si="15"/>
        <v>794892.71127407346</v>
      </c>
      <c r="G55" s="524">
        <f t="shared" si="13"/>
        <v>327084.97149892303</v>
      </c>
      <c r="H55" s="491">
        <f t="shared" si="14"/>
        <v>327084.97149892303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794892.71127407346</v>
      </c>
      <c r="E56" s="522">
        <f>IF(+I14&lt;F55,I14,D56)</f>
        <v>229897.54761904763</v>
      </c>
      <c r="F56" s="523">
        <f t="shared" si="15"/>
        <v>564995.16365502588</v>
      </c>
      <c r="G56" s="524">
        <f t="shared" si="13"/>
        <v>302527.78128974792</v>
      </c>
      <c r="H56" s="491">
        <f t="shared" si="14"/>
        <v>302527.78128974792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564995.16365502588</v>
      </c>
      <c r="E57" s="522">
        <f>IF(+I14&lt;F56,I14,D57)</f>
        <v>229897.54761904763</v>
      </c>
      <c r="F57" s="523">
        <f t="shared" si="15"/>
        <v>335097.61603597825</v>
      </c>
      <c r="G57" s="524">
        <f t="shared" si="13"/>
        <v>277970.59108057286</v>
      </c>
      <c r="H57" s="491">
        <f t="shared" si="14"/>
        <v>277970.59108057286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335097.61603597825</v>
      </c>
      <c r="E58" s="522">
        <f>IF(+I14&lt;F57,I14,D58)</f>
        <v>229897.54761904763</v>
      </c>
      <c r="F58" s="523">
        <f t="shared" si="15"/>
        <v>105200.06841693062</v>
      </c>
      <c r="G58" s="524">
        <f t="shared" si="13"/>
        <v>253413.40087139781</v>
      </c>
      <c r="H58" s="491">
        <f t="shared" si="14"/>
        <v>253413.40087139781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105200.06841693062</v>
      </c>
      <c r="E59" s="522">
        <f>IF(+I14&lt;F58,I14,D59)</f>
        <v>105200.06841693062</v>
      </c>
      <c r="F59" s="523">
        <f t="shared" si="15"/>
        <v>0</v>
      </c>
      <c r="G59" s="524">
        <f t="shared" si="13"/>
        <v>110818.69749081194</v>
      </c>
      <c r="H59" s="491">
        <f t="shared" si="14"/>
        <v>110818.69749081194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13"/>
        <v>0</v>
      </c>
      <c r="H60" s="491">
        <f t="shared" si="14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13"/>
        <v>0</v>
      </c>
      <c r="H61" s="491">
        <f t="shared" si="14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3"/>
        <v>0</v>
      </c>
      <c r="H62" s="491">
        <f t="shared" si="14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3"/>
        <v>0</v>
      </c>
      <c r="H63" s="491">
        <f t="shared" si="14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3"/>
        <v>0</v>
      </c>
      <c r="H64" s="491">
        <f t="shared" si="14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3"/>
        <v>0</v>
      </c>
      <c r="H65" s="491">
        <f t="shared" si="14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3"/>
        <v>0</v>
      </c>
      <c r="H66" s="491">
        <f t="shared" si="14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3"/>
        <v>0</v>
      </c>
      <c r="H67" s="491">
        <f t="shared" si="14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3"/>
        <v>0</v>
      </c>
      <c r="H68" s="491">
        <f t="shared" si="14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3"/>
        <v>0</v>
      </c>
      <c r="H69" s="491">
        <f t="shared" si="14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3"/>
        <v>0</v>
      </c>
      <c r="H70" s="491">
        <f t="shared" si="14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3"/>
        <v>0</v>
      </c>
      <c r="H71" s="491">
        <f t="shared" si="14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3"/>
        <v>0</v>
      </c>
      <c r="H72" s="471">
        <f t="shared" si="14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9655697.0000000037</v>
      </c>
      <c r="F73" s="375"/>
      <c r="G73" s="375">
        <f>SUM(G17:G72)</f>
        <v>34049201.458987623</v>
      </c>
      <c r="H73" s="375">
        <f>SUM(H17:H72)</f>
        <v>34049201.458987623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8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940594.18343292759</v>
      </c>
      <c r="N87" s="546">
        <f>IF(J92&lt;D11,0,VLOOKUP(J92,C17:O72,11))</f>
        <v>940594.18343292759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983611.06650091335</v>
      </c>
      <c r="N88" s="550">
        <f>IF(J92&lt;D11,0,VLOOKUP(J92,C99:P154,7))</f>
        <v>983611.06650091335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Dyess to S. Fayetteville 69 kV Convert to 161 kV (multi-projects)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43016.883067985764</v>
      </c>
      <c r="N89" s="555">
        <f>+N88-N87</f>
        <v>43016.883067985764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TP2002085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9655697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229897.54761904763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1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71783</v>
      </c>
      <c r="F99" s="515">
        <v>6302584</v>
      </c>
      <c r="G99" s="574">
        <v>3151292</v>
      </c>
      <c r="H99" s="575">
        <v>574103</v>
      </c>
      <c r="I99" s="576">
        <v>574103</v>
      </c>
      <c r="J99" s="514">
        <f t="shared" ref="J99:J130" si="20">+I99-H99</f>
        <v>0</v>
      </c>
      <c r="K99" s="514"/>
      <c r="L99" s="512">
        <v>574103</v>
      </c>
      <c r="M99" s="597">
        <f t="shared" ref="M99:M130" si="21">IF(L99&lt;&gt;0,+H99-L99,0)</f>
        <v>0</v>
      </c>
      <c r="N99" s="512">
        <v>574103</v>
      </c>
      <c r="O99" s="513">
        <f t="shared" ref="O99:O130" si="22">IF(N99&lt;&gt;0,+I99-N99,0)</f>
        <v>0</v>
      </c>
      <c r="P99" s="513">
        <f t="shared" ref="P99:P130" si="23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2009</v>
      </c>
      <c r="D100" s="508">
        <v>6334999</v>
      </c>
      <c r="E100" s="516">
        <v>168599</v>
      </c>
      <c r="F100" s="515">
        <v>6166399</v>
      </c>
      <c r="G100" s="515">
        <v>6250699</v>
      </c>
      <c r="H100" s="516">
        <v>1073311</v>
      </c>
      <c r="I100" s="510">
        <v>1073311</v>
      </c>
      <c r="J100" s="514">
        <f t="shared" si="20"/>
        <v>0</v>
      </c>
      <c r="K100" s="514"/>
      <c r="L100" s="518">
        <f t="shared" ref="L100:L105" si="24">H100</f>
        <v>1073311</v>
      </c>
      <c r="M100" s="519">
        <f t="shared" si="21"/>
        <v>0</v>
      </c>
      <c r="N100" s="518">
        <f t="shared" ref="N100:N105" si="25">I100</f>
        <v>1073311</v>
      </c>
      <c r="O100" s="514">
        <f t="shared" si="22"/>
        <v>0</v>
      </c>
      <c r="P100" s="514">
        <f t="shared" si="23"/>
        <v>0</v>
      </c>
      <c r="Q100" s="269"/>
    </row>
    <row r="101" spans="1:17" ht="12.5">
      <c r="B101" s="195" t="str">
        <f t="shared" ref="B101:B154" si="26">IF(D101=F100,"","IU")</f>
        <v>IU</v>
      </c>
      <c r="C101" s="507">
        <f>IF(D93="","-",+C100+1)</f>
        <v>2010</v>
      </c>
      <c r="D101" s="508">
        <v>9415315</v>
      </c>
      <c r="E101" s="516">
        <v>235504.80487804877</v>
      </c>
      <c r="F101" s="515">
        <v>9179810.1951219514</v>
      </c>
      <c r="G101" s="515">
        <v>9297562.5975609757</v>
      </c>
      <c r="H101" s="516">
        <v>1770402.9873066382</v>
      </c>
      <c r="I101" s="510">
        <v>1770402.9873066382</v>
      </c>
      <c r="J101" s="514">
        <f t="shared" si="20"/>
        <v>0</v>
      </c>
      <c r="K101" s="514"/>
      <c r="L101" s="518">
        <f t="shared" si="24"/>
        <v>1770402.9873066382</v>
      </c>
      <c r="M101" s="519">
        <f t="shared" si="21"/>
        <v>0</v>
      </c>
      <c r="N101" s="518">
        <f t="shared" si="25"/>
        <v>1770402.9873066382</v>
      </c>
      <c r="O101" s="514">
        <f t="shared" si="22"/>
        <v>0</v>
      </c>
      <c r="P101" s="514">
        <f t="shared" si="23"/>
        <v>0</v>
      </c>
      <c r="Q101" s="269"/>
    </row>
    <row r="102" spans="1:17" ht="12.5">
      <c r="B102" s="195" t="str">
        <f t="shared" si="26"/>
        <v/>
      </c>
      <c r="C102" s="507">
        <f>IF(D93="","-",+C101+1)</f>
        <v>2011</v>
      </c>
      <c r="D102" s="508">
        <v>9179810.1951219514</v>
      </c>
      <c r="E102" s="520">
        <v>229897.54761904763</v>
      </c>
      <c r="F102" s="515">
        <v>8949912.6475029029</v>
      </c>
      <c r="G102" s="515">
        <v>9064861.4213124271</v>
      </c>
      <c r="H102" s="516">
        <v>1593070.5131617924</v>
      </c>
      <c r="I102" s="510">
        <v>1593070.5131617924</v>
      </c>
      <c r="J102" s="514">
        <f t="shared" si="20"/>
        <v>0</v>
      </c>
      <c r="K102" s="514"/>
      <c r="L102" s="518">
        <f t="shared" si="24"/>
        <v>1593070.5131617924</v>
      </c>
      <c r="M102" s="519">
        <f t="shared" si="21"/>
        <v>0</v>
      </c>
      <c r="N102" s="518">
        <f t="shared" si="25"/>
        <v>1593070.5131617924</v>
      </c>
      <c r="O102" s="514">
        <f t="shared" si="22"/>
        <v>0</v>
      </c>
      <c r="P102" s="514">
        <f t="shared" si="23"/>
        <v>0</v>
      </c>
      <c r="Q102" s="269"/>
    </row>
    <row r="103" spans="1:17" ht="12.5">
      <c r="B103" s="195" t="str">
        <f t="shared" si="26"/>
        <v/>
      </c>
      <c r="C103" s="507">
        <f>IF(D93="","-",+C102+1)</f>
        <v>2012</v>
      </c>
      <c r="D103" s="508">
        <v>8949912.6475029029</v>
      </c>
      <c r="E103" s="516">
        <v>229897.54761904763</v>
      </c>
      <c r="F103" s="515">
        <v>8720015.0998838544</v>
      </c>
      <c r="G103" s="515">
        <v>8834963.8736933786</v>
      </c>
      <c r="H103" s="516">
        <v>1529997.2189099854</v>
      </c>
      <c r="I103" s="510">
        <v>1529997.2189099854</v>
      </c>
      <c r="J103" s="514">
        <f t="shared" si="20"/>
        <v>0</v>
      </c>
      <c r="K103" s="514"/>
      <c r="L103" s="518">
        <f t="shared" si="24"/>
        <v>1529997.2189099854</v>
      </c>
      <c r="M103" s="519">
        <f t="shared" si="21"/>
        <v>0</v>
      </c>
      <c r="N103" s="518">
        <f t="shared" si="25"/>
        <v>1529997.2189099854</v>
      </c>
      <c r="O103" s="514">
        <f t="shared" si="22"/>
        <v>0</v>
      </c>
      <c r="P103" s="514">
        <f t="shared" si="23"/>
        <v>0</v>
      </c>
      <c r="Q103" s="269"/>
    </row>
    <row r="104" spans="1:17" ht="12.5">
      <c r="B104" s="195" t="str">
        <f t="shared" si="26"/>
        <v/>
      </c>
      <c r="C104" s="507">
        <f>IF(D93="","-",+C103+1)</f>
        <v>2013</v>
      </c>
      <c r="D104" s="508">
        <v>8720015.0998838544</v>
      </c>
      <c r="E104" s="516">
        <v>229897.54761904763</v>
      </c>
      <c r="F104" s="515">
        <v>8490117.5522648059</v>
      </c>
      <c r="G104" s="515">
        <v>8605066.3260743301</v>
      </c>
      <c r="H104" s="516">
        <v>1394091.6193593477</v>
      </c>
      <c r="I104" s="510">
        <v>1394091.6193593477</v>
      </c>
      <c r="J104" s="514">
        <v>0</v>
      </c>
      <c r="K104" s="514"/>
      <c r="L104" s="518">
        <f t="shared" si="24"/>
        <v>1394091.6193593477</v>
      </c>
      <c r="M104" s="519">
        <f t="shared" ref="M104:M109" si="27">IF(L104&lt;&gt;0,+H104-L104,0)</f>
        <v>0</v>
      </c>
      <c r="N104" s="518">
        <f t="shared" si="25"/>
        <v>1394091.6193593477</v>
      </c>
      <c r="O104" s="514">
        <f t="shared" ref="O104:O109" si="28">IF(N104&lt;&gt;0,+I104-N104,0)</f>
        <v>0</v>
      </c>
      <c r="P104" s="514">
        <f t="shared" ref="P104:P109" si="29">+O104-M104</f>
        <v>0</v>
      </c>
      <c r="Q104" s="269"/>
    </row>
    <row r="105" spans="1:17" ht="12.5">
      <c r="B105" s="195" t="str">
        <f t="shared" si="26"/>
        <v/>
      </c>
      <c r="C105" s="507">
        <f>IF(D93="","-",+C104+1)</f>
        <v>2014</v>
      </c>
      <c r="D105" s="508">
        <v>8490117.5522648059</v>
      </c>
      <c r="E105" s="516">
        <v>229897.54761904763</v>
      </c>
      <c r="F105" s="515">
        <v>8260220.0046457583</v>
      </c>
      <c r="G105" s="515">
        <v>8375168.7784552816</v>
      </c>
      <c r="H105" s="516">
        <v>1368279.4640981164</v>
      </c>
      <c r="I105" s="510">
        <v>1368279.4640981164</v>
      </c>
      <c r="J105" s="514">
        <v>0</v>
      </c>
      <c r="K105" s="514"/>
      <c r="L105" s="518">
        <f t="shared" si="24"/>
        <v>1368279.4640981164</v>
      </c>
      <c r="M105" s="519">
        <f t="shared" si="27"/>
        <v>0</v>
      </c>
      <c r="N105" s="518">
        <f t="shared" si="25"/>
        <v>1368279.4640981164</v>
      </c>
      <c r="O105" s="514">
        <f t="shared" si="28"/>
        <v>0</v>
      </c>
      <c r="P105" s="514">
        <f t="shared" si="29"/>
        <v>0</v>
      </c>
      <c r="Q105" s="269"/>
    </row>
    <row r="106" spans="1:17" ht="12.5">
      <c r="B106" s="195" t="str">
        <f t="shared" si="26"/>
        <v/>
      </c>
      <c r="C106" s="507">
        <f>IF(D93="","-",+C105+1)</f>
        <v>2015</v>
      </c>
      <c r="D106" s="508">
        <v>8260220.0046457583</v>
      </c>
      <c r="E106" s="516">
        <v>229897.54761904763</v>
      </c>
      <c r="F106" s="515">
        <v>8030322.4570267107</v>
      </c>
      <c r="G106" s="515">
        <v>8145271.230836235</v>
      </c>
      <c r="H106" s="516">
        <v>1303190.7976937878</v>
      </c>
      <c r="I106" s="510">
        <v>1303190.7976937878</v>
      </c>
      <c r="J106" s="514">
        <f t="shared" si="20"/>
        <v>0</v>
      </c>
      <c r="K106" s="514"/>
      <c r="L106" s="518">
        <f>H106</f>
        <v>1303190.7976937878</v>
      </c>
      <c r="M106" s="519">
        <f t="shared" si="27"/>
        <v>0</v>
      </c>
      <c r="N106" s="518">
        <f>I106</f>
        <v>1303190.7976937878</v>
      </c>
      <c r="O106" s="514">
        <f t="shared" si="28"/>
        <v>0</v>
      </c>
      <c r="P106" s="514">
        <f t="shared" si="29"/>
        <v>0</v>
      </c>
      <c r="Q106" s="269"/>
    </row>
    <row r="107" spans="1:17" ht="12.5">
      <c r="B107" s="195" t="str">
        <f t="shared" si="26"/>
        <v/>
      </c>
      <c r="C107" s="507">
        <f>IF(D93="","-",+C106+1)</f>
        <v>2016</v>
      </c>
      <c r="D107" s="508">
        <v>8030322.4570267107</v>
      </c>
      <c r="E107" s="516">
        <v>224551.09302325582</v>
      </c>
      <c r="F107" s="515">
        <v>7805771.3640034553</v>
      </c>
      <c r="G107" s="515">
        <v>7918046.910515083</v>
      </c>
      <c r="H107" s="516">
        <v>1229747.055579846</v>
      </c>
      <c r="I107" s="510">
        <v>1229747.055579846</v>
      </c>
      <c r="J107" s="514">
        <f t="shared" si="20"/>
        <v>0</v>
      </c>
      <c r="K107" s="514"/>
      <c r="L107" s="518">
        <f>H107</f>
        <v>1229747.055579846</v>
      </c>
      <c r="M107" s="519">
        <f t="shared" si="27"/>
        <v>0</v>
      </c>
      <c r="N107" s="518">
        <f>I107</f>
        <v>1229747.055579846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6"/>
        <v/>
      </c>
      <c r="C108" s="507">
        <f>IF(D93="","-",+C107+1)</f>
        <v>2017</v>
      </c>
      <c r="D108" s="508">
        <v>7805771.3640034553</v>
      </c>
      <c r="E108" s="516">
        <v>229897.54761904763</v>
      </c>
      <c r="F108" s="515">
        <v>7575873.8163844077</v>
      </c>
      <c r="G108" s="515">
        <v>7690822.590193931</v>
      </c>
      <c r="H108" s="516">
        <v>1164112.978438803</v>
      </c>
      <c r="I108" s="510">
        <v>1164112.978438803</v>
      </c>
      <c r="J108" s="514">
        <f t="shared" si="20"/>
        <v>0</v>
      </c>
      <c r="K108" s="514"/>
      <c r="L108" s="518">
        <f>H108</f>
        <v>1164112.978438803</v>
      </c>
      <c r="M108" s="519">
        <f t="shared" si="27"/>
        <v>0</v>
      </c>
      <c r="N108" s="518">
        <f>I108</f>
        <v>1164112.978438803</v>
      </c>
      <c r="O108" s="514">
        <f t="shared" si="28"/>
        <v>0</v>
      </c>
      <c r="P108" s="514">
        <f t="shared" si="29"/>
        <v>0</v>
      </c>
      <c r="Q108" s="269"/>
    </row>
    <row r="109" spans="1:17" ht="12.5">
      <c r="B109" s="195" t="str">
        <f t="shared" si="26"/>
        <v/>
      </c>
      <c r="C109" s="507">
        <f>IF(D93="","-",+C108+1)</f>
        <v>2018</v>
      </c>
      <c r="D109" s="508">
        <v>7575873.8163844077</v>
      </c>
      <c r="E109" s="516">
        <v>229897.54761904763</v>
      </c>
      <c r="F109" s="515">
        <v>7345976.2687653601</v>
      </c>
      <c r="G109" s="515">
        <v>7460925.0425748844</v>
      </c>
      <c r="H109" s="516">
        <v>1017805.4465726623</v>
      </c>
      <c r="I109" s="510">
        <v>1017805.4465726623</v>
      </c>
      <c r="J109" s="514">
        <f t="shared" si="20"/>
        <v>0</v>
      </c>
      <c r="K109" s="514"/>
      <c r="L109" s="518">
        <f>H109</f>
        <v>1017805.4465726623</v>
      </c>
      <c r="M109" s="519">
        <f t="shared" si="27"/>
        <v>0</v>
      </c>
      <c r="N109" s="518">
        <f>I109</f>
        <v>1017805.4465726623</v>
      </c>
      <c r="O109" s="514">
        <f t="shared" si="28"/>
        <v>0</v>
      </c>
      <c r="P109" s="514">
        <f t="shared" si="29"/>
        <v>0</v>
      </c>
      <c r="Q109" s="269"/>
    </row>
    <row r="110" spans="1:17" ht="12.5">
      <c r="B110" s="195" t="str">
        <f t="shared" si="26"/>
        <v/>
      </c>
      <c r="C110" s="507">
        <f>IF(D93="","-",+C109+1)</f>
        <v>2019</v>
      </c>
      <c r="D110" s="508">
        <v>7345976.2687653601</v>
      </c>
      <c r="E110" s="516">
        <v>224551.09302325582</v>
      </c>
      <c r="F110" s="515">
        <v>7121425.1757421046</v>
      </c>
      <c r="G110" s="515">
        <v>7233700.7222537324</v>
      </c>
      <c r="H110" s="516">
        <v>998850.37185500155</v>
      </c>
      <c r="I110" s="510">
        <v>998850.37185500155</v>
      </c>
      <c r="J110" s="514">
        <f t="shared" si="20"/>
        <v>0</v>
      </c>
      <c r="K110" s="514"/>
      <c r="L110" s="518">
        <f>H110</f>
        <v>998850.37185500155</v>
      </c>
      <c r="M110" s="519">
        <f t="shared" ref="M110" si="30">IF(L110&lt;&gt;0,+H110-L110,0)</f>
        <v>0</v>
      </c>
      <c r="N110" s="518">
        <f>I110</f>
        <v>998850.37185500155</v>
      </c>
      <c r="O110" s="514">
        <f t="shared" si="22"/>
        <v>0</v>
      </c>
      <c r="P110" s="514">
        <f t="shared" si="23"/>
        <v>0</v>
      </c>
      <c r="Q110" s="269"/>
    </row>
    <row r="111" spans="1:17" ht="12.5">
      <c r="B111" s="195" t="str">
        <f t="shared" si="26"/>
        <v/>
      </c>
      <c r="C111" s="507">
        <f>IF(D93="","-",+C110+1)</f>
        <v>2020</v>
      </c>
      <c r="D111" s="374">
        <f>IF(F110+SUM(E$99:E110)=D$92,F110,D$92-SUM(E$99:E110))</f>
        <v>7121425.1757421046</v>
      </c>
      <c r="E111" s="522">
        <f>IF(+J96&lt;F110,J96,D111)</f>
        <v>229897.54761904763</v>
      </c>
      <c r="F111" s="523">
        <f t="shared" ref="F111:F130" si="31">+D111-E111</f>
        <v>6891527.6281230571</v>
      </c>
      <c r="G111" s="523">
        <f t="shared" ref="G111:G130" si="32">+(F111+D111)/2</f>
        <v>7006476.4019325804</v>
      </c>
      <c r="H111" s="526">
        <f>+J$94*G111+E111</f>
        <v>983611.06650091335</v>
      </c>
      <c r="I111" s="577">
        <f>+J$95*G111+E111</f>
        <v>983611.06650091335</v>
      </c>
      <c r="J111" s="514">
        <f t="shared" si="20"/>
        <v>0</v>
      </c>
      <c r="K111" s="514"/>
      <c r="L111" s="525"/>
      <c r="M111" s="514">
        <f t="shared" si="21"/>
        <v>0</v>
      </c>
      <c r="N111" s="525"/>
      <c r="O111" s="514">
        <f t="shared" si="22"/>
        <v>0</v>
      </c>
      <c r="P111" s="514">
        <f t="shared" si="23"/>
        <v>0</v>
      </c>
      <c r="Q111" s="269"/>
    </row>
    <row r="112" spans="1:17" ht="12.5">
      <c r="B112" s="195" t="str">
        <f t="shared" si="26"/>
        <v/>
      </c>
      <c r="C112" s="507">
        <f>IF(D93="","-",+C111+1)</f>
        <v>2021</v>
      </c>
      <c r="D112" s="374">
        <f>IF(F111+SUM(E$99:E111)=D$92,F111,D$92-SUM(E$99:E111))</f>
        <v>6891527.6281230571</v>
      </c>
      <c r="E112" s="522">
        <f>IF(+J96&lt;F111,J96,D112)</f>
        <v>229897.54761904763</v>
      </c>
      <c r="F112" s="523">
        <f t="shared" si="31"/>
        <v>6661630.0805040095</v>
      </c>
      <c r="G112" s="523">
        <f t="shared" si="32"/>
        <v>6776578.8543135338</v>
      </c>
      <c r="H112" s="526">
        <f>+J$94*G112+E112</f>
        <v>958880.10622101161</v>
      </c>
      <c r="I112" s="577">
        <f>+J$95*G112+E112</f>
        <v>958880.10622101161</v>
      </c>
      <c r="J112" s="514">
        <f t="shared" si="20"/>
        <v>0</v>
      </c>
      <c r="K112" s="514"/>
      <c r="L112" s="525"/>
      <c r="M112" s="514">
        <f t="shared" si="21"/>
        <v>0</v>
      </c>
      <c r="N112" s="525"/>
      <c r="O112" s="514">
        <f t="shared" si="22"/>
        <v>0</v>
      </c>
      <c r="P112" s="514">
        <f t="shared" si="23"/>
        <v>0</v>
      </c>
      <c r="Q112" s="269"/>
    </row>
    <row r="113" spans="2:17" ht="12.5">
      <c r="B113" s="195" t="str">
        <f t="shared" si="26"/>
        <v/>
      </c>
      <c r="C113" s="507">
        <f>IF(D93="","-",+C112+1)</f>
        <v>2022</v>
      </c>
      <c r="D113" s="374">
        <f>IF(F112+SUM(E$99:E112)=D$92,F112,D$92-SUM(E$99:E112))</f>
        <v>6661630.0805040095</v>
      </c>
      <c r="E113" s="522">
        <f>IF(+J96&lt;F112,J96,D113)</f>
        <v>229897.54761904763</v>
      </c>
      <c r="F113" s="523">
        <f t="shared" si="31"/>
        <v>6431732.5328849619</v>
      </c>
      <c r="G113" s="523">
        <f t="shared" si="32"/>
        <v>6546681.3066944852</v>
      </c>
      <c r="H113" s="526">
        <f t="shared" ref="H113:H154" si="33">+J$94*G113+E113</f>
        <v>934149.14594110986</v>
      </c>
      <c r="I113" s="577">
        <f t="shared" ref="I113:I154" si="34">+J$95*G113+E113</f>
        <v>934149.14594110986</v>
      </c>
      <c r="J113" s="514">
        <f t="shared" si="20"/>
        <v>0</v>
      </c>
      <c r="K113" s="514"/>
      <c r="L113" s="525"/>
      <c r="M113" s="514">
        <f t="shared" si="21"/>
        <v>0</v>
      </c>
      <c r="N113" s="525"/>
      <c r="O113" s="514">
        <f t="shared" si="22"/>
        <v>0</v>
      </c>
      <c r="P113" s="514">
        <f t="shared" si="23"/>
        <v>0</v>
      </c>
      <c r="Q113" s="269"/>
    </row>
    <row r="114" spans="2:17" ht="12.5">
      <c r="B114" s="195" t="str">
        <f t="shared" si="26"/>
        <v/>
      </c>
      <c r="C114" s="507">
        <f>IF(D93="","-",+C113+1)</f>
        <v>2023</v>
      </c>
      <c r="D114" s="374">
        <f>IF(F113+SUM(E$99:E113)=D$92,F113,D$92-SUM(E$99:E113))</f>
        <v>6431732.5328849619</v>
      </c>
      <c r="E114" s="522">
        <f>IF(+J96&lt;F113,J96,D114)</f>
        <v>229897.54761904763</v>
      </c>
      <c r="F114" s="523">
        <f t="shared" si="31"/>
        <v>6201834.9852659144</v>
      </c>
      <c r="G114" s="523">
        <f t="shared" si="32"/>
        <v>6316783.7590754386</v>
      </c>
      <c r="H114" s="526">
        <f t="shared" si="33"/>
        <v>909418.18566120812</v>
      </c>
      <c r="I114" s="577">
        <f t="shared" si="34"/>
        <v>909418.18566120812</v>
      </c>
      <c r="J114" s="514">
        <f t="shared" si="20"/>
        <v>0</v>
      </c>
      <c r="K114" s="514"/>
      <c r="L114" s="525"/>
      <c r="M114" s="514">
        <f t="shared" si="21"/>
        <v>0</v>
      </c>
      <c r="N114" s="525"/>
      <c r="O114" s="514">
        <f t="shared" si="22"/>
        <v>0</v>
      </c>
      <c r="P114" s="514">
        <f t="shared" si="23"/>
        <v>0</v>
      </c>
      <c r="Q114" s="269"/>
    </row>
    <row r="115" spans="2:17" ht="12.5">
      <c r="B115" s="195" t="str">
        <f t="shared" si="26"/>
        <v/>
      </c>
      <c r="C115" s="507">
        <f>IF(D93="","-",+C114+1)</f>
        <v>2024</v>
      </c>
      <c r="D115" s="374">
        <f>IF(F114+SUM(E$99:E114)=D$92,F114,D$92-SUM(E$99:E114))</f>
        <v>6201834.9852659144</v>
      </c>
      <c r="E115" s="522">
        <f>IF(+J96&lt;F114,J96,D115)</f>
        <v>229897.54761904763</v>
      </c>
      <c r="F115" s="523">
        <f t="shared" si="31"/>
        <v>5971937.4376468668</v>
      </c>
      <c r="G115" s="523">
        <f t="shared" si="32"/>
        <v>6086886.2114563901</v>
      </c>
      <c r="H115" s="526">
        <f t="shared" si="33"/>
        <v>884687.22538130637</v>
      </c>
      <c r="I115" s="577">
        <f t="shared" si="34"/>
        <v>884687.22538130637</v>
      </c>
      <c r="J115" s="514">
        <f t="shared" si="20"/>
        <v>0</v>
      </c>
      <c r="K115" s="514"/>
      <c r="L115" s="525"/>
      <c r="M115" s="514">
        <f t="shared" si="21"/>
        <v>0</v>
      </c>
      <c r="N115" s="525"/>
      <c r="O115" s="514">
        <f t="shared" si="22"/>
        <v>0</v>
      </c>
      <c r="P115" s="514">
        <f t="shared" si="23"/>
        <v>0</v>
      </c>
      <c r="Q115" s="269"/>
    </row>
    <row r="116" spans="2:17" ht="12.5">
      <c r="B116" s="195" t="str">
        <f t="shared" si="26"/>
        <v/>
      </c>
      <c r="C116" s="507">
        <f>IF(D93="","-",+C115+1)</f>
        <v>2025</v>
      </c>
      <c r="D116" s="374">
        <f>IF(F115+SUM(E$99:E115)=D$92,F115,D$92-SUM(E$99:E115))</f>
        <v>5971937.4376468668</v>
      </c>
      <c r="E116" s="522">
        <f>IF(+J96&lt;F115,J96,D116)</f>
        <v>229897.54761904763</v>
      </c>
      <c r="F116" s="523">
        <f t="shared" si="31"/>
        <v>5742039.8900278192</v>
      </c>
      <c r="G116" s="523">
        <f t="shared" si="32"/>
        <v>5856988.6638373435</v>
      </c>
      <c r="H116" s="526">
        <f t="shared" si="33"/>
        <v>859956.26510140463</v>
      </c>
      <c r="I116" s="577">
        <f t="shared" si="34"/>
        <v>859956.26510140463</v>
      </c>
      <c r="J116" s="514">
        <f t="shared" si="20"/>
        <v>0</v>
      </c>
      <c r="K116" s="514"/>
      <c r="L116" s="525"/>
      <c r="M116" s="514">
        <f t="shared" si="21"/>
        <v>0</v>
      </c>
      <c r="N116" s="525"/>
      <c r="O116" s="514">
        <f t="shared" si="22"/>
        <v>0</v>
      </c>
      <c r="P116" s="514">
        <f t="shared" si="23"/>
        <v>0</v>
      </c>
      <c r="Q116" s="269"/>
    </row>
    <row r="117" spans="2:17" ht="12.5">
      <c r="B117" s="195" t="str">
        <f t="shared" si="26"/>
        <v/>
      </c>
      <c r="C117" s="507">
        <f>IF(D93="","-",+C116+1)</f>
        <v>2026</v>
      </c>
      <c r="D117" s="374">
        <f>IF(F116+SUM(E$99:E116)=D$92,F116,D$92-SUM(E$99:E116))</f>
        <v>5742039.8900278192</v>
      </c>
      <c r="E117" s="522">
        <f>IF(+J96&lt;F116,J96,D117)</f>
        <v>229897.54761904763</v>
      </c>
      <c r="F117" s="523">
        <f t="shared" si="31"/>
        <v>5512142.3424087716</v>
      </c>
      <c r="G117" s="523">
        <f t="shared" si="32"/>
        <v>5627091.1162182949</v>
      </c>
      <c r="H117" s="526">
        <f t="shared" si="33"/>
        <v>835225.30482150265</v>
      </c>
      <c r="I117" s="577">
        <f t="shared" si="34"/>
        <v>835225.30482150265</v>
      </c>
      <c r="J117" s="514">
        <f t="shared" si="20"/>
        <v>0</v>
      </c>
      <c r="K117" s="514"/>
      <c r="L117" s="525"/>
      <c r="M117" s="514">
        <f t="shared" si="21"/>
        <v>0</v>
      </c>
      <c r="N117" s="525"/>
      <c r="O117" s="514">
        <f t="shared" si="22"/>
        <v>0</v>
      </c>
      <c r="P117" s="514">
        <f t="shared" si="23"/>
        <v>0</v>
      </c>
      <c r="Q117" s="269"/>
    </row>
    <row r="118" spans="2:17" ht="12.5">
      <c r="B118" s="195" t="str">
        <f t="shared" si="26"/>
        <v/>
      </c>
      <c r="C118" s="507">
        <f>IF(D93="","-",+C117+1)</f>
        <v>2027</v>
      </c>
      <c r="D118" s="374">
        <f>IF(F117+SUM(E$99:E117)=D$92,F117,D$92-SUM(E$99:E117))</f>
        <v>5512142.3424087716</v>
      </c>
      <c r="E118" s="522">
        <f>IF(+J96&lt;F117,J96,D118)</f>
        <v>229897.54761904763</v>
      </c>
      <c r="F118" s="523">
        <f t="shared" si="31"/>
        <v>5282244.7947897241</v>
      </c>
      <c r="G118" s="523">
        <f t="shared" si="32"/>
        <v>5397193.5685992483</v>
      </c>
      <c r="H118" s="526">
        <f t="shared" si="33"/>
        <v>810494.34454160114</v>
      </c>
      <c r="I118" s="577">
        <f t="shared" si="34"/>
        <v>810494.34454160114</v>
      </c>
      <c r="J118" s="514">
        <f t="shared" si="20"/>
        <v>0</v>
      </c>
      <c r="K118" s="514"/>
      <c r="L118" s="525"/>
      <c r="M118" s="514">
        <f t="shared" si="21"/>
        <v>0</v>
      </c>
      <c r="N118" s="525"/>
      <c r="O118" s="514">
        <f t="shared" si="22"/>
        <v>0</v>
      </c>
      <c r="P118" s="514">
        <f t="shared" si="23"/>
        <v>0</v>
      </c>
      <c r="Q118" s="269"/>
    </row>
    <row r="119" spans="2:17" ht="12.5">
      <c r="B119" s="195" t="str">
        <f t="shared" si="26"/>
        <v/>
      </c>
      <c r="C119" s="507">
        <f>IF(D93="","-",+C118+1)</f>
        <v>2028</v>
      </c>
      <c r="D119" s="374">
        <f>IF(F118+SUM(E$99:E118)=D$92,F118,D$92-SUM(E$99:E118))</f>
        <v>5282244.7947897241</v>
      </c>
      <c r="E119" s="522">
        <f>IF(+J96&lt;F118,J96,D119)</f>
        <v>229897.54761904763</v>
      </c>
      <c r="F119" s="523">
        <f t="shared" si="31"/>
        <v>5052347.2471706765</v>
      </c>
      <c r="G119" s="523">
        <f t="shared" si="32"/>
        <v>5167296.0209801998</v>
      </c>
      <c r="H119" s="526">
        <f t="shared" si="33"/>
        <v>785763.38426169916</v>
      </c>
      <c r="I119" s="577">
        <f t="shared" si="34"/>
        <v>785763.38426169916</v>
      </c>
      <c r="J119" s="514">
        <f t="shared" si="20"/>
        <v>0</v>
      </c>
      <c r="K119" s="514"/>
      <c r="L119" s="525"/>
      <c r="M119" s="514">
        <f t="shared" si="21"/>
        <v>0</v>
      </c>
      <c r="N119" s="525"/>
      <c r="O119" s="514">
        <f t="shared" si="22"/>
        <v>0</v>
      </c>
      <c r="P119" s="514">
        <f t="shared" si="23"/>
        <v>0</v>
      </c>
      <c r="Q119" s="269"/>
    </row>
    <row r="120" spans="2:17" ht="12.5">
      <c r="B120" s="195" t="str">
        <f t="shared" si="26"/>
        <v/>
      </c>
      <c r="C120" s="507">
        <f>IF(D93="","-",+C119+1)</f>
        <v>2029</v>
      </c>
      <c r="D120" s="374">
        <f>IF(F119+SUM(E$99:E119)=D$92,F119,D$92-SUM(E$99:E119))</f>
        <v>5052347.2471706765</v>
      </c>
      <c r="E120" s="522">
        <f>IF(+J96&lt;F119,J96,D120)</f>
        <v>229897.54761904763</v>
      </c>
      <c r="F120" s="523">
        <f t="shared" si="31"/>
        <v>4822449.6995516289</v>
      </c>
      <c r="G120" s="523">
        <f t="shared" si="32"/>
        <v>4937398.4733611532</v>
      </c>
      <c r="H120" s="526">
        <f t="shared" si="33"/>
        <v>761032.42398179765</v>
      </c>
      <c r="I120" s="577">
        <f t="shared" si="34"/>
        <v>761032.42398179765</v>
      </c>
      <c r="J120" s="514">
        <f t="shared" si="20"/>
        <v>0</v>
      </c>
      <c r="K120" s="514"/>
      <c r="L120" s="525"/>
      <c r="M120" s="514">
        <f t="shared" si="21"/>
        <v>0</v>
      </c>
      <c r="N120" s="525"/>
      <c r="O120" s="514">
        <f t="shared" si="22"/>
        <v>0</v>
      </c>
      <c r="P120" s="514">
        <f t="shared" si="23"/>
        <v>0</v>
      </c>
      <c r="Q120" s="269"/>
    </row>
    <row r="121" spans="2:17" ht="12.5">
      <c r="B121" s="195" t="str">
        <f t="shared" si="26"/>
        <v/>
      </c>
      <c r="C121" s="507">
        <f>IF(D93="","-",+C120+1)</f>
        <v>2030</v>
      </c>
      <c r="D121" s="374">
        <f>IF(F120+SUM(E$99:E120)=D$92,F120,D$92-SUM(E$99:E120))</f>
        <v>4822449.6995516289</v>
      </c>
      <c r="E121" s="522">
        <f>IF(+J96&lt;F120,J96,D121)</f>
        <v>229897.54761904763</v>
      </c>
      <c r="F121" s="523">
        <f t="shared" si="31"/>
        <v>4592552.1519325813</v>
      </c>
      <c r="G121" s="523">
        <f t="shared" si="32"/>
        <v>4707500.9257421046</v>
      </c>
      <c r="H121" s="526">
        <f t="shared" si="33"/>
        <v>736301.46370189567</v>
      </c>
      <c r="I121" s="577">
        <f t="shared" si="34"/>
        <v>736301.46370189567</v>
      </c>
      <c r="J121" s="514">
        <f t="shared" si="20"/>
        <v>0</v>
      </c>
      <c r="K121" s="514"/>
      <c r="L121" s="525"/>
      <c r="M121" s="514">
        <f t="shared" si="21"/>
        <v>0</v>
      </c>
      <c r="N121" s="525"/>
      <c r="O121" s="514">
        <f t="shared" si="22"/>
        <v>0</v>
      </c>
      <c r="P121" s="514">
        <f t="shared" si="23"/>
        <v>0</v>
      </c>
      <c r="Q121" s="269"/>
    </row>
    <row r="122" spans="2:17" ht="12.5">
      <c r="B122" s="195" t="str">
        <f t="shared" si="26"/>
        <v/>
      </c>
      <c r="C122" s="507">
        <f>IF(D93="","-",+C121+1)</f>
        <v>2031</v>
      </c>
      <c r="D122" s="374">
        <f>IF(F121+SUM(E$99:E121)=D$92,F121,D$92-SUM(E$99:E121))</f>
        <v>4592552.1519325813</v>
      </c>
      <c r="E122" s="522">
        <f>IF(+J96&lt;F121,J96,D122)</f>
        <v>229897.54761904763</v>
      </c>
      <c r="F122" s="523">
        <f t="shared" si="31"/>
        <v>4362654.6043135338</v>
      </c>
      <c r="G122" s="523">
        <f t="shared" si="32"/>
        <v>4477603.378123058</v>
      </c>
      <c r="H122" s="526">
        <f t="shared" si="33"/>
        <v>711570.50342199404</v>
      </c>
      <c r="I122" s="577">
        <f t="shared" si="34"/>
        <v>711570.50342199404</v>
      </c>
      <c r="J122" s="514">
        <f t="shared" si="20"/>
        <v>0</v>
      </c>
      <c r="K122" s="514"/>
      <c r="L122" s="525"/>
      <c r="M122" s="514">
        <f t="shared" si="21"/>
        <v>0</v>
      </c>
      <c r="N122" s="525"/>
      <c r="O122" s="514">
        <f t="shared" si="22"/>
        <v>0</v>
      </c>
      <c r="P122" s="514">
        <f t="shared" si="23"/>
        <v>0</v>
      </c>
      <c r="Q122" s="269"/>
    </row>
    <row r="123" spans="2:17" ht="12.5">
      <c r="B123" s="195" t="str">
        <f t="shared" si="26"/>
        <v/>
      </c>
      <c r="C123" s="507">
        <f>IF(D93="","-",+C122+1)</f>
        <v>2032</v>
      </c>
      <c r="D123" s="374">
        <f>IF(F122+SUM(E$99:E122)=D$92,F122,D$92-SUM(E$99:E122))</f>
        <v>4362654.6043135338</v>
      </c>
      <c r="E123" s="522">
        <f>IF(+J96&lt;F122,J96,D123)</f>
        <v>229897.54761904763</v>
      </c>
      <c r="F123" s="523">
        <f t="shared" si="31"/>
        <v>4132757.0566944862</v>
      </c>
      <c r="G123" s="523">
        <f t="shared" si="32"/>
        <v>4247705.8305040095</v>
      </c>
      <c r="H123" s="526">
        <f t="shared" si="33"/>
        <v>686839.54314209218</v>
      </c>
      <c r="I123" s="577">
        <f t="shared" si="34"/>
        <v>686839.54314209218</v>
      </c>
      <c r="J123" s="514">
        <f t="shared" si="20"/>
        <v>0</v>
      </c>
      <c r="K123" s="514"/>
      <c r="L123" s="525"/>
      <c r="M123" s="514">
        <f t="shared" si="21"/>
        <v>0</v>
      </c>
      <c r="N123" s="525"/>
      <c r="O123" s="514">
        <f t="shared" si="22"/>
        <v>0</v>
      </c>
      <c r="P123" s="514">
        <f t="shared" si="23"/>
        <v>0</v>
      </c>
      <c r="Q123" s="269"/>
    </row>
    <row r="124" spans="2:17" ht="12.5">
      <c r="B124" s="195" t="str">
        <f t="shared" si="26"/>
        <v/>
      </c>
      <c r="C124" s="507">
        <f>IF(D93="","-",+C123+1)</f>
        <v>2033</v>
      </c>
      <c r="D124" s="374">
        <f>IF(F123+SUM(E$99:E123)=D$92,F123,D$92-SUM(E$99:E123))</f>
        <v>4132757.0566944862</v>
      </c>
      <c r="E124" s="522">
        <f>IF(+J96&lt;F123,J96,D124)</f>
        <v>229897.54761904763</v>
      </c>
      <c r="F124" s="523">
        <f t="shared" si="31"/>
        <v>3902859.5090754386</v>
      </c>
      <c r="G124" s="523">
        <f t="shared" si="32"/>
        <v>4017808.2828849624</v>
      </c>
      <c r="H124" s="526">
        <f t="shared" si="33"/>
        <v>662108.58286219044</v>
      </c>
      <c r="I124" s="577">
        <f t="shared" si="34"/>
        <v>662108.58286219044</v>
      </c>
      <c r="J124" s="514">
        <f t="shared" si="20"/>
        <v>0</v>
      </c>
      <c r="K124" s="514"/>
      <c r="L124" s="525"/>
      <c r="M124" s="514">
        <f t="shared" si="21"/>
        <v>0</v>
      </c>
      <c r="N124" s="525"/>
      <c r="O124" s="514">
        <f t="shared" si="22"/>
        <v>0</v>
      </c>
      <c r="P124" s="514">
        <f t="shared" si="23"/>
        <v>0</v>
      </c>
      <c r="Q124" s="269"/>
    </row>
    <row r="125" spans="2:17" ht="12.5">
      <c r="B125" s="195" t="str">
        <f t="shared" si="26"/>
        <v/>
      </c>
      <c r="C125" s="507">
        <f>IF(D93="","-",+C124+1)</f>
        <v>2034</v>
      </c>
      <c r="D125" s="374">
        <f>IF(F124+SUM(E$99:E124)=D$92,F124,D$92-SUM(E$99:E124))</f>
        <v>3902859.5090754386</v>
      </c>
      <c r="E125" s="522">
        <f>IF(+J96&lt;F124,J96,D125)</f>
        <v>229897.54761904763</v>
      </c>
      <c r="F125" s="523">
        <f t="shared" si="31"/>
        <v>3672961.961456391</v>
      </c>
      <c r="G125" s="523">
        <f t="shared" si="32"/>
        <v>3787910.7352659148</v>
      </c>
      <c r="H125" s="526">
        <f t="shared" si="33"/>
        <v>637377.62258228869</v>
      </c>
      <c r="I125" s="577">
        <f t="shared" si="34"/>
        <v>637377.62258228869</v>
      </c>
      <c r="J125" s="514">
        <f t="shared" si="20"/>
        <v>0</v>
      </c>
      <c r="K125" s="514"/>
      <c r="L125" s="525"/>
      <c r="M125" s="514">
        <f t="shared" si="21"/>
        <v>0</v>
      </c>
      <c r="N125" s="525"/>
      <c r="O125" s="514">
        <f t="shared" si="22"/>
        <v>0</v>
      </c>
      <c r="P125" s="514">
        <f t="shared" si="23"/>
        <v>0</v>
      </c>
      <c r="Q125" s="269"/>
    </row>
    <row r="126" spans="2:17" ht="12.5">
      <c r="B126" s="195" t="str">
        <f t="shared" si="26"/>
        <v/>
      </c>
      <c r="C126" s="507">
        <f>IF(D93="","-",+C125+1)</f>
        <v>2035</v>
      </c>
      <c r="D126" s="374">
        <f>IF(F125+SUM(E$99:E125)=D$92,F125,D$92-SUM(E$99:E125))</f>
        <v>3672961.961456391</v>
      </c>
      <c r="E126" s="522">
        <f>IF(+J96&lt;F125,J96,D126)</f>
        <v>229897.54761904763</v>
      </c>
      <c r="F126" s="523">
        <f t="shared" si="31"/>
        <v>3443064.4138373435</v>
      </c>
      <c r="G126" s="523">
        <f t="shared" si="32"/>
        <v>3558013.1876468672</v>
      </c>
      <c r="H126" s="526">
        <f t="shared" si="33"/>
        <v>612646.66230238695</v>
      </c>
      <c r="I126" s="577">
        <f t="shared" si="34"/>
        <v>612646.66230238695</v>
      </c>
      <c r="J126" s="514">
        <f t="shared" si="20"/>
        <v>0</v>
      </c>
      <c r="K126" s="514"/>
      <c r="L126" s="525"/>
      <c r="M126" s="514">
        <f t="shared" si="21"/>
        <v>0</v>
      </c>
      <c r="N126" s="525"/>
      <c r="O126" s="514">
        <f t="shared" si="22"/>
        <v>0</v>
      </c>
      <c r="P126" s="514">
        <f t="shared" si="23"/>
        <v>0</v>
      </c>
      <c r="Q126" s="269"/>
    </row>
    <row r="127" spans="2:17" ht="12.5">
      <c r="B127" s="195" t="str">
        <f t="shared" si="26"/>
        <v/>
      </c>
      <c r="C127" s="507">
        <f>IF(D93="","-",+C126+1)</f>
        <v>2036</v>
      </c>
      <c r="D127" s="374">
        <f>IF(F126+SUM(E$99:E126)=D$92,F126,D$92-SUM(E$99:E126))</f>
        <v>3443064.4138373435</v>
      </c>
      <c r="E127" s="522">
        <f>IF(+J96&lt;F126,J96,D127)</f>
        <v>229897.54761904763</v>
      </c>
      <c r="F127" s="523">
        <f t="shared" si="31"/>
        <v>3213166.8662182959</v>
      </c>
      <c r="G127" s="523">
        <f t="shared" si="32"/>
        <v>3328115.6400278197</v>
      </c>
      <c r="H127" s="526">
        <f t="shared" si="33"/>
        <v>587915.7020224852</v>
      </c>
      <c r="I127" s="577">
        <f t="shared" si="34"/>
        <v>587915.7020224852</v>
      </c>
      <c r="J127" s="514">
        <f t="shared" si="20"/>
        <v>0</v>
      </c>
      <c r="K127" s="514"/>
      <c r="L127" s="525"/>
      <c r="M127" s="514">
        <f t="shared" si="21"/>
        <v>0</v>
      </c>
      <c r="N127" s="525"/>
      <c r="O127" s="514">
        <f t="shared" si="22"/>
        <v>0</v>
      </c>
      <c r="P127" s="514">
        <f t="shared" si="23"/>
        <v>0</v>
      </c>
      <c r="Q127" s="269"/>
    </row>
    <row r="128" spans="2:17" ht="12.5">
      <c r="B128" s="195" t="str">
        <f t="shared" si="26"/>
        <v/>
      </c>
      <c r="C128" s="507">
        <f>IF(D93="","-",+C127+1)</f>
        <v>2037</v>
      </c>
      <c r="D128" s="374">
        <f>IF(F127+SUM(E$99:E127)=D$92,F127,D$92-SUM(E$99:E127))</f>
        <v>3213166.8662182959</v>
      </c>
      <c r="E128" s="522">
        <f>IF(+J96&lt;F127,J96,D128)</f>
        <v>229897.54761904763</v>
      </c>
      <c r="F128" s="523">
        <f t="shared" si="31"/>
        <v>2983269.3185992483</v>
      </c>
      <c r="G128" s="523">
        <f t="shared" si="32"/>
        <v>3098218.0924087721</v>
      </c>
      <c r="H128" s="526">
        <f t="shared" si="33"/>
        <v>563184.74174258346</v>
      </c>
      <c r="I128" s="577">
        <f t="shared" si="34"/>
        <v>563184.74174258346</v>
      </c>
      <c r="J128" s="514">
        <f t="shared" si="20"/>
        <v>0</v>
      </c>
      <c r="K128" s="514"/>
      <c r="L128" s="525"/>
      <c r="M128" s="514">
        <f t="shared" si="21"/>
        <v>0</v>
      </c>
      <c r="N128" s="525"/>
      <c r="O128" s="514">
        <f t="shared" si="22"/>
        <v>0</v>
      </c>
      <c r="P128" s="514">
        <f t="shared" si="23"/>
        <v>0</v>
      </c>
      <c r="Q128" s="269"/>
    </row>
    <row r="129" spans="2:17" ht="12.5">
      <c r="B129" s="195" t="str">
        <f t="shared" si="26"/>
        <v/>
      </c>
      <c r="C129" s="507">
        <f>IF(D93="","-",+C128+1)</f>
        <v>2038</v>
      </c>
      <c r="D129" s="374">
        <f>IF(F128+SUM(E$99:E128)=D$92,F128,D$92-SUM(E$99:E128))</f>
        <v>2983269.3185992483</v>
      </c>
      <c r="E129" s="522">
        <f>IF(+J96&lt;F128,J96,D129)</f>
        <v>229897.54761904763</v>
      </c>
      <c r="F129" s="523">
        <f t="shared" si="31"/>
        <v>2753371.7709802007</v>
      </c>
      <c r="G129" s="523">
        <f t="shared" si="32"/>
        <v>2868320.5447897245</v>
      </c>
      <c r="H129" s="526">
        <f t="shared" si="33"/>
        <v>538453.78146268171</v>
      </c>
      <c r="I129" s="577">
        <f t="shared" si="34"/>
        <v>538453.78146268171</v>
      </c>
      <c r="J129" s="514">
        <f t="shared" si="20"/>
        <v>0</v>
      </c>
      <c r="K129" s="514"/>
      <c r="L129" s="525"/>
      <c r="M129" s="514">
        <f t="shared" si="21"/>
        <v>0</v>
      </c>
      <c r="N129" s="525"/>
      <c r="O129" s="514">
        <f t="shared" si="22"/>
        <v>0</v>
      </c>
      <c r="P129" s="514">
        <f t="shared" si="23"/>
        <v>0</v>
      </c>
      <c r="Q129" s="269"/>
    </row>
    <row r="130" spans="2:17" ht="12.5">
      <c r="B130" s="195" t="str">
        <f t="shared" si="26"/>
        <v/>
      </c>
      <c r="C130" s="507">
        <f>IF(D93="","-",+C129+1)</f>
        <v>2039</v>
      </c>
      <c r="D130" s="374">
        <f>IF(F129+SUM(E$99:E129)=D$92,F129,D$92-SUM(E$99:E129))</f>
        <v>2753371.7709802007</v>
      </c>
      <c r="E130" s="522">
        <f>IF(+J96&lt;F129,J96,D130)</f>
        <v>229897.54761904763</v>
      </c>
      <c r="F130" s="523">
        <f t="shared" si="31"/>
        <v>2523474.2233611532</v>
      </c>
      <c r="G130" s="523">
        <f t="shared" si="32"/>
        <v>2638422.9971706769</v>
      </c>
      <c r="H130" s="526">
        <f t="shared" si="33"/>
        <v>513722.82118277997</v>
      </c>
      <c r="I130" s="577">
        <f t="shared" si="34"/>
        <v>513722.82118277997</v>
      </c>
      <c r="J130" s="514">
        <f t="shared" si="20"/>
        <v>0</v>
      </c>
      <c r="K130" s="514"/>
      <c r="L130" s="525"/>
      <c r="M130" s="514">
        <f t="shared" si="21"/>
        <v>0</v>
      </c>
      <c r="N130" s="525"/>
      <c r="O130" s="514">
        <f t="shared" si="22"/>
        <v>0</v>
      </c>
      <c r="P130" s="514">
        <f t="shared" si="23"/>
        <v>0</v>
      </c>
      <c r="Q130" s="269"/>
    </row>
    <row r="131" spans="2:17" ht="12.5">
      <c r="B131" s="195" t="str">
        <f t="shared" si="26"/>
        <v/>
      </c>
      <c r="C131" s="507">
        <f>IF(D93="","-",+C130+1)</f>
        <v>2040</v>
      </c>
      <c r="D131" s="374">
        <f>IF(F130+SUM(E$99:E130)=D$92,F130,D$92-SUM(E$99:E130))</f>
        <v>2523474.2233611532</v>
      </c>
      <c r="E131" s="522">
        <f>IF(+J96&lt;F130,J96,D131)</f>
        <v>229897.54761904763</v>
      </c>
      <c r="F131" s="523">
        <f t="shared" ref="F131:F154" si="35">+D131-E131</f>
        <v>2293576.6757421056</v>
      </c>
      <c r="G131" s="523">
        <f t="shared" ref="G131:G154" si="36">+(F131+D131)/2</f>
        <v>2408525.4495516294</v>
      </c>
      <c r="H131" s="526">
        <f t="shared" si="33"/>
        <v>488991.86090287822</v>
      </c>
      <c r="I131" s="577">
        <f t="shared" si="34"/>
        <v>488991.86090287822</v>
      </c>
      <c r="J131" s="514">
        <f t="shared" ref="J131:J154" si="37">+I131-H131</f>
        <v>0</v>
      </c>
      <c r="K131" s="514"/>
      <c r="L131" s="525"/>
      <c r="M131" s="514">
        <f t="shared" ref="M131:M154" si="38">IF(L131&lt;&gt;0,+H131-L131,0)</f>
        <v>0</v>
      </c>
      <c r="N131" s="525"/>
      <c r="O131" s="514">
        <f t="shared" ref="O131:O154" si="39">IF(N131&lt;&gt;0,+I131-N131,0)</f>
        <v>0</v>
      </c>
      <c r="P131" s="514">
        <f t="shared" ref="P131:P154" si="40">+O131-M131</f>
        <v>0</v>
      </c>
      <c r="Q131" s="269"/>
    </row>
    <row r="132" spans="2:17" ht="12.5">
      <c r="B132" s="195" t="str">
        <f t="shared" si="26"/>
        <v/>
      </c>
      <c r="C132" s="507">
        <f>IF(D93="","-",+C131+1)</f>
        <v>2041</v>
      </c>
      <c r="D132" s="374">
        <f>IF(F131+SUM(E$99:E131)=D$92,F131,D$92-SUM(E$99:E131))</f>
        <v>2293576.6757421056</v>
      </c>
      <c r="E132" s="522">
        <f>IF(+J96&lt;F131,J96,D132)</f>
        <v>229897.54761904763</v>
      </c>
      <c r="F132" s="523">
        <f t="shared" si="35"/>
        <v>2063679.128123058</v>
      </c>
      <c r="G132" s="523">
        <f t="shared" si="36"/>
        <v>2178627.9019325818</v>
      </c>
      <c r="H132" s="526">
        <f t="shared" si="33"/>
        <v>464260.90062297648</v>
      </c>
      <c r="I132" s="577">
        <f t="shared" si="34"/>
        <v>464260.90062297648</v>
      </c>
      <c r="J132" s="514">
        <f t="shared" si="37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  <c r="Q132" s="269"/>
    </row>
    <row r="133" spans="2:17" ht="12.5">
      <c r="B133" s="195" t="str">
        <f t="shared" si="26"/>
        <v/>
      </c>
      <c r="C133" s="507">
        <f>IF(D93="","-",+C132+1)</f>
        <v>2042</v>
      </c>
      <c r="D133" s="374">
        <f>IF(F132+SUM(E$99:E132)=D$92,F132,D$92-SUM(E$99:E132))</f>
        <v>2063679.128123058</v>
      </c>
      <c r="E133" s="522">
        <f>IF(+J96&lt;F132,J96,D133)</f>
        <v>229897.54761904763</v>
      </c>
      <c r="F133" s="523">
        <f t="shared" si="35"/>
        <v>1833781.5805040104</v>
      </c>
      <c r="G133" s="523">
        <f t="shared" si="36"/>
        <v>1948730.3543135342</v>
      </c>
      <c r="H133" s="526">
        <f t="shared" si="33"/>
        <v>439529.94034307468</v>
      </c>
      <c r="I133" s="577">
        <f t="shared" si="34"/>
        <v>439529.94034307468</v>
      </c>
      <c r="J133" s="514">
        <f t="shared" si="37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  <c r="Q133" s="269"/>
    </row>
    <row r="134" spans="2:17" ht="12.5">
      <c r="B134" s="195" t="str">
        <f t="shared" si="26"/>
        <v/>
      </c>
      <c r="C134" s="507">
        <f>IF(D93="","-",+C133+1)</f>
        <v>2043</v>
      </c>
      <c r="D134" s="374">
        <f>IF(F133+SUM(E$99:E133)=D$92,F133,D$92-SUM(E$99:E133))</f>
        <v>1833781.5805040104</v>
      </c>
      <c r="E134" s="522">
        <f>IF(+J96&lt;F133,J96,D134)</f>
        <v>229897.54761904763</v>
      </c>
      <c r="F134" s="523">
        <f t="shared" si="35"/>
        <v>1603884.0328849629</v>
      </c>
      <c r="G134" s="523">
        <f t="shared" si="36"/>
        <v>1718832.8066944866</v>
      </c>
      <c r="H134" s="526">
        <f t="shared" si="33"/>
        <v>414798.98006317293</v>
      </c>
      <c r="I134" s="577">
        <f t="shared" si="34"/>
        <v>414798.98006317293</v>
      </c>
      <c r="J134" s="514">
        <f t="shared" si="37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  <c r="Q134" s="269"/>
    </row>
    <row r="135" spans="2:17" ht="12.5">
      <c r="B135" s="195" t="str">
        <f t="shared" si="26"/>
        <v/>
      </c>
      <c r="C135" s="507">
        <f>IF(D93="","-",+C134+1)</f>
        <v>2044</v>
      </c>
      <c r="D135" s="374">
        <f>IF(F134+SUM(E$99:E134)=D$92,F134,D$92-SUM(E$99:E134))</f>
        <v>1603884.0328849629</v>
      </c>
      <c r="E135" s="522">
        <f>IF(+J96&lt;F134,J96,D135)</f>
        <v>229897.54761904763</v>
      </c>
      <c r="F135" s="523">
        <f t="shared" si="35"/>
        <v>1373986.4852659153</v>
      </c>
      <c r="G135" s="523">
        <f t="shared" si="36"/>
        <v>1488935.2590754391</v>
      </c>
      <c r="H135" s="526">
        <f t="shared" si="33"/>
        <v>390068.01978327119</v>
      </c>
      <c r="I135" s="577">
        <f t="shared" si="34"/>
        <v>390068.01978327119</v>
      </c>
      <c r="J135" s="514">
        <f t="shared" si="37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  <c r="Q135" s="269"/>
    </row>
    <row r="136" spans="2:17" ht="12.5">
      <c r="B136" s="195" t="str">
        <f t="shared" si="26"/>
        <v/>
      </c>
      <c r="C136" s="507">
        <f>IF(D93="","-",+C135+1)</f>
        <v>2045</v>
      </c>
      <c r="D136" s="374">
        <f>IF(F135+SUM(E$99:E135)=D$92,F135,D$92-SUM(E$99:E135))</f>
        <v>1373986.4852659153</v>
      </c>
      <c r="E136" s="522">
        <f>IF(+J96&lt;F135,J96,D136)</f>
        <v>229897.54761904763</v>
      </c>
      <c r="F136" s="523">
        <f t="shared" si="35"/>
        <v>1144088.9376468677</v>
      </c>
      <c r="G136" s="523">
        <f t="shared" si="36"/>
        <v>1259037.7114563915</v>
      </c>
      <c r="H136" s="526">
        <f t="shared" si="33"/>
        <v>365337.05950336938</v>
      </c>
      <c r="I136" s="577">
        <f t="shared" si="34"/>
        <v>365337.05950336938</v>
      </c>
      <c r="J136" s="514">
        <f t="shared" si="37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  <c r="Q136" s="269"/>
    </row>
    <row r="137" spans="2:17" ht="12.5">
      <c r="B137" s="195" t="str">
        <f t="shared" si="26"/>
        <v/>
      </c>
      <c r="C137" s="507">
        <f>IF(D93="","-",+C136+1)</f>
        <v>2046</v>
      </c>
      <c r="D137" s="374">
        <f>IF(F136+SUM(E$99:E136)=D$92,F136,D$92-SUM(E$99:E136))</f>
        <v>1144088.9376468677</v>
      </c>
      <c r="E137" s="522">
        <f>IF(+J96&lt;F136,J96,D137)</f>
        <v>229897.54761904763</v>
      </c>
      <c r="F137" s="523">
        <f t="shared" si="35"/>
        <v>914191.39002782013</v>
      </c>
      <c r="G137" s="523">
        <f t="shared" si="36"/>
        <v>1029140.1638373439</v>
      </c>
      <c r="H137" s="526">
        <f t="shared" si="33"/>
        <v>340606.09922346764</v>
      </c>
      <c r="I137" s="577">
        <f t="shared" si="34"/>
        <v>340606.09922346764</v>
      </c>
      <c r="J137" s="514">
        <f t="shared" si="37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  <c r="Q137" s="269"/>
    </row>
    <row r="138" spans="2:17" ht="12.5">
      <c r="B138" s="195" t="str">
        <f t="shared" si="26"/>
        <v/>
      </c>
      <c r="C138" s="507">
        <f>IF(D93="","-",+C137+1)</f>
        <v>2047</v>
      </c>
      <c r="D138" s="374">
        <f>IF(F137+SUM(E$99:E137)=D$92,F137,D$92-SUM(E$99:E137))</f>
        <v>914191.39002782013</v>
      </c>
      <c r="E138" s="522">
        <f>IF(+J96&lt;F137,J96,D138)</f>
        <v>229897.54761904763</v>
      </c>
      <c r="F138" s="523">
        <f t="shared" si="35"/>
        <v>684293.84240877256</v>
      </c>
      <c r="G138" s="523">
        <f t="shared" si="36"/>
        <v>799242.61621829635</v>
      </c>
      <c r="H138" s="526">
        <f t="shared" si="33"/>
        <v>315875.13894356589</v>
      </c>
      <c r="I138" s="577">
        <f t="shared" si="34"/>
        <v>315875.13894356589</v>
      </c>
      <c r="J138" s="514">
        <f t="shared" si="37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  <c r="Q138" s="269"/>
    </row>
    <row r="139" spans="2:17" ht="12.5">
      <c r="B139" s="195" t="str">
        <f t="shared" si="26"/>
        <v/>
      </c>
      <c r="C139" s="507">
        <f>IF(D93="","-",+C138+1)</f>
        <v>2048</v>
      </c>
      <c r="D139" s="374">
        <f>IF(F138+SUM(E$99:E138)=D$92,F138,D$92-SUM(E$99:E138))</f>
        <v>684293.84240877256</v>
      </c>
      <c r="E139" s="522">
        <f>IF(+J96&lt;F138,J96,D139)</f>
        <v>229897.54761904763</v>
      </c>
      <c r="F139" s="523">
        <f t="shared" si="35"/>
        <v>454396.29478972493</v>
      </c>
      <c r="G139" s="523">
        <f t="shared" si="36"/>
        <v>569345.06859924877</v>
      </c>
      <c r="H139" s="526">
        <f t="shared" si="33"/>
        <v>291144.17866366415</v>
      </c>
      <c r="I139" s="577">
        <f t="shared" si="34"/>
        <v>291144.17866366415</v>
      </c>
      <c r="J139" s="514">
        <f t="shared" si="37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  <c r="Q139" s="269"/>
    </row>
    <row r="140" spans="2:17" ht="12.5">
      <c r="B140" s="195" t="str">
        <f t="shared" si="26"/>
        <v/>
      </c>
      <c r="C140" s="507">
        <f>IF(D93="","-",+C139+1)</f>
        <v>2049</v>
      </c>
      <c r="D140" s="374">
        <f>IF(F139+SUM(E$99:E139)=D$92,F139,D$92-SUM(E$99:E139))</f>
        <v>454396.29478972493</v>
      </c>
      <c r="E140" s="522">
        <f>IF(+J96&lt;F139,J96,D140)</f>
        <v>229897.54761904763</v>
      </c>
      <c r="F140" s="523">
        <f t="shared" si="35"/>
        <v>224498.74717067729</v>
      </c>
      <c r="G140" s="523">
        <f t="shared" si="36"/>
        <v>339447.52098020108</v>
      </c>
      <c r="H140" s="526">
        <f t="shared" si="33"/>
        <v>266413.2183837624</v>
      </c>
      <c r="I140" s="577">
        <f t="shared" si="34"/>
        <v>266413.2183837624</v>
      </c>
      <c r="J140" s="514">
        <f t="shared" si="37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  <c r="Q140" s="269"/>
    </row>
    <row r="141" spans="2:17" ht="12.5">
      <c r="B141" s="195" t="str">
        <f t="shared" si="26"/>
        <v/>
      </c>
      <c r="C141" s="507">
        <f>IF(D93="","-",+C140+1)</f>
        <v>2050</v>
      </c>
      <c r="D141" s="374">
        <f>IF(F140+SUM(E$99:E140)=D$92,F140,D$92-SUM(E$99:E140))</f>
        <v>224498.74717067729</v>
      </c>
      <c r="E141" s="522">
        <f>IF(+J96&lt;F140,J96,D141)</f>
        <v>224498.74717067729</v>
      </c>
      <c r="F141" s="523">
        <f t="shared" si="35"/>
        <v>0</v>
      </c>
      <c r="G141" s="523">
        <f t="shared" si="36"/>
        <v>112249.37358533865</v>
      </c>
      <c r="H141" s="526">
        <f t="shared" si="33"/>
        <v>236573.84248305921</v>
      </c>
      <c r="I141" s="577">
        <f t="shared" si="34"/>
        <v>236573.84248305921</v>
      </c>
      <c r="J141" s="514">
        <f t="shared" si="37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  <c r="Q141" s="269"/>
    </row>
    <row r="142" spans="2:17" ht="12.5">
      <c r="B142" s="195" t="str">
        <f t="shared" si="26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5"/>
        <v>0</v>
      </c>
      <c r="G142" s="523">
        <f t="shared" si="36"/>
        <v>0</v>
      </c>
      <c r="H142" s="526">
        <f t="shared" si="33"/>
        <v>0</v>
      </c>
      <c r="I142" s="577">
        <f t="shared" si="34"/>
        <v>0</v>
      </c>
      <c r="J142" s="514">
        <f t="shared" si="37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  <c r="Q142" s="269"/>
    </row>
    <row r="143" spans="2:17" ht="12.5">
      <c r="B143" s="195" t="str">
        <f t="shared" si="26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5"/>
        <v>0</v>
      </c>
      <c r="G143" s="523">
        <f t="shared" si="36"/>
        <v>0</v>
      </c>
      <c r="H143" s="526">
        <f t="shared" si="33"/>
        <v>0</v>
      </c>
      <c r="I143" s="577">
        <f t="shared" si="34"/>
        <v>0</v>
      </c>
      <c r="J143" s="514">
        <f t="shared" si="37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  <c r="Q143" s="269"/>
    </row>
    <row r="144" spans="2:17" ht="12.5">
      <c r="B144" s="195" t="str">
        <f t="shared" si="26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5"/>
        <v>0</v>
      </c>
      <c r="G144" s="523">
        <f t="shared" si="36"/>
        <v>0</v>
      </c>
      <c r="H144" s="526">
        <f t="shared" si="33"/>
        <v>0</v>
      </c>
      <c r="I144" s="577">
        <f t="shared" si="34"/>
        <v>0</v>
      </c>
      <c r="J144" s="514">
        <f t="shared" si="37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  <c r="Q144" s="269"/>
    </row>
    <row r="145" spans="2:17" ht="12.5">
      <c r="B145" s="195" t="str">
        <f t="shared" si="26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5"/>
        <v>0</v>
      </c>
      <c r="G145" s="523">
        <f t="shared" si="36"/>
        <v>0</v>
      </c>
      <c r="H145" s="526">
        <f t="shared" si="33"/>
        <v>0</v>
      </c>
      <c r="I145" s="577">
        <f t="shared" si="34"/>
        <v>0</v>
      </c>
      <c r="J145" s="514">
        <f t="shared" si="37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  <c r="Q145" s="269"/>
    </row>
    <row r="146" spans="2:17" ht="12.5">
      <c r="B146" s="195" t="str">
        <f t="shared" si="26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5"/>
        <v>0</v>
      </c>
      <c r="G146" s="523">
        <f t="shared" si="36"/>
        <v>0</v>
      </c>
      <c r="H146" s="526">
        <f t="shared" si="33"/>
        <v>0</v>
      </c>
      <c r="I146" s="577">
        <f t="shared" si="34"/>
        <v>0</v>
      </c>
      <c r="J146" s="514">
        <f t="shared" si="37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  <c r="Q146" s="269"/>
    </row>
    <row r="147" spans="2:17" ht="12.5">
      <c r="B147" s="195" t="str">
        <f t="shared" si="26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5"/>
        <v>0</v>
      </c>
      <c r="G147" s="523">
        <f t="shared" si="36"/>
        <v>0</v>
      </c>
      <c r="H147" s="526">
        <f t="shared" si="33"/>
        <v>0</v>
      </c>
      <c r="I147" s="577">
        <f t="shared" si="34"/>
        <v>0</v>
      </c>
      <c r="J147" s="514">
        <f t="shared" si="37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  <c r="Q147" s="269"/>
    </row>
    <row r="148" spans="2:17" ht="12.5">
      <c r="B148" s="195" t="str">
        <f t="shared" si="26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5"/>
        <v>0</v>
      </c>
      <c r="G148" s="523">
        <f t="shared" si="36"/>
        <v>0</v>
      </c>
      <c r="H148" s="526">
        <f t="shared" si="33"/>
        <v>0</v>
      </c>
      <c r="I148" s="577">
        <f t="shared" si="34"/>
        <v>0</v>
      </c>
      <c r="J148" s="514">
        <f t="shared" si="37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  <c r="Q148" s="269"/>
    </row>
    <row r="149" spans="2:17" ht="12.5">
      <c r="B149" s="195" t="str">
        <f t="shared" si="26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5"/>
        <v>0</v>
      </c>
      <c r="G149" s="523">
        <f t="shared" si="36"/>
        <v>0</v>
      </c>
      <c r="H149" s="526">
        <f t="shared" si="33"/>
        <v>0</v>
      </c>
      <c r="I149" s="577">
        <f t="shared" si="34"/>
        <v>0</v>
      </c>
      <c r="J149" s="514">
        <f t="shared" si="37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  <c r="Q149" s="269"/>
    </row>
    <row r="150" spans="2:17" ht="12.5">
      <c r="B150" s="195" t="str">
        <f t="shared" si="26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5"/>
        <v>0</v>
      </c>
      <c r="G150" s="523">
        <f t="shared" si="36"/>
        <v>0</v>
      </c>
      <c r="H150" s="526">
        <f t="shared" si="33"/>
        <v>0</v>
      </c>
      <c r="I150" s="577">
        <f t="shared" si="34"/>
        <v>0</v>
      </c>
      <c r="J150" s="514">
        <f t="shared" si="37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  <c r="Q150" s="269"/>
    </row>
    <row r="151" spans="2:17" ht="12.5">
      <c r="B151" s="195" t="str">
        <f t="shared" si="26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5"/>
        <v>0</v>
      </c>
      <c r="G151" s="523">
        <f t="shared" si="36"/>
        <v>0</v>
      </c>
      <c r="H151" s="526">
        <f t="shared" si="33"/>
        <v>0</v>
      </c>
      <c r="I151" s="577">
        <f t="shared" si="34"/>
        <v>0</v>
      </c>
      <c r="J151" s="514">
        <f t="shared" si="37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  <c r="Q151" s="269"/>
    </row>
    <row r="152" spans="2:17" ht="12.5">
      <c r="B152" s="195" t="str">
        <f t="shared" si="26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5"/>
        <v>0</v>
      </c>
      <c r="G152" s="523">
        <f t="shared" si="36"/>
        <v>0</v>
      </c>
      <c r="H152" s="526">
        <f t="shared" si="33"/>
        <v>0</v>
      </c>
      <c r="I152" s="577">
        <f t="shared" si="34"/>
        <v>0</v>
      </c>
      <c r="J152" s="514">
        <f t="shared" si="37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  <c r="Q152" s="269"/>
    </row>
    <row r="153" spans="2:17" ht="12.5">
      <c r="B153" s="195" t="str">
        <f t="shared" si="26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5"/>
        <v>0</v>
      </c>
      <c r="G153" s="523">
        <f t="shared" si="36"/>
        <v>0</v>
      </c>
      <c r="H153" s="526">
        <f t="shared" si="33"/>
        <v>0</v>
      </c>
      <c r="I153" s="577">
        <f t="shared" si="34"/>
        <v>0</v>
      </c>
      <c r="J153" s="514">
        <f t="shared" si="37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  <c r="Q153" s="269"/>
    </row>
    <row r="154" spans="2:17" ht="13" thickBot="1">
      <c r="B154" s="195" t="str">
        <f t="shared" si="26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5"/>
        <v>0</v>
      </c>
      <c r="G154" s="528">
        <f t="shared" si="36"/>
        <v>0</v>
      </c>
      <c r="H154" s="530">
        <f t="shared" si="33"/>
        <v>0</v>
      </c>
      <c r="I154" s="579">
        <f t="shared" si="34"/>
        <v>0</v>
      </c>
      <c r="J154" s="533">
        <f t="shared" si="37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  <c r="Q154" s="269"/>
    </row>
    <row r="155" spans="2:17" ht="12.5">
      <c r="C155" s="374" t="s">
        <v>78</v>
      </c>
      <c r="D155" s="375"/>
      <c r="E155" s="375">
        <f>SUM(E99:E154)</f>
        <v>9655697.0000000019</v>
      </c>
      <c r="F155" s="375"/>
      <c r="G155" s="375"/>
      <c r="H155" s="375">
        <f>SUM(H99:H154)</f>
        <v>34003900.56872917</v>
      </c>
      <c r="I155" s="375">
        <f>SUM(I99:I154)</f>
        <v>34003900.56872917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5" priority="1" stopIfTrue="1" operator="equal">
      <formula>$I$10</formula>
    </cfRule>
  </conditionalFormatting>
  <conditionalFormatting sqref="C99:C154">
    <cfRule type="cellIs" dxfId="1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Q162"/>
  <sheetViews>
    <sheetView view="pageBreakPreview" topLeftCell="A79" zoomScale="84" zoomScaleNormal="100" zoomScaleSheetLayoutView="84" workbookViewId="0">
      <selection activeCell="D111" sqref="D1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9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278462.16480746388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278462.16480746388</v>
      </c>
      <c r="O6" s="269"/>
      <c r="P6" s="269"/>
    </row>
    <row r="7" spans="1:17" ht="13.5" thickBot="1">
      <c r="C7" s="467" t="s">
        <v>48</v>
      </c>
      <c r="D7" s="468" t="s">
        <v>231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148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2820328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67150.666666666672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1475169</v>
      </c>
      <c r="E17" s="509">
        <v>29902</v>
      </c>
      <c r="F17" s="508">
        <v>1445267</v>
      </c>
      <c r="G17" s="509">
        <v>214903</v>
      </c>
      <c r="H17" s="510">
        <v>214903</v>
      </c>
      <c r="I17" s="596">
        <f t="shared" ref="I17:I48" si="0">H17-G17</f>
        <v>0</v>
      </c>
      <c r="J17" s="511"/>
      <c r="K17" s="512">
        <v>214903</v>
      </c>
      <c r="L17" s="513">
        <f t="shared" ref="L17:L48" si="1">IF(K17&lt;&gt;0,+G17-K17,0)</f>
        <v>0</v>
      </c>
      <c r="M17" s="512">
        <f>K17</f>
        <v>214903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2009</v>
      </c>
      <c r="D18" s="515">
        <v>1831326</v>
      </c>
      <c r="E18" s="516">
        <v>50403</v>
      </c>
      <c r="F18" s="515">
        <v>1780923</v>
      </c>
      <c r="G18" s="516">
        <v>323352</v>
      </c>
      <c r="H18" s="510">
        <v>323352</v>
      </c>
      <c r="I18" s="596">
        <f t="shared" si="0"/>
        <v>0</v>
      </c>
      <c r="J18" s="511"/>
      <c r="K18" s="518">
        <v>323352</v>
      </c>
      <c r="L18" s="514">
        <f t="shared" si="1"/>
        <v>0</v>
      </c>
      <c r="M18" s="518">
        <v>323352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2010</v>
      </c>
      <c r="D19" s="515">
        <v>1782801</v>
      </c>
      <c r="E19" s="516">
        <v>49029</v>
      </c>
      <c r="F19" s="515">
        <v>1733771</v>
      </c>
      <c r="G19" s="516">
        <v>298284</v>
      </c>
      <c r="H19" s="510">
        <v>298285</v>
      </c>
      <c r="I19" s="598">
        <v>0</v>
      </c>
      <c r="J19" s="511"/>
      <c r="K19" s="518">
        <f t="shared" ref="K19:K24" si="4">G19</f>
        <v>298284</v>
      </c>
      <c r="L19" s="519">
        <f t="shared" si="1"/>
        <v>0</v>
      </c>
      <c r="M19" s="518">
        <f t="shared" ref="M19:M24" si="5">H19</f>
        <v>298285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2011</v>
      </c>
      <c r="D20" s="515">
        <v>2691044</v>
      </c>
      <c r="E20" s="516">
        <v>68789.707317073175</v>
      </c>
      <c r="F20" s="515">
        <v>2622254.2926829266</v>
      </c>
      <c r="G20" s="516">
        <v>478365.33332464576</v>
      </c>
      <c r="H20" s="510">
        <v>478365.33332464576</v>
      </c>
      <c r="I20" s="598">
        <v>0</v>
      </c>
      <c r="J20" s="511"/>
      <c r="K20" s="518">
        <f t="shared" si="4"/>
        <v>478365.33332464576</v>
      </c>
      <c r="L20" s="519">
        <f t="shared" si="1"/>
        <v>0</v>
      </c>
      <c r="M20" s="518">
        <f t="shared" si="5"/>
        <v>478365.33332464576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2622254.2926829266</v>
      </c>
      <c r="E21" s="516">
        <v>67151.857142857145</v>
      </c>
      <c r="F21" s="515">
        <v>2555102.4355400694</v>
      </c>
      <c r="G21" s="516">
        <v>447147.04924288485</v>
      </c>
      <c r="H21" s="510">
        <v>447147.04924288485</v>
      </c>
      <c r="I21" s="517">
        <v>0</v>
      </c>
      <c r="J21" s="511"/>
      <c r="K21" s="518">
        <f t="shared" si="4"/>
        <v>447147.04924288485</v>
      </c>
      <c r="L21" s="519">
        <f t="shared" si="1"/>
        <v>0</v>
      </c>
      <c r="M21" s="518">
        <f t="shared" si="5"/>
        <v>447147.04924288485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515">
        <v>2555102.4355400694</v>
      </c>
      <c r="E22" s="516">
        <v>67151.857142857145</v>
      </c>
      <c r="F22" s="515">
        <v>2487950.5783972121</v>
      </c>
      <c r="G22" s="516">
        <v>415432.79896148719</v>
      </c>
      <c r="H22" s="510">
        <v>415432.79896148719</v>
      </c>
      <c r="I22" s="596">
        <v>0</v>
      </c>
      <c r="J22" s="511"/>
      <c r="K22" s="518">
        <f t="shared" si="4"/>
        <v>415432.79896148719</v>
      </c>
      <c r="L22" s="519">
        <f t="shared" ref="L22:L27" si="7">IF(K22&lt;&gt;0,+G22-K22,0)</f>
        <v>0</v>
      </c>
      <c r="M22" s="518">
        <f t="shared" si="5"/>
        <v>415432.79896148719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515">
        <v>2487950.5783972121</v>
      </c>
      <c r="E23" s="516">
        <v>67151.857142857145</v>
      </c>
      <c r="F23" s="515">
        <v>2420798.7212543548</v>
      </c>
      <c r="G23" s="516">
        <v>393743.0429982192</v>
      </c>
      <c r="H23" s="510">
        <v>393743.0429982192</v>
      </c>
      <c r="I23" s="596">
        <v>0</v>
      </c>
      <c r="J23" s="511"/>
      <c r="K23" s="518">
        <f t="shared" si="4"/>
        <v>393743.0429982192</v>
      </c>
      <c r="L23" s="519">
        <f t="shared" si="7"/>
        <v>0</v>
      </c>
      <c r="M23" s="518">
        <f t="shared" si="5"/>
        <v>393743.0429982192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515">
        <v>2420798.7212543548</v>
      </c>
      <c r="E24" s="516">
        <v>67151.857142857145</v>
      </c>
      <c r="F24" s="515">
        <v>2353646.8641114975</v>
      </c>
      <c r="G24" s="516">
        <v>377138.44894635677</v>
      </c>
      <c r="H24" s="510">
        <v>377138.44894635677</v>
      </c>
      <c r="I24" s="511">
        <v>0</v>
      </c>
      <c r="J24" s="511"/>
      <c r="K24" s="518">
        <f t="shared" si="4"/>
        <v>377138.44894635677</v>
      </c>
      <c r="L24" s="519">
        <f t="shared" si="7"/>
        <v>0</v>
      </c>
      <c r="M24" s="518">
        <f t="shared" si="5"/>
        <v>377138.44894635677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>IU</v>
      </c>
      <c r="C25" s="507">
        <f>IF(D11="","-",+C24+1)</f>
        <v>2016</v>
      </c>
      <c r="D25" s="515">
        <v>2353596.864111498</v>
      </c>
      <c r="E25" s="516">
        <v>67150.666666666672</v>
      </c>
      <c r="F25" s="515">
        <v>2286446.1974448315</v>
      </c>
      <c r="G25" s="516">
        <v>364571.53091239138</v>
      </c>
      <c r="H25" s="510">
        <v>364571.53091239138</v>
      </c>
      <c r="I25" s="511">
        <f t="shared" si="0"/>
        <v>0</v>
      </c>
      <c r="J25" s="511"/>
      <c r="K25" s="518">
        <f>G25</f>
        <v>364571.53091239138</v>
      </c>
      <c r="L25" s="519">
        <f t="shared" si="7"/>
        <v>0</v>
      </c>
      <c r="M25" s="518">
        <f>H25</f>
        <v>364571.53091239138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515">
        <v>2286446.1974448315</v>
      </c>
      <c r="E26" s="516">
        <v>65589.023255813954</v>
      </c>
      <c r="F26" s="515">
        <v>2220857.1741890176</v>
      </c>
      <c r="G26" s="516">
        <v>344799.6405005774</v>
      </c>
      <c r="H26" s="510">
        <v>344799.6405005774</v>
      </c>
      <c r="I26" s="511">
        <f t="shared" si="0"/>
        <v>0</v>
      </c>
      <c r="J26" s="511"/>
      <c r="K26" s="518">
        <f>G26</f>
        <v>344799.6405005774</v>
      </c>
      <c r="L26" s="519">
        <f t="shared" si="7"/>
        <v>0</v>
      </c>
      <c r="M26" s="518">
        <f>H26</f>
        <v>344799.6405005774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515">
        <v>2220857.1741890176</v>
      </c>
      <c r="E27" s="516">
        <v>68788.487804878052</v>
      </c>
      <c r="F27" s="515">
        <v>2152068.6863841396</v>
      </c>
      <c r="G27" s="516">
        <v>346675.02376969234</v>
      </c>
      <c r="H27" s="510">
        <v>346675.02376969234</v>
      </c>
      <c r="I27" s="511">
        <f t="shared" si="0"/>
        <v>0</v>
      </c>
      <c r="J27" s="511"/>
      <c r="K27" s="518">
        <f>G27</f>
        <v>346675.02376969234</v>
      </c>
      <c r="L27" s="519">
        <f t="shared" si="7"/>
        <v>0</v>
      </c>
      <c r="M27" s="518">
        <f>H27</f>
        <v>346675.02376969234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515">
        <v>2152068.6863841396</v>
      </c>
      <c r="E28" s="516">
        <v>68788.487804878052</v>
      </c>
      <c r="F28" s="515">
        <v>2083280.1985792615</v>
      </c>
      <c r="G28" s="516">
        <v>337932.41289549379</v>
      </c>
      <c r="H28" s="510">
        <v>337932.41289549379</v>
      </c>
      <c r="I28" s="511">
        <f t="shared" si="0"/>
        <v>0</v>
      </c>
      <c r="J28" s="511"/>
      <c r="K28" s="518">
        <f>G28</f>
        <v>337932.41289549379</v>
      </c>
      <c r="L28" s="519">
        <f t="shared" ref="L28" si="10">IF(K28&lt;&gt;0,+G28-K28,0)</f>
        <v>0</v>
      </c>
      <c r="M28" s="518">
        <f>H28</f>
        <v>337932.41289549379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2020</v>
      </c>
      <c r="D29" s="515">
        <v>2083280.1985792615</v>
      </c>
      <c r="E29" s="516">
        <v>68788.487804878052</v>
      </c>
      <c r="F29" s="515">
        <v>2014491.7107743835</v>
      </c>
      <c r="G29" s="516">
        <v>278462.16480746388</v>
      </c>
      <c r="H29" s="510">
        <v>278462.16480746388</v>
      </c>
      <c r="I29" s="511">
        <f t="shared" si="0"/>
        <v>0</v>
      </c>
      <c r="J29" s="511"/>
      <c r="K29" s="518">
        <f>G29</f>
        <v>278462.16480746388</v>
      </c>
      <c r="L29" s="519">
        <f t="shared" ref="L29" si="11">IF(K29&lt;&gt;0,+G29-K29,0)</f>
        <v>0</v>
      </c>
      <c r="M29" s="518">
        <f>H29</f>
        <v>278462.16480746388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/>
      </c>
      <c r="C30" s="507">
        <f>IF(D11="","-",+C29+1)</f>
        <v>2021</v>
      </c>
      <c r="D30" s="523">
        <f>IF(F29+SUM(E$17:E29)=D$10,F29,D$10-SUM(E$17:E29))</f>
        <v>2014491.7107743835</v>
      </c>
      <c r="E30" s="522">
        <f>IF(+I14&lt;F29,I14,D30)</f>
        <v>67150.666666666672</v>
      </c>
      <c r="F30" s="523">
        <f t="shared" ref="F30:F48" si="12">+D30-E30</f>
        <v>1947341.0441077168</v>
      </c>
      <c r="G30" s="524">
        <f t="shared" ref="G30:G72" si="13">+I$12*((D30+F30)/2)+E30</f>
        <v>278748.14029391238</v>
      </c>
      <c r="H30" s="491">
        <f t="shared" ref="H30:H72" si="14">+I$13*((D30+F30)/2)+E30</f>
        <v>278748.14029391238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2022</v>
      </c>
      <c r="D31" s="523">
        <f>IF(F30+SUM(E$17:E30)=D$10,F30,D$10-SUM(E$17:E30))</f>
        <v>1947341.0441077168</v>
      </c>
      <c r="E31" s="522">
        <f>IF(+I14&lt;F30,I14,D31)</f>
        <v>67150.666666666672</v>
      </c>
      <c r="F31" s="523">
        <f t="shared" si="12"/>
        <v>1880190.37744105</v>
      </c>
      <c r="G31" s="524">
        <f t="shared" si="13"/>
        <v>271575.24214391218</v>
      </c>
      <c r="H31" s="491">
        <f t="shared" si="14"/>
        <v>271575.24214391218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1880190.37744105</v>
      </c>
      <c r="E32" s="522">
        <f>IF(+I14&lt;F31,I14,D32)</f>
        <v>67150.666666666672</v>
      </c>
      <c r="F32" s="523">
        <f t="shared" si="12"/>
        <v>1813039.7107743833</v>
      </c>
      <c r="G32" s="524">
        <f t="shared" si="13"/>
        <v>264402.34399391199</v>
      </c>
      <c r="H32" s="491">
        <f t="shared" si="14"/>
        <v>264402.34399391199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1813039.7107743833</v>
      </c>
      <c r="E33" s="522">
        <f>IF(+I14&lt;F32,I14,D33)</f>
        <v>67150.666666666672</v>
      </c>
      <c r="F33" s="523">
        <f t="shared" si="12"/>
        <v>1745889.0441077165</v>
      </c>
      <c r="G33" s="524">
        <f t="shared" si="13"/>
        <v>257229.44584391185</v>
      </c>
      <c r="H33" s="491">
        <f t="shared" si="14"/>
        <v>257229.44584391185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1745889.0441077165</v>
      </c>
      <c r="E34" s="522">
        <f>IF(+I14&lt;F33,I14,D34)</f>
        <v>67150.666666666672</v>
      </c>
      <c r="F34" s="523">
        <f t="shared" si="12"/>
        <v>1678738.3774410498</v>
      </c>
      <c r="G34" s="524">
        <f t="shared" si="13"/>
        <v>250056.54769391159</v>
      </c>
      <c r="H34" s="491">
        <f t="shared" si="14"/>
        <v>250056.54769391159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1678738.3774410498</v>
      </c>
      <c r="E35" s="522">
        <f>IF(+I14&lt;F34,I14,D35)</f>
        <v>67150.666666666672</v>
      </c>
      <c r="F35" s="523">
        <f t="shared" si="12"/>
        <v>1611587.710774383</v>
      </c>
      <c r="G35" s="524">
        <f t="shared" si="13"/>
        <v>242883.64954391145</v>
      </c>
      <c r="H35" s="491">
        <f t="shared" si="14"/>
        <v>242883.64954391145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1611587.710774383</v>
      </c>
      <c r="E36" s="522">
        <f>IF(+I14&lt;F35,I14,D36)</f>
        <v>67150.666666666672</v>
      </c>
      <c r="F36" s="523">
        <f t="shared" si="12"/>
        <v>1544437.0441077163</v>
      </c>
      <c r="G36" s="524">
        <f t="shared" si="13"/>
        <v>235710.75139391125</v>
      </c>
      <c r="H36" s="491">
        <f t="shared" si="14"/>
        <v>235710.75139391125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1544437.0441077163</v>
      </c>
      <c r="E37" s="522">
        <f>IF(+I14&lt;F36,I14,D37)</f>
        <v>67150.666666666672</v>
      </c>
      <c r="F37" s="523">
        <f t="shared" si="12"/>
        <v>1477286.3774410496</v>
      </c>
      <c r="G37" s="524">
        <f t="shared" si="13"/>
        <v>228537.85324391106</v>
      </c>
      <c r="H37" s="491">
        <f t="shared" si="14"/>
        <v>228537.85324391106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1477286.3774410496</v>
      </c>
      <c r="E38" s="522">
        <f>IF(+I14&lt;F37,I14,D38)</f>
        <v>67150.666666666672</v>
      </c>
      <c r="F38" s="523">
        <f t="shared" si="12"/>
        <v>1410135.7107743828</v>
      </c>
      <c r="G38" s="524">
        <f t="shared" si="13"/>
        <v>221364.95509391086</v>
      </c>
      <c r="H38" s="491">
        <f t="shared" si="14"/>
        <v>221364.95509391086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1410135.7107743828</v>
      </c>
      <c r="E39" s="522">
        <f>IF(+I14&lt;F38,I14,D39)</f>
        <v>67150.666666666672</v>
      </c>
      <c r="F39" s="523">
        <f t="shared" si="12"/>
        <v>1342985.0441077161</v>
      </c>
      <c r="G39" s="524">
        <f t="shared" si="13"/>
        <v>214192.05694391072</v>
      </c>
      <c r="H39" s="491">
        <f t="shared" si="14"/>
        <v>214192.05694391072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1342985.0441077161</v>
      </c>
      <c r="E40" s="522">
        <f>IF(+I14&lt;F39,I14,D40)</f>
        <v>67150.666666666672</v>
      </c>
      <c r="F40" s="523">
        <f t="shared" si="12"/>
        <v>1275834.3774410493</v>
      </c>
      <c r="G40" s="524">
        <f t="shared" si="13"/>
        <v>207019.15879391046</v>
      </c>
      <c r="H40" s="491">
        <f t="shared" si="14"/>
        <v>207019.15879391046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1275834.3774410493</v>
      </c>
      <c r="E41" s="522">
        <f>IF(+I14&lt;F40,I14,D41)</f>
        <v>67150.666666666672</v>
      </c>
      <c r="F41" s="523">
        <f t="shared" si="12"/>
        <v>1208683.7107743826</v>
      </c>
      <c r="G41" s="524">
        <f t="shared" si="13"/>
        <v>199846.26064391033</v>
      </c>
      <c r="H41" s="491">
        <f t="shared" si="14"/>
        <v>199846.26064391033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1208683.7107743826</v>
      </c>
      <c r="E42" s="522">
        <f>IF(+I14&lt;F41,I14,D42)</f>
        <v>67150.666666666672</v>
      </c>
      <c r="F42" s="523">
        <f t="shared" si="12"/>
        <v>1141533.0441077158</v>
      </c>
      <c r="G42" s="524">
        <f t="shared" si="13"/>
        <v>192673.3624939101</v>
      </c>
      <c r="H42" s="491">
        <f t="shared" si="14"/>
        <v>192673.3624939101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1141533.0441077158</v>
      </c>
      <c r="E43" s="522">
        <f>IF(+I14&lt;F42,I14,D43)</f>
        <v>67150.666666666672</v>
      </c>
      <c r="F43" s="523">
        <f t="shared" si="12"/>
        <v>1074382.3774410491</v>
      </c>
      <c r="G43" s="524">
        <f t="shared" si="13"/>
        <v>185500.46434390993</v>
      </c>
      <c r="H43" s="491">
        <f t="shared" si="14"/>
        <v>185500.46434390993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1074382.3774410491</v>
      </c>
      <c r="E44" s="522">
        <f>IF(+I14&lt;F43,I14,D44)</f>
        <v>67150.666666666672</v>
      </c>
      <c r="F44" s="523">
        <f t="shared" si="12"/>
        <v>1007231.7107743825</v>
      </c>
      <c r="G44" s="524">
        <f t="shared" si="13"/>
        <v>178327.56619390973</v>
      </c>
      <c r="H44" s="491">
        <f t="shared" si="14"/>
        <v>178327.56619390973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1007231.7107743825</v>
      </c>
      <c r="E45" s="522">
        <f>IF(+I14&lt;F44,I14,D45)</f>
        <v>67150.666666666672</v>
      </c>
      <c r="F45" s="523">
        <f t="shared" si="12"/>
        <v>940081.04410771583</v>
      </c>
      <c r="G45" s="524">
        <f t="shared" si="13"/>
        <v>171154.66804390957</v>
      </c>
      <c r="H45" s="491">
        <f t="shared" si="14"/>
        <v>171154.66804390957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940081.04410771583</v>
      </c>
      <c r="E46" s="522">
        <f>IF(+I14&lt;F45,I14,D46)</f>
        <v>67150.666666666672</v>
      </c>
      <c r="F46" s="523">
        <f t="shared" si="12"/>
        <v>872930.3774410492</v>
      </c>
      <c r="G46" s="524">
        <f t="shared" si="13"/>
        <v>163981.7698939094</v>
      </c>
      <c r="H46" s="491">
        <f t="shared" si="14"/>
        <v>163981.7698939094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872930.3774410492</v>
      </c>
      <c r="E47" s="522">
        <f>IF(+I14&lt;F46,I14,D47)</f>
        <v>67150.666666666672</v>
      </c>
      <c r="F47" s="523">
        <f t="shared" si="12"/>
        <v>805779.71077438258</v>
      </c>
      <c r="G47" s="524">
        <f t="shared" si="13"/>
        <v>156808.8717439092</v>
      </c>
      <c r="H47" s="491">
        <f t="shared" si="14"/>
        <v>156808.8717439092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805779.71077438258</v>
      </c>
      <c r="E48" s="522">
        <f>IF(+I14&lt;F47,I14,D48)</f>
        <v>67150.666666666672</v>
      </c>
      <c r="F48" s="523">
        <f t="shared" si="12"/>
        <v>738629.04410771595</v>
      </c>
      <c r="G48" s="524">
        <f t="shared" si="13"/>
        <v>149635.97359390906</v>
      </c>
      <c r="H48" s="491">
        <f t="shared" si="14"/>
        <v>149635.97359390906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738629.04410771595</v>
      </c>
      <c r="E49" s="522">
        <f>IF(+I14&lt;F48,I14,D49)</f>
        <v>67150.666666666672</v>
      </c>
      <c r="F49" s="523">
        <f t="shared" ref="F49:F72" si="15">+D49-E49</f>
        <v>671478.37744104932</v>
      </c>
      <c r="G49" s="524">
        <f t="shared" si="13"/>
        <v>142463.07544390886</v>
      </c>
      <c r="H49" s="491">
        <f t="shared" si="14"/>
        <v>142463.07544390886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671478.37744104932</v>
      </c>
      <c r="E50" s="522">
        <f>IF(+I14&lt;F49,I14,D50)</f>
        <v>67150.666666666672</v>
      </c>
      <c r="F50" s="523">
        <f t="shared" si="15"/>
        <v>604327.71077438269</v>
      </c>
      <c r="G50" s="524">
        <f t="shared" si="13"/>
        <v>135290.17729390869</v>
      </c>
      <c r="H50" s="491">
        <f t="shared" si="14"/>
        <v>135290.17729390869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604327.71077438269</v>
      </c>
      <c r="E51" s="522">
        <f>IF(+I14&lt;F50,I14,D51)</f>
        <v>67150.666666666672</v>
      </c>
      <c r="F51" s="523">
        <f t="shared" si="15"/>
        <v>537177.04410771606</v>
      </c>
      <c r="G51" s="524">
        <f t="shared" si="13"/>
        <v>128117.2791439085</v>
      </c>
      <c r="H51" s="491">
        <f t="shared" si="14"/>
        <v>128117.2791439085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537177.04410771606</v>
      </c>
      <c r="E52" s="522">
        <f>IF(+I14&lt;F51,I14,D52)</f>
        <v>67150.666666666672</v>
      </c>
      <c r="F52" s="523">
        <f t="shared" si="15"/>
        <v>470026.37744104938</v>
      </c>
      <c r="G52" s="524">
        <f t="shared" si="13"/>
        <v>120944.38099390833</v>
      </c>
      <c r="H52" s="491">
        <f t="shared" si="14"/>
        <v>120944.38099390833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470026.37744104938</v>
      </c>
      <c r="E53" s="522">
        <f>IF(+I14&lt;F52,I14,D53)</f>
        <v>67150.666666666672</v>
      </c>
      <c r="F53" s="523">
        <f t="shared" si="15"/>
        <v>402875.71077438269</v>
      </c>
      <c r="G53" s="524">
        <f t="shared" si="13"/>
        <v>113771.48284390816</v>
      </c>
      <c r="H53" s="491">
        <f t="shared" si="14"/>
        <v>113771.48284390816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402875.71077438269</v>
      </c>
      <c r="E54" s="522">
        <f>IF(+I14&lt;F53,I14,D54)</f>
        <v>67150.666666666672</v>
      </c>
      <c r="F54" s="523">
        <f t="shared" si="15"/>
        <v>335725.04410771601</v>
      </c>
      <c r="G54" s="524">
        <f t="shared" si="13"/>
        <v>106598.58469390796</v>
      </c>
      <c r="H54" s="491">
        <f t="shared" si="14"/>
        <v>106598.58469390796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335725.04410771601</v>
      </c>
      <c r="E55" s="522">
        <f>IF(+I14&lt;F54,I14,D55)</f>
        <v>67150.666666666672</v>
      </c>
      <c r="F55" s="523">
        <f t="shared" si="15"/>
        <v>268574.37744104932</v>
      </c>
      <c r="G55" s="524">
        <f t="shared" si="13"/>
        <v>99425.686543907796</v>
      </c>
      <c r="H55" s="491">
        <f t="shared" si="14"/>
        <v>99425.686543907796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268574.37744104932</v>
      </c>
      <c r="E56" s="522">
        <f>IF(+I14&lt;F55,I14,D56)</f>
        <v>67150.666666666672</v>
      </c>
      <c r="F56" s="523">
        <f t="shared" si="15"/>
        <v>201423.71077438263</v>
      </c>
      <c r="G56" s="524">
        <f t="shared" si="13"/>
        <v>92252.788393907598</v>
      </c>
      <c r="H56" s="491">
        <f t="shared" si="14"/>
        <v>92252.788393907598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201423.71077438263</v>
      </c>
      <c r="E57" s="522">
        <f>IF(+I14&lt;F56,I14,D57)</f>
        <v>67150.666666666672</v>
      </c>
      <c r="F57" s="523">
        <f t="shared" si="15"/>
        <v>134273.04410771595</v>
      </c>
      <c r="G57" s="524">
        <f t="shared" si="13"/>
        <v>85079.890243907415</v>
      </c>
      <c r="H57" s="491">
        <f t="shared" si="14"/>
        <v>85079.890243907415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134273.04410771595</v>
      </c>
      <c r="E58" s="522">
        <f>IF(+I14&lt;F57,I14,D58)</f>
        <v>67150.666666666672</v>
      </c>
      <c r="F58" s="523">
        <f t="shared" si="15"/>
        <v>67122.377441049277</v>
      </c>
      <c r="G58" s="524">
        <f t="shared" si="13"/>
        <v>77906.992093907233</v>
      </c>
      <c r="H58" s="491">
        <f t="shared" si="14"/>
        <v>77906.992093907233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67122.377441049277</v>
      </c>
      <c r="E59" s="522">
        <f>IF(+I14&lt;F58,I14,D59)</f>
        <v>67122.377441049277</v>
      </c>
      <c r="F59" s="523">
        <f t="shared" si="15"/>
        <v>0</v>
      </c>
      <c r="G59" s="524">
        <f t="shared" si="13"/>
        <v>70707.315617169515</v>
      </c>
      <c r="H59" s="491">
        <f t="shared" si="14"/>
        <v>70707.315617169515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13"/>
        <v>0</v>
      </c>
      <c r="H60" s="491">
        <f t="shared" si="14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13"/>
        <v>0</v>
      </c>
      <c r="H61" s="491">
        <f t="shared" si="14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3"/>
        <v>0</v>
      </c>
      <c r="H62" s="491">
        <f t="shared" si="14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3"/>
        <v>0</v>
      </c>
      <c r="H63" s="491">
        <f t="shared" si="14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3"/>
        <v>0</v>
      </c>
      <c r="H64" s="491">
        <f t="shared" si="14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3"/>
        <v>0</v>
      </c>
      <c r="H65" s="491">
        <f t="shared" si="14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3"/>
        <v>0</v>
      </c>
      <c r="H66" s="491">
        <f t="shared" si="14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3"/>
        <v>0</v>
      </c>
      <c r="H67" s="491">
        <f t="shared" si="14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3"/>
        <v>0</v>
      </c>
      <c r="H68" s="491">
        <f t="shared" si="14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3"/>
        <v>0</v>
      </c>
      <c r="H69" s="491">
        <f t="shared" si="14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3"/>
        <v>0</v>
      </c>
      <c r="H70" s="491">
        <f t="shared" si="14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3"/>
        <v>0</v>
      </c>
      <c r="H71" s="491">
        <f t="shared" si="14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3"/>
        <v>0</v>
      </c>
      <c r="H72" s="471">
        <f t="shared" si="14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2820327.9999999986</v>
      </c>
      <c r="F73" s="375"/>
      <c r="G73" s="375">
        <f>SUM(G17:G72)</f>
        <v>9863013.1815997679</v>
      </c>
      <c r="H73" s="375">
        <f>SUM(H17:H72)</f>
        <v>9863014.1815997679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9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278462.16480746388</v>
      </c>
      <c r="N87" s="546">
        <f>IF(J92&lt;D11,0,VLOOKUP(J92,C17:O72,11))</f>
        <v>278462.16480746388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285966.00600782927</v>
      </c>
      <c r="N88" s="550">
        <f>IF(J92&lt;D11,0,VLOOKUP(J92,C99:P154,7))</f>
        <v>285966.00600782927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Northwest Texarkana-Bann-Alumax Tap 138kV -- reconductor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7503.8412003653939</v>
      </c>
      <c r="N89" s="555">
        <f>+N88-N87</f>
        <v>7503.8412003653939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TP2006130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2820328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67150.666666666672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33602</v>
      </c>
      <c r="F99" s="515">
        <v>1831326</v>
      </c>
      <c r="G99" s="574">
        <v>915663</v>
      </c>
      <c r="H99" s="575">
        <v>179560</v>
      </c>
      <c r="I99" s="576">
        <v>179560</v>
      </c>
      <c r="J99" s="514">
        <f t="shared" ref="J99:J130" si="20">+I99-H99</f>
        <v>0</v>
      </c>
      <c r="K99" s="514"/>
      <c r="L99" s="512">
        <v>179560</v>
      </c>
      <c r="M99" s="513">
        <f t="shared" ref="M99:M130" si="21">IF(L99&lt;&gt;0,+H99-L99,0)</f>
        <v>0</v>
      </c>
      <c r="N99" s="512">
        <v>179560</v>
      </c>
      <c r="O99" s="513">
        <f t="shared" ref="O99:O130" si="22">IF(N99&lt;&gt;0,+I99-N99,0)</f>
        <v>0</v>
      </c>
      <c r="P99" s="513">
        <f t="shared" ref="P99:P130" si="23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2009</v>
      </c>
      <c r="D100" s="508">
        <v>1829504</v>
      </c>
      <c r="E100" s="516">
        <v>49029</v>
      </c>
      <c r="F100" s="515">
        <v>1780474</v>
      </c>
      <c r="G100" s="515">
        <v>1804989</v>
      </c>
      <c r="H100" s="516">
        <v>310279</v>
      </c>
      <c r="I100" s="510">
        <v>310279</v>
      </c>
      <c r="J100" s="514">
        <f t="shared" si="20"/>
        <v>0</v>
      </c>
      <c r="K100" s="514"/>
      <c r="L100" s="518">
        <f t="shared" ref="L100:L105" si="24">H100</f>
        <v>310279</v>
      </c>
      <c r="M100" s="519">
        <f t="shared" si="21"/>
        <v>0</v>
      </c>
      <c r="N100" s="518">
        <f t="shared" ref="N100:N105" si="25">I100</f>
        <v>310279</v>
      </c>
      <c r="O100" s="514">
        <f t="shared" si="22"/>
        <v>0</v>
      </c>
      <c r="P100" s="514">
        <f t="shared" si="23"/>
        <v>0</v>
      </c>
      <c r="Q100" s="269"/>
    </row>
    <row r="101" spans="1:17" ht="12.5">
      <c r="B101" s="195" t="str">
        <f t="shared" ref="B101:B154" si="26">IF(D101=F100,"","IU")</f>
        <v>IU</v>
      </c>
      <c r="C101" s="507">
        <f>IF(D93="","-",+C100+1)</f>
        <v>2010</v>
      </c>
      <c r="D101" s="508">
        <v>2737747</v>
      </c>
      <c r="E101" s="516">
        <v>68789.707317073175</v>
      </c>
      <c r="F101" s="515">
        <v>2668957.2926829266</v>
      </c>
      <c r="G101" s="515">
        <v>2703352.1463414636</v>
      </c>
      <c r="H101" s="516">
        <v>515075.52172744781</v>
      </c>
      <c r="I101" s="510">
        <v>515075.52172744781</v>
      </c>
      <c r="J101" s="514">
        <f t="shared" si="20"/>
        <v>0</v>
      </c>
      <c r="K101" s="514"/>
      <c r="L101" s="518">
        <f t="shared" si="24"/>
        <v>515075.52172744781</v>
      </c>
      <c r="M101" s="519">
        <f t="shared" si="21"/>
        <v>0</v>
      </c>
      <c r="N101" s="518">
        <f t="shared" si="25"/>
        <v>515075.52172744781</v>
      </c>
      <c r="O101" s="514">
        <f t="shared" si="22"/>
        <v>0</v>
      </c>
      <c r="P101" s="514">
        <f t="shared" si="23"/>
        <v>0</v>
      </c>
      <c r="Q101" s="269"/>
    </row>
    <row r="102" spans="1:17" ht="12.5">
      <c r="B102" s="195" t="str">
        <f t="shared" si="26"/>
        <v/>
      </c>
      <c r="C102" s="507">
        <f>IF(D93="","-",+C101+1)</f>
        <v>2011</v>
      </c>
      <c r="D102" s="508">
        <v>2668957.2926829266</v>
      </c>
      <c r="E102" s="520">
        <v>67151.857142857145</v>
      </c>
      <c r="F102" s="515">
        <v>2601805.4355400694</v>
      </c>
      <c r="G102" s="515">
        <v>2635381.364111498</v>
      </c>
      <c r="H102" s="516">
        <v>463460.24648079689</v>
      </c>
      <c r="I102" s="510">
        <v>463460.24648079689</v>
      </c>
      <c r="J102" s="514">
        <f t="shared" si="20"/>
        <v>0</v>
      </c>
      <c r="K102" s="514"/>
      <c r="L102" s="518">
        <f t="shared" si="24"/>
        <v>463460.24648079689</v>
      </c>
      <c r="M102" s="519">
        <f t="shared" si="21"/>
        <v>0</v>
      </c>
      <c r="N102" s="518">
        <f t="shared" si="25"/>
        <v>463460.24648079689</v>
      </c>
      <c r="O102" s="514">
        <f t="shared" si="22"/>
        <v>0</v>
      </c>
      <c r="P102" s="514">
        <f t="shared" si="23"/>
        <v>0</v>
      </c>
      <c r="Q102" s="269"/>
    </row>
    <row r="103" spans="1:17" ht="12.5">
      <c r="B103" s="195" t="str">
        <f t="shared" si="26"/>
        <v/>
      </c>
      <c r="C103" s="507">
        <f>IF(D93="","-",+C102+1)</f>
        <v>2012</v>
      </c>
      <c r="D103" s="508">
        <v>2601805.4355400694</v>
      </c>
      <c r="E103" s="516">
        <v>67151.857142857145</v>
      </c>
      <c r="F103" s="515">
        <v>2534653.5783972121</v>
      </c>
      <c r="G103" s="515">
        <v>2568229.5069686407</v>
      </c>
      <c r="H103" s="516">
        <v>445076.92684818432</v>
      </c>
      <c r="I103" s="510">
        <v>445076.92684818432</v>
      </c>
      <c r="J103" s="514">
        <f t="shared" si="20"/>
        <v>0</v>
      </c>
      <c r="K103" s="514"/>
      <c r="L103" s="518">
        <f t="shared" si="24"/>
        <v>445076.92684818432</v>
      </c>
      <c r="M103" s="519">
        <f t="shared" si="21"/>
        <v>0</v>
      </c>
      <c r="N103" s="518">
        <f t="shared" si="25"/>
        <v>445076.92684818432</v>
      </c>
      <c r="O103" s="514">
        <f t="shared" si="22"/>
        <v>0</v>
      </c>
      <c r="P103" s="514">
        <f t="shared" si="23"/>
        <v>0</v>
      </c>
      <c r="Q103" s="269"/>
    </row>
    <row r="104" spans="1:17" ht="12.5">
      <c r="B104" s="195" t="str">
        <f t="shared" si="26"/>
        <v/>
      </c>
      <c r="C104" s="507">
        <f>IF(D93="","-",+C103+1)</f>
        <v>2013</v>
      </c>
      <c r="D104" s="508">
        <v>2534653.5783972121</v>
      </c>
      <c r="E104" s="516">
        <v>67151.857142857145</v>
      </c>
      <c r="F104" s="515">
        <v>2467501.7212543548</v>
      </c>
      <c r="G104" s="515">
        <v>2501077.6498257834</v>
      </c>
      <c r="H104" s="516">
        <v>405526.90999589988</v>
      </c>
      <c r="I104" s="510">
        <v>405526.90999589988</v>
      </c>
      <c r="J104" s="514">
        <v>0</v>
      </c>
      <c r="K104" s="514"/>
      <c r="L104" s="518">
        <f t="shared" si="24"/>
        <v>405526.90999589988</v>
      </c>
      <c r="M104" s="519">
        <f t="shared" ref="M104:M109" si="27">IF(L104&lt;&gt;0,+H104-L104,0)</f>
        <v>0</v>
      </c>
      <c r="N104" s="518">
        <f t="shared" si="25"/>
        <v>405526.90999589988</v>
      </c>
      <c r="O104" s="514">
        <f t="shared" ref="O104:O109" si="28">IF(N104&lt;&gt;0,+I104-N104,0)</f>
        <v>0</v>
      </c>
      <c r="P104" s="514">
        <f t="shared" ref="P104:P109" si="29">+O104-M104</f>
        <v>0</v>
      </c>
      <c r="Q104" s="269"/>
    </row>
    <row r="105" spans="1:17" ht="12.5">
      <c r="B105" s="195" t="str">
        <f t="shared" si="26"/>
        <v/>
      </c>
      <c r="C105" s="507">
        <f>IF(D93="","-",+C104+1)</f>
        <v>2014</v>
      </c>
      <c r="D105" s="508">
        <v>2467501.7212543548</v>
      </c>
      <c r="E105" s="516">
        <v>67151.857142857145</v>
      </c>
      <c r="F105" s="515">
        <v>2400349.8641114975</v>
      </c>
      <c r="G105" s="515">
        <v>2433925.7926829262</v>
      </c>
      <c r="H105" s="516">
        <v>397979.47169431718</v>
      </c>
      <c r="I105" s="510">
        <v>397979.47169431718</v>
      </c>
      <c r="J105" s="514">
        <v>0</v>
      </c>
      <c r="K105" s="514"/>
      <c r="L105" s="518">
        <f t="shared" si="24"/>
        <v>397979.47169431718</v>
      </c>
      <c r="M105" s="519">
        <f t="shared" si="27"/>
        <v>0</v>
      </c>
      <c r="N105" s="518">
        <f t="shared" si="25"/>
        <v>397979.47169431718</v>
      </c>
      <c r="O105" s="514">
        <f t="shared" si="28"/>
        <v>0</v>
      </c>
      <c r="P105" s="514">
        <f t="shared" si="29"/>
        <v>0</v>
      </c>
      <c r="Q105" s="269"/>
    </row>
    <row r="106" spans="1:17" ht="12.5">
      <c r="B106" s="195" t="str">
        <f t="shared" si="26"/>
        <v>IU</v>
      </c>
      <c r="C106" s="507">
        <f>IF(D93="","-",+C105+1)</f>
        <v>2015</v>
      </c>
      <c r="D106" s="508">
        <v>2400299.864111498</v>
      </c>
      <c r="E106" s="516">
        <v>67150.666666666672</v>
      </c>
      <c r="F106" s="515">
        <v>2333149.1974448315</v>
      </c>
      <c r="G106" s="515">
        <v>2366724.530778165</v>
      </c>
      <c r="H106" s="516">
        <v>379011.3023265209</v>
      </c>
      <c r="I106" s="510">
        <v>379011.3023265209</v>
      </c>
      <c r="J106" s="514">
        <f t="shared" si="20"/>
        <v>0</v>
      </c>
      <c r="K106" s="514"/>
      <c r="L106" s="518">
        <f>H106</f>
        <v>379011.3023265209</v>
      </c>
      <c r="M106" s="519">
        <f t="shared" si="27"/>
        <v>0</v>
      </c>
      <c r="N106" s="518">
        <f>I106</f>
        <v>379011.3023265209</v>
      </c>
      <c r="O106" s="514">
        <f t="shared" si="28"/>
        <v>0</v>
      </c>
      <c r="P106" s="514">
        <f t="shared" si="29"/>
        <v>0</v>
      </c>
      <c r="Q106" s="269"/>
    </row>
    <row r="107" spans="1:17" ht="12.5">
      <c r="B107" s="195" t="str">
        <f t="shared" si="26"/>
        <v/>
      </c>
      <c r="C107" s="507">
        <f>IF(D93="","-",+C106+1)</f>
        <v>2016</v>
      </c>
      <c r="D107" s="508">
        <v>2333149.1974448315</v>
      </c>
      <c r="E107" s="516">
        <v>65589.023255813954</v>
      </c>
      <c r="F107" s="515">
        <v>2267560.1741890176</v>
      </c>
      <c r="G107" s="515">
        <v>2300354.6858169246</v>
      </c>
      <c r="H107" s="516">
        <v>357619.02367935097</v>
      </c>
      <c r="I107" s="510">
        <v>357619.02367935097</v>
      </c>
      <c r="J107" s="514">
        <f t="shared" si="20"/>
        <v>0</v>
      </c>
      <c r="K107" s="514"/>
      <c r="L107" s="518">
        <f>H107</f>
        <v>357619.02367935097</v>
      </c>
      <c r="M107" s="519">
        <f t="shared" si="27"/>
        <v>0</v>
      </c>
      <c r="N107" s="518">
        <f>I107</f>
        <v>357619.02367935097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6"/>
        <v/>
      </c>
      <c r="C108" s="507">
        <f>IF(D93="","-",+C107+1)</f>
        <v>2017</v>
      </c>
      <c r="D108" s="508">
        <v>2267560.1741890176</v>
      </c>
      <c r="E108" s="516">
        <v>67150.666666666672</v>
      </c>
      <c r="F108" s="515">
        <v>2200409.5075223511</v>
      </c>
      <c r="G108" s="515">
        <v>2233984.8408556841</v>
      </c>
      <c r="H108" s="516">
        <v>338516.06172932533</v>
      </c>
      <c r="I108" s="510">
        <v>338516.06172932533</v>
      </c>
      <c r="J108" s="514">
        <f t="shared" si="20"/>
        <v>0</v>
      </c>
      <c r="K108" s="514"/>
      <c r="L108" s="518">
        <f>H108</f>
        <v>338516.06172932533</v>
      </c>
      <c r="M108" s="519">
        <f t="shared" si="27"/>
        <v>0</v>
      </c>
      <c r="N108" s="518">
        <f>I108</f>
        <v>338516.06172932533</v>
      </c>
      <c r="O108" s="514">
        <f t="shared" si="28"/>
        <v>0</v>
      </c>
      <c r="P108" s="514">
        <f t="shared" si="29"/>
        <v>0</v>
      </c>
      <c r="Q108" s="269"/>
    </row>
    <row r="109" spans="1:17" ht="12.5">
      <c r="B109" s="195" t="str">
        <f t="shared" si="26"/>
        <v/>
      </c>
      <c r="C109" s="507">
        <f>IF(D93="","-",+C108+1)</f>
        <v>2018</v>
      </c>
      <c r="D109" s="508">
        <v>2200409.5075223511</v>
      </c>
      <c r="E109" s="516">
        <v>67150.666666666672</v>
      </c>
      <c r="F109" s="515">
        <v>2133258.8408556846</v>
      </c>
      <c r="G109" s="515">
        <v>2166834.1741890181</v>
      </c>
      <c r="H109" s="516">
        <v>295978.29217206314</v>
      </c>
      <c r="I109" s="510">
        <v>295978.29217206314</v>
      </c>
      <c r="J109" s="514">
        <f t="shared" si="20"/>
        <v>0</v>
      </c>
      <c r="K109" s="514"/>
      <c r="L109" s="518">
        <f>H109</f>
        <v>295978.29217206314</v>
      </c>
      <c r="M109" s="519">
        <f t="shared" si="27"/>
        <v>0</v>
      </c>
      <c r="N109" s="518">
        <f>I109</f>
        <v>295978.29217206314</v>
      </c>
      <c r="O109" s="514">
        <f t="shared" si="28"/>
        <v>0</v>
      </c>
      <c r="P109" s="514">
        <f t="shared" si="29"/>
        <v>0</v>
      </c>
      <c r="Q109" s="269"/>
    </row>
    <row r="110" spans="1:17" ht="12.5">
      <c r="B110" s="195" t="str">
        <f t="shared" si="26"/>
        <v/>
      </c>
      <c r="C110" s="507">
        <f>IF(D93="","-",+C109+1)</f>
        <v>2019</v>
      </c>
      <c r="D110" s="508">
        <v>2133258.8408556846</v>
      </c>
      <c r="E110" s="516">
        <v>65589.023255813954</v>
      </c>
      <c r="F110" s="515">
        <v>2067669.8175998707</v>
      </c>
      <c r="G110" s="515">
        <v>2100464.3292277777</v>
      </c>
      <c r="H110" s="516">
        <v>290423.87304846023</v>
      </c>
      <c r="I110" s="510">
        <v>290423.87304846023</v>
      </c>
      <c r="J110" s="514">
        <f t="shared" si="20"/>
        <v>0</v>
      </c>
      <c r="K110" s="514"/>
      <c r="L110" s="518">
        <f>H110</f>
        <v>290423.87304846023</v>
      </c>
      <c r="M110" s="519">
        <f t="shared" ref="M110" si="30">IF(L110&lt;&gt;0,+H110-L110,0)</f>
        <v>0</v>
      </c>
      <c r="N110" s="518">
        <f>I110</f>
        <v>290423.87304846023</v>
      </c>
      <c r="O110" s="514">
        <f t="shared" si="22"/>
        <v>0</v>
      </c>
      <c r="P110" s="514">
        <f t="shared" si="23"/>
        <v>0</v>
      </c>
      <c r="Q110" s="269"/>
    </row>
    <row r="111" spans="1:17" ht="12.5">
      <c r="B111" s="195" t="str">
        <f t="shared" si="26"/>
        <v/>
      </c>
      <c r="C111" s="507">
        <f>IF(D93="","-",+C110+1)</f>
        <v>2020</v>
      </c>
      <c r="D111" s="374">
        <f>IF(F110+SUM(E$99:E110)=D$92,F110,D$92-SUM(E$99:E110))</f>
        <v>2067669.8175998707</v>
      </c>
      <c r="E111" s="522">
        <f>IF(+J96&lt;F110,J96,D111)</f>
        <v>67150.666666666672</v>
      </c>
      <c r="F111" s="523">
        <f t="shared" ref="F111:F130" si="31">+D111-E111</f>
        <v>2000519.150933204</v>
      </c>
      <c r="G111" s="523">
        <f t="shared" ref="G111:G130" si="32">+(F111+D111)/2</f>
        <v>2034094.4842665372</v>
      </c>
      <c r="H111" s="526">
        <f>+J$94*G111+E111</f>
        <v>285966.00600782927</v>
      </c>
      <c r="I111" s="577">
        <f>+J$95*G111+E111</f>
        <v>285966.00600782927</v>
      </c>
      <c r="J111" s="514">
        <f t="shared" si="20"/>
        <v>0</v>
      </c>
      <c r="K111" s="514"/>
      <c r="L111" s="525"/>
      <c r="M111" s="514">
        <f t="shared" si="21"/>
        <v>0</v>
      </c>
      <c r="N111" s="525"/>
      <c r="O111" s="514">
        <f t="shared" si="22"/>
        <v>0</v>
      </c>
      <c r="P111" s="514">
        <f t="shared" si="23"/>
        <v>0</v>
      </c>
      <c r="Q111" s="269"/>
    </row>
    <row r="112" spans="1:17" ht="12.5">
      <c r="B112" s="195" t="str">
        <f t="shared" si="26"/>
        <v/>
      </c>
      <c r="C112" s="507">
        <f>IF(D93="","-",+C111+1)</f>
        <v>2021</v>
      </c>
      <c r="D112" s="374">
        <f>IF(F111+SUM(E$99:E111)=D$92,F111,D$92-SUM(E$99:E111))</f>
        <v>2000519.150933204</v>
      </c>
      <c r="E112" s="522">
        <f>IF(+J96&lt;F111,J96,D112)</f>
        <v>67150.666666666672</v>
      </c>
      <c r="F112" s="523">
        <f t="shared" si="31"/>
        <v>1933368.4842665372</v>
      </c>
      <c r="G112" s="523">
        <f t="shared" si="32"/>
        <v>1966943.8175998707</v>
      </c>
      <c r="H112" s="526">
        <f>+J$94*G112+E112</f>
        <v>278742.35143951641</v>
      </c>
      <c r="I112" s="577">
        <f>+J$95*G112+E112</f>
        <v>278742.35143951641</v>
      </c>
      <c r="J112" s="514">
        <f t="shared" si="20"/>
        <v>0</v>
      </c>
      <c r="K112" s="514"/>
      <c r="L112" s="525"/>
      <c r="M112" s="514">
        <f t="shared" si="21"/>
        <v>0</v>
      </c>
      <c r="N112" s="525"/>
      <c r="O112" s="514">
        <f t="shared" si="22"/>
        <v>0</v>
      </c>
      <c r="P112" s="514">
        <f t="shared" si="23"/>
        <v>0</v>
      </c>
      <c r="Q112" s="269"/>
    </row>
    <row r="113" spans="2:17" ht="12.5">
      <c r="B113" s="195" t="str">
        <f t="shared" si="26"/>
        <v/>
      </c>
      <c r="C113" s="507">
        <f>IF(D93="","-",+C112+1)</f>
        <v>2022</v>
      </c>
      <c r="D113" s="374">
        <f>IF(F112+SUM(E$99:E112)=D$92,F112,D$92-SUM(E$99:E112))</f>
        <v>1933368.4842665372</v>
      </c>
      <c r="E113" s="522">
        <f>IF(+J96&lt;F112,J96,D113)</f>
        <v>67150.666666666672</v>
      </c>
      <c r="F113" s="523">
        <f t="shared" si="31"/>
        <v>1866217.8175998705</v>
      </c>
      <c r="G113" s="523">
        <f t="shared" si="32"/>
        <v>1899793.1509332038</v>
      </c>
      <c r="H113" s="526">
        <f t="shared" ref="H113:H154" si="33">+J$94*G113+E113</f>
        <v>271518.69687120355</v>
      </c>
      <c r="I113" s="577">
        <f t="shared" ref="I113:I154" si="34">+J$95*G113+E113</f>
        <v>271518.69687120355</v>
      </c>
      <c r="J113" s="514">
        <f t="shared" si="20"/>
        <v>0</v>
      </c>
      <c r="K113" s="514"/>
      <c r="L113" s="525"/>
      <c r="M113" s="514">
        <f t="shared" si="21"/>
        <v>0</v>
      </c>
      <c r="N113" s="525"/>
      <c r="O113" s="514">
        <f t="shared" si="22"/>
        <v>0</v>
      </c>
      <c r="P113" s="514">
        <f t="shared" si="23"/>
        <v>0</v>
      </c>
      <c r="Q113" s="269"/>
    </row>
    <row r="114" spans="2:17" ht="12.5">
      <c r="B114" s="195" t="str">
        <f t="shared" si="26"/>
        <v/>
      </c>
      <c r="C114" s="507">
        <f>IF(D93="","-",+C113+1)</f>
        <v>2023</v>
      </c>
      <c r="D114" s="374">
        <f>IF(F113+SUM(E$99:E113)=D$92,F113,D$92-SUM(E$99:E113))</f>
        <v>1866217.8175998705</v>
      </c>
      <c r="E114" s="522">
        <f>IF(+J96&lt;F113,J96,D114)</f>
        <v>67150.666666666672</v>
      </c>
      <c r="F114" s="523">
        <f t="shared" si="31"/>
        <v>1799067.1509332038</v>
      </c>
      <c r="G114" s="523">
        <f t="shared" si="32"/>
        <v>1832642.4842665372</v>
      </c>
      <c r="H114" s="526">
        <f t="shared" si="33"/>
        <v>264295.04230289068</v>
      </c>
      <c r="I114" s="577">
        <f t="shared" si="34"/>
        <v>264295.04230289068</v>
      </c>
      <c r="J114" s="514">
        <f t="shared" si="20"/>
        <v>0</v>
      </c>
      <c r="K114" s="514"/>
      <c r="L114" s="525"/>
      <c r="M114" s="514">
        <f t="shared" si="21"/>
        <v>0</v>
      </c>
      <c r="N114" s="525"/>
      <c r="O114" s="514">
        <f t="shared" si="22"/>
        <v>0</v>
      </c>
      <c r="P114" s="514">
        <f t="shared" si="23"/>
        <v>0</v>
      </c>
      <c r="Q114" s="269"/>
    </row>
    <row r="115" spans="2:17" ht="12.5">
      <c r="B115" s="195" t="str">
        <f t="shared" si="26"/>
        <v/>
      </c>
      <c r="C115" s="507">
        <f>IF(D93="","-",+C114+1)</f>
        <v>2024</v>
      </c>
      <c r="D115" s="374">
        <f>IF(F114+SUM(E$99:E114)=D$92,F114,D$92-SUM(E$99:E114))</f>
        <v>1799067.1509332038</v>
      </c>
      <c r="E115" s="522">
        <f>IF(+J96&lt;F114,J96,D115)</f>
        <v>67150.666666666672</v>
      </c>
      <c r="F115" s="523">
        <f t="shared" si="31"/>
        <v>1731916.484266537</v>
      </c>
      <c r="G115" s="523">
        <f t="shared" si="32"/>
        <v>1765491.8175998703</v>
      </c>
      <c r="H115" s="526">
        <f t="shared" si="33"/>
        <v>257071.38773457782</v>
      </c>
      <c r="I115" s="577">
        <f t="shared" si="34"/>
        <v>257071.38773457782</v>
      </c>
      <c r="J115" s="514">
        <f t="shared" si="20"/>
        <v>0</v>
      </c>
      <c r="K115" s="514"/>
      <c r="L115" s="525"/>
      <c r="M115" s="514">
        <f t="shared" si="21"/>
        <v>0</v>
      </c>
      <c r="N115" s="525"/>
      <c r="O115" s="514">
        <f t="shared" si="22"/>
        <v>0</v>
      </c>
      <c r="P115" s="514">
        <f t="shared" si="23"/>
        <v>0</v>
      </c>
      <c r="Q115" s="269"/>
    </row>
    <row r="116" spans="2:17" ht="12.5">
      <c r="B116" s="195" t="str">
        <f t="shared" si="26"/>
        <v/>
      </c>
      <c r="C116" s="507">
        <f>IF(D93="","-",+C115+1)</f>
        <v>2025</v>
      </c>
      <c r="D116" s="374">
        <f>IF(F115+SUM(E$99:E115)=D$92,F115,D$92-SUM(E$99:E115))</f>
        <v>1731916.484266537</v>
      </c>
      <c r="E116" s="522">
        <f>IF(+J96&lt;F115,J96,D116)</f>
        <v>67150.666666666672</v>
      </c>
      <c r="F116" s="523">
        <f t="shared" si="31"/>
        <v>1664765.8175998703</v>
      </c>
      <c r="G116" s="523">
        <f t="shared" si="32"/>
        <v>1698341.1509332038</v>
      </c>
      <c r="H116" s="526">
        <f t="shared" si="33"/>
        <v>249847.73316626495</v>
      </c>
      <c r="I116" s="577">
        <f t="shared" si="34"/>
        <v>249847.73316626495</v>
      </c>
      <c r="J116" s="514">
        <f t="shared" si="20"/>
        <v>0</v>
      </c>
      <c r="K116" s="514"/>
      <c r="L116" s="525"/>
      <c r="M116" s="514">
        <f t="shared" si="21"/>
        <v>0</v>
      </c>
      <c r="N116" s="525"/>
      <c r="O116" s="514">
        <f t="shared" si="22"/>
        <v>0</v>
      </c>
      <c r="P116" s="514">
        <f t="shared" si="23"/>
        <v>0</v>
      </c>
      <c r="Q116" s="269"/>
    </row>
    <row r="117" spans="2:17" ht="12.5">
      <c r="B117" s="195" t="str">
        <f t="shared" si="26"/>
        <v/>
      </c>
      <c r="C117" s="507">
        <f>IF(D93="","-",+C116+1)</f>
        <v>2026</v>
      </c>
      <c r="D117" s="374">
        <f>IF(F116+SUM(E$99:E116)=D$92,F116,D$92-SUM(E$99:E116))</f>
        <v>1664765.8175998703</v>
      </c>
      <c r="E117" s="522">
        <f>IF(+J96&lt;F116,J96,D117)</f>
        <v>67150.666666666672</v>
      </c>
      <c r="F117" s="523">
        <f t="shared" si="31"/>
        <v>1597615.1509332035</v>
      </c>
      <c r="G117" s="523">
        <f t="shared" si="32"/>
        <v>1631190.4842665368</v>
      </c>
      <c r="H117" s="526">
        <f t="shared" si="33"/>
        <v>242624.07859795203</v>
      </c>
      <c r="I117" s="577">
        <f t="shared" si="34"/>
        <v>242624.07859795203</v>
      </c>
      <c r="J117" s="514">
        <f t="shared" si="20"/>
        <v>0</v>
      </c>
      <c r="K117" s="514"/>
      <c r="L117" s="525"/>
      <c r="M117" s="514">
        <f t="shared" si="21"/>
        <v>0</v>
      </c>
      <c r="N117" s="525"/>
      <c r="O117" s="514">
        <f t="shared" si="22"/>
        <v>0</v>
      </c>
      <c r="P117" s="514">
        <f t="shared" si="23"/>
        <v>0</v>
      </c>
      <c r="Q117" s="269"/>
    </row>
    <row r="118" spans="2:17" ht="12.5">
      <c r="B118" s="195" t="str">
        <f t="shared" si="26"/>
        <v/>
      </c>
      <c r="C118" s="507">
        <f>IF(D93="","-",+C117+1)</f>
        <v>2027</v>
      </c>
      <c r="D118" s="374">
        <f>IF(F117+SUM(E$99:E117)=D$92,F117,D$92-SUM(E$99:E117))</f>
        <v>1597615.1509332035</v>
      </c>
      <c r="E118" s="522">
        <f>IF(+J96&lt;F117,J96,D118)</f>
        <v>67150.666666666672</v>
      </c>
      <c r="F118" s="523">
        <f t="shared" si="31"/>
        <v>1530464.4842665368</v>
      </c>
      <c r="G118" s="523">
        <f t="shared" si="32"/>
        <v>1564039.8175998703</v>
      </c>
      <c r="H118" s="526">
        <f t="shared" si="33"/>
        <v>235400.42402963922</v>
      </c>
      <c r="I118" s="577">
        <f t="shared" si="34"/>
        <v>235400.42402963922</v>
      </c>
      <c r="J118" s="514">
        <f t="shared" si="20"/>
        <v>0</v>
      </c>
      <c r="K118" s="514"/>
      <c r="L118" s="525"/>
      <c r="M118" s="514">
        <f t="shared" si="21"/>
        <v>0</v>
      </c>
      <c r="N118" s="525"/>
      <c r="O118" s="514">
        <f t="shared" si="22"/>
        <v>0</v>
      </c>
      <c r="P118" s="514">
        <f t="shared" si="23"/>
        <v>0</v>
      </c>
      <c r="Q118" s="269"/>
    </row>
    <row r="119" spans="2:17" ht="12.5">
      <c r="B119" s="195" t="str">
        <f t="shared" si="26"/>
        <v/>
      </c>
      <c r="C119" s="507">
        <f>IF(D93="","-",+C118+1)</f>
        <v>2028</v>
      </c>
      <c r="D119" s="374">
        <f>IF(F118+SUM(E$99:E118)=D$92,F118,D$92-SUM(E$99:E118))</f>
        <v>1530464.4842665368</v>
      </c>
      <c r="E119" s="522">
        <f>IF(+J96&lt;F118,J96,D119)</f>
        <v>67150.666666666672</v>
      </c>
      <c r="F119" s="523">
        <f t="shared" si="31"/>
        <v>1463313.81759987</v>
      </c>
      <c r="G119" s="523">
        <f t="shared" si="32"/>
        <v>1496889.1509332033</v>
      </c>
      <c r="H119" s="526">
        <f t="shared" si="33"/>
        <v>228176.7694613263</v>
      </c>
      <c r="I119" s="577">
        <f t="shared" si="34"/>
        <v>228176.7694613263</v>
      </c>
      <c r="J119" s="514">
        <f t="shared" si="20"/>
        <v>0</v>
      </c>
      <c r="K119" s="514"/>
      <c r="L119" s="525"/>
      <c r="M119" s="514">
        <f t="shared" si="21"/>
        <v>0</v>
      </c>
      <c r="N119" s="525"/>
      <c r="O119" s="514">
        <f t="shared" si="22"/>
        <v>0</v>
      </c>
      <c r="P119" s="514">
        <f t="shared" si="23"/>
        <v>0</v>
      </c>
      <c r="Q119" s="269"/>
    </row>
    <row r="120" spans="2:17" ht="12.5">
      <c r="B120" s="195" t="str">
        <f t="shared" si="26"/>
        <v/>
      </c>
      <c r="C120" s="507">
        <f>IF(D93="","-",+C119+1)</f>
        <v>2029</v>
      </c>
      <c r="D120" s="374">
        <f>IF(F119+SUM(E$99:E119)=D$92,F119,D$92-SUM(E$99:E119))</f>
        <v>1463313.81759987</v>
      </c>
      <c r="E120" s="522">
        <f>IF(+J96&lt;F119,J96,D120)</f>
        <v>67150.666666666672</v>
      </c>
      <c r="F120" s="523">
        <f t="shared" si="31"/>
        <v>1396163.1509332033</v>
      </c>
      <c r="G120" s="523">
        <f t="shared" si="32"/>
        <v>1429738.4842665368</v>
      </c>
      <c r="H120" s="526">
        <f t="shared" si="33"/>
        <v>220953.1148930135</v>
      </c>
      <c r="I120" s="577">
        <f t="shared" si="34"/>
        <v>220953.1148930135</v>
      </c>
      <c r="J120" s="514">
        <f t="shared" si="20"/>
        <v>0</v>
      </c>
      <c r="K120" s="514"/>
      <c r="L120" s="525"/>
      <c r="M120" s="514">
        <f t="shared" si="21"/>
        <v>0</v>
      </c>
      <c r="N120" s="525"/>
      <c r="O120" s="514">
        <f t="shared" si="22"/>
        <v>0</v>
      </c>
      <c r="P120" s="514">
        <f t="shared" si="23"/>
        <v>0</v>
      </c>
      <c r="Q120" s="269"/>
    </row>
    <row r="121" spans="2:17" ht="12.5">
      <c r="B121" s="195" t="str">
        <f t="shared" si="26"/>
        <v/>
      </c>
      <c r="C121" s="507">
        <f>IF(D93="","-",+C120+1)</f>
        <v>2030</v>
      </c>
      <c r="D121" s="374">
        <f>IF(F120+SUM(E$99:E120)=D$92,F120,D$92-SUM(E$99:E120))</f>
        <v>1396163.1509332033</v>
      </c>
      <c r="E121" s="522">
        <f>IF(+J96&lt;F120,J96,D121)</f>
        <v>67150.666666666672</v>
      </c>
      <c r="F121" s="523">
        <f t="shared" si="31"/>
        <v>1329012.4842665365</v>
      </c>
      <c r="G121" s="523">
        <f t="shared" si="32"/>
        <v>1362587.8175998698</v>
      </c>
      <c r="H121" s="526">
        <f t="shared" si="33"/>
        <v>213729.46032470057</v>
      </c>
      <c r="I121" s="577">
        <f t="shared" si="34"/>
        <v>213729.46032470057</v>
      </c>
      <c r="J121" s="514">
        <f t="shared" si="20"/>
        <v>0</v>
      </c>
      <c r="K121" s="514"/>
      <c r="L121" s="525"/>
      <c r="M121" s="514">
        <f t="shared" si="21"/>
        <v>0</v>
      </c>
      <c r="N121" s="525"/>
      <c r="O121" s="514">
        <f t="shared" si="22"/>
        <v>0</v>
      </c>
      <c r="P121" s="514">
        <f t="shared" si="23"/>
        <v>0</v>
      </c>
      <c r="Q121" s="269"/>
    </row>
    <row r="122" spans="2:17" ht="12.5">
      <c r="B122" s="195" t="str">
        <f t="shared" si="26"/>
        <v/>
      </c>
      <c r="C122" s="507">
        <f>IF(D93="","-",+C121+1)</f>
        <v>2031</v>
      </c>
      <c r="D122" s="374">
        <f>IF(F121+SUM(E$99:E121)=D$92,F121,D$92-SUM(E$99:E121))</f>
        <v>1329012.4842665365</v>
      </c>
      <c r="E122" s="522">
        <f>IF(+J96&lt;F121,J96,D122)</f>
        <v>67150.666666666672</v>
      </c>
      <c r="F122" s="523">
        <f t="shared" si="31"/>
        <v>1261861.8175998698</v>
      </c>
      <c r="G122" s="523">
        <f t="shared" si="32"/>
        <v>1295437.1509332033</v>
      </c>
      <c r="H122" s="526">
        <f t="shared" si="33"/>
        <v>206505.80575638777</v>
      </c>
      <c r="I122" s="577">
        <f t="shared" si="34"/>
        <v>206505.80575638777</v>
      </c>
      <c r="J122" s="514">
        <f t="shared" si="20"/>
        <v>0</v>
      </c>
      <c r="K122" s="514"/>
      <c r="L122" s="525"/>
      <c r="M122" s="514">
        <f t="shared" si="21"/>
        <v>0</v>
      </c>
      <c r="N122" s="525"/>
      <c r="O122" s="514">
        <f t="shared" si="22"/>
        <v>0</v>
      </c>
      <c r="P122" s="514">
        <f t="shared" si="23"/>
        <v>0</v>
      </c>
      <c r="Q122" s="269"/>
    </row>
    <row r="123" spans="2:17" ht="12.5">
      <c r="B123" s="195" t="str">
        <f t="shared" si="26"/>
        <v/>
      </c>
      <c r="C123" s="507">
        <f>IF(D93="","-",+C122+1)</f>
        <v>2032</v>
      </c>
      <c r="D123" s="374">
        <f>IF(F122+SUM(E$99:E122)=D$92,F122,D$92-SUM(E$99:E122))</f>
        <v>1261861.8175998698</v>
      </c>
      <c r="E123" s="522">
        <f>IF(+J96&lt;F122,J96,D123)</f>
        <v>67150.666666666672</v>
      </c>
      <c r="F123" s="523">
        <f t="shared" si="31"/>
        <v>1194711.1509332031</v>
      </c>
      <c r="G123" s="523">
        <f t="shared" si="32"/>
        <v>1228286.4842665363</v>
      </c>
      <c r="H123" s="526">
        <f t="shared" si="33"/>
        <v>199282.15118807484</v>
      </c>
      <c r="I123" s="577">
        <f t="shared" si="34"/>
        <v>199282.15118807484</v>
      </c>
      <c r="J123" s="514">
        <f t="shared" si="20"/>
        <v>0</v>
      </c>
      <c r="K123" s="514"/>
      <c r="L123" s="525"/>
      <c r="M123" s="514">
        <f t="shared" si="21"/>
        <v>0</v>
      </c>
      <c r="N123" s="525"/>
      <c r="O123" s="514">
        <f t="shared" si="22"/>
        <v>0</v>
      </c>
      <c r="P123" s="514">
        <f t="shared" si="23"/>
        <v>0</v>
      </c>
      <c r="Q123" s="269"/>
    </row>
    <row r="124" spans="2:17" ht="12.5">
      <c r="B124" s="195" t="str">
        <f t="shared" si="26"/>
        <v/>
      </c>
      <c r="C124" s="507">
        <f>IF(D93="","-",+C123+1)</f>
        <v>2033</v>
      </c>
      <c r="D124" s="374">
        <f>IF(F123+SUM(E$99:E123)=D$92,F123,D$92-SUM(E$99:E123))</f>
        <v>1194711.1509332031</v>
      </c>
      <c r="E124" s="522">
        <f>IF(+J96&lt;F123,J96,D124)</f>
        <v>67150.666666666672</v>
      </c>
      <c r="F124" s="523">
        <f t="shared" si="31"/>
        <v>1127560.4842665363</v>
      </c>
      <c r="G124" s="523">
        <f t="shared" si="32"/>
        <v>1161135.8175998698</v>
      </c>
      <c r="H124" s="526">
        <f t="shared" si="33"/>
        <v>192058.49661976201</v>
      </c>
      <c r="I124" s="577">
        <f t="shared" si="34"/>
        <v>192058.49661976201</v>
      </c>
      <c r="J124" s="514">
        <f t="shared" si="20"/>
        <v>0</v>
      </c>
      <c r="K124" s="514"/>
      <c r="L124" s="525"/>
      <c r="M124" s="514">
        <f t="shared" si="21"/>
        <v>0</v>
      </c>
      <c r="N124" s="525"/>
      <c r="O124" s="514">
        <f t="shared" si="22"/>
        <v>0</v>
      </c>
      <c r="P124" s="514">
        <f t="shared" si="23"/>
        <v>0</v>
      </c>
      <c r="Q124" s="269"/>
    </row>
    <row r="125" spans="2:17" ht="12.5">
      <c r="B125" s="195" t="str">
        <f t="shared" si="26"/>
        <v/>
      </c>
      <c r="C125" s="507">
        <f>IF(D93="","-",+C124+1)</f>
        <v>2034</v>
      </c>
      <c r="D125" s="374">
        <f>IF(F124+SUM(E$99:E124)=D$92,F124,D$92-SUM(E$99:E124))</f>
        <v>1127560.4842665363</v>
      </c>
      <c r="E125" s="522">
        <f>IF(+J96&lt;F124,J96,D125)</f>
        <v>67150.666666666672</v>
      </c>
      <c r="F125" s="523">
        <f t="shared" si="31"/>
        <v>1060409.8175998696</v>
      </c>
      <c r="G125" s="523">
        <f t="shared" si="32"/>
        <v>1093985.1509332028</v>
      </c>
      <c r="H125" s="526">
        <f t="shared" si="33"/>
        <v>184834.84205144912</v>
      </c>
      <c r="I125" s="577">
        <f t="shared" si="34"/>
        <v>184834.84205144912</v>
      </c>
      <c r="J125" s="514">
        <f t="shared" si="20"/>
        <v>0</v>
      </c>
      <c r="K125" s="514"/>
      <c r="L125" s="525"/>
      <c r="M125" s="514">
        <f t="shared" si="21"/>
        <v>0</v>
      </c>
      <c r="N125" s="525"/>
      <c r="O125" s="514">
        <f t="shared" si="22"/>
        <v>0</v>
      </c>
      <c r="P125" s="514">
        <f t="shared" si="23"/>
        <v>0</v>
      </c>
      <c r="Q125" s="269"/>
    </row>
    <row r="126" spans="2:17" ht="12.5">
      <c r="B126" s="195" t="str">
        <f t="shared" si="26"/>
        <v/>
      </c>
      <c r="C126" s="507">
        <f>IF(D93="","-",+C125+1)</f>
        <v>2035</v>
      </c>
      <c r="D126" s="374">
        <f>IF(F125+SUM(E$99:E125)=D$92,F125,D$92-SUM(E$99:E125))</f>
        <v>1060409.8175998696</v>
      </c>
      <c r="E126" s="522">
        <f>IF(+J96&lt;F125,J96,D126)</f>
        <v>67150.666666666672</v>
      </c>
      <c r="F126" s="523">
        <f t="shared" si="31"/>
        <v>993259.15093320294</v>
      </c>
      <c r="G126" s="523">
        <f t="shared" si="32"/>
        <v>1026834.4842665363</v>
      </c>
      <c r="H126" s="526">
        <f t="shared" si="33"/>
        <v>177611.18748313625</v>
      </c>
      <c r="I126" s="577">
        <f t="shared" si="34"/>
        <v>177611.18748313625</v>
      </c>
      <c r="J126" s="514">
        <f t="shared" si="20"/>
        <v>0</v>
      </c>
      <c r="K126" s="514"/>
      <c r="L126" s="525"/>
      <c r="M126" s="514">
        <f t="shared" si="21"/>
        <v>0</v>
      </c>
      <c r="N126" s="525"/>
      <c r="O126" s="514">
        <f t="shared" si="22"/>
        <v>0</v>
      </c>
      <c r="P126" s="514">
        <f t="shared" si="23"/>
        <v>0</v>
      </c>
      <c r="Q126" s="269"/>
    </row>
    <row r="127" spans="2:17" ht="12.5">
      <c r="B127" s="195" t="str">
        <f t="shared" si="26"/>
        <v/>
      </c>
      <c r="C127" s="507">
        <f>IF(D93="","-",+C126+1)</f>
        <v>2036</v>
      </c>
      <c r="D127" s="374">
        <f>IF(F126+SUM(E$99:E126)=D$92,F126,D$92-SUM(E$99:E126))</f>
        <v>993259.15093320294</v>
      </c>
      <c r="E127" s="522">
        <f>IF(+J96&lt;F126,J96,D127)</f>
        <v>67150.666666666672</v>
      </c>
      <c r="F127" s="523">
        <f t="shared" si="31"/>
        <v>926108.48426653631</v>
      </c>
      <c r="G127" s="523">
        <f t="shared" si="32"/>
        <v>959683.81759986957</v>
      </c>
      <c r="H127" s="526">
        <f t="shared" si="33"/>
        <v>170387.53291482339</v>
      </c>
      <c r="I127" s="577">
        <f t="shared" si="34"/>
        <v>170387.53291482339</v>
      </c>
      <c r="J127" s="514">
        <f t="shared" si="20"/>
        <v>0</v>
      </c>
      <c r="K127" s="514"/>
      <c r="L127" s="525"/>
      <c r="M127" s="514">
        <f t="shared" si="21"/>
        <v>0</v>
      </c>
      <c r="N127" s="525"/>
      <c r="O127" s="514">
        <f t="shared" si="22"/>
        <v>0</v>
      </c>
      <c r="P127" s="514">
        <f t="shared" si="23"/>
        <v>0</v>
      </c>
      <c r="Q127" s="269"/>
    </row>
    <row r="128" spans="2:17" ht="12.5">
      <c r="B128" s="195" t="str">
        <f t="shared" si="26"/>
        <v/>
      </c>
      <c r="C128" s="507">
        <f>IF(D93="","-",+C127+1)</f>
        <v>2037</v>
      </c>
      <c r="D128" s="374">
        <f>IF(F127+SUM(E$99:E127)=D$92,F127,D$92-SUM(E$99:E127))</f>
        <v>926108.48426653631</v>
      </c>
      <c r="E128" s="522">
        <f>IF(+J96&lt;F127,J96,D128)</f>
        <v>67150.666666666672</v>
      </c>
      <c r="F128" s="523">
        <f t="shared" si="31"/>
        <v>858957.81759986968</v>
      </c>
      <c r="G128" s="523">
        <f t="shared" si="32"/>
        <v>892533.15093320305</v>
      </c>
      <c r="H128" s="526">
        <f t="shared" si="33"/>
        <v>163163.87834651055</v>
      </c>
      <c r="I128" s="577">
        <f t="shared" si="34"/>
        <v>163163.87834651055</v>
      </c>
      <c r="J128" s="514">
        <f t="shared" si="20"/>
        <v>0</v>
      </c>
      <c r="K128" s="514"/>
      <c r="L128" s="525"/>
      <c r="M128" s="514">
        <f t="shared" si="21"/>
        <v>0</v>
      </c>
      <c r="N128" s="525"/>
      <c r="O128" s="514">
        <f t="shared" si="22"/>
        <v>0</v>
      </c>
      <c r="P128" s="514">
        <f t="shared" si="23"/>
        <v>0</v>
      </c>
      <c r="Q128" s="269"/>
    </row>
    <row r="129" spans="2:17" ht="12.5">
      <c r="B129" s="195" t="str">
        <f t="shared" si="26"/>
        <v/>
      </c>
      <c r="C129" s="507">
        <f>IF(D93="","-",+C128+1)</f>
        <v>2038</v>
      </c>
      <c r="D129" s="374">
        <f>IF(F128+SUM(E$99:E128)=D$92,F128,D$92-SUM(E$99:E128))</f>
        <v>858957.81759986968</v>
      </c>
      <c r="E129" s="522">
        <f>IF(+J96&lt;F128,J96,D129)</f>
        <v>67150.666666666672</v>
      </c>
      <c r="F129" s="523">
        <f t="shared" si="31"/>
        <v>791807.15093320305</v>
      </c>
      <c r="G129" s="523">
        <f t="shared" si="32"/>
        <v>825382.48426653631</v>
      </c>
      <c r="H129" s="526">
        <f t="shared" si="33"/>
        <v>155940.22377819769</v>
      </c>
      <c r="I129" s="577">
        <f t="shared" si="34"/>
        <v>155940.22377819769</v>
      </c>
      <c r="J129" s="514">
        <f t="shared" si="20"/>
        <v>0</v>
      </c>
      <c r="K129" s="514"/>
      <c r="L129" s="525"/>
      <c r="M129" s="514">
        <f t="shared" si="21"/>
        <v>0</v>
      </c>
      <c r="N129" s="525"/>
      <c r="O129" s="514">
        <f t="shared" si="22"/>
        <v>0</v>
      </c>
      <c r="P129" s="514">
        <f t="shared" si="23"/>
        <v>0</v>
      </c>
      <c r="Q129" s="269"/>
    </row>
    <row r="130" spans="2:17" ht="12.5">
      <c r="B130" s="195" t="str">
        <f t="shared" si="26"/>
        <v/>
      </c>
      <c r="C130" s="507">
        <f>IF(D93="","-",+C129+1)</f>
        <v>2039</v>
      </c>
      <c r="D130" s="374">
        <f>IF(F129+SUM(E$99:E129)=D$92,F129,D$92-SUM(E$99:E129))</f>
        <v>791807.15093320305</v>
      </c>
      <c r="E130" s="522">
        <f>IF(+J96&lt;F129,J96,D130)</f>
        <v>67150.666666666672</v>
      </c>
      <c r="F130" s="523">
        <f t="shared" si="31"/>
        <v>724656.48426653643</v>
      </c>
      <c r="G130" s="523">
        <f t="shared" si="32"/>
        <v>758231.8175998698</v>
      </c>
      <c r="H130" s="526">
        <f t="shared" si="33"/>
        <v>148716.56920988485</v>
      </c>
      <c r="I130" s="577">
        <f t="shared" si="34"/>
        <v>148716.56920988485</v>
      </c>
      <c r="J130" s="514">
        <f t="shared" si="20"/>
        <v>0</v>
      </c>
      <c r="K130" s="514"/>
      <c r="L130" s="525"/>
      <c r="M130" s="514">
        <f t="shared" si="21"/>
        <v>0</v>
      </c>
      <c r="N130" s="525"/>
      <c r="O130" s="514">
        <f t="shared" si="22"/>
        <v>0</v>
      </c>
      <c r="P130" s="514">
        <f t="shared" si="23"/>
        <v>0</v>
      </c>
      <c r="Q130" s="269"/>
    </row>
    <row r="131" spans="2:17" ht="12.5">
      <c r="B131" s="195" t="str">
        <f t="shared" si="26"/>
        <v/>
      </c>
      <c r="C131" s="507">
        <f>IF(D93="","-",+C130+1)</f>
        <v>2040</v>
      </c>
      <c r="D131" s="374">
        <f>IF(F130+SUM(E$99:E130)=D$92,F130,D$92-SUM(E$99:E130))</f>
        <v>724656.48426653643</v>
      </c>
      <c r="E131" s="522">
        <f>IF(+J96&lt;F130,J96,D131)</f>
        <v>67150.666666666672</v>
      </c>
      <c r="F131" s="523">
        <f t="shared" ref="F131:F154" si="35">+D131-E131</f>
        <v>657505.8175998698</v>
      </c>
      <c r="G131" s="523">
        <f t="shared" ref="G131:G154" si="36">+(F131+D131)/2</f>
        <v>691081.15093320305</v>
      </c>
      <c r="H131" s="526">
        <f t="shared" si="33"/>
        <v>141492.91464157199</v>
      </c>
      <c r="I131" s="577">
        <f t="shared" si="34"/>
        <v>141492.91464157199</v>
      </c>
      <c r="J131" s="514">
        <f t="shared" ref="J131:J154" si="37">+I131-H131</f>
        <v>0</v>
      </c>
      <c r="K131" s="514"/>
      <c r="L131" s="525"/>
      <c r="M131" s="514">
        <f t="shared" ref="M131:M154" si="38">IF(L131&lt;&gt;0,+H131-L131,0)</f>
        <v>0</v>
      </c>
      <c r="N131" s="525"/>
      <c r="O131" s="514">
        <f t="shared" ref="O131:O154" si="39">IF(N131&lt;&gt;0,+I131-N131,0)</f>
        <v>0</v>
      </c>
      <c r="P131" s="514">
        <f t="shared" ref="P131:P154" si="40">+O131-M131</f>
        <v>0</v>
      </c>
      <c r="Q131" s="269"/>
    </row>
    <row r="132" spans="2:17" ht="12.5">
      <c r="B132" s="195" t="str">
        <f t="shared" si="26"/>
        <v/>
      </c>
      <c r="C132" s="507">
        <f>IF(D93="","-",+C131+1)</f>
        <v>2041</v>
      </c>
      <c r="D132" s="374">
        <f>IF(F131+SUM(E$99:E131)=D$92,F131,D$92-SUM(E$99:E131))</f>
        <v>657505.8175998698</v>
      </c>
      <c r="E132" s="522">
        <f>IF(+J96&lt;F131,J96,D132)</f>
        <v>67150.666666666672</v>
      </c>
      <c r="F132" s="523">
        <f t="shared" si="35"/>
        <v>590355.15093320317</v>
      </c>
      <c r="G132" s="523">
        <f t="shared" si="36"/>
        <v>623930.48426653654</v>
      </c>
      <c r="H132" s="526">
        <f t="shared" si="33"/>
        <v>134269.26007325912</v>
      </c>
      <c r="I132" s="577">
        <f t="shared" si="34"/>
        <v>134269.26007325912</v>
      </c>
      <c r="J132" s="514">
        <f t="shared" si="37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  <c r="Q132" s="269"/>
    </row>
    <row r="133" spans="2:17" ht="12.5">
      <c r="B133" s="195" t="str">
        <f t="shared" si="26"/>
        <v/>
      </c>
      <c r="C133" s="507">
        <f>IF(D93="","-",+C132+1)</f>
        <v>2042</v>
      </c>
      <c r="D133" s="374">
        <f>IF(F132+SUM(E$99:E132)=D$92,F132,D$92-SUM(E$99:E132))</f>
        <v>590355.15093320317</v>
      </c>
      <c r="E133" s="522">
        <f>IF(+J96&lt;F132,J96,D133)</f>
        <v>67150.666666666672</v>
      </c>
      <c r="F133" s="523">
        <f t="shared" si="35"/>
        <v>523204.48426653648</v>
      </c>
      <c r="G133" s="523">
        <f t="shared" si="36"/>
        <v>556779.8175998698</v>
      </c>
      <c r="H133" s="526">
        <f t="shared" si="33"/>
        <v>127045.60550494626</v>
      </c>
      <c r="I133" s="577">
        <f t="shared" si="34"/>
        <v>127045.60550494626</v>
      </c>
      <c r="J133" s="514">
        <f t="shared" si="37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  <c r="Q133" s="269"/>
    </row>
    <row r="134" spans="2:17" ht="12.5">
      <c r="B134" s="195" t="str">
        <f t="shared" si="26"/>
        <v/>
      </c>
      <c r="C134" s="507">
        <f>IF(D93="","-",+C133+1)</f>
        <v>2043</v>
      </c>
      <c r="D134" s="374">
        <f>IF(F133+SUM(E$99:E133)=D$92,F133,D$92-SUM(E$99:E133))</f>
        <v>523204.48426653648</v>
      </c>
      <c r="E134" s="522">
        <f>IF(+J96&lt;F133,J96,D134)</f>
        <v>67150.666666666672</v>
      </c>
      <c r="F134" s="523">
        <f t="shared" si="35"/>
        <v>456053.8175998698</v>
      </c>
      <c r="G134" s="523">
        <f t="shared" si="36"/>
        <v>489629.15093320317</v>
      </c>
      <c r="H134" s="526">
        <f t="shared" si="33"/>
        <v>119821.95093663341</v>
      </c>
      <c r="I134" s="577">
        <f t="shared" si="34"/>
        <v>119821.95093663341</v>
      </c>
      <c r="J134" s="514">
        <f t="shared" si="37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  <c r="Q134" s="269"/>
    </row>
    <row r="135" spans="2:17" ht="12.5">
      <c r="B135" s="195" t="str">
        <f t="shared" si="26"/>
        <v/>
      </c>
      <c r="C135" s="507">
        <f>IF(D93="","-",+C134+1)</f>
        <v>2044</v>
      </c>
      <c r="D135" s="374">
        <f>IF(F134+SUM(E$99:E134)=D$92,F134,D$92-SUM(E$99:E134))</f>
        <v>456053.8175998698</v>
      </c>
      <c r="E135" s="522">
        <f>IF(+J96&lt;F134,J96,D135)</f>
        <v>67150.666666666672</v>
      </c>
      <c r="F135" s="523">
        <f t="shared" si="35"/>
        <v>388903.15093320311</v>
      </c>
      <c r="G135" s="523">
        <f t="shared" si="36"/>
        <v>422478.48426653643</v>
      </c>
      <c r="H135" s="526">
        <f t="shared" si="33"/>
        <v>112598.29636832055</v>
      </c>
      <c r="I135" s="577">
        <f t="shared" si="34"/>
        <v>112598.29636832055</v>
      </c>
      <c r="J135" s="514">
        <f t="shared" si="37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  <c r="Q135" s="269"/>
    </row>
    <row r="136" spans="2:17" ht="12.5">
      <c r="B136" s="195" t="str">
        <f t="shared" si="26"/>
        <v/>
      </c>
      <c r="C136" s="507">
        <f>IF(D93="","-",+C135+1)</f>
        <v>2045</v>
      </c>
      <c r="D136" s="374">
        <f>IF(F135+SUM(E$99:E135)=D$92,F135,D$92-SUM(E$99:E135))</f>
        <v>388903.15093320311</v>
      </c>
      <c r="E136" s="522">
        <f>IF(+J96&lt;F135,J96,D136)</f>
        <v>67150.666666666672</v>
      </c>
      <c r="F136" s="523">
        <f t="shared" si="35"/>
        <v>321752.48426653643</v>
      </c>
      <c r="G136" s="523">
        <f t="shared" si="36"/>
        <v>355327.8175998698</v>
      </c>
      <c r="H136" s="526">
        <f t="shared" si="33"/>
        <v>105374.6418000077</v>
      </c>
      <c r="I136" s="577">
        <f t="shared" si="34"/>
        <v>105374.6418000077</v>
      </c>
      <c r="J136" s="514">
        <f t="shared" si="37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  <c r="Q136" s="269"/>
    </row>
    <row r="137" spans="2:17" ht="12.5">
      <c r="B137" s="195" t="str">
        <f t="shared" si="26"/>
        <v/>
      </c>
      <c r="C137" s="507">
        <f>IF(D93="","-",+C136+1)</f>
        <v>2046</v>
      </c>
      <c r="D137" s="374">
        <f>IF(F136+SUM(E$99:E136)=D$92,F136,D$92-SUM(E$99:E136))</f>
        <v>321752.48426653643</v>
      </c>
      <c r="E137" s="522">
        <f>IF(+J96&lt;F136,J96,D137)</f>
        <v>67150.666666666672</v>
      </c>
      <c r="F137" s="523">
        <f t="shared" si="35"/>
        <v>254601.81759986974</v>
      </c>
      <c r="G137" s="523">
        <f t="shared" si="36"/>
        <v>288177.15093320305</v>
      </c>
      <c r="H137" s="526">
        <f t="shared" si="33"/>
        <v>98150.987231694817</v>
      </c>
      <c r="I137" s="577">
        <f t="shared" si="34"/>
        <v>98150.987231694817</v>
      </c>
      <c r="J137" s="514">
        <f t="shared" si="37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  <c r="Q137" s="269"/>
    </row>
    <row r="138" spans="2:17" ht="12.5">
      <c r="B138" s="195" t="str">
        <f t="shared" si="26"/>
        <v/>
      </c>
      <c r="C138" s="507">
        <f>IF(D93="","-",+C137+1)</f>
        <v>2047</v>
      </c>
      <c r="D138" s="374">
        <f>IF(F137+SUM(E$99:E137)=D$92,F137,D$92-SUM(E$99:E137))</f>
        <v>254601.81759986974</v>
      </c>
      <c r="E138" s="522">
        <f>IF(+J96&lt;F137,J96,D138)</f>
        <v>67150.666666666672</v>
      </c>
      <c r="F138" s="523">
        <f t="shared" si="35"/>
        <v>187451.15093320305</v>
      </c>
      <c r="G138" s="523">
        <f t="shared" si="36"/>
        <v>221026.4842665364</v>
      </c>
      <c r="H138" s="526">
        <f t="shared" si="33"/>
        <v>90927.332663381967</v>
      </c>
      <c r="I138" s="577">
        <f t="shared" si="34"/>
        <v>90927.332663381967</v>
      </c>
      <c r="J138" s="514">
        <f t="shared" si="37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  <c r="Q138" s="269"/>
    </row>
    <row r="139" spans="2:17" ht="12.5">
      <c r="B139" s="195" t="str">
        <f t="shared" si="26"/>
        <v/>
      </c>
      <c r="C139" s="507">
        <f>IF(D93="","-",+C138+1)</f>
        <v>2048</v>
      </c>
      <c r="D139" s="374">
        <f>IF(F138+SUM(E$99:E138)=D$92,F138,D$92-SUM(E$99:E138))</f>
        <v>187451.15093320305</v>
      </c>
      <c r="E139" s="522">
        <f>IF(+J96&lt;F138,J96,D139)</f>
        <v>67150.666666666672</v>
      </c>
      <c r="F139" s="523">
        <f t="shared" si="35"/>
        <v>120300.48426653638</v>
      </c>
      <c r="G139" s="523">
        <f t="shared" si="36"/>
        <v>153875.81759986971</v>
      </c>
      <c r="H139" s="526">
        <f t="shared" si="33"/>
        <v>83703.678095069103</v>
      </c>
      <c r="I139" s="577">
        <f t="shared" si="34"/>
        <v>83703.678095069103</v>
      </c>
      <c r="J139" s="514">
        <f t="shared" si="37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  <c r="Q139" s="269"/>
    </row>
    <row r="140" spans="2:17" ht="12.5">
      <c r="B140" s="195" t="str">
        <f t="shared" si="26"/>
        <v/>
      </c>
      <c r="C140" s="507">
        <f>IF(D93="","-",+C139+1)</f>
        <v>2049</v>
      </c>
      <c r="D140" s="374">
        <f>IF(F139+SUM(E$99:E139)=D$92,F139,D$92-SUM(E$99:E139))</f>
        <v>120300.48426653638</v>
      </c>
      <c r="E140" s="522">
        <f>IF(+J96&lt;F139,J96,D140)</f>
        <v>67150.666666666672</v>
      </c>
      <c r="F140" s="523">
        <f t="shared" si="35"/>
        <v>53149.817599869712</v>
      </c>
      <c r="G140" s="523">
        <f t="shared" si="36"/>
        <v>86725.150933203055</v>
      </c>
      <c r="H140" s="526">
        <f t="shared" si="33"/>
        <v>76480.023526756238</v>
      </c>
      <c r="I140" s="577">
        <f t="shared" si="34"/>
        <v>76480.023526756238</v>
      </c>
      <c r="J140" s="514">
        <f t="shared" si="37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  <c r="Q140" s="269"/>
    </row>
    <row r="141" spans="2:17" ht="12.5">
      <c r="B141" s="195" t="str">
        <f t="shared" si="26"/>
        <v/>
      </c>
      <c r="C141" s="507">
        <f>IF(D93="","-",+C140+1)</f>
        <v>2050</v>
      </c>
      <c r="D141" s="374">
        <f>IF(F140+SUM(E$99:E140)=D$92,F140,D$92-SUM(E$99:E140))</f>
        <v>53149.817599869712</v>
      </c>
      <c r="E141" s="522">
        <f>IF(+J96&lt;F140,J96,D141)</f>
        <v>53149.817599869712</v>
      </c>
      <c r="F141" s="523">
        <f t="shared" si="35"/>
        <v>0</v>
      </c>
      <c r="G141" s="523">
        <f t="shared" si="36"/>
        <v>26574.908799934856</v>
      </c>
      <c r="H141" s="526">
        <f t="shared" si="33"/>
        <v>56008.582387836279</v>
      </c>
      <c r="I141" s="577">
        <f t="shared" si="34"/>
        <v>56008.582387836279</v>
      </c>
      <c r="J141" s="514">
        <f t="shared" si="37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  <c r="Q141" s="269"/>
    </row>
    <row r="142" spans="2:17" ht="12.5">
      <c r="B142" s="195" t="str">
        <f t="shared" si="26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5"/>
        <v>0</v>
      </c>
      <c r="G142" s="523">
        <f t="shared" si="36"/>
        <v>0</v>
      </c>
      <c r="H142" s="526">
        <f t="shared" si="33"/>
        <v>0</v>
      </c>
      <c r="I142" s="577">
        <f t="shared" si="34"/>
        <v>0</v>
      </c>
      <c r="J142" s="514">
        <f t="shared" si="37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  <c r="Q142" s="269"/>
    </row>
    <row r="143" spans="2:17" ht="12.5">
      <c r="B143" s="195" t="str">
        <f t="shared" si="26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5"/>
        <v>0</v>
      </c>
      <c r="G143" s="523">
        <f t="shared" si="36"/>
        <v>0</v>
      </c>
      <c r="H143" s="526">
        <f t="shared" si="33"/>
        <v>0</v>
      </c>
      <c r="I143" s="577">
        <f t="shared" si="34"/>
        <v>0</v>
      </c>
      <c r="J143" s="514">
        <f t="shared" si="37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  <c r="Q143" s="269"/>
    </row>
    <row r="144" spans="2:17" ht="12.5">
      <c r="B144" s="195" t="str">
        <f t="shared" si="26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5"/>
        <v>0</v>
      </c>
      <c r="G144" s="523">
        <f t="shared" si="36"/>
        <v>0</v>
      </c>
      <c r="H144" s="526">
        <f t="shared" si="33"/>
        <v>0</v>
      </c>
      <c r="I144" s="577">
        <f t="shared" si="34"/>
        <v>0</v>
      </c>
      <c r="J144" s="514">
        <f t="shared" si="37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  <c r="Q144" s="269"/>
    </row>
    <row r="145" spans="2:17" ht="12.5">
      <c r="B145" s="195" t="str">
        <f t="shared" si="26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5"/>
        <v>0</v>
      </c>
      <c r="G145" s="523">
        <f t="shared" si="36"/>
        <v>0</v>
      </c>
      <c r="H145" s="526">
        <f t="shared" si="33"/>
        <v>0</v>
      </c>
      <c r="I145" s="577">
        <f t="shared" si="34"/>
        <v>0</v>
      </c>
      <c r="J145" s="514">
        <f t="shared" si="37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  <c r="Q145" s="269"/>
    </row>
    <row r="146" spans="2:17" ht="12.5">
      <c r="B146" s="195" t="str">
        <f t="shared" si="26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5"/>
        <v>0</v>
      </c>
      <c r="G146" s="523">
        <f t="shared" si="36"/>
        <v>0</v>
      </c>
      <c r="H146" s="526">
        <f t="shared" si="33"/>
        <v>0</v>
      </c>
      <c r="I146" s="577">
        <f t="shared" si="34"/>
        <v>0</v>
      </c>
      <c r="J146" s="514">
        <f t="shared" si="37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  <c r="Q146" s="269"/>
    </row>
    <row r="147" spans="2:17" ht="12.5">
      <c r="B147" s="195" t="str">
        <f t="shared" si="26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5"/>
        <v>0</v>
      </c>
      <c r="G147" s="523">
        <f t="shared" si="36"/>
        <v>0</v>
      </c>
      <c r="H147" s="526">
        <f t="shared" si="33"/>
        <v>0</v>
      </c>
      <c r="I147" s="577">
        <f t="shared" si="34"/>
        <v>0</v>
      </c>
      <c r="J147" s="514">
        <f t="shared" si="37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  <c r="Q147" s="269"/>
    </row>
    <row r="148" spans="2:17" ht="12.5">
      <c r="B148" s="195" t="str">
        <f t="shared" si="26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5"/>
        <v>0</v>
      </c>
      <c r="G148" s="523">
        <f t="shared" si="36"/>
        <v>0</v>
      </c>
      <c r="H148" s="526">
        <f t="shared" si="33"/>
        <v>0</v>
      </c>
      <c r="I148" s="577">
        <f t="shared" si="34"/>
        <v>0</v>
      </c>
      <c r="J148" s="514">
        <f t="shared" si="37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  <c r="Q148" s="269"/>
    </row>
    <row r="149" spans="2:17" ht="12.5">
      <c r="B149" s="195" t="str">
        <f t="shared" si="26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5"/>
        <v>0</v>
      </c>
      <c r="G149" s="523">
        <f t="shared" si="36"/>
        <v>0</v>
      </c>
      <c r="H149" s="526">
        <f t="shared" si="33"/>
        <v>0</v>
      </c>
      <c r="I149" s="577">
        <f t="shared" si="34"/>
        <v>0</v>
      </c>
      <c r="J149" s="514">
        <f t="shared" si="37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  <c r="Q149" s="269"/>
    </row>
    <row r="150" spans="2:17" ht="12.5">
      <c r="B150" s="195" t="str">
        <f t="shared" si="26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5"/>
        <v>0</v>
      </c>
      <c r="G150" s="523">
        <f t="shared" si="36"/>
        <v>0</v>
      </c>
      <c r="H150" s="526">
        <f t="shared" si="33"/>
        <v>0</v>
      </c>
      <c r="I150" s="577">
        <f t="shared" si="34"/>
        <v>0</v>
      </c>
      <c r="J150" s="514">
        <f t="shared" si="37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  <c r="Q150" s="269"/>
    </row>
    <row r="151" spans="2:17" ht="12.5">
      <c r="B151" s="195" t="str">
        <f t="shared" si="26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5"/>
        <v>0</v>
      </c>
      <c r="G151" s="523">
        <f t="shared" si="36"/>
        <v>0</v>
      </c>
      <c r="H151" s="526">
        <f t="shared" si="33"/>
        <v>0</v>
      </c>
      <c r="I151" s="577">
        <f t="shared" si="34"/>
        <v>0</v>
      </c>
      <c r="J151" s="514">
        <f t="shared" si="37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  <c r="Q151" s="269"/>
    </row>
    <row r="152" spans="2:17" ht="12.5">
      <c r="B152" s="195" t="str">
        <f t="shared" si="26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5"/>
        <v>0</v>
      </c>
      <c r="G152" s="523">
        <f t="shared" si="36"/>
        <v>0</v>
      </c>
      <c r="H152" s="526">
        <f t="shared" si="33"/>
        <v>0</v>
      </c>
      <c r="I152" s="577">
        <f t="shared" si="34"/>
        <v>0</v>
      </c>
      <c r="J152" s="514">
        <f t="shared" si="37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  <c r="Q152" s="269"/>
    </row>
    <row r="153" spans="2:17" ht="12.5">
      <c r="B153" s="195" t="str">
        <f t="shared" si="26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5"/>
        <v>0</v>
      </c>
      <c r="G153" s="523">
        <f t="shared" si="36"/>
        <v>0</v>
      </c>
      <c r="H153" s="526">
        <f t="shared" si="33"/>
        <v>0</v>
      </c>
      <c r="I153" s="577">
        <f t="shared" si="34"/>
        <v>0</v>
      </c>
      <c r="J153" s="514">
        <f t="shared" si="37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  <c r="Q153" s="269"/>
    </row>
    <row r="154" spans="2:17" ht="13" thickBot="1">
      <c r="B154" s="195" t="str">
        <f t="shared" si="26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5"/>
        <v>0</v>
      </c>
      <c r="G154" s="528">
        <f t="shared" si="36"/>
        <v>0</v>
      </c>
      <c r="H154" s="530">
        <f t="shared" si="33"/>
        <v>0</v>
      </c>
      <c r="I154" s="579">
        <f t="shared" si="34"/>
        <v>0</v>
      </c>
      <c r="J154" s="533">
        <f t="shared" si="37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  <c r="Q154" s="269"/>
    </row>
    <row r="155" spans="2:17" ht="12.5">
      <c r="C155" s="374" t="s">
        <v>78</v>
      </c>
      <c r="D155" s="375"/>
      <c r="E155" s="375">
        <f>SUM(E99:E154)</f>
        <v>2820327.9999999991</v>
      </c>
      <c r="F155" s="375"/>
      <c r="G155" s="375"/>
      <c r="H155" s="375">
        <f>SUM(H99:H154)</f>
        <v>9871205.6551089846</v>
      </c>
      <c r="I155" s="375">
        <f>SUM(I99:I154)</f>
        <v>9871205.6551089846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3" priority="1" stopIfTrue="1" operator="equal">
      <formula>$I$10</formula>
    </cfRule>
  </conditionalFormatting>
  <conditionalFormatting sqref="C99:C154">
    <cfRule type="cellIs" dxfId="1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indexed="8"/>
  </sheetPr>
  <dimension ref="A1:Q162"/>
  <sheetViews>
    <sheetView view="pageBreakPreview" zoomScale="86" zoomScaleNormal="100" zoomScaleSheetLayoutView="86" workbookViewId="0">
      <selection activeCell="D20" sqref="D2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10 of 74</v>
      </c>
      <c r="Q1" s="453" t="s">
        <v>165</v>
      </c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235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142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524">
        <f>+I$12*((D17+F17)/2)+E17</f>
        <v>0</v>
      </c>
      <c r="H17" s="491">
        <f>+I$13*((D17+F17)/2)+E17</f>
        <v>0</v>
      </c>
      <c r="I17" s="511">
        <f t="shared" ref="I17:I48" si="1">H17-G17</f>
        <v>0</v>
      </c>
      <c r="J17" s="511"/>
      <c r="K17" s="512">
        <v>0</v>
      </c>
      <c r="L17" s="513">
        <f t="shared" ref="L17:L48" si="2">IF(K17&lt;&gt;0,+G17-K17,0)</f>
        <v>0</v>
      </c>
      <c r="M17" s="512">
        <v>0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2009</v>
      </c>
      <c r="D18" s="523">
        <f t="shared" ref="D18:D24" si="5">F17</f>
        <v>0</v>
      </c>
      <c r="E18" s="522">
        <f>IF(+I14&lt;F17,I14,D18)</f>
        <v>0</v>
      </c>
      <c r="F18" s="523">
        <f t="shared" si="0"/>
        <v>0</v>
      </c>
      <c r="G18" s="524">
        <f t="shared" ref="G18:G72" si="6">+I$12*((D18+F18)/2)+E18</f>
        <v>0</v>
      </c>
      <c r="H18" s="491">
        <f t="shared" ref="H18:H72" si="7">+I$13*((D18+F18)/2)+E18</f>
        <v>0</v>
      </c>
      <c r="I18" s="511">
        <f t="shared" si="1"/>
        <v>0</v>
      </c>
      <c r="J18" s="511"/>
      <c r="K18" s="518">
        <v>0</v>
      </c>
      <c r="L18" s="514">
        <f t="shared" si="2"/>
        <v>0</v>
      </c>
      <c r="M18" s="518">
        <v>0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2010</v>
      </c>
      <c r="D19" s="523">
        <f t="shared" si="5"/>
        <v>0</v>
      </c>
      <c r="E19" s="522">
        <f>IF(+I14&lt;F18,I14,D19)</f>
        <v>0</v>
      </c>
      <c r="F19" s="523">
        <f t="shared" si="0"/>
        <v>0</v>
      </c>
      <c r="G19" s="524">
        <f t="shared" si="6"/>
        <v>0</v>
      </c>
      <c r="H19" s="491">
        <f t="shared" si="7"/>
        <v>0</v>
      </c>
      <c r="I19" s="511">
        <f t="shared" si="1"/>
        <v>0</v>
      </c>
      <c r="J19" s="511"/>
      <c r="K19" s="525"/>
      <c r="L19" s="514">
        <f t="shared" si="2"/>
        <v>0</v>
      </c>
      <c r="M19" s="525"/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8">IF(D20=F19,"","IU")</f>
        <v/>
      </c>
      <c r="C20" s="507">
        <f>IF(D11="","-",+C19+1)</f>
        <v>2011</v>
      </c>
      <c r="D20" s="523">
        <f t="shared" si="5"/>
        <v>0</v>
      </c>
      <c r="E20" s="522">
        <f>IF(+I14&lt;F19,I14,D20)</f>
        <v>0</v>
      </c>
      <c r="F20" s="523">
        <f t="shared" si="0"/>
        <v>0</v>
      </c>
      <c r="G20" s="524">
        <f t="shared" si="6"/>
        <v>0</v>
      </c>
      <c r="H20" s="491">
        <f t="shared" si="7"/>
        <v>0</v>
      </c>
      <c r="I20" s="511">
        <f t="shared" si="1"/>
        <v>0</v>
      </c>
      <c r="J20" s="511"/>
      <c r="K20" s="525"/>
      <c r="L20" s="514">
        <f t="shared" si="2"/>
        <v>0</v>
      </c>
      <c r="M20" s="525"/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8"/>
        <v/>
      </c>
      <c r="C21" s="507">
        <f>IF(D12="","-",+C20+1)</f>
        <v>2012</v>
      </c>
      <c r="D21" s="523">
        <f t="shared" si="5"/>
        <v>0</v>
      </c>
      <c r="E21" s="522">
        <f>IF(+I14&lt;F20,I14,D21)</f>
        <v>0</v>
      </c>
      <c r="F21" s="523">
        <f t="shared" si="0"/>
        <v>0</v>
      </c>
      <c r="G21" s="524">
        <f t="shared" si="6"/>
        <v>0</v>
      </c>
      <c r="H21" s="491">
        <f t="shared" si="7"/>
        <v>0</v>
      </c>
      <c r="I21" s="511">
        <f t="shared" si="1"/>
        <v>0</v>
      </c>
      <c r="J21" s="511"/>
      <c r="K21" s="525"/>
      <c r="L21" s="514">
        <f t="shared" si="2"/>
        <v>0</v>
      </c>
      <c r="M21" s="525"/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8"/>
        <v/>
      </c>
      <c r="C22" s="507">
        <f>IF(D11="","-",+C21+1)</f>
        <v>2013</v>
      </c>
      <c r="D22" s="523">
        <f t="shared" si="5"/>
        <v>0</v>
      </c>
      <c r="E22" s="522">
        <f>IF(+I14&lt;F21,I14,D22)</f>
        <v>0</v>
      </c>
      <c r="F22" s="523">
        <f t="shared" si="0"/>
        <v>0</v>
      </c>
      <c r="G22" s="524">
        <f t="shared" si="6"/>
        <v>0</v>
      </c>
      <c r="H22" s="491">
        <f t="shared" si="7"/>
        <v>0</v>
      </c>
      <c r="I22" s="511">
        <f t="shared" si="1"/>
        <v>0</v>
      </c>
      <c r="J22" s="511"/>
      <c r="K22" s="525"/>
      <c r="L22" s="514">
        <f t="shared" si="2"/>
        <v>0</v>
      </c>
      <c r="M22" s="525"/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8"/>
        <v/>
      </c>
      <c r="C23" s="507">
        <f>IF(D11="","-",+C22+1)</f>
        <v>2014</v>
      </c>
      <c r="D23" s="523">
        <f t="shared" si="5"/>
        <v>0</v>
      </c>
      <c r="E23" s="522">
        <f>IF(+I14&lt;F22,I14,D23)</f>
        <v>0</v>
      </c>
      <c r="F23" s="523">
        <f t="shared" si="0"/>
        <v>0</v>
      </c>
      <c r="G23" s="524">
        <f t="shared" si="6"/>
        <v>0</v>
      </c>
      <c r="H23" s="491">
        <f t="shared" si="7"/>
        <v>0</v>
      </c>
      <c r="I23" s="511">
        <f t="shared" si="1"/>
        <v>0</v>
      </c>
      <c r="J23" s="511"/>
      <c r="K23" s="525"/>
      <c r="L23" s="514">
        <f t="shared" si="2"/>
        <v>0</v>
      </c>
      <c r="M23" s="525"/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8"/>
        <v/>
      </c>
      <c r="C24" s="507">
        <f>IF(D11="","-",+C23+1)</f>
        <v>2015</v>
      </c>
      <c r="D24" s="523">
        <f t="shared" si="5"/>
        <v>0</v>
      </c>
      <c r="E24" s="522">
        <f>IF(+I14&lt;F23,I14,D24)</f>
        <v>0</v>
      </c>
      <c r="F24" s="523">
        <f t="shared" si="0"/>
        <v>0</v>
      </c>
      <c r="G24" s="524">
        <f t="shared" si="6"/>
        <v>0</v>
      </c>
      <c r="H24" s="491">
        <f t="shared" si="7"/>
        <v>0</v>
      </c>
      <c r="I24" s="511">
        <f t="shared" si="1"/>
        <v>0</v>
      </c>
      <c r="J24" s="511"/>
      <c r="K24" s="525"/>
      <c r="L24" s="514">
        <f t="shared" si="2"/>
        <v>0</v>
      </c>
      <c r="M24" s="525"/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8"/>
        <v/>
      </c>
      <c r="C25" s="507">
        <f>IF(D11="","-",+C24+1)</f>
        <v>2016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6"/>
        <v>0</v>
      </c>
      <c r="H25" s="491">
        <f t="shared" si="7"/>
        <v>0</v>
      </c>
      <c r="I25" s="511">
        <f t="shared" si="1"/>
        <v>0</v>
      </c>
      <c r="J25" s="511"/>
      <c r="K25" s="525"/>
      <c r="L25" s="514">
        <f t="shared" si="2"/>
        <v>0</v>
      </c>
      <c r="M25" s="525"/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8"/>
        <v/>
      </c>
      <c r="C26" s="507">
        <f>IF(D11="","-",+C25+1)</f>
        <v>2017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6"/>
        <v>0</v>
      </c>
      <c r="H26" s="491">
        <f t="shared" si="7"/>
        <v>0</v>
      </c>
      <c r="I26" s="511">
        <f t="shared" si="1"/>
        <v>0</v>
      </c>
      <c r="J26" s="511"/>
      <c r="K26" s="525"/>
      <c r="L26" s="514">
        <f t="shared" si="2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8"/>
        <v/>
      </c>
      <c r="C27" s="507">
        <f>IF(D11="","-",+C26+1)</f>
        <v>2018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6"/>
        <v>0</v>
      </c>
      <c r="H27" s="491">
        <f t="shared" si="7"/>
        <v>0</v>
      </c>
      <c r="I27" s="511">
        <f t="shared" si="1"/>
        <v>0</v>
      </c>
      <c r="J27" s="511"/>
      <c r="K27" s="525"/>
      <c r="L27" s="514">
        <f t="shared" si="2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8"/>
        <v/>
      </c>
      <c r="C28" s="507">
        <f>IF(D11="","-",+C27+1)</f>
        <v>2019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6"/>
        <v>0</v>
      </c>
      <c r="H28" s="491">
        <f t="shared" si="7"/>
        <v>0</v>
      </c>
      <c r="I28" s="511">
        <f t="shared" si="1"/>
        <v>0</v>
      </c>
      <c r="J28" s="511"/>
      <c r="K28" s="525"/>
      <c r="L28" s="514">
        <f t="shared" si="2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8"/>
        <v/>
      </c>
      <c r="C29" s="507">
        <f>IF(D11="","-",+C28+1)</f>
        <v>2020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6"/>
        <v>0</v>
      </c>
      <c r="H29" s="491">
        <f t="shared" si="7"/>
        <v>0</v>
      </c>
      <c r="I29" s="511">
        <f t="shared" si="1"/>
        <v>0</v>
      </c>
      <c r="J29" s="511"/>
      <c r="K29" s="525"/>
      <c r="L29" s="514">
        <f t="shared" si="2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8"/>
        <v/>
      </c>
      <c r="C30" s="507">
        <f>IF(D11="","-",+C29+1)</f>
        <v>2021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6"/>
        <v>0</v>
      </c>
      <c r="H30" s="491">
        <f t="shared" si="7"/>
        <v>0</v>
      </c>
      <c r="I30" s="511">
        <f t="shared" si="1"/>
        <v>0</v>
      </c>
      <c r="J30" s="511"/>
      <c r="K30" s="525"/>
      <c r="L30" s="514">
        <f t="shared" si="2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8"/>
        <v/>
      </c>
      <c r="C31" s="507">
        <f>IF(D11="","-",+C30+1)</f>
        <v>2022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6"/>
        <v>0</v>
      </c>
      <c r="H31" s="491">
        <f t="shared" si="7"/>
        <v>0</v>
      </c>
      <c r="I31" s="511">
        <f t="shared" si="1"/>
        <v>0</v>
      </c>
      <c r="J31" s="511"/>
      <c r="K31" s="525"/>
      <c r="L31" s="514">
        <f t="shared" si="2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8"/>
        <v/>
      </c>
      <c r="C32" s="507">
        <f>IF(D11="","-",+C31+1)</f>
        <v>2023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6"/>
        <v>0</v>
      </c>
      <c r="H32" s="491">
        <f t="shared" si="7"/>
        <v>0</v>
      </c>
      <c r="I32" s="511">
        <f t="shared" si="1"/>
        <v>0</v>
      </c>
      <c r="J32" s="511"/>
      <c r="K32" s="525"/>
      <c r="L32" s="514">
        <f t="shared" si="2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8"/>
        <v/>
      </c>
      <c r="C33" s="507">
        <f>IF(D11="","-",+C32+1)</f>
        <v>2024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6"/>
        <v>0</v>
      </c>
      <c r="H33" s="491">
        <f t="shared" si="7"/>
        <v>0</v>
      </c>
      <c r="I33" s="511">
        <f t="shared" si="1"/>
        <v>0</v>
      </c>
      <c r="J33" s="511"/>
      <c r="K33" s="525"/>
      <c r="L33" s="514">
        <f t="shared" si="2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8"/>
        <v/>
      </c>
      <c r="C34" s="507">
        <f>IF(D11="","-",+C33+1)</f>
        <v>2025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6"/>
        <v>0</v>
      </c>
      <c r="H34" s="491">
        <f t="shared" si="7"/>
        <v>0</v>
      </c>
      <c r="I34" s="511">
        <f t="shared" si="1"/>
        <v>0</v>
      </c>
      <c r="J34" s="511"/>
      <c r="K34" s="525"/>
      <c r="L34" s="514">
        <f t="shared" si="2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8"/>
        <v/>
      </c>
      <c r="C35" s="507">
        <f>IF(D11="","-",+C34+1)</f>
        <v>2026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6"/>
        <v>0</v>
      </c>
      <c r="H35" s="491">
        <f t="shared" si="7"/>
        <v>0</v>
      </c>
      <c r="I35" s="511">
        <f t="shared" si="1"/>
        <v>0</v>
      </c>
      <c r="J35" s="511"/>
      <c r="K35" s="525"/>
      <c r="L35" s="514">
        <f t="shared" si="2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8"/>
        <v/>
      </c>
      <c r="C36" s="507">
        <f>IF(D11="","-",+C35+1)</f>
        <v>2027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6"/>
        <v>0</v>
      </c>
      <c r="H36" s="491">
        <f t="shared" si="7"/>
        <v>0</v>
      </c>
      <c r="I36" s="511">
        <f t="shared" si="1"/>
        <v>0</v>
      </c>
      <c r="J36" s="511"/>
      <c r="K36" s="525"/>
      <c r="L36" s="514">
        <f t="shared" si="2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8"/>
        <v/>
      </c>
      <c r="C37" s="507">
        <f>IF(D11="","-",+C36+1)</f>
        <v>2028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6"/>
        <v>0</v>
      </c>
      <c r="H37" s="491">
        <f t="shared" si="7"/>
        <v>0</v>
      </c>
      <c r="I37" s="511">
        <f t="shared" si="1"/>
        <v>0</v>
      </c>
      <c r="J37" s="511"/>
      <c r="K37" s="525"/>
      <c r="L37" s="514">
        <f t="shared" si="2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8"/>
        <v/>
      </c>
      <c r="C38" s="507">
        <f>IF(D11="","-",+C37+1)</f>
        <v>2029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6"/>
        <v>0</v>
      </c>
      <c r="H38" s="491">
        <f t="shared" si="7"/>
        <v>0</v>
      </c>
      <c r="I38" s="511">
        <f t="shared" si="1"/>
        <v>0</v>
      </c>
      <c r="J38" s="511"/>
      <c r="K38" s="525"/>
      <c r="L38" s="514">
        <f t="shared" si="2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8"/>
        <v/>
      </c>
      <c r="C39" s="507">
        <f>IF(D11="","-",+C38+1)</f>
        <v>2030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6"/>
        <v>0</v>
      </c>
      <c r="H39" s="491">
        <f t="shared" si="7"/>
        <v>0</v>
      </c>
      <c r="I39" s="511">
        <f t="shared" si="1"/>
        <v>0</v>
      </c>
      <c r="J39" s="511"/>
      <c r="K39" s="525"/>
      <c r="L39" s="514">
        <f t="shared" si="2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8"/>
        <v/>
      </c>
      <c r="C40" s="507">
        <f>IF(D11="","-",+C39+1)</f>
        <v>2031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6"/>
        <v>0</v>
      </c>
      <c r="H40" s="491">
        <f t="shared" si="7"/>
        <v>0</v>
      </c>
      <c r="I40" s="511">
        <f t="shared" si="1"/>
        <v>0</v>
      </c>
      <c r="J40" s="511"/>
      <c r="K40" s="525"/>
      <c r="L40" s="514">
        <f t="shared" si="2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8"/>
        <v/>
      </c>
      <c r="C41" s="507">
        <f>IF(D11="","-",+C40+1)</f>
        <v>2032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6"/>
        <v>0</v>
      </c>
      <c r="H41" s="491">
        <f t="shared" si="7"/>
        <v>0</v>
      </c>
      <c r="I41" s="511">
        <f t="shared" si="1"/>
        <v>0</v>
      </c>
      <c r="J41" s="511"/>
      <c r="K41" s="525"/>
      <c r="L41" s="514">
        <f t="shared" si="2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8"/>
        <v/>
      </c>
      <c r="C42" s="507">
        <f>IF(D11="","-",+C41+1)</f>
        <v>2033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6"/>
        <v>0</v>
      </c>
      <c r="H42" s="491">
        <f t="shared" si="7"/>
        <v>0</v>
      </c>
      <c r="I42" s="511">
        <f t="shared" si="1"/>
        <v>0</v>
      </c>
      <c r="J42" s="511"/>
      <c r="K42" s="525"/>
      <c r="L42" s="514">
        <f t="shared" si="2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8"/>
        <v/>
      </c>
      <c r="C43" s="507">
        <f>IF(D11="","-",+C42+1)</f>
        <v>2034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6"/>
        <v>0</v>
      </c>
      <c r="H43" s="491">
        <f t="shared" si="7"/>
        <v>0</v>
      </c>
      <c r="I43" s="511">
        <f t="shared" si="1"/>
        <v>0</v>
      </c>
      <c r="J43" s="511"/>
      <c r="K43" s="525"/>
      <c r="L43" s="514">
        <f t="shared" si="2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8"/>
        <v/>
      </c>
      <c r="C44" s="507">
        <f>IF(D11="","-",+C43+1)</f>
        <v>2035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6"/>
        <v>0</v>
      </c>
      <c r="H44" s="491">
        <f t="shared" si="7"/>
        <v>0</v>
      </c>
      <c r="I44" s="511">
        <f t="shared" si="1"/>
        <v>0</v>
      </c>
      <c r="J44" s="511"/>
      <c r="K44" s="525"/>
      <c r="L44" s="514">
        <f t="shared" si="2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8"/>
        <v/>
      </c>
      <c r="C45" s="507">
        <f>IF(D11="","-",+C44+1)</f>
        <v>2036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6"/>
        <v>0</v>
      </c>
      <c r="H45" s="491">
        <f t="shared" si="7"/>
        <v>0</v>
      </c>
      <c r="I45" s="511">
        <f t="shared" si="1"/>
        <v>0</v>
      </c>
      <c r="J45" s="511"/>
      <c r="K45" s="525"/>
      <c r="L45" s="514">
        <f t="shared" si="2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8"/>
        <v/>
      </c>
      <c r="C46" s="507">
        <f>IF(D11="","-",+C45+1)</f>
        <v>2037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6"/>
        <v>0</v>
      </c>
      <c r="H46" s="491">
        <f t="shared" si="7"/>
        <v>0</v>
      </c>
      <c r="I46" s="511">
        <f t="shared" si="1"/>
        <v>0</v>
      </c>
      <c r="J46" s="511"/>
      <c r="K46" s="525"/>
      <c r="L46" s="514">
        <f t="shared" si="2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8"/>
        <v/>
      </c>
      <c r="C47" s="507">
        <f>IF(D11="","-",+C46+1)</f>
        <v>2038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6"/>
        <v>0</v>
      </c>
      <c r="H47" s="491">
        <f t="shared" si="7"/>
        <v>0</v>
      </c>
      <c r="I47" s="511">
        <f t="shared" si="1"/>
        <v>0</v>
      </c>
      <c r="J47" s="511"/>
      <c r="K47" s="525"/>
      <c r="L47" s="514">
        <f t="shared" si="2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8"/>
        <v/>
      </c>
      <c r="C48" s="507">
        <f>IF(D11="","-",+C47+1)</f>
        <v>2039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6"/>
        <v>0</v>
      </c>
      <c r="H48" s="491">
        <f t="shared" si="7"/>
        <v>0</v>
      </c>
      <c r="I48" s="511">
        <f t="shared" si="1"/>
        <v>0</v>
      </c>
      <c r="J48" s="511"/>
      <c r="K48" s="525"/>
      <c r="L48" s="514">
        <f t="shared" si="2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8"/>
        <v/>
      </c>
      <c r="C49" s="507">
        <f>IF(D11="","-",+C48+1)</f>
        <v>2040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si="6"/>
        <v>0</v>
      </c>
      <c r="H49" s="491">
        <f t="shared" si="7"/>
        <v>0</v>
      </c>
      <c r="I49" s="511">
        <f t="shared" ref="I49:I72" si="10">H49-G49</f>
        <v>0</v>
      </c>
      <c r="J49" s="511"/>
      <c r="K49" s="525"/>
      <c r="L49" s="514">
        <f t="shared" ref="L49:L72" si="11">IF(K49&lt;&gt;0,+G49-K49,0)</f>
        <v>0</v>
      </c>
      <c r="M49" s="525"/>
      <c r="N49" s="514">
        <f t="shared" ref="N49:N72" si="12">IF(M49&lt;&gt;0,+H49-M49,0)</f>
        <v>0</v>
      </c>
      <c r="O49" s="514">
        <f t="shared" ref="O49:O72" si="13">+N49-L49</f>
        <v>0</v>
      </c>
      <c r="P49" s="272"/>
    </row>
    <row r="50" spans="2:17" ht="12.5">
      <c r="B50" s="195" t="str">
        <f t="shared" si="8"/>
        <v/>
      </c>
      <c r="C50" s="507">
        <f>IF(D11="","-",+C49+1)</f>
        <v>2041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6"/>
        <v>0</v>
      </c>
      <c r="H50" s="491">
        <f t="shared" si="7"/>
        <v>0</v>
      </c>
      <c r="I50" s="511">
        <f t="shared" si="10"/>
        <v>0</v>
      </c>
      <c r="J50" s="511"/>
      <c r="K50" s="525"/>
      <c r="L50" s="514">
        <f t="shared" si="11"/>
        <v>0</v>
      </c>
      <c r="M50" s="525"/>
      <c r="N50" s="514">
        <f t="shared" si="12"/>
        <v>0</v>
      </c>
      <c r="O50" s="514">
        <f t="shared" si="13"/>
        <v>0</v>
      </c>
      <c r="P50" s="272"/>
    </row>
    <row r="51" spans="2:17" ht="12.5">
      <c r="B51" s="195" t="str">
        <f t="shared" si="8"/>
        <v/>
      </c>
      <c r="C51" s="507">
        <f>IF(D11="","-",+C50+1)</f>
        <v>2042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6"/>
        <v>0</v>
      </c>
      <c r="H51" s="491">
        <f t="shared" si="7"/>
        <v>0</v>
      </c>
      <c r="I51" s="511">
        <f t="shared" si="10"/>
        <v>0</v>
      </c>
      <c r="J51" s="511"/>
      <c r="K51" s="525"/>
      <c r="L51" s="514">
        <f t="shared" si="11"/>
        <v>0</v>
      </c>
      <c r="M51" s="525"/>
      <c r="N51" s="514">
        <f t="shared" si="12"/>
        <v>0</v>
      </c>
      <c r="O51" s="514">
        <f t="shared" si="13"/>
        <v>0</v>
      </c>
      <c r="P51" s="272"/>
    </row>
    <row r="52" spans="2:17" ht="12.5">
      <c r="B52" s="195" t="str">
        <f t="shared" si="8"/>
        <v/>
      </c>
      <c r="C52" s="507">
        <f>IF(D11="","-",+C51+1)</f>
        <v>2043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6"/>
        <v>0</v>
      </c>
      <c r="H52" s="491">
        <f t="shared" si="7"/>
        <v>0</v>
      </c>
      <c r="I52" s="511">
        <f t="shared" si="10"/>
        <v>0</v>
      </c>
      <c r="J52" s="511"/>
      <c r="K52" s="525"/>
      <c r="L52" s="514">
        <f t="shared" si="11"/>
        <v>0</v>
      </c>
      <c r="M52" s="525"/>
      <c r="N52" s="514">
        <f t="shared" si="12"/>
        <v>0</v>
      </c>
      <c r="O52" s="514">
        <f t="shared" si="13"/>
        <v>0</v>
      </c>
      <c r="P52" s="272"/>
    </row>
    <row r="53" spans="2:17" ht="12.5">
      <c r="B53" s="195" t="str">
        <f t="shared" si="8"/>
        <v/>
      </c>
      <c r="C53" s="507">
        <f>IF(D11="","-",+C52+1)</f>
        <v>2044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6"/>
        <v>0</v>
      </c>
      <c r="H53" s="491">
        <f t="shared" si="7"/>
        <v>0</v>
      </c>
      <c r="I53" s="511">
        <f t="shared" si="10"/>
        <v>0</v>
      </c>
      <c r="J53" s="511"/>
      <c r="K53" s="525"/>
      <c r="L53" s="514">
        <f t="shared" si="11"/>
        <v>0</v>
      </c>
      <c r="M53" s="525"/>
      <c r="N53" s="514">
        <f t="shared" si="12"/>
        <v>0</v>
      </c>
      <c r="O53" s="514">
        <f t="shared" si="13"/>
        <v>0</v>
      </c>
      <c r="P53" s="272"/>
    </row>
    <row r="54" spans="2:17" ht="12.5">
      <c r="B54" s="195" t="str">
        <f t="shared" si="8"/>
        <v/>
      </c>
      <c r="C54" s="507">
        <f>IF(D11="","-",+C53+1)</f>
        <v>2045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6"/>
        <v>0</v>
      </c>
      <c r="H54" s="491">
        <f t="shared" si="7"/>
        <v>0</v>
      </c>
      <c r="I54" s="511">
        <f t="shared" si="10"/>
        <v>0</v>
      </c>
      <c r="J54" s="511"/>
      <c r="K54" s="525"/>
      <c r="L54" s="514">
        <f t="shared" si="11"/>
        <v>0</v>
      </c>
      <c r="M54" s="525"/>
      <c r="N54" s="514">
        <f t="shared" si="12"/>
        <v>0</v>
      </c>
      <c r="O54" s="514">
        <f t="shared" si="13"/>
        <v>0</v>
      </c>
      <c r="P54" s="272"/>
    </row>
    <row r="55" spans="2:17" ht="12.5">
      <c r="B55" s="195" t="str">
        <f t="shared" si="8"/>
        <v/>
      </c>
      <c r="C55" s="507">
        <f>IF(D11="","-",+C54+1)</f>
        <v>2046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6"/>
        <v>0</v>
      </c>
      <c r="H55" s="491">
        <f t="shared" si="7"/>
        <v>0</v>
      </c>
      <c r="I55" s="511">
        <f t="shared" si="10"/>
        <v>0</v>
      </c>
      <c r="J55" s="511"/>
      <c r="K55" s="525"/>
      <c r="L55" s="514">
        <f t="shared" si="11"/>
        <v>0</v>
      </c>
      <c r="M55" s="525"/>
      <c r="N55" s="514">
        <f t="shared" si="12"/>
        <v>0</v>
      </c>
      <c r="O55" s="514">
        <f t="shared" si="13"/>
        <v>0</v>
      </c>
      <c r="P55" s="272"/>
    </row>
    <row r="56" spans="2:17" ht="12.5">
      <c r="B56" s="195" t="str">
        <f t="shared" si="8"/>
        <v/>
      </c>
      <c r="C56" s="507">
        <f>IF(D11="","-",+C55+1)</f>
        <v>2047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6"/>
        <v>0</v>
      </c>
      <c r="H56" s="491">
        <f t="shared" si="7"/>
        <v>0</v>
      </c>
      <c r="I56" s="511">
        <f t="shared" si="10"/>
        <v>0</v>
      </c>
      <c r="J56" s="511"/>
      <c r="K56" s="525"/>
      <c r="L56" s="514">
        <f t="shared" si="11"/>
        <v>0</v>
      </c>
      <c r="M56" s="525"/>
      <c r="N56" s="514">
        <f t="shared" si="12"/>
        <v>0</v>
      </c>
      <c r="O56" s="514">
        <f t="shared" si="13"/>
        <v>0</v>
      </c>
      <c r="P56" s="272"/>
    </row>
    <row r="57" spans="2:17" ht="12.5">
      <c r="B57" s="195" t="str">
        <f t="shared" si="8"/>
        <v/>
      </c>
      <c r="C57" s="507">
        <f>IF(D11="","-",+C56+1)</f>
        <v>2048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6"/>
        <v>0</v>
      </c>
      <c r="H57" s="491">
        <f t="shared" si="7"/>
        <v>0</v>
      </c>
      <c r="I57" s="511">
        <f t="shared" si="10"/>
        <v>0</v>
      </c>
      <c r="J57" s="511"/>
      <c r="K57" s="525"/>
      <c r="L57" s="514">
        <f t="shared" si="11"/>
        <v>0</v>
      </c>
      <c r="M57" s="525"/>
      <c r="N57" s="514">
        <f t="shared" si="12"/>
        <v>0</v>
      </c>
      <c r="O57" s="514">
        <f t="shared" si="13"/>
        <v>0</v>
      </c>
      <c r="P57" s="272"/>
    </row>
    <row r="58" spans="2:17" ht="12.5">
      <c r="B58" s="195" t="str">
        <f t="shared" si="8"/>
        <v/>
      </c>
      <c r="C58" s="507">
        <f>IF(D11="","-",+C57+1)</f>
        <v>2049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6"/>
        <v>0</v>
      </c>
      <c r="H58" s="491">
        <f t="shared" si="7"/>
        <v>0</v>
      </c>
      <c r="I58" s="511">
        <f t="shared" si="10"/>
        <v>0</v>
      </c>
      <c r="J58" s="511"/>
      <c r="K58" s="525"/>
      <c r="L58" s="514">
        <f t="shared" si="11"/>
        <v>0</v>
      </c>
      <c r="M58" s="525"/>
      <c r="N58" s="514">
        <f t="shared" si="12"/>
        <v>0</v>
      </c>
      <c r="O58" s="514">
        <f t="shared" si="1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8"/>
        <v/>
      </c>
      <c r="C59" s="507">
        <f>IF(D11="","-",+C58+1)</f>
        <v>2050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6"/>
        <v>0</v>
      </c>
      <c r="H59" s="491">
        <f t="shared" si="7"/>
        <v>0</v>
      </c>
      <c r="I59" s="511">
        <f t="shared" si="10"/>
        <v>0</v>
      </c>
      <c r="J59" s="511"/>
      <c r="K59" s="525"/>
      <c r="L59" s="514">
        <f t="shared" si="11"/>
        <v>0</v>
      </c>
      <c r="M59" s="525"/>
      <c r="N59" s="514">
        <f t="shared" si="12"/>
        <v>0</v>
      </c>
      <c r="O59" s="514">
        <f t="shared" si="13"/>
        <v>0</v>
      </c>
      <c r="P59" s="272"/>
    </row>
    <row r="60" spans="2:17" ht="12.5">
      <c r="B60" s="195" t="str">
        <f t="shared" si="8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6"/>
        <v>0</v>
      </c>
      <c r="H60" s="491">
        <f t="shared" si="7"/>
        <v>0</v>
      </c>
      <c r="I60" s="511">
        <f t="shared" si="10"/>
        <v>0</v>
      </c>
      <c r="J60" s="511"/>
      <c r="K60" s="525"/>
      <c r="L60" s="514">
        <f t="shared" si="11"/>
        <v>0</v>
      </c>
      <c r="M60" s="525"/>
      <c r="N60" s="514">
        <f t="shared" si="12"/>
        <v>0</v>
      </c>
      <c r="O60" s="514">
        <f t="shared" si="13"/>
        <v>0</v>
      </c>
      <c r="P60" s="272"/>
    </row>
    <row r="61" spans="2:17" ht="12.5">
      <c r="B61" s="195" t="str">
        <f t="shared" si="8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6"/>
        <v>0</v>
      </c>
      <c r="H61" s="491">
        <f t="shared" si="7"/>
        <v>0</v>
      </c>
      <c r="I61" s="511">
        <f t="shared" si="10"/>
        <v>0</v>
      </c>
      <c r="J61" s="511"/>
      <c r="K61" s="525"/>
      <c r="L61" s="514">
        <f t="shared" si="11"/>
        <v>0</v>
      </c>
      <c r="M61" s="525"/>
      <c r="N61" s="514">
        <f t="shared" si="12"/>
        <v>0</v>
      </c>
      <c r="O61" s="514">
        <f t="shared" si="13"/>
        <v>0</v>
      </c>
      <c r="P61" s="272"/>
    </row>
    <row r="62" spans="2:17" ht="12.5">
      <c r="B62" s="195" t="str">
        <f t="shared" si="8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6"/>
        <v>0</v>
      </c>
      <c r="H62" s="491">
        <f t="shared" si="7"/>
        <v>0</v>
      </c>
      <c r="I62" s="511">
        <f t="shared" si="10"/>
        <v>0</v>
      </c>
      <c r="J62" s="511"/>
      <c r="K62" s="525"/>
      <c r="L62" s="514">
        <f t="shared" si="11"/>
        <v>0</v>
      </c>
      <c r="M62" s="525"/>
      <c r="N62" s="514">
        <f t="shared" si="12"/>
        <v>0</v>
      </c>
      <c r="O62" s="514">
        <f t="shared" si="13"/>
        <v>0</v>
      </c>
      <c r="P62" s="272"/>
    </row>
    <row r="63" spans="2:17" ht="12.5">
      <c r="B63" s="195" t="str">
        <f t="shared" si="8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6"/>
        <v>0</v>
      </c>
      <c r="H63" s="491">
        <f t="shared" si="7"/>
        <v>0</v>
      </c>
      <c r="I63" s="511">
        <f t="shared" si="10"/>
        <v>0</v>
      </c>
      <c r="J63" s="511"/>
      <c r="K63" s="525"/>
      <c r="L63" s="514">
        <f t="shared" si="11"/>
        <v>0</v>
      </c>
      <c r="M63" s="525"/>
      <c r="N63" s="514">
        <f t="shared" si="12"/>
        <v>0</v>
      </c>
      <c r="O63" s="514">
        <f t="shared" si="13"/>
        <v>0</v>
      </c>
      <c r="P63" s="272"/>
    </row>
    <row r="64" spans="2:17" ht="12.5">
      <c r="B64" s="195" t="str">
        <f t="shared" si="8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6"/>
        <v>0</v>
      </c>
      <c r="H64" s="491">
        <f t="shared" si="7"/>
        <v>0</v>
      </c>
      <c r="I64" s="511">
        <f t="shared" si="10"/>
        <v>0</v>
      </c>
      <c r="J64" s="511"/>
      <c r="K64" s="525"/>
      <c r="L64" s="514">
        <f t="shared" si="11"/>
        <v>0</v>
      </c>
      <c r="M64" s="525"/>
      <c r="N64" s="514">
        <f t="shared" si="12"/>
        <v>0</v>
      </c>
      <c r="O64" s="514">
        <f t="shared" si="13"/>
        <v>0</v>
      </c>
      <c r="P64" s="272"/>
    </row>
    <row r="65" spans="1:16" ht="12.5">
      <c r="B65" s="195" t="str">
        <f t="shared" si="8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6"/>
        <v>0</v>
      </c>
      <c r="H65" s="491">
        <f t="shared" si="7"/>
        <v>0</v>
      </c>
      <c r="I65" s="511">
        <f t="shared" si="10"/>
        <v>0</v>
      </c>
      <c r="J65" s="511"/>
      <c r="K65" s="525"/>
      <c r="L65" s="514">
        <f t="shared" si="11"/>
        <v>0</v>
      </c>
      <c r="M65" s="525"/>
      <c r="N65" s="514">
        <f t="shared" si="12"/>
        <v>0</v>
      </c>
      <c r="O65" s="514">
        <f t="shared" si="13"/>
        <v>0</v>
      </c>
      <c r="P65" s="272"/>
    </row>
    <row r="66" spans="1:16" ht="12.5">
      <c r="B66" s="195" t="str">
        <f t="shared" si="8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6"/>
        <v>0</v>
      </c>
      <c r="H66" s="491">
        <f t="shared" si="7"/>
        <v>0</v>
      </c>
      <c r="I66" s="511">
        <f t="shared" si="10"/>
        <v>0</v>
      </c>
      <c r="J66" s="511"/>
      <c r="K66" s="525"/>
      <c r="L66" s="514">
        <f t="shared" si="11"/>
        <v>0</v>
      </c>
      <c r="M66" s="525"/>
      <c r="N66" s="514">
        <f t="shared" si="12"/>
        <v>0</v>
      </c>
      <c r="O66" s="514">
        <f t="shared" si="13"/>
        <v>0</v>
      </c>
      <c r="P66" s="272"/>
    </row>
    <row r="67" spans="1:16" ht="12.5">
      <c r="B67" s="195" t="str">
        <f t="shared" si="8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6"/>
        <v>0</v>
      </c>
      <c r="H67" s="491">
        <f t="shared" si="7"/>
        <v>0</v>
      </c>
      <c r="I67" s="511">
        <f t="shared" si="10"/>
        <v>0</v>
      </c>
      <c r="J67" s="511"/>
      <c r="K67" s="525"/>
      <c r="L67" s="514">
        <f t="shared" si="11"/>
        <v>0</v>
      </c>
      <c r="M67" s="525"/>
      <c r="N67" s="514">
        <f t="shared" si="12"/>
        <v>0</v>
      </c>
      <c r="O67" s="514">
        <f t="shared" si="13"/>
        <v>0</v>
      </c>
      <c r="P67" s="272"/>
    </row>
    <row r="68" spans="1:16" ht="12.5">
      <c r="B68" s="195" t="str">
        <f t="shared" si="8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6"/>
        <v>0</v>
      </c>
      <c r="H68" s="491">
        <f t="shared" si="7"/>
        <v>0</v>
      </c>
      <c r="I68" s="511">
        <f t="shared" si="10"/>
        <v>0</v>
      </c>
      <c r="J68" s="511"/>
      <c r="K68" s="525"/>
      <c r="L68" s="514">
        <f t="shared" si="11"/>
        <v>0</v>
      </c>
      <c r="M68" s="525"/>
      <c r="N68" s="514">
        <f t="shared" si="12"/>
        <v>0</v>
      </c>
      <c r="O68" s="514">
        <f t="shared" si="13"/>
        <v>0</v>
      </c>
      <c r="P68" s="272"/>
    </row>
    <row r="69" spans="1:16" ht="12.5">
      <c r="B69" s="195" t="str">
        <f t="shared" si="8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6"/>
        <v>0</v>
      </c>
      <c r="H69" s="491">
        <f t="shared" si="7"/>
        <v>0</v>
      </c>
      <c r="I69" s="511">
        <f t="shared" si="10"/>
        <v>0</v>
      </c>
      <c r="J69" s="511"/>
      <c r="K69" s="525"/>
      <c r="L69" s="514">
        <f t="shared" si="11"/>
        <v>0</v>
      </c>
      <c r="M69" s="525"/>
      <c r="N69" s="514">
        <f t="shared" si="12"/>
        <v>0</v>
      </c>
      <c r="O69" s="514">
        <f t="shared" si="13"/>
        <v>0</v>
      </c>
      <c r="P69" s="272"/>
    </row>
    <row r="70" spans="1:16" ht="12.5">
      <c r="B70" s="195" t="str">
        <f t="shared" si="8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6"/>
        <v>0</v>
      </c>
      <c r="H70" s="491">
        <f t="shared" si="7"/>
        <v>0</v>
      </c>
      <c r="I70" s="511">
        <f t="shared" si="10"/>
        <v>0</v>
      </c>
      <c r="J70" s="511"/>
      <c r="K70" s="525"/>
      <c r="L70" s="514">
        <f t="shared" si="11"/>
        <v>0</v>
      </c>
      <c r="M70" s="525"/>
      <c r="N70" s="514">
        <f t="shared" si="12"/>
        <v>0</v>
      </c>
      <c r="O70" s="514">
        <f t="shared" si="13"/>
        <v>0</v>
      </c>
      <c r="P70" s="272"/>
    </row>
    <row r="71" spans="1:16" ht="12.5">
      <c r="B71" s="195" t="str">
        <f t="shared" si="8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6"/>
        <v>0</v>
      </c>
      <c r="H71" s="491">
        <f t="shared" si="7"/>
        <v>0</v>
      </c>
      <c r="I71" s="511">
        <f t="shared" si="10"/>
        <v>0</v>
      </c>
      <c r="J71" s="511"/>
      <c r="K71" s="525"/>
      <c r="L71" s="514">
        <f t="shared" si="11"/>
        <v>0</v>
      </c>
      <c r="M71" s="525"/>
      <c r="N71" s="514">
        <f t="shared" si="12"/>
        <v>0</v>
      </c>
      <c r="O71" s="514">
        <f t="shared" si="13"/>
        <v>0</v>
      </c>
      <c r="P71" s="272"/>
    </row>
    <row r="72" spans="1:16" ht="13" thickBot="1">
      <c r="B72" s="195" t="str">
        <f t="shared" si="8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6"/>
        <v>0</v>
      </c>
      <c r="H72" s="471">
        <f t="shared" si="7"/>
        <v>0</v>
      </c>
      <c r="I72" s="531">
        <f t="shared" si="10"/>
        <v>0</v>
      </c>
      <c r="J72" s="511"/>
      <c r="K72" s="532"/>
      <c r="L72" s="533">
        <f t="shared" si="11"/>
        <v>0</v>
      </c>
      <c r="M72" s="532"/>
      <c r="N72" s="533">
        <f t="shared" si="12"/>
        <v>0</v>
      </c>
      <c r="O72" s="533">
        <f t="shared" si="13"/>
        <v>0</v>
      </c>
      <c r="P72" s="272"/>
    </row>
    <row r="73" spans="1:16" ht="12.5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10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Tontitown - Elm Springs REC 161 kV line***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TP2007103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4">+(F99+D99)/2</f>
        <v>0</v>
      </c>
      <c r="H99" s="604">
        <f t="shared" ref="H99:H112" si="15">+J$94*G99+E99</f>
        <v>0</v>
      </c>
      <c r="I99" s="605">
        <f t="shared" ref="I99:I112" si="16">+J$95*G99+E99</f>
        <v>0</v>
      </c>
      <c r="J99" s="514">
        <f t="shared" ref="J99:J130" si="17">+I99-H99</f>
        <v>0</v>
      </c>
      <c r="K99" s="514"/>
      <c r="L99" s="512">
        <v>0</v>
      </c>
      <c r="M99" s="513">
        <f t="shared" ref="M99:M130" si="18">IF(L99&lt;&gt;0,+H99-L99,0)</f>
        <v>0</v>
      </c>
      <c r="N99" s="512">
        <v>0</v>
      </c>
      <c r="O99" s="513">
        <f t="shared" ref="O99:O130" si="19">IF(N99&lt;&gt;0,+I99-N99,0)</f>
        <v>0</v>
      </c>
      <c r="P99" s="513">
        <f t="shared" ref="P99:P130" si="20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2009</v>
      </c>
      <c r="D100" s="374">
        <f t="shared" ref="D100:D109" si="21">F99</f>
        <v>0</v>
      </c>
      <c r="E100" s="522">
        <f>IF(+J96&lt;F99,J96,D100)</f>
        <v>0</v>
      </c>
      <c r="F100" s="523">
        <f t="shared" ref="F100:F130" si="22">+D100-E100</f>
        <v>0</v>
      </c>
      <c r="G100" s="523">
        <f t="shared" si="14"/>
        <v>0</v>
      </c>
      <c r="H100" s="526">
        <f t="shared" si="15"/>
        <v>0</v>
      </c>
      <c r="I100" s="577">
        <f t="shared" si="16"/>
        <v>0</v>
      </c>
      <c r="J100" s="514">
        <f t="shared" si="17"/>
        <v>0</v>
      </c>
      <c r="K100" s="514"/>
      <c r="L100" s="518">
        <v>0</v>
      </c>
      <c r="M100" s="514">
        <f t="shared" si="18"/>
        <v>0</v>
      </c>
      <c r="N100" s="518">
        <v>0</v>
      </c>
      <c r="O100" s="514">
        <f t="shared" si="19"/>
        <v>0</v>
      </c>
      <c r="P100" s="514">
        <f t="shared" si="20"/>
        <v>0</v>
      </c>
      <c r="Q100" s="269"/>
    </row>
    <row r="101" spans="1:17" ht="12.5">
      <c r="B101" s="195" t="str">
        <f t="shared" ref="B101:B154" si="23">IF(D101=F100,"","IU")</f>
        <v/>
      </c>
      <c r="C101" s="507">
        <f>IF(D93="","-",+C100+1)</f>
        <v>2010</v>
      </c>
      <c r="D101" s="374">
        <f t="shared" si="21"/>
        <v>0</v>
      </c>
      <c r="E101" s="522">
        <f>IF(+J96&lt;F100,J96,D101)</f>
        <v>0</v>
      </c>
      <c r="F101" s="523">
        <f t="shared" si="22"/>
        <v>0</v>
      </c>
      <c r="G101" s="523">
        <f t="shared" si="14"/>
        <v>0</v>
      </c>
      <c r="H101" s="526">
        <f t="shared" si="15"/>
        <v>0</v>
      </c>
      <c r="I101" s="577">
        <f t="shared" si="16"/>
        <v>0</v>
      </c>
      <c r="J101" s="514">
        <f t="shared" si="17"/>
        <v>0</v>
      </c>
      <c r="K101" s="514"/>
      <c r="L101" s="525"/>
      <c r="M101" s="514">
        <f t="shared" si="18"/>
        <v>0</v>
      </c>
      <c r="N101" s="525"/>
      <c r="O101" s="514">
        <f t="shared" si="19"/>
        <v>0</v>
      </c>
      <c r="P101" s="514">
        <f t="shared" si="20"/>
        <v>0</v>
      </c>
      <c r="Q101" s="269"/>
    </row>
    <row r="102" spans="1:17" ht="12.5">
      <c r="B102" s="195" t="str">
        <f t="shared" si="23"/>
        <v/>
      </c>
      <c r="C102" s="507">
        <f>IF(D93="","-",+C101+1)</f>
        <v>2011</v>
      </c>
      <c r="D102" s="374">
        <f t="shared" si="21"/>
        <v>0</v>
      </c>
      <c r="E102" s="522">
        <f>IF(+J96&lt;F101,J96,D102)</f>
        <v>0</v>
      </c>
      <c r="F102" s="523">
        <f t="shared" si="22"/>
        <v>0</v>
      </c>
      <c r="G102" s="523">
        <f t="shared" si="14"/>
        <v>0</v>
      </c>
      <c r="H102" s="526">
        <f t="shared" si="15"/>
        <v>0</v>
      </c>
      <c r="I102" s="577">
        <f t="shared" si="16"/>
        <v>0</v>
      </c>
      <c r="J102" s="514">
        <f t="shared" si="17"/>
        <v>0</v>
      </c>
      <c r="K102" s="514"/>
      <c r="L102" s="525"/>
      <c r="M102" s="514">
        <f t="shared" si="18"/>
        <v>0</v>
      </c>
      <c r="N102" s="525"/>
      <c r="O102" s="514">
        <f t="shared" si="19"/>
        <v>0</v>
      </c>
      <c r="P102" s="514">
        <f t="shared" si="20"/>
        <v>0</v>
      </c>
      <c r="Q102" s="269"/>
    </row>
    <row r="103" spans="1:17" ht="12.5">
      <c r="B103" s="195" t="str">
        <f t="shared" si="23"/>
        <v/>
      </c>
      <c r="C103" s="507">
        <f>IF(D93="","-",+C102+1)</f>
        <v>2012</v>
      </c>
      <c r="D103" s="374">
        <f t="shared" si="21"/>
        <v>0</v>
      </c>
      <c r="E103" s="522">
        <f>IF(+J96&lt;F102,J96,D103)</f>
        <v>0</v>
      </c>
      <c r="F103" s="523">
        <f t="shared" si="22"/>
        <v>0</v>
      </c>
      <c r="G103" s="523">
        <f t="shared" si="14"/>
        <v>0</v>
      </c>
      <c r="H103" s="526">
        <f t="shared" si="15"/>
        <v>0</v>
      </c>
      <c r="I103" s="577">
        <f t="shared" si="16"/>
        <v>0</v>
      </c>
      <c r="J103" s="514">
        <f t="shared" si="17"/>
        <v>0</v>
      </c>
      <c r="K103" s="514"/>
      <c r="L103" s="525"/>
      <c r="M103" s="514">
        <f t="shared" si="18"/>
        <v>0</v>
      </c>
      <c r="N103" s="525"/>
      <c r="O103" s="514">
        <f t="shared" si="19"/>
        <v>0</v>
      </c>
      <c r="P103" s="514">
        <f t="shared" si="20"/>
        <v>0</v>
      </c>
      <c r="Q103" s="269"/>
    </row>
    <row r="104" spans="1:17" ht="12.5">
      <c r="B104" s="195" t="str">
        <f t="shared" si="23"/>
        <v/>
      </c>
      <c r="C104" s="507">
        <f>IF(D93="","-",+C103+1)</f>
        <v>2013</v>
      </c>
      <c r="D104" s="374">
        <f t="shared" si="21"/>
        <v>0</v>
      </c>
      <c r="E104" s="522">
        <f>IF(+J96&lt;F103,J96,D104)</f>
        <v>0</v>
      </c>
      <c r="F104" s="523">
        <f t="shared" si="22"/>
        <v>0</v>
      </c>
      <c r="G104" s="523">
        <f t="shared" si="14"/>
        <v>0</v>
      </c>
      <c r="H104" s="526">
        <f t="shared" si="15"/>
        <v>0</v>
      </c>
      <c r="I104" s="577">
        <f t="shared" si="16"/>
        <v>0</v>
      </c>
      <c r="J104" s="514">
        <f t="shared" si="17"/>
        <v>0</v>
      </c>
      <c r="K104" s="514"/>
      <c r="L104" s="525"/>
      <c r="M104" s="514">
        <f t="shared" si="18"/>
        <v>0</v>
      </c>
      <c r="N104" s="525"/>
      <c r="O104" s="514">
        <f t="shared" si="19"/>
        <v>0</v>
      </c>
      <c r="P104" s="514">
        <f t="shared" si="20"/>
        <v>0</v>
      </c>
      <c r="Q104" s="269"/>
    </row>
    <row r="105" spans="1:17" ht="12.5">
      <c r="B105" s="195" t="str">
        <f t="shared" si="23"/>
        <v/>
      </c>
      <c r="C105" s="507">
        <f>IF(D93="","-",+C104+1)</f>
        <v>2014</v>
      </c>
      <c r="D105" s="374">
        <f t="shared" si="21"/>
        <v>0</v>
      </c>
      <c r="E105" s="522">
        <f>IF(+J96&lt;F104,J96,D105)</f>
        <v>0</v>
      </c>
      <c r="F105" s="523">
        <f t="shared" si="22"/>
        <v>0</v>
      </c>
      <c r="G105" s="523">
        <f t="shared" si="14"/>
        <v>0</v>
      </c>
      <c r="H105" s="526">
        <f t="shared" si="15"/>
        <v>0</v>
      </c>
      <c r="I105" s="577">
        <f t="shared" si="16"/>
        <v>0</v>
      </c>
      <c r="J105" s="514">
        <f t="shared" si="17"/>
        <v>0</v>
      </c>
      <c r="K105" s="514"/>
      <c r="L105" s="525"/>
      <c r="M105" s="514">
        <f t="shared" si="18"/>
        <v>0</v>
      </c>
      <c r="N105" s="525"/>
      <c r="O105" s="514">
        <f t="shared" si="19"/>
        <v>0</v>
      </c>
      <c r="P105" s="514">
        <f t="shared" si="20"/>
        <v>0</v>
      </c>
      <c r="Q105" s="269"/>
    </row>
    <row r="106" spans="1:17" ht="12.5">
      <c r="B106" s="195" t="str">
        <f t="shared" si="23"/>
        <v/>
      </c>
      <c r="C106" s="507">
        <f>IF(D93="","-",+C105+1)</f>
        <v>2015</v>
      </c>
      <c r="D106" s="374">
        <f t="shared" si="21"/>
        <v>0</v>
      </c>
      <c r="E106" s="522">
        <f>IF(+J96&lt;F105,J96,D106)</f>
        <v>0</v>
      </c>
      <c r="F106" s="523">
        <f t="shared" si="22"/>
        <v>0</v>
      </c>
      <c r="G106" s="523">
        <f t="shared" si="14"/>
        <v>0</v>
      </c>
      <c r="H106" s="526">
        <f t="shared" si="15"/>
        <v>0</v>
      </c>
      <c r="I106" s="577">
        <f t="shared" si="16"/>
        <v>0</v>
      </c>
      <c r="J106" s="514">
        <f t="shared" si="17"/>
        <v>0</v>
      </c>
      <c r="K106" s="514"/>
      <c r="L106" s="525"/>
      <c r="M106" s="514">
        <f t="shared" si="18"/>
        <v>0</v>
      </c>
      <c r="N106" s="525"/>
      <c r="O106" s="514">
        <f t="shared" si="19"/>
        <v>0</v>
      </c>
      <c r="P106" s="514">
        <f t="shared" si="20"/>
        <v>0</v>
      </c>
      <c r="Q106" s="269"/>
    </row>
    <row r="107" spans="1:17" ht="12.5">
      <c r="B107" s="195" t="str">
        <f t="shared" si="23"/>
        <v/>
      </c>
      <c r="C107" s="507">
        <f>IF(D93="","-",+C106+1)</f>
        <v>2016</v>
      </c>
      <c r="D107" s="374">
        <f t="shared" si="21"/>
        <v>0</v>
      </c>
      <c r="E107" s="522">
        <f>IF(+J96&lt;F106,J96,D107)</f>
        <v>0</v>
      </c>
      <c r="F107" s="523">
        <f t="shared" si="22"/>
        <v>0</v>
      </c>
      <c r="G107" s="523">
        <f t="shared" si="14"/>
        <v>0</v>
      </c>
      <c r="H107" s="526">
        <f t="shared" si="15"/>
        <v>0</v>
      </c>
      <c r="I107" s="577">
        <f t="shared" si="16"/>
        <v>0</v>
      </c>
      <c r="J107" s="514">
        <f t="shared" si="17"/>
        <v>0</v>
      </c>
      <c r="K107" s="514"/>
      <c r="L107" s="525"/>
      <c r="M107" s="514">
        <f t="shared" si="18"/>
        <v>0</v>
      </c>
      <c r="N107" s="525"/>
      <c r="O107" s="514">
        <f t="shared" si="19"/>
        <v>0</v>
      </c>
      <c r="P107" s="514">
        <f t="shared" si="20"/>
        <v>0</v>
      </c>
      <c r="Q107" s="269"/>
    </row>
    <row r="108" spans="1:17" ht="12.5">
      <c r="B108" s="195" t="str">
        <f t="shared" si="23"/>
        <v/>
      </c>
      <c r="C108" s="507">
        <f>IF(D93="","-",+C107+1)</f>
        <v>2017</v>
      </c>
      <c r="D108" s="374">
        <f t="shared" si="21"/>
        <v>0</v>
      </c>
      <c r="E108" s="522">
        <f>IF(+J96&lt;F107,J96,D108)</f>
        <v>0</v>
      </c>
      <c r="F108" s="523">
        <f t="shared" si="22"/>
        <v>0</v>
      </c>
      <c r="G108" s="523">
        <f t="shared" si="14"/>
        <v>0</v>
      </c>
      <c r="H108" s="526">
        <f t="shared" si="15"/>
        <v>0</v>
      </c>
      <c r="I108" s="577">
        <f t="shared" si="16"/>
        <v>0</v>
      </c>
      <c r="J108" s="514">
        <f t="shared" si="17"/>
        <v>0</v>
      </c>
      <c r="K108" s="514"/>
      <c r="L108" s="525"/>
      <c r="M108" s="514">
        <f t="shared" si="18"/>
        <v>0</v>
      </c>
      <c r="N108" s="525"/>
      <c r="O108" s="514">
        <f t="shared" si="19"/>
        <v>0</v>
      </c>
      <c r="P108" s="514">
        <f t="shared" si="20"/>
        <v>0</v>
      </c>
      <c r="Q108" s="269"/>
    </row>
    <row r="109" spans="1:17" ht="12.5">
      <c r="B109" s="195" t="str">
        <f t="shared" si="23"/>
        <v/>
      </c>
      <c r="C109" s="507">
        <f>IF(D93="","-",+C108+1)</f>
        <v>2018</v>
      </c>
      <c r="D109" s="374">
        <f t="shared" si="21"/>
        <v>0</v>
      </c>
      <c r="E109" s="522">
        <f>IF(+J96&lt;F108,J96,D109)</f>
        <v>0</v>
      </c>
      <c r="F109" s="523">
        <f t="shared" si="22"/>
        <v>0</v>
      </c>
      <c r="G109" s="523">
        <f t="shared" si="14"/>
        <v>0</v>
      </c>
      <c r="H109" s="526">
        <f t="shared" si="15"/>
        <v>0</v>
      </c>
      <c r="I109" s="577">
        <f t="shared" si="16"/>
        <v>0</v>
      </c>
      <c r="J109" s="514">
        <f t="shared" si="17"/>
        <v>0</v>
      </c>
      <c r="K109" s="514"/>
      <c r="L109" s="525"/>
      <c r="M109" s="514">
        <f t="shared" si="18"/>
        <v>0</v>
      </c>
      <c r="N109" s="525"/>
      <c r="O109" s="514">
        <f t="shared" si="19"/>
        <v>0</v>
      </c>
      <c r="P109" s="514">
        <f t="shared" si="20"/>
        <v>0</v>
      </c>
      <c r="Q109" s="269"/>
    </row>
    <row r="110" spans="1:17" ht="12.5">
      <c r="B110" s="195" t="str">
        <f t="shared" si="23"/>
        <v/>
      </c>
      <c r="C110" s="507">
        <f>IF(D93="","-",+C109+1)</f>
        <v>2019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2"/>
        <v>0</v>
      </c>
      <c r="G110" s="523">
        <f t="shared" si="14"/>
        <v>0</v>
      </c>
      <c r="H110" s="526">
        <f t="shared" si="15"/>
        <v>0</v>
      </c>
      <c r="I110" s="577">
        <f t="shared" si="16"/>
        <v>0</v>
      </c>
      <c r="J110" s="514">
        <f t="shared" si="17"/>
        <v>0</v>
      </c>
      <c r="K110" s="514"/>
      <c r="L110" s="525"/>
      <c r="M110" s="514">
        <f t="shared" si="18"/>
        <v>0</v>
      </c>
      <c r="N110" s="525"/>
      <c r="O110" s="514">
        <f t="shared" si="19"/>
        <v>0</v>
      </c>
      <c r="P110" s="514">
        <f t="shared" si="20"/>
        <v>0</v>
      </c>
      <c r="Q110" s="269"/>
    </row>
    <row r="111" spans="1:17" ht="12.5">
      <c r="B111" s="195" t="str">
        <f t="shared" si="23"/>
        <v/>
      </c>
      <c r="C111" s="507">
        <f>IF(D93="","-",+C110+1)</f>
        <v>2020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2"/>
        <v>0</v>
      </c>
      <c r="G111" s="523">
        <f t="shared" si="14"/>
        <v>0</v>
      </c>
      <c r="H111" s="526">
        <f t="shared" si="15"/>
        <v>0</v>
      </c>
      <c r="I111" s="577">
        <f t="shared" si="16"/>
        <v>0</v>
      </c>
      <c r="J111" s="514">
        <f t="shared" si="17"/>
        <v>0</v>
      </c>
      <c r="K111" s="514"/>
      <c r="L111" s="525"/>
      <c r="M111" s="514">
        <f t="shared" si="18"/>
        <v>0</v>
      </c>
      <c r="N111" s="525"/>
      <c r="O111" s="514">
        <f t="shared" si="19"/>
        <v>0</v>
      </c>
      <c r="P111" s="514">
        <f t="shared" si="20"/>
        <v>0</v>
      </c>
      <c r="Q111" s="269"/>
    </row>
    <row r="112" spans="1:17" ht="12.5">
      <c r="B112" s="195" t="str">
        <f t="shared" si="23"/>
        <v/>
      </c>
      <c r="C112" s="507">
        <f>IF(D93="","-",+C111+1)</f>
        <v>2021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2"/>
        <v>0</v>
      </c>
      <c r="G112" s="523">
        <f t="shared" si="14"/>
        <v>0</v>
      </c>
      <c r="H112" s="526">
        <f t="shared" si="15"/>
        <v>0</v>
      </c>
      <c r="I112" s="577">
        <f t="shared" si="16"/>
        <v>0</v>
      </c>
      <c r="J112" s="514">
        <f t="shared" si="17"/>
        <v>0</v>
      </c>
      <c r="K112" s="514"/>
      <c r="L112" s="525"/>
      <c r="M112" s="514">
        <f t="shared" si="18"/>
        <v>0</v>
      </c>
      <c r="N112" s="525"/>
      <c r="O112" s="514">
        <f t="shared" si="19"/>
        <v>0</v>
      </c>
      <c r="P112" s="514">
        <f t="shared" si="20"/>
        <v>0</v>
      </c>
      <c r="Q112" s="269"/>
    </row>
    <row r="113" spans="2:17" ht="12.5">
      <c r="B113" s="195" t="str">
        <f t="shared" si="23"/>
        <v/>
      </c>
      <c r="C113" s="507">
        <f>IF(D93="","-",+C112+1)</f>
        <v>2022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2"/>
        <v>0</v>
      </c>
      <c r="G113" s="523">
        <f t="shared" si="14"/>
        <v>0</v>
      </c>
      <c r="H113" s="526">
        <f t="shared" ref="H113:H154" si="24">+J$94*G113+E113</f>
        <v>0</v>
      </c>
      <c r="I113" s="577">
        <f t="shared" ref="I113:I154" si="25">+J$95*G113+E113</f>
        <v>0</v>
      </c>
      <c r="J113" s="514">
        <f t="shared" si="17"/>
        <v>0</v>
      </c>
      <c r="K113" s="514"/>
      <c r="L113" s="525"/>
      <c r="M113" s="514">
        <f t="shared" si="18"/>
        <v>0</v>
      </c>
      <c r="N113" s="525"/>
      <c r="O113" s="514">
        <f t="shared" si="19"/>
        <v>0</v>
      </c>
      <c r="P113" s="514">
        <f t="shared" si="20"/>
        <v>0</v>
      </c>
      <c r="Q113" s="269"/>
    </row>
    <row r="114" spans="2:17" ht="12.5">
      <c r="B114" s="195" t="str">
        <f t="shared" si="23"/>
        <v/>
      </c>
      <c r="C114" s="507">
        <f>IF(D93="","-",+C113+1)</f>
        <v>2023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2"/>
        <v>0</v>
      </c>
      <c r="G114" s="523">
        <f t="shared" si="14"/>
        <v>0</v>
      </c>
      <c r="H114" s="526">
        <f t="shared" si="24"/>
        <v>0</v>
      </c>
      <c r="I114" s="577">
        <f t="shared" si="25"/>
        <v>0</v>
      </c>
      <c r="J114" s="514">
        <f t="shared" si="17"/>
        <v>0</v>
      </c>
      <c r="K114" s="514"/>
      <c r="L114" s="525"/>
      <c r="M114" s="514">
        <f t="shared" si="18"/>
        <v>0</v>
      </c>
      <c r="N114" s="525"/>
      <c r="O114" s="514">
        <f t="shared" si="19"/>
        <v>0</v>
      </c>
      <c r="P114" s="514">
        <f t="shared" si="20"/>
        <v>0</v>
      </c>
      <c r="Q114" s="269"/>
    </row>
    <row r="115" spans="2:17" ht="12.5">
      <c r="B115" s="195" t="str">
        <f t="shared" si="23"/>
        <v/>
      </c>
      <c r="C115" s="507">
        <f>IF(D93="","-",+C114+1)</f>
        <v>2024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2"/>
        <v>0</v>
      </c>
      <c r="G115" s="523">
        <f t="shared" si="14"/>
        <v>0</v>
      </c>
      <c r="H115" s="526">
        <f t="shared" si="24"/>
        <v>0</v>
      </c>
      <c r="I115" s="577">
        <f t="shared" si="25"/>
        <v>0</v>
      </c>
      <c r="J115" s="514">
        <f t="shared" si="17"/>
        <v>0</v>
      </c>
      <c r="K115" s="514"/>
      <c r="L115" s="525"/>
      <c r="M115" s="514">
        <f t="shared" si="18"/>
        <v>0</v>
      </c>
      <c r="N115" s="525"/>
      <c r="O115" s="514">
        <f t="shared" si="19"/>
        <v>0</v>
      </c>
      <c r="P115" s="514">
        <f t="shared" si="20"/>
        <v>0</v>
      </c>
      <c r="Q115" s="269"/>
    </row>
    <row r="116" spans="2:17" ht="12.5">
      <c r="B116" s="195" t="str">
        <f t="shared" si="23"/>
        <v/>
      </c>
      <c r="C116" s="507">
        <f>IF(D93="","-",+C115+1)</f>
        <v>2025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2"/>
        <v>0</v>
      </c>
      <c r="G116" s="523">
        <f t="shared" si="14"/>
        <v>0</v>
      </c>
      <c r="H116" s="526">
        <f t="shared" si="24"/>
        <v>0</v>
      </c>
      <c r="I116" s="577">
        <f t="shared" si="25"/>
        <v>0</v>
      </c>
      <c r="J116" s="514">
        <f t="shared" si="17"/>
        <v>0</v>
      </c>
      <c r="K116" s="514"/>
      <c r="L116" s="525"/>
      <c r="M116" s="514">
        <f t="shared" si="18"/>
        <v>0</v>
      </c>
      <c r="N116" s="525"/>
      <c r="O116" s="514">
        <f t="shared" si="19"/>
        <v>0</v>
      </c>
      <c r="P116" s="514">
        <f t="shared" si="20"/>
        <v>0</v>
      </c>
      <c r="Q116" s="269"/>
    </row>
    <row r="117" spans="2:17" ht="12.5">
      <c r="B117" s="195" t="str">
        <f t="shared" si="23"/>
        <v/>
      </c>
      <c r="C117" s="507">
        <f>IF(D93="","-",+C116+1)</f>
        <v>2026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2"/>
        <v>0</v>
      </c>
      <c r="G117" s="523">
        <f t="shared" si="14"/>
        <v>0</v>
      </c>
      <c r="H117" s="526">
        <f t="shared" si="24"/>
        <v>0</v>
      </c>
      <c r="I117" s="577">
        <f t="shared" si="25"/>
        <v>0</v>
      </c>
      <c r="J117" s="514">
        <f t="shared" si="17"/>
        <v>0</v>
      </c>
      <c r="K117" s="514"/>
      <c r="L117" s="525"/>
      <c r="M117" s="514">
        <f t="shared" si="18"/>
        <v>0</v>
      </c>
      <c r="N117" s="525"/>
      <c r="O117" s="514">
        <f t="shared" si="19"/>
        <v>0</v>
      </c>
      <c r="P117" s="514">
        <f t="shared" si="20"/>
        <v>0</v>
      </c>
      <c r="Q117" s="269"/>
    </row>
    <row r="118" spans="2:17" ht="12.5">
      <c r="B118" s="195" t="str">
        <f t="shared" si="23"/>
        <v/>
      </c>
      <c r="C118" s="507">
        <f>IF(D93="","-",+C117+1)</f>
        <v>2027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2"/>
        <v>0</v>
      </c>
      <c r="G118" s="523">
        <f t="shared" si="14"/>
        <v>0</v>
      </c>
      <c r="H118" s="526">
        <f t="shared" si="24"/>
        <v>0</v>
      </c>
      <c r="I118" s="577">
        <f t="shared" si="25"/>
        <v>0</v>
      </c>
      <c r="J118" s="514">
        <f t="shared" si="17"/>
        <v>0</v>
      </c>
      <c r="K118" s="514"/>
      <c r="L118" s="525"/>
      <c r="M118" s="514">
        <f t="shared" si="18"/>
        <v>0</v>
      </c>
      <c r="N118" s="525"/>
      <c r="O118" s="514">
        <f t="shared" si="19"/>
        <v>0</v>
      </c>
      <c r="P118" s="514">
        <f t="shared" si="20"/>
        <v>0</v>
      </c>
      <c r="Q118" s="269"/>
    </row>
    <row r="119" spans="2:17" ht="12.5">
      <c r="B119" s="195" t="str">
        <f t="shared" si="23"/>
        <v/>
      </c>
      <c r="C119" s="507">
        <f>IF(D93="","-",+C118+1)</f>
        <v>2028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2"/>
        <v>0</v>
      </c>
      <c r="G119" s="523">
        <f t="shared" si="14"/>
        <v>0</v>
      </c>
      <c r="H119" s="526">
        <f t="shared" si="24"/>
        <v>0</v>
      </c>
      <c r="I119" s="577">
        <f t="shared" si="25"/>
        <v>0</v>
      </c>
      <c r="J119" s="514">
        <f t="shared" si="17"/>
        <v>0</v>
      </c>
      <c r="K119" s="514"/>
      <c r="L119" s="525"/>
      <c r="M119" s="514">
        <f t="shared" si="18"/>
        <v>0</v>
      </c>
      <c r="N119" s="525"/>
      <c r="O119" s="514">
        <f t="shared" si="19"/>
        <v>0</v>
      </c>
      <c r="P119" s="514">
        <f t="shared" si="20"/>
        <v>0</v>
      </c>
      <c r="Q119" s="269"/>
    </row>
    <row r="120" spans="2:17" ht="12.5">
      <c r="B120" s="195" t="str">
        <f t="shared" si="23"/>
        <v/>
      </c>
      <c r="C120" s="507">
        <f>IF(D93="","-",+C119+1)</f>
        <v>2029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2"/>
        <v>0</v>
      </c>
      <c r="G120" s="523">
        <f t="shared" si="14"/>
        <v>0</v>
      </c>
      <c r="H120" s="526">
        <f t="shared" si="24"/>
        <v>0</v>
      </c>
      <c r="I120" s="577">
        <f t="shared" si="25"/>
        <v>0</v>
      </c>
      <c r="J120" s="514">
        <f t="shared" si="17"/>
        <v>0</v>
      </c>
      <c r="K120" s="514"/>
      <c r="L120" s="525"/>
      <c r="M120" s="514">
        <f t="shared" si="18"/>
        <v>0</v>
      </c>
      <c r="N120" s="525"/>
      <c r="O120" s="514">
        <f t="shared" si="19"/>
        <v>0</v>
      </c>
      <c r="P120" s="514">
        <f t="shared" si="20"/>
        <v>0</v>
      </c>
      <c r="Q120" s="269"/>
    </row>
    <row r="121" spans="2:17" ht="12.5">
      <c r="B121" s="195" t="str">
        <f t="shared" si="23"/>
        <v/>
      </c>
      <c r="C121" s="507">
        <f>IF(D93="","-",+C120+1)</f>
        <v>2030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2"/>
        <v>0</v>
      </c>
      <c r="G121" s="523">
        <f t="shared" si="14"/>
        <v>0</v>
      </c>
      <c r="H121" s="526">
        <f t="shared" si="24"/>
        <v>0</v>
      </c>
      <c r="I121" s="577">
        <f t="shared" si="25"/>
        <v>0</v>
      </c>
      <c r="J121" s="514">
        <f t="shared" si="17"/>
        <v>0</v>
      </c>
      <c r="K121" s="514"/>
      <c r="L121" s="525"/>
      <c r="M121" s="514">
        <f t="shared" si="18"/>
        <v>0</v>
      </c>
      <c r="N121" s="525"/>
      <c r="O121" s="514">
        <f t="shared" si="19"/>
        <v>0</v>
      </c>
      <c r="P121" s="514">
        <f t="shared" si="20"/>
        <v>0</v>
      </c>
      <c r="Q121" s="269"/>
    </row>
    <row r="122" spans="2:17" ht="12.5">
      <c r="B122" s="195" t="str">
        <f t="shared" si="23"/>
        <v/>
      </c>
      <c r="C122" s="507">
        <f>IF(D93="","-",+C121+1)</f>
        <v>2031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2"/>
        <v>0</v>
      </c>
      <c r="G122" s="523">
        <f t="shared" si="14"/>
        <v>0</v>
      </c>
      <c r="H122" s="526">
        <f t="shared" si="24"/>
        <v>0</v>
      </c>
      <c r="I122" s="577">
        <f t="shared" si="25"/>
        <v>0</v>
      </c>
      <c r="J122" s="514">
        <f t="shared" si="17"/>
        <v>0</v>
      </c>
      <c r="K122" s="514"/>
      <c r="L122" s="525"/>
      <c r="M122" s="514">
        <f t="shared" si="18"/>
        <v>0</v>
      </c>
      <c r="N122" s="525"/>
      <c r="O122" s="514">
        <f t="shared" si="19"/>
        <v>0</v>
      </c>
      <c r="P122" s="514">
        <f t="shared" si="20"/>
        <v>0</v>
      </c>
      <c r="Q122" s="269"/>
    </row>
    <row r="123" spans="2:17" ht="12.5">
      <c r="B123" s="195" t="str">
        <f t="shared" si="23"/>
        <v/>
      </c>
      <c r="C123" s="507">
        <f>IF(D93="","-",+C122+1)</f>
        <v>2032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2"/>
        <v>0</v>
      </c>
      <c r="G123" s="523">
        <f t="shared" si="14"/>
        <v>0</v>
      </c>
      <c r="H123" s="526">
        <f t="shared" si="24"/>
        <v>0</v>
      </c>
      <c r="I123" s="577">
        <f t="shared" si="25"/>
        <v>0</v>
      </c>
      <c r="J123" s="514">
        <f t="shared" si="17"/>
        <v>0</v>
      </c>
      <c r="K123" s="514"/>
      <c r="L123" s="525"/>
      <c r="M123" s="514">
        <f t="shared" si="18"/>
        <v>0</v>
      </c>
      <c r="N123" s="525"/>
      <c r="O123" s="514">
        <f t="shared" si="19"/>
        <v>0</v>
      </c>
      <c r="P123" s="514">
        <f t="shared" si="20"/>
        <v>0</v>
      </c>
      <c r="Q123" s="269"/>
    </row>
    <row r="124" spans="2:17" ht="12.5">
      <c r="B124" s="195" t="str">
        <f t="shared" si="23"/>
        <v/>
      </c>
      <c r="C124" s="507">
        <f>IF(D93="","-",+C123+1)</f>
        <v>2033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2"/>
        <v>0</v>
      </c>
      <c r="G124" s="523">
        <f t="shared" si="14"/>
        <v>0</v>
      </c>
      <c r="H124" s="526">
        <f t="shared" si="24"/>
        <v>0</v>
      </c>
      <c r="I124" s="577">
        <f t="shared" si="25"/>
        <v>0</v>
      </c>
      <c r="J124" s="514">
        <f t="shared" si="17"/>
        <v>0</v>
      </c>
      <c r="K124" s="514"/>
      <c r="L124" s="525"/>
      <c r="M124" s="514">
        <f t="shared" si="18"/>
        <v>0</v>
      </c>
      <c r="N124" s="525"/>
      <c r="O124" s="514">
        <f t="shared" si="19"/>
        <v>0</v>
      </c>
      <c r="P124" s="514">
        <f t="shared" si="20"/>
        <v>0</v>
      </c>
      <c r="Q124" s="269"/>
    </row>
    <row r="125" spans="2:17" ht="12.5">
      <c r="B125" s="195" t="str">
        <f t="shared" si="23"/>
        <v/>
      </c>
      <c r="C125" s="507">
        <f>IF(D93="","-",+C124+1)</f>
        <v>2034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2"/>
        <v>0</v>
      </c>
      <c r="G125" s="523">
        <f t="shared" si="14"/>
        <v>0</v>
      </c>
      <c r="H125" s="526">
        <f t="shared" si="24"/>
        <v>0</v>
      </c>
      <c r="I125" s="577">
        <f t="shared" si="25"/>
        <v>0</v>
      </c>
      <c r="J125" s="514">
        <f t="shared" si="17"/>
        <v>0</v>
      </c>
      <c r="K125" s="514"/>
      <c r="L125" s="525"/>
      <c r="M125" s="514">
        <f t="shared" si="18"/>
        <v>0</v>
      </c>
      <c r="N125" s="525"/>
      <c r="O125" s="514">
        <f t="shared" si="19"/>
        <v>0</v>
      </c>
      <c r="P125" s="514">
        <f t="shared" si="20"/>
        <v>0</v>
      </c>
      <c r="Q125" s="269"/>
    </row>
    <row r="126" spans="2:17" ht="12.5">
      <c r="B126" s="195" t="str">
        <f t="shared" si="23"/>
        <v/>
      </c>
      <c r="C126" s="507">
        <f>IF(D93="","-",+C125+1)</f>
        <v>2035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2"/>
        <v>0</v>
      </c>
      <c r="G126" s="523">
        <f t="shared" si="14"/>
        <v>0</v>
      </c>
      <c r="H126" s="526">
        <f t="shared" si="24"/>
        <v>0</v>
      </c>
      <c r="I126" s="577">
        <f t="shared" si="25"/>
        <v>0</v>
      </c>
      <c r="J126" s="514">
        <f t="shared" si="17"/>
        <v>0</v>
      </c>
      <c r="K126" s="514"/>
      <c r="L126" s="525"/>
      <c r="M126" s="514">
        <f t="shared" si="18"/>
        <v>0</v>
      </c>
      <c r="N126" s="525"/>
      <c r="O126" s="514">
        <f t="shared" si="19"/>
        <v>0</v>
      </c>
      <c r="P126" s="514">
        <f t="shared" si="20"/>
        <v>0</v>
      </c>
      <c r="Q126" s="269"/>
    </row>
    <row r="127" spans="2:17" ht="12.5">
      <c r="B127" s="195" t="str">
        <f t="shared" si="23"/>
        <v/>
      </c>
      <c r="C127" s="507">
        <f>IF(D93="","-",+C126+1)</f>
        <v>2036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2"/>
        <v>0</v>
      </c>
      <c r="G127" s="523">
        <f t="shared" si="14"/>
        <v>0</v>
      </c>
      <c r="H127" s="526">
        <f t="shared" si="24"/>
        <v>0</v>
      </c>
      <c r="I127" s="577">
        <f t="shared" si="25"/>
        <v>0</v>
      </c>
      <c r="J127" s="514">
        <f t="shared" si="17"/>
        <v>0</v>
      </c>
      <c r="K127" s="514"/>
      <c r="L127" s="525"/>
      <c r="M127" s="514">
        <f t="shared" si="18"/>
        <v>0</v>
      </c>
      <c r="N127" s="525"/>
      <c r="O127" s="514">
        <f t="shared" si="19"/>
        <v>0</v>
      </c>
      <c r="P127" s="514">
        <f t="shared" si="20"/>
        <v>0</v>
      </c>
      <c r="Q127" s="269"/>
    </row>
    <row r="128" spans="2:17" ht="12.5">
      <c r="B128" s="195" t="str">
        <f t="shared" si="23"/>
        <v/>
      </c>
      <c r="C128" s="507">
        <f>IF(D93="","-",+C127+1)</f>
        <v>2037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2"/>
        <v>0</v>
      </c>
      <c r="G128" s="523">
        <f t="shared" si="14"/>
        <v>0</v>
      </c>
      <c r="H128" s="526">
        <f t="shared" si="24"/>
        <v>0</v>
      </c>
      <c r="I128" s="577">
        <f t="shared" si="25"/>
        <v>0</v>
      </c>
      <c r="J128" s="514">
        <f t="shared" si="17"/>
        <v>0</v>
      </c>
      <c r="K128" s="514"/>
      <c r="L128" s="525"/>
      <c r="M128" s="514">
        <f t="shared" si="18"/>
        <v>0</v>
      </c>
      <c r="N128" s="525"/>
      <c r="O128" s="514">
        <f t="shared" si="19"/>
        <v>0</v>
      </c>
      <c r="P128" s="514">
        <f t="shared" si="20"/>
        <v>0</v>
      </c>
      <c r="Q128" s="269"/>
    </row>
    <row r="129" spans="2:17" ht="12.5">
      <c r="B129" s="195" t="str">
        <f t="shared" si="23"/>
        <v/>
      </c>
      <c r="C129" s="507">
        <f>IF(D93="","-",+C128+1)</f>
        <v>2038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2"/>
        <v>0</v>
      </c>
      <c r="G129" s="523">
        <f t="shared" si="14"/>
        <v>0</v>
      </c>
      <c r="H129" s="526">
        <f t="shared" si="24"/>
        <v>0</v>
      </c>
      <c r="I129" s="577">
        <f t="shared" si="25"/>
        <v>0</v>
      </c>
      <c r="J129" s="514">
        <f t="shared" si="17"/>
        <v>0</v>
      </c>
      <c r="K129" s="514"/>
      <c r="L129" s="525"/>
      <c r="M129" s="514">
        <f t="shared" si="18"/>
        <v>0</v>
      </c>
      <c r="N129" s="525"/>
      <c r="O129" s="514">
        <f t="shared" si="19"/>
        <v>0</v>
      </c>
      <c r="P129" s="514">
        <f t="shared" si="20"/>
        <v>0</v>
      </c>
      <c r="Q129" s="269"/>
    </row>
    <row r="130" spans="2:17" ht="12.5">
      <c r="B130" s="195" t="str">
        <f t="shared" si="23"/>
        <v/>
      </c>
      <c r="C130" s="507">
        <f>IF(D93="","-",+C129+1)</f>
        <v>2039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2"/>
        <v>0</v>
      </c>
      <c r="G130" s="523">
        <f t="shared" si="14"/>
        <v>0</v>
      </c>
      <c r="H130" s="526">
        <f t="shared" si="24"/>
        <v>0</v>
      </c>
      <c r="I130" s="577">
        <f t="shared" si="25"/>
        <v>0</v>
      </c>
      <c r="J130" s="514">
        <f t="shared" si="17"/>
        <v>0</v>
      </c>
      <c r="K130" s="514"/>
      <c r="L130" s="525"/>
      <c r="M130" s="514">
        <f t="shared" si="18"/>
        <v>0</v>
      </c>
      <c r="N130" s="525"/>
      <c r="O130" s="514">
        <f t="shared" si="19"/>
        <v>0</v>
      </c>
      <c r="P130" s="514">
        <f t="shared" si="20"/>
        <v>0</v>
      </c>
      <c r="Q130" s="269"/>
    </row>
    <row r="131" spans="2:17" ht="12.5">
      <c r="B131" s="195" t="str">
        <f t="shared" si="23"/>
        <v/>
      </c>
      <c r="C131" s="507">
        <f>IF(D93="","-",+C130+1)</f>
        <v>2040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6">+D131-E131</f>
        <v>0</v>
      </c>
      <c r="G131" s="523">
        <f t="shared" ref="G131:G154" si="27">+(F131+D131)/2</f>
        <v>0</v>
      </c>
      <c r="H131" s="526">
        <f t="shared" si="24"/>
        <v>0</v>
      </c>
      <c r="I131" s="577">
        <f t="shared" si="25"/>
        <v>0</v>
      </c>
      <c r="J131" s="514">
        <f t="shared" ref="J131:J154" si="28">+I131-H131</f>
        <v>0</v>
      </c>
      <c r="K131" s="514"/>
      <c r="L131" s="525"/>
      <c r="M131" s="514">
        <f t="shared" ref="M131:M154" si="29">IF(L131&lt;&gt;0,+H131-L131,0)</f>
        <v>0</v>
      </c>
      <c r="N131" s="525"/>
      <c r="O131" s="514">
        <f t="shared" ref="O131:O154" si="30">IF(N131&lt;&gt;0,+I131-N131,0)</f>
        <v>0</v>
      </c>
      <c r="P131" s="514">
        <f t="shared" ref="P131:P154" si="31">+O131-M131</f>
        <v>0</v>
      </c>
      <c r="Q131" s="269"/>
    </row>
    <row r="132" spans="2:17" ht="12.5">
      <c r="B132" s="195" t="str">
        <f t="shared" si="23"/>
        <v/>
      </c>
      <c r="C132" s="507">
        <f>IF(D93="","-",+C131+1)</f>
        <v>2041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6"/>
        <v>0</v>
      </c>
      <c r="G132" s="523">
        <f t="shared" si="27"/>
        <v>0</v>
      </c>
      <c r="H132" s="526">
        <f t="shared" si="24"/>
        <v>0</v>
      </c>
      <c r="I132" s="577">
        <f t="shared" si="25"/>
        <v>0</v>
      </c>
      <c r="J132" s="514">
        <f t="shared" si="28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  <c r="Q132" s="269"/>
    </row>
    <row r="133" spans="2:17" ht="12.5">
      <c r="B133" s="195" t="str">
        <f t="shared" si="23"/>
        <v/>
      </c>
      <c r="C133" s="507">
        <f>IF(D93="","-",+C132+1)</f>
        <v>2042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6"/>
        <v>0</v>
      </c>
      <c r="G133" s="523">
        <f t="shared" si="27"/>
        <v>0</v>
      </c>
      <c r="H133" s="526">
        <f t="shared" si="24"/>
        <v>0</v>
      </c>
      <c r="I133" s="577">
        <f t="shared" si="25"/>
        <v>0</v>
      </c>
      <c r="J133" s="514">
        <f t="shared" si="28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  <c r="Q133" s="269"/>
    </row>
    <row r="134" spans="2:17" ht="12.5">
      <c r="B134" s="195" t="str">
        <f t="shared" si="23"/>
        <v/>
      </c>
      <c r="C134" s="507">
        <f>IF(D93="","-",+C133+1)</f>
        <v>2043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6"/>
        <v>0</v>
      </c>
      <c r="G134" s="523">
        <f t="shared" si="27"/>
        <v>0</v>
      </c>
      <c r="H134" s="526">
        <f t="shared" si="24"/>
        <v>0</v>
      </c>
      <c r="I134" s="577">
        <f t="shared" si="25"/>
        <v>0</v>
      </c>
      <c r="J134" s="514">
        <f t="shared" si="28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  <c r="Q134" s="269"/>
    </row>
    <row r="135" spans="2:17" ht="12.5">
      <c r="B135" s="195" t="str">
        <f t="shared" si="23"/>
        <v/>
      </c>
      <c r="C135" s="507">
        <f>IF(D93="","-",+C134+1)</f>
        <v>2044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6"/>
        <v>0</v>
      </c>
      <c r="G135" s="523">
        <f t="shared" si="27"/>
        <v>0</v>
      </c>
      <c r="H135" s="526">
        <f t="shared" si="24"/>
        <v>0</v>
      </c>
      <c r="I135" s="577">
        <f t="shared" si="25"/>
        <v>0</v>
      </c>
      <c r="J135" s="514">
        <f t="shared" si="28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  <c r="Q135" s="269"/>
    </row>
    <row r="136" spans="2:17" ht="12.5">
      <c r="B136" s="195" t="str">
        <f t="shared" si="23"/>
        <v/>
      </c>
      <c r="C136" s="507">
        <f>IF(D93="","-",+C135+1)</f>
        <v>2045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6"/>
        <v>0</v>
      </c>
      <c r="G136" s="523">
        <f t="shared" si="27"/>
        <v>0</v>
      </c>
      <c r="H136" s="526">
        <f t="shared" si="24"/>
        <v>0</v>
      </c>
      <c r="I136" s="577">
        <f t="shared" si="25"/>
        <v>0</v>
      </c>
      <c r="J136" s="514">
        <f t="shared" si="28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  <c r="Q136" s="269"/>
    </row>
    <row r="137" spans="2:17" ht="12.5">
      <c r="B137" s="195" t="str">
        <f t="shared" si="23"/>
        <v/>
      </c>
      <c r="C137" s="507">
        <f>IF(D93="","-",+C136+1)</f>
        <v>2046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6"/>
        <v>0</v>
      </c>
      <c r="G137" s="523">
        <f t="shared" si="27"/>
        <v>0</v>
      </c>
      <c r="H137" s="526">
        <f t="shared" si="24"/>
        <v>0</v>
      </c>
      <c r="I137" s="577">
        <f t="shared" si="25"/>
        <v>0</v>
      </c>
      <c r="J137" s="514">
        <f t="shared" si="28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  <c r="Q137" s="269"/>
    </row>
    <row r="138" spans="2:17" ht="12.5">
      <c r="B138" s="195" t="str">
        <f t="shared" si="23"/>
        <v/>
      </c>
      <c r="C138" s="507">
        <f>IF(D93="","-",+C137+1)</f>
        <v>2047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6"/>
        <v>0</v>
      </c>
      <c r="G138" s="523">
        <f t="shared" si="27"/>
        <v>0</v>
      </c>
      <c r="H138" s="526">
        <f t="shared" si="24"/>
        <v>0</v>
      </c>
      <c r="I138" s="577">
        <f t="shared" si="25"/>
        <v>0</v>
      </c>
      <c r="J138" s="514">
        <f t="shared" si="28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  <c r="Q138" s="269"/>
    </row>
    <row r="139" spans="2:17" ht="12.5">
      <c r="B139" s="195" t="str">
        <f t="shared" si="23"/>
        <v/>
      </c>
      <c r="C139" s="507">
        <f>IF(D93="","-",+C138+1)</f>
        <v>2048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6"/>
        <v>0</v>
      </c>
      <c r="G139" s="523">
        <f t="shared" si="27"/>
        <v>0</v>
      </c>
      <c r="H139" s="526">
        <f t="shared" si="24"/>
        <v>0</v>
      </c>
      <c r="I139" s="577">
        <f t="shared" si="25"/>
        <v>0</v>
      </c>
      <c r="J139" s="514">
        <f t="shared" si="28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  <c r="Q139" s="269"/>
    </row>
    <row r="140" spans="2:17" ht="12.5">
      <c r="B140" s="195" t="str">
        <f t="shared" si="23"/>
        <v/>
      </c>
      <c r="C140" s="507">
        <f>IF(D93="","-",+C139+1)</f>
        <v>2049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6"/>
        <v>0</v>
      </c>
      <c r="G140" s="523">
        <f t="shared" si="27"/>
        <v>0</v>
      </c>
      <c r="H140" s="526">
        <f t="shared" si="24"/>
        <v>0</v>
      </c>
      <c r="I140" s="577">
        <f t="shared" si="25"/>
        <v>0</v>
      </c>
      <c r="J140" s="514">
        <f t="shared" si="28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  <c r="Q140" s="269"/>
    </row>
    <row r="141" spans="2:17" ht="12.5">
      <c r="B141" s="195" t="str">
        <f t="shared" si="23"/>
        <v/>
      </c>
      <c r="C141" s="507">
        <f>IF(D93="","-",+C140+1)</f>
        <v>2050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6"/>
        <v>0</v>
      </c>
      <c r="G141" s="523">
        <f t="shared" si="27"/>
        <v>0</v>
      </c>
      <c r="H141" s="526">
        <f t="shared" si="24"/>
        <v>0</v>
      </c>
      <c r="I141" s="577">
        <f t="shared" si="25"/>
        <v>0</v>
      </c>
      <c r="J141" s="514">
        <f t="shared" si="28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  <c r="Q141" s="269"/>
    </row>
    <row r="142" spans="2:17" ht="12.5">
      <c r="B142" s="195" t="str">
        <f t="shared" si="23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6"/>
        <v>0</v>
      </c>
      <c r="G142" s="523">
        <f t="shared" si="27"/>
        <v>0</v>
      </c>
      <c r="H142" s="526">
        <f t="shared" si="24"/>
        <v>0</v>
      </c>
      <c r="I142" s="577">
        <f t="shared" si="25"/>
        <v>0</v>
      </c>
      <c r="J142" s="514">
        <f t="shared" si="28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  <c r="Q142" s="269"/>
    </row>
    <row r="143" spans="2:17" ht="12.5">
      <c r="B143" s="195" t="str">
        <f t="shared" si="23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6"/>
        <v>0</v>
      </c>
      <c r="G143" s="523">
        <f t="shared" si="27"/>
        <v>0</v>
      </c>
      <c r="H143" s="526">
        <f t="shared" si="24"/>
        <v>0</v>
      </c>
      <c r="I143" s="577">
        <f t="shared" si="25"/>
        <v>0</v>
      </c>
      <c r="J143" s="514">
        <f t="shared" si="28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  <c r="Q143" s="269"/>
    </row>
    <row r="144" spans="2:17" ht="12.5">
      <c r="B144" s="195" t="str">
        <f t="shared" si="23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6"/>
        <v>0</v>
      </c>
      <c r="G144" s="523">
        <f t="shared" si="27"/>
        <v>0</v>
      </c>
      <c r="H144" s="526">
        <f t="shared" si="24"/>
        <v>0</v>
      </c>
      <c r="I144" s="577">
        <f t="shared" si="25"/>
        <v>0</v>
      </c>
      <c r="J144" s="514">
        <f t="shared" si="28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  <c r="Q144" s="269"/>
    </row>
    <row r="145" spans="2:17" ht="12.5">
      <c r="B145" s="195" t="str">
        <f t="shared" si="23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6"/>
        <v>0</v>
      </c>
      <c r="G145" s="523">
        <f t="shared" si="27"/>
        <v>0</v>
      </c>
      <c r="H145" s="526">
        <f t="shared" si="24"/>
        <v>0</v>
      </c>
      <c r="I145" s="577">
        <f t="shared" si="25"/>
        <v>0</v>
      </c>
      <c r="J145" s="514">
        <f t="shared" si="28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  <c r="Q145" s="269"/>
    </row>
    <row r="146" spans="2:17" ht="12.5">
      <c r="B146" s="195" t="str">
        <f t="shared" si="23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6"/>
        <v>0</v>
      </c>
      <c r="G146" s="523">
        <f t="shared" si="27"/>
        <v>0</v>
      </c>
      <c r="H146" s="526">
        <f t="shared" si="24"/>
        <v>0</v>
      </c>
      <c r="I146" s="577">
        <f t="shared" si="25"/>
        <v>0</v>
      </c>
      <c r="J146" s="514">
        <f t="shared" si="28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  <c r="Q146" s="269"/>
    </row>
    <row r="147" spans="2:17" ht="12.5">
      <c r="B147" s="195" t="str">
        <f t="shared" si="23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6"/>
        <v>0</v>
      </c>
      <c r="G147" s="523">
        <f t="shared" si="27"/>
        <v>0</v>
      </c>
      <c r="H147" s="526">
        <f t="shared" si="24"/>
        <v>0</v>
      </c>
      <c r="I147" s="577">
        <f t="shared" si="25"/>
        <v>0</v>
      </c>
      <c r="J147" s="514">
        <f t="shared" si="28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  <c r="Q147" s="269"/>
    </row>
    <row r="148" spans="2:17" ht="12.5">
      <c r="B148" s="195" t="str">
        <f t="shared" si="23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6"/>
        <v>0</v>
      </c>
      <c r="G148" s="523">
        <f t="shared" si="27"/>
        <v>0</v>
      </c>
      <c r="H148" s="526">
        <f t="shared" si="24"/>
        <v>0</v>
      </c>
      <c r="I148" s="577">
        <f t="shared" si="25"/>
        <v>0</v>
      </c>
      <c r="J148" s="514">
        <f t="shared" si="28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  <c r="Q148" s="269"/>
    </row>
    <row r="149" spans="2:17" ht="12.5">
      <c r="B149" s="195" t="str">
        <f t="shared" si="23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6"/>
        <v>0</v>
      </c>
      <c r="G149" s="523">
        <f t="shared" si="27"/>
        <v>0</v>
      </c>
      <c r="H149" s="526">
        <f t="shared" si="24"/>
        <v>0</v>
      </c>
      <c r="I149" s="577">
        <f t="shared" si="25"/>
        <v>0</v>
      </c>
      <c r="J149" s="514">
        <f t="shared" si="28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  <c r="Q149" s="269"/>
    </row>
    <row r="150" spans="2:17" ht="12.5">
      <c r="B150" s="195" t="str">
        <f t="shared" si="23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6"/>
        <v>0</v>
      </c>
      <c r="G150" s="523">
        <f t="shared" si="27"/>
        <v>0</v>
      </c>
      <c r="H150" s="526">
        <f t="shared" si="24"/>
        <v>0</v>
      </c>
      <c r="I150" s="577">
        <f t="shared" si="25"/>
        <v>0</v>
      </c>
      <c r="J150" s="514">
        <f t="shared" si="28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  <c r="Q150" s="269"/>
    </row>
    <row r="151" spans="2:17" ht="12.5">
      <c r="B151" s="195" t="str">
        <f t="shared" si="23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6"/>
        <v>0</v>
      </c>
      <c r="G151" s="523">
        <f t="shared" si="27"/>
        <v>0</v>
      </c>
      <c r="H151" s="526">
        <f t="shared" si="24"/>
        <v>0</v>
      </c>
      <c r="I151" s="577">
        <f t="shared" si="25"/>
        <v>0</v>
      </c>
      <c r="J151" s="514">
        <f t="shared" si="28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  <c r="Q151" s="269"/>
    </row>
    <row r="152" spans="2:17" ht="12.5">
      <c r="B152" s="195" t="str">
        <f t="shared" si="23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6"/>
        <v>0</v>
      </c>
      <c r="G152" s="523">
        <f t="shared" si="27"/>
        <v>0</v>
      </c>
      <c r="H152" s="526">
        <f t="shared" si="24"/>
        <v>0</v>
      </c>
      <c r="I152" s="577">
        <f t="shared" si="25"/>
        <v>0</v>
      </c>
      <c r="J152" s="514">
        <f t="shared" si="28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  <c r="Q152" s="269"/>
    </row>
    <row r="153" spans="2:17" ht="12.5">
      <c r="B153" s="195" t="str">
        <f t="shared" si="23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6"/>
        <v>0</v>
      </c>
      <c r="G153" s="523">
        <f t="shared" si="27"/>
        <v>0</v>
      </c>
      <c r="H153" s="526">
        <f t="shared" si="24"/>
        <v>0</v>
      </c>
      <c r="I153" s="577">
        <f t="shared" si="25"/>
        <v>0</v>
      </c>
      <c r="J153" s="514">
        <f t="shared" si="28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  <c r="Q153" s="269"/>
    </row>
    <row r="154" spans="2:17" ht="13" thickBot="1">
      <c r="B154" s="195" t="str">
        <f t="shared" si="23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6"/>
        <v>0</v>
      </c>
      <c r="G154" s="528">
        <f t="shared" si="27"/>
        <v>0</v>
      </c>
      <c r="H154" s="530">
        <f t="shared" si="24"/>
        <v>0</v>
      </c>
      <c r="I154" s="579">
        <f t="shared" si="25"/>
        <v>0</v>
      </c>
      <c r="J154" s="533">
        <f t="shared" si="28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  <c r="Q154" s="269"/>
    </row>
    <row r="155" spans="2:17" ht="12.5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1" priority="1" stopIfTrue="1" operator="equal">
      <formula>$I$10</formula>
    </cfRule>
  </conditionalFormatting>
  <conditionalFormatting sqref="C99:C154">
    <cfRule type="cellIs" dxfId="1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>
    <tabColor indexed="8"/>
  </sheetPr>
  <dimension ref="A1:Q162"/>
  <sheetViews>
    <sheetView view="pageBreakPreview" zoomScale="84" zoomScaleNormal="100" zoomScaleSheetLayoutView="84" workbookViewId="0">
      <selection activeCell="D15" sqref="D15:D16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11 of 74</v>
      </c>
      <c r="Q1" s="453" t="s">
        <v>165</v>
      </c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236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/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601">
        <f t="shared" ref="G17:G48" si="1">+I$12*((D17+F17)/2)+E17</f>
        <v>0</v>
      </c>
      <c r="H17" s="491">
        <f t="shared" ref="H17:H48" si="2">+I$13*((D17+F17)/2)+E17</f>
        <v>0</v>
      </c>
      <c r="I17" s="511">
        <f t="shared" ref="I17:I48" si="3">H17-G17</f>
        <v>0</v>
      </c>
      <c r="J17" s="511"/>
      <c r="K17" s="512">
        <v>741629</v>
      </c>
      <c r="L17" s="513">
        <f t="shared" ref="L17:L48" si="4">IF(K17&lt;&gt;0,+G17-K17,0)</f>
        <v>-741629</v>
      </c>
      <c r="M17" s="512">
        <f>K17</f>
        <v>741629</v>
      </c>
      <c r="N17" s="513">
        <f t="shared" ref="N17:N48" si="5">IF(M17&lt;&gt;0,+H17-M17,0)</f>
        <v>-741629</v>
      </c>
      <c r="O17" s="514">
        <f t="shared" ref="O17:O48" si="6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523">
        <f t="shared" ref="D18:D24" si="7">F17</f>
        <v>0</v>
      </c>
      <c r="E18" s="522">
        <f>IF(+I14&lt;F17,I14,D18)</f>
        <v>0</v>
      </c>
      <c r="F18" s="523">
        <f t="shared" si="0"/>
        <v>0</v>
      </c>
      <c r="G18" s="524">
        <f t="shared" si="1"/>
        <v>0</v>
      </c>
      <c r="H18" s="491">
        <f t="shared" si="2"/>
        <v>0</v>
      </c>
      <c r="I18" s="511">
        <f t="shared" si="3"/>
        <v>0</v>
      </c>
      <c r="J18" s="511"/>
      <c r="K18" s="518">
        <v>0</v>
      </c>
      <c r="L18" s="514">
        <f t="shared" si="4"/>
        <v>0</v>
      </c>
      <c r="M18" s="518">
        <v>0</v>
      </c>
      <c r="N18" s="514">
        <f t="shared" si="5"/>
        <v>0</v>
      </c>
      <c r="O18" s="514">
        <f t="shared" si="6"/>
        <v>0</v>
      </c>
      <c r="P18" s="272"/>
    </row>
    <row r="19" spans="2:16" ht="12.5">
      <c r="B19" s="195" t="str">
        <f>IF(D19=F18,"","IU")</f>
        <v/>
      </c>
      <c r="C19" s="507">
        <f>IF(D11="","-",+C18+1)</f>
        <v>2009</v>
      </c>
      <c r="D19" s="523">
        <f t="shared" si="7"/>
        <v>0</v>
      </c>
      <c r="E19" s="522">
        <f>IF(+I14&lt;F18,I14,D19)</f>
        <v>0</v>
      </c>
      <c r="F19" s="523">
        <f t="shared" si="0"/>
        <v>0</v>
      </c>
      <c r="G19" s="524">
        <f t="shared" si="1"/>
        <v>0</v>
      </c>
      <c r="H19" s="491">
        <f t="shared" si="2"/>
        <v>0</v>
      </c>
      <c r="I19" s="511">
        <f t="shared" si="3"/>
        <v>0</v>
      </c>
      <c r="J19" s="511"/>
      <c r="K19" s="518">
        <v>0</v>
      </c>
      <c r="L19" s="514">
        <f t="shared" si="4"/>
        <v>0</v>
      </c>
      <c r="M19" s="518">
        <v>0</v>
      </c>
      <c r="N19" s="514">
        <f t="shared" si="5"/>
        <v>0</v>
      </c>
      <c r="O19" s="514">
        <f t="shared" si="6"/>
        <v>0</v>
      </c>
      <c r="P19" s="272"/>
    </row>
    <row r="20" spans="2:16" ht="12.5">
      <c r="B20" s="195" t="str">
        <f t="shared" ref="B20:B72" si="8">IF(D20=F19,"","IU")</f>
        <v/>
      </c>
      <c r="C20" s="507">
        <f>IF(D11="","-",+C19+1)</f>
        <v>2010</v>
      </c>
      <c r="D20" s="523">
        <f t="shared" si="7"/>
        <v>0</v>
      </c>
      <c r="E20" s="522">
        <f>IF(+I14&lt;F19,I14,D20)</f>
        <v>0</v>
      </c>
      <c r="F20" s="523">
        <f t="shared" si="0"/>
        <v>0</v>
      </c>
      <c r="G20" s="524">
        <f t="shared" si="1"/>
        <v>0</v>
      </c>
      <c r="H20" s="491">
        <f t="shared" si="2"/>
        <v>0</v>
      </c>
      <c r="I20" s="511">
        <f t="shared" si="3"/>
        <v>0</v>
      </c>
      <c r="J20" s="511"/>
      <c r="K20" s="525"/>
      <c r="L20" s="514">
        <f t="shared" si="4"/>
        <v>0</v>
      </c>
      <c r="M20" s="525"/>
      <c r="N20" s="514">
        <f t="shared" si="5"/>
        <v>0</v>
      </c>
      <c r="O20" s="514">
        <f t="shared" si="6"/>
        <v>0</v>
      </c>
      <c r="P20" s="272"/>
    </row>
    <row r="21" spans="2:16" ht="12.5">
      <c r="B21" s="195" t="str">
        <f t="shared" si="8"/>
        <v/>
      </c>
      <c r="C21" s="507">
        <f>IF(D12="","-",+C20+1)</f>
        <v>2011</v>
      </c>
      <c r="D21" s="523">
        <f t="shared" si="7"/>
        <v>0</v>
      </c>
      <c r="E21" s="522">
        <f>IF(+I14&lt;F20,I14,D21)</f>
        <v>0</v>
      </c>
      <c r="F21" s="523">
        <f t="shared" si="0"/>
        <v>0</v>
      </c>
      <c r="G21" s="524">
        <f t="shared" si="1"/>
        <v>0</v>
      </c>
      <c r="H21" s="491">
        <f t="shared" si="2"/>
        <v>0</v>
      </c>
      <c r="I21" s="511">
        <f t="shared" si="3"/>
        <v>0</v>
      </c>
      <c r="J21" s="511"/>
      <c r="K21" s="525"/>
      <c r="L21" s="514">
        <f t="shared" si="4"/>
        <v>0</v>
      </c>
      <c r="M21" s="525"/>
      <c r="N21" s="514">
        <f t="shared" si="5"/>
        <v>0</v>
      </c>
      <c r="O21" s="514">
        <f t="shared" si="6"/>
        <v>0</v>
      </c>
      <c r="P21" s="272"/>
    </row>
    <row r="22" spans="2:16" ht="12.5">
      <c r="B22" s="195" t="str">
        <f t="shared" si="8"/>
        <v/>
      </c>
      <c r="C22" s="507">
        <f>IF(D11="","-",+C21+1)</f>
        <v>2012</v>
      </c>
      <c r="D22" s="523">
        <f t="shared" si="7"/>
        <v>0</v>
      </c>
      <c r="E22" s="522">
        <f>IF(+I14&lt;F21,I14,D22)</f>
        <v>0</v>
      </c>
      <c r="F22" s="523">
        <f t="shared" si="0"/>
        <v>0</v>
      </c>
      <c r="G22" s="524">
        <f t="shared" si="1"/>
        <v>0</v>
      </c>
      <c r="H22" s="491">
        <f t="shared" si="2"/>
        <v>0</v>
      </c>
      <c r="I22" s="511">
        <f t="shared" si="3"/>
        <v>0</v>
      </c>
      <c r="J22" s="511"/>
      <c r="K22" s="525"/>
      <c r="L22" s="514">
        <f t="shared" si="4"/>
        <v>0</v>
      </c>
      <c r="M22" s="525"/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8"/>
        <v/>
      </c>
      <c r="C23" s="507">
        <f>IF(D11="","-",+C22+1)</f>
        <v>2013</v>
      </c>
      <c r="D23" s="523">
        <f t="shared" si="7"/>
        <v>0</v>
      </c>
      <c r="E23" s="522">
        <f>IF(+I14&lt;F22,I14,D23)</f>
        <v>0</v>
      </c>
      <c r="F23" s="523">
        <f t="shared" si="0"/>
        <v>0</v>
      </c>
      <c r="G23" s="524">
        <f t="shared" si="1"/>
        <v>0</v>
      </c>
      <c r="H23" s="491">
        <f t="shared" si="2"/>
        <v>0</v>
      </c>
      <c r="I23" s="511">
        <f t="shared" si="3"/>
        <v>0</v>
      </c>
      <c r="J23" s="511"/>
      <c r="K23" s="525"/>
      <c r="L23" s="514">
        <f t="shared" si="4"/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8"/>
        <v/>
      </c>
      <c r="C24" s="507">
        <f>IF(D11="","-",+C23+1)</f>
        <v>2014</v>
      </c>
      <c r="D24" s="523">
        <f t="shared" si="7"/>
        <v>0</v>
      </c>
      <c r="E24" s="522">
        <f>IF(+I14&lt;F23,I14,D24)</f>
        <v>0</v>
      </c>
      <c r="F24" s="523">
        <f t="shared" si="0"/>
        <v>0</v>
      </c>
      <c r="G24" s="524">
        <f t="shared" si="1"/>
        <v>0</v>
      </c>
      <c r="H24" s="491">
        <f t="shared" si="2"/>
        <v>0</v>
      </c>
      <c r="I24" s="511">
        <f t="shared" si="3"/>
        <v>0</v>
      </c>
      <c r="J24" s="511"/>
      <c r="K24" s="525"/>
      <c r="L24" s="514">
        <f t="shared" si="4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8"/>
        <v/>
      </c>
      <c r="C25" s="507">
        <f>IF(D11="","-",+C24+1)</f>
        <v>2015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1"/>
        <v>0</v>
      </c>
      <c r="H25" s="491">
        <f t="shared" si="2"/>
        <v>0</v>
      </c>
      <c r="I25" s="511">
        <f t="shared" si="3"/>
        <v>0</v>
      </c>
      <c r="J25" s="511"/>
      <c r="K25" s="525"/>
      <c r="L25" s="514">
        <f t="shared" si="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8"/>
        <v/>
      </c>
      <c r="C26" s="507">
        <f>IF(D11="","-",+C25+1)</f>
        <v>2016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1"/>
        <v>0</v>
      </c>
      <c r="H26" s="491">
        <f t="shared" si="2"/>
        <v>0</v>
      </c>
      <c r="I26" s="511">
        <f t="shared" si="3"/>
        <v>0</v>
      </c>
      <c r="J26" s="511"/>
      <c r="K26" s="525"/>
      <c r="L26" s="514">
        <f t="shared" si="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8"/>
        <v/>
      </c>
      <c r="C27" s="507">
        <f>IF(D11="","-",+C26+1)</f>
        <v>2017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1"/>
        <v>0</v>
      </c>
      <c r="H27" s="491">
        <f t="shared" si="2"/>
        <v>0</v>
      </c>
      <c r="I27" s="511">
        <f t="shared" si="3"/>
        <v>0</v>
      </c>
      <c r="J27" s="511"/>
      <c r="K27" s="525"/>
      <c r="L27" s="514">
        <f t="shared" si="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8"/>
        <v/>
      </c>
      <c r="C28" s="507">
        <f>IF(D11="","-",+C27+1)</f>
        <v>2018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1"/>
        <v>0</v>
      </c>
      <c r="H28" s="491">
        <f t="shared" si="2"/>
        <v>0</v>
      </c>
      <c r="I28" s="511">
        <f t="shared" si="3"/>
        <v>0</v>
      </c>
      <c r="J28" s="511"/>
      <c r="K28" s="525"/>
      <c r="L28" s="514">
        <f t="shared" si="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8"/>
        <v/>
      </c>
      <c r="C29" s="507">
        <f>IF(D11="","-",+C28+1)</f>
        <v>2019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1"/>
        <v>0</v>
      </c>
      <c r="H29" s="491">
        <f t="shared" si="2"/>
        <v>0</v>
      </c>
      <c r="I29" s="511">
        <f t="shared" si="3"/>
        <v>0</v>
      </c>
      <c r="J29" s="511"/>
      <c r="K29" s="525"/>
      <c r="L29" s="514">
        <f t="shared" si="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8"/>
        <v/>
      </c>
      <c r="C30" s="507">
        <f>IF(D11="","-",+C29+1)</f>
        <v>2020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1"/>
        <v>0</v>
      </c>
      <c r="H30" s="491">
        <f t="shared" si="2"/>
        <v>0</v>
      </c>
      <c r="I30" s="511">
        <f t="shared" si="3"/>
        <v>0</v>
      </c>
      <c r="J30" s="511"/>
      <c r="K30" s="525"/>
      <c r="L30" s="514">
        <f t="shared" si="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8"/>
        <v/>
      </c>
      <c r="C31" s="507">
        <f>IF(D11="","-",+C30+1)</f>
        <v>2021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1"/>
        <v>0</v>
      </c>
      <c r="H31" s="491">
        <f t="shared" si="2"/>
        <v>0</v>
      </c>
      <c r="I31" s="511">
        <f t="shared" si="3"/>
        <v>0</v>
      </c>
      <c r="J31" s="511"/>
      <c r="K31" s="525"/>
      <c r="L31" s="514">
        <f t="shared" si="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8"/>
        <v/>
      </c>
      <c r="C32" s="507">
        <f>IF(D11="","-",+C31+1)</f>
        <v>2022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1"/>
        <v>0</v>
      </c>
      <c r="H32" s="491">
        <f t="shared" si="2"/>
        <v>0</v>
      </c>
      <c r="I32" s="511">
        <f t="shared" si="3"/>
        <v>0</v>
      </c>
      <c r="J32" s="511"/>
      <c r="K32" s="525"/>
      <c r="L32" s="514">
        <f t="shared" si="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8"/>
        <v/>
      </c>
      <c r="C33" s="507">
        <f>IF(D11="","-",+C32+1)</f>
        <v>2023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1"/>
        <v>0</v>
      </c>
      <c r="H33" s="491">
        <f t="shared" si="2"/>
        <v>0</v>
      </c>
      <c r="I33" s="511">
        <f t="shared" si="3"/>
        <v>0</v>
      </c>
      <c r="J33" s="511"/>
      <c r="K33" s="525"/>
      <c r="L33" s="514">
        <f t="shared" si="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8"/>
        <v/>
      </c>
      <c r="C34" s="507">
        <f>IF(D11="","-",+C33+1)</f>
        <v>2024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1"/>
        <v>0</v>
      </c>
      <c r="H34" s="491">
        <f t="shared" si="2"/>
        <v>0</v>
      </c>
      <c r="I34" s="511">
        <f t="shared" si="3"/>
        <v>0</v>
      </c>
      <c r="J34" s="511"/>
      <c r="K34" s="525"/>
      <c r="L34" s="514">
        <f t="shared" si="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8"/>
        <v/>
      </c>
      <c r="C35" s="507">
        <f>IF(D11="","-",+C34+1)</f>
        <v>2025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1"/>
        <v>0</v>
      </c>
      <c r="H35" s="491">
        <f t="shared" si="2"/>
        <v>0</v>
      </c>
      <c r="I35" s="511">
        <f t="shared" si="3"/>
        <v>0</v>
      </c>
      <c r="J35" s="511"/>
      <c r="K35" s="525"/>
      <c r="L35" s="514">
        <f t="shared" si="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8"/>
        <v/>
      </c>
      <c r="C36" s="507">
        <f>IF(D11="","-",+C35+1)</f>
        <v>2026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1"/>
        <v>0</v>
      </c>
      <c r="H36" s="491">
        <f t="shared" si="2"/>
        <v>0</v>
      </c>
      <c r="I36" s="511">
        <f t="shared" si="3"/>
        <v>0</v>
      </c>
      <c r="J36" s="511"/>
      <c r="K36" s="525"/>
      <c r="L36" s="514">
        <f t="shared" si="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8"/>
        <v/>
      </c>
      <c r="C37" s="507">
        <f>IF(D11="","-",+C36+1)</f>
        <v>2027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1"/>
        <v>0</v>
      </c>
      <c r="H37" s="491">
        <f t="shared" si="2"/>
        <v>0</v>
      </c>
      <c r="I37" s="511">
        <f t="shared" si="3"/>
        <v>0</v>
      </c>
      <c r="J37" s="511"/>
      <c r="K37" s="525"/>
      <c r="L37" s="514">
        <f t="shared" si="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8"/>
        <v/>
      </c>
      <c r="C38" s="507">
        <f>IF(D11="","-",+C37+1)</f>
        <v>2028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1"/>
        <v>0</v>
      </c>
      <c r="H38" s="491">
        <f t="shared" si="2"/>
        <v>0</v>
      </c>
      <c r="I38" s="511">
        <f t="shared" si="3"/>
        <v>0</v>
      </c>
      <c r="J38" s="511"/>
      <c r="K38" s="525"/>
      <c r="L38" s="514">
        <f t="shared" si="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8"/>
        <v/>
      </c>
      <c r="C39" s="507">
        <f>IF(D11="","-",+C38+1)</f>
        <v>2029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1"/>
        <v>0</v>
      </c>
      <c r="H39" s="491">
        <f t="shared" si="2"/>
        <v>0</v>
      </c>
      <c r="I39" s="511">
        <f t="shared" si="3"/>
        <v>0</v>
      </c>
      <c r="J39" s="511"/>
      <c r="K39" s="525"/>
      <c r="L39" s="514">
        <f t="shared" si="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8"/>
        <v/>
      </c>
      <c r="C40" s="507">
        <f>IF(D11="","-",+C39+1)</f>
        <v>2030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1"/>
        <v>0</v>
      </c>
      <c r="H40" s="491">
        <f t="shared" si="2"/>
        <v>0</v>
      </c>
      <c r="I40" s="511">
        <f t="shared" si="3"/>
        <v>0</v>
      </c>
      <c r="J40" s="511"/>
      <c r="K40" s="525"/>
      <c r="L40" s="514">
        <f t="shared" si="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8"/>
        <v/>
      </c>
      <c r="C41" s="507">
        <f>IF(D11="","-",+C40+1)</f>
        <v>2031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1"/>
        <v>0</v>
      </c>
      <c r="H41" s="491">
        <f t="shared" si="2"/>
        <v>0</v>
      </c>
      <c r="I41" s="511">
        <f t="shared" si="3"/>
        <v>0</v>
      </c>
      <c r="J41" s="511"/>
      <c r="K41" s="525"/>
      <c r="L41" s="514">
        <f t="shared" si="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8"/>
        <v/>
      </c>
      <c r="C42" s="507">
        <f>IF(D11="","-",+C41+1)</f>
        <v>2032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1"/>
        <v>0</v>
      </c>
      <c r="H42" s="491">
        <f t="shared" si="2"/>
        <v>0</v>
      </c>
      <c r="I42" s="511">
        <f t="shared" si="3"/>
        <v>0</v>
      </c>
      <c r="J42" s="511"/>
      <c r="K42" s="525"/>
      <c r="L42" s="514">
        <f t="shared" si="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8"/>
        <v/>
      </c>
      <c r="C43" s="507">
        <f>IF(D11="","-",+C42+1)</f>
        <v>2033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1"/>
        <v>0</v>
      </c>
      <c r="H43" s="491">
        <f t="shared" si="2"/>
        <v>0</v>
      </c>
      <c r="I43" s="511">
        <f t="shared" si="3"/>
        <v>0</v>
      </c>
      <c r="J43" s="511"/>
      <c r="K43" s="525"/>
      <c r="L43" s="514">
        <f t="shared" si="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8"/>
        <v/>
      </c>
      <c r="C44" s="507">
        <f>IF(D11="","-",+C43+1)</f>
        <v>2034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1"/>
        <v>0</v>
      </c>
      <c r="H44" s="491">
        <f t="shared" si="2"/>
        <v>0</v>
      </c>
      <c r="I44" s="511">
        <f t="shared" si="3"/>
        <v>0</v>
      </c>
      <c r="J44" s="511"/>
      <c r="K44" s="525"/>
      <c r="L44" s="514">
        <f t="shared" si="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8"/>
        <v/>
      </c>
      <c r="C45" s="507">
        <f>IF(D11="","-",+C44+1)</f>
        <v>2035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1"/>
        <v>0</v>
      </c>
      <c r="H45" s="491">
        <f t="shared" si="2"/>
        <v>0</v>
      </c>
      <c r="I45" s="511">
        <f t="shared" si="3"/>
        <v>0</v>
      </c>
      <c r="J45" s="511"/>
      <c r="K45" s="525"/>
      <c r="L45" s="514">
        <f t="shared" si="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8"/>
        <v/>
      </c>
      <c r="C46" s="507">
        <f>IF(D11="","-",+C45+1)</f>
        <v>2036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1"/>
        <v>0</v>
      </c>
      <c r="H46" s="491">
        <f t="shared" si="2"/>
        <v>0</v>
      </c>
      <c r="I46" s="511">
        <f t="shared" si="3"/>
        <v>0</v>
      </c>
      <c r="J46" s="511"/>
      <c r="K46" s="525"/>
      <c r="L46" s="514">
        <f t="shared" si="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8"/>
        <v/>
      </c>
      <c r="C47" s="507">
        <f>IF(D11="","-",+C46+1)</f>
        <v>2037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1"/>
        <v>0</v>
      </c>
      <c r="H47" s="491">
        <f t="shared" si="2"/>
        <v>0</v>
      </c>
      <c r="I47" s="511">
        <f t="shared" si="3"/>
        <v>0</v>
      </c>
      <c r="J47" s="511"/>
      <c r="K47" s="525"/>
      <c r="L47" s="514">
        <f t="shared" si="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8"/>
        <v/>
      </c>
      <c r="C48" s="507">
        <f>IF(D11="","-",+C47+1)</f>
        <v>2038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1"/>
        <v>0</v>
      </c>
      <c r="H48" s="491">
        <f t="shared" si="2"/>
        <v>0</v>
      </c>
      <c r="I48" s="511">
        <f t="shared" si="3"/>
        <v>0</v>
      </c>
      <c r="J48" s="511"/>
      <c r="K48" s="525"/>
      <c r="L48" s="514">
        <f t="shared" si="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7" ht="12.5">
      <c r="B49" s="195" t="str">
        <f t="shared" si="8"/>
        <v/>
      </c>
      <c r="C49" s="507">
        <f>IF(D11="","-",+C48+1)</f>
        <v>2039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ref="G49:G72" si="10">+I$12*((D49+F49)/2)+E49</f>
        <v>0</v>
      </c>
      <c r="H49" s="491">
        <f t="shared" ref="H49:H72" si="11">+I$13*((D49+F49)/2)+E49</f>
        <v>0</v>
      </c>
      <c r="I49" s="511">
        <f t="shared" ref="I49:I72" si="12">H49-G49</f>
        <v>0</v>
      </c>
      <c r="J49" s="511"/>
      <c r="K49" s="525"/>
      <c r="L49" s="514">
        <f t="shared" ref="L49:L72" si="13">IF(K49&lt;&gt;0,+G49-K49,0)</f>
        <v>0</v>
      </c>
      <c r="M49" s="525"/>
      <c r="N49" s="514">
        <f t="shared" ref="N49:N72" si="14">IF(M49&lt;&gt;0,+H49-M49,0)</f>
        <v>0</v>
      </c>
      <c r="O49" s="514">
        <f t="shared" ref="O49:O72" si="15">+N49-L49</f>
        <v>0</v>
      </c>
      <c r="P49" s="272"/>
    </row>
    <row r="50" spans="2:17" ht="12.5">
      <c r="B50" s="195" t="str">
        <f t="shared" si="8"/>
        <v/>
      </c>
      <c r="C50" s="507">
        <f>IF(D11="","-",+C49+1)</f>
        <v>2040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10"/>
        <v>0</v>
      </c>
      <c r="H50" s="491">
        <f t="shared" si="11"/>
        <v>0</v>
      </c>
      <c r="I50" s="511">
        <f t="shared" si="12"/>
        <v>0</v>
      </c>
      <c r="J50" s="511"/>
      <c r="K50" s="525"/>
      <c r="L50" s="514">
        <f t="shared" si="13"/>
        <v>0</v>
      </c>
      <c r="M50" s="525"/>
      <c r="N50" s="514">
        <f t="shared" si="14"/>
        <v>0</v>
      </c>
      <c r="O50" s="514">
        <f t="shared" si="15"/>
        <v>0</v>
      </c>
      <c r="P50" s="272"/>
    </row>
    <row r="51" spans="2:17" ht="12.5">
      <c r="B51" s="195" t="str">
        <f t="shared" si="8"/>
        <v/>
      </c>
      <c r="C51" s="507">
        <f>IF(D11="","-",+C50+1)</f>
        <v>2041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10"/>
        <v>0</v>
      </c>
      <c r="H51" s="491">
        <f t="shared" si="11"/>
        <v>0</v>
      </c>
      <c r="I51" s="511">
        <f t="shared" si="12"/>
        <v>0</v>
      </c>
      <c r="J51" s="511"/>
      <c r="K51" s="525"/>
      <c r="L51" s="514">
        <f t="shared" si="13"/>
        <v>0</v>
      </c>
      <c r="M51" s="525"/>
      <c r="N51" s="514">
        <f t="shared" si="14"/>
        <v>0</v>
      </c>
      <c r="O51" s="514">
        <f t="shared" si="15"/>
        <v>0</v>
      </c>
      <c r="P51" s="272"/>
    </row>
    <row r="52" spans="2:17" ht="12.5">
      <c r="B52" s="195" t="str">
        <f t="shared" si="8"/>
        <v/>
      </c>
      <c r="C52" s="507">
        <f>IF(D11="","-",+C51+1)</f>
        <v>2042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10"/>
        <v>0</v>
      </c>
      <c r="H52" s="491">
        <f t="shared" si="11"/>
        <v>0</v>
      </c>
      <c r="I52" s="511">
        <f t="shared" si="12"/>
        <v>0</v>
      </c>
      <c r="J52" s="511"/>
      <c r="K52" s="525"/>
      <c r="L52" s="514">
        <f t="shared" si="13"/>
        <v>0</v>
      </c>
      <c r="M52" s="525"/>
      <c r="N52" s="514">
        <f t="shared" si="14"/>
        <v>0</v>
      </c>
      <c r="O52" s="514">
        <f t="shared" si="15"/>
        <v>0</v>
      </c>
      <c r="P52" s="272"/>
    </row>
    <row r="53" spans="2:17" ht="12.5">
      <c r="B53" s="195" t="str">
        <f t="shared" si="8"/>
        <v/>
      </c>
      <c r="C53" s="507">
        <f>IF(D11="","-",+C52+1)</f>
        <v>2043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10"/>
        <v>0</v>
      </c>
      <c r="H53" s="491">
        <f t="shared" si="11"/>
        <v>0</v>
      </c>
      <c r="I53" s="511">
        <f t="shared" si="12"/>
        <v>0</v>
      </c>
      <c r="J53" s="511"/>
      <c r="K53" s="525"/>
      <c r="L53" s="514">
        <f t="shared" si="13"/>
        <v>0</v>
      </c>
      <c r="M53" s="525"/>
      <c r="N53" s="514">
        <f t="shared" si="14"/>
        <v>0</v>
      </c>
      <c r="O53" s="514">
        <f t="shared" si="15"/>
        <v>0</v>
      </c>
      <c r="P53" s="272"/>
    </row>
    <row r="54" spans="2:17" ht="12.5">
      <c r="B54" s="195" t="str">
        <f t="shared" si="8"/>
        <v/>
      </c>
      <c r="C54" s="507">
        <f>IF(D11="","-",+C53+1)</f>
        <v>2044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10"/>
        <v>0</v>
      </c>
      <c r="H54" s="491">
        <f t="shared" si="11"/>
        <v>0</v>
      </c>
      <c r="I54" s="511">
        <f t="shared" si="12"/>
        <v>0</v>
      </c>
      <c r="J54" s="511"/>
      <c r="K54" s="525"/>
      <c r="L54" s="514">
        <f t="shared" si="13"/>
        <v>0</v>
      </c>
      <c r="M54" s="525"/>
      <c r="N54" s="514">
        <f t="shared" si="14"/>
        <v>0</v>
      </c>
      <c r="O54" s="514">
        <f t="shared" si="15"/>
        <v>0</v>
      </c>
      <c r="P54" s="272"/>
    </row>
    <row r="55" spans="2:17" ht="12.5">
      <c r="B55" s="195" t="str">
        <f t="shared" si="8"/>
        <v/>
      </c>
      <c r="C55" s="507">
        <f>IF(D11="","-",+C54+1)</f>
        <v>2045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10"/>
        <v>0</v>
      </c>
      <c r="H55" s="491">
        <f t="shared" si="11"/>
        <v>0</v>
      </c>
      <c r="I55" s="511">
        <f t="shared" si="12"/>
        <v>0</v>
      </c>
      <c r="J55" s="511"/>
      <c r="K55" s="525"/>
      <c r="L55" s="514">
        <f t="shared" si="13"/>
        <v>0</v>
      </c>
      <c r="M55" s="525"/>
      <c r="N55" s="514">
        <f t="shared" si="14"/>
        <v>0</v>
      </c>
      <c r="O55" s="514">
        <f t="shared" si="15"/>
        <v>0</v>
      </c>
      <c r="P55" s="272"/>
    </row>
    <row r="56" spans="2:17" ht="12.5">
      <c r="B56" s="195" t="str">
        <f t="shared" si="8"/>
        <v/>
      </c>
      <c r="C56" s="507">
        <f>IF(D11="","-",+C55+1)</f>
        <v>2046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10"/>
        <v>0</v>
      </c>
      <c r="H56" s="491">
        <f t="shared" si="11"/>
        <v>0</v>
      </c>
      <c r="I56" s="511">
        <f t="shared" si="12"/>
        <v>0</v>
      </c>
      <c r="J56" s="511"/>
      <c r="K56" s="525"/>
      <c r="L56" s="514">
        <f t="shared" si="13"/>
        <v>0</v>
      </c>
      <c r="M56" s="525"/>
      <c r="N56" s="514">
        <f t="shared" si="14"/>
        <v>0</v>
      </c>
      <c r="O56" s="514">
        <f t="shared" si="15"/>
        <v>0</v>
      </c>
      <c r="P56" s="272"/>
    </row>
    <row r="57" spans="2:17" ht="12.5">
      <c r="B57" s="195" t="str">
        <f t="shared" si="8"/>
        <v/>
      </c>
      <c r="C57" s="507">
        <f>IF(D11="","-",+C56+1)</f>
        <v>2047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10"/>
        <v>0</v>
      </c>
      <c r="H57" s="491">
        <f t="shared" si="11"/>
        <v>0</v>
      </c>
      <c r="I57" s="511">
        <f t="shared" si="12"/>
        <v>0</v>
      </c>
      <c r="J57" s="511"/>
      <c r="K57" s="525"/>
      <c r="L57" s="514">
        <f t="shared" si="13"/>
        <v>0</v>
      </c>
      <c r="M57" s="525"/>
      <c r="N57" s="514">
        <f t="shared" si="14"/>
        <v>0</v>
      </c>
      <c r="O57" s="514">
        <f t="shared" si="15"/>
        <v>0</v>
      </c>
      <c r="P57" s="272"/>
    </row>
    <row r="58" spans="2:17" ht="12.5">
      <c r="B58" s="195" t="str">
        <f t="shared" si="8"/>
        <v/>
      </c>
      <c r="C58" s="507">
        <f>IF(D11="","-",+C57+1)</f>
        <v>2048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10"/>
        <v>0</v>
      </c>
      <c r="H58" s="491">
        <f t="shared" si="11"/>
        <v>0</v>
      </c>
      <c r="I58" s="511">
        <f t="shared" si="12"/>
        <v>0</v>
      </c>
      <c r="J58" s="511"/>
      <c r="K58" s="525"/>
      <c r="L58" s="514">
        <f t="shared" si="13"/>
        <v>0</v>
      </c>
      <c r="M58" s="525"/>
      <c r="N58" s="514">
        <f t="shared" si="14"/>
        <v>0</v>
      </c>
      <c r="O58" s="514">
        <f t="shared" si="1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8"/>
        <v/>
      </c>
      <c r="C59" s="507">
        <f>IF(D11="","-",+C58+1)</f>
        <v>2049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10"/>
        <v>0</v>
      </c>
      <c r="H59" s="491">
        <f t="shared" si="11"/>
        <v>0</v>
      </c>
      <c r="I59" s="511">
        <f t="shared" si="12"/>
        <v>0</v>
      </c>
      <c r="J59" s="511"/>
      <c r="K59" s="525"/>
      <c r="L59" s="514">
        <f t="shared" si="13"/>
        <v>0</v>
      </c>
      <c r="M59" s="525"/>
      <c r="N59" s="514">
        <f t="shared" si="14"/>
        <v>0</v>
      </c>
      <c r="O59" s="514">
        <f t="shared" si="15"/>
        <v>0</v>
      </c>
      <c r="P59" s="272"/>
    </row>
    <row r="60" spans="2:17" ht="12.5">
      <c r="B60" s="195" t="str">
        <f t="shared" si="8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10"/>
        <v>0</v>
      </c>
      <c r="H60" s="491">
        <f t="shared" si="11"/>
        <v>0</v>
      </c>
      <c r="I60" s="511">
        <f t="shared" si="12"/>
        <v>0</v>
      </c>
      <c r="J60" s="511"/>
      <c r="K60" s="525"/>
      <c r="L60" s="514">
        <f t="shared" si="13"/>
        <v>0</v>
      </c>
      <c r="M60" s="525"/>
      <c r="N60" s="514">
        <f t="shared" si="14"/>
        <v>0</v>
      </c>
      <c r="O60" s="514">
        <f t="shared" si="15"/>
        <v>0</v>
      </c>
      <c r="P60" s="272"/>
    </row>
    <row r="61" spans="2:17" ht="12.5">
      <c r="B61" s="195" t="str">
        <f t="shared" si="8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10"/>
        <v>0</v>
      </c>
      <c r="H61" s="491">
        <f t="shared" si="11"/>
        <v>0</v>
      </c>
      <c r="I61" s="511">
        <f t="shared" si="12"/>
        <v>0</v>
      </c>
      <c r="J61" s="511"/>
      <c r="K61" s="525"/>
      <c r="L61" s="514">
        <f t="shared" si="13"/>
        <v>0</v>
      </c>
      <c r="M61" s="525"/>
      <c r="N61" s="514">
        <f t="shared" si="14"/>
        <v>0</v>
      </c>
      <c r="O61" s="514">
        <f t="shared" si="15"/>
        <v>0</v>
      </c>
      <c r="P61" s="272"/>
    </row>
    <row r="62" spans="2:17" ht="12.5">
      <c r="B62" s="195" t="str">
        <f t="shared" si="8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10"/>
        <v>0</v>
      </c>
      <c r="H62" s="491">
        <f t="shared" si="11"/>
        <v>0</v>
      </c>
      <c r="I62" s="511">
        <f t="shared" si="12"/>
        <v>0</v>
      </c>
      <c r="J62" s="511"/>
      <c r="K62" s="525"/>
      <c r="L62" s="514">
        <f t="shared" si="13"/>
        <v>0</v>
      </c>
      <c r="M62" s="525"/>
      <c r="N62" s="514">
        <f t="shared" si="14"/>
        <v>0</v>
      </c>
      <c r="O62" s="514">
        <f t="shared" si="15"/>
        <v>0</v>
      </c>
      <c r="P62" s="272"/>
    </row>
    <row r="63" spans="2:17" ht="12.5">
      <c r="B63" s="195" t="str">
        <f t="shared" si="8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10"/>
        <v>0</v>
      </c>
      <c r="H63" s="491">
        <f t="shared" si="11"/>
        <v>0</v>
      </c>
      <c r="I63" s="511">
        <f t="shared" si="12"/>
        <v>0</v>
      </c>
      <c r="J63" s="511"/>
      <c r="K63" s="525"/>
      <c r="L63" s="514">
        <f t="shared" si="13"/>
        <v>0</v>
      </c>
      <c r="M63" s="525"/>
      <c r="N63" s="514">
        <f t="shared" si="14"/>
        <v>0</v>
      </c>
      <c r="O63" s="514">
        <f t="shared" si="15"/>
        <v>0</v>
      </c>
      <c r="P63" s="272"/>
    </row>
    <row r="64" spans="2:17" ht="12.5">
      <c r="B64" s="195" t="str">
        <f t="shared" si="8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10"/>
        <v>0</v>
      </c>
      <c r="H64" s="491">
        <f t="shared" si="11"/>
        <v>0</v>
      </c>
      <c r="I64" s="511">
        <f t="shared" si="12"/>
        <v>0</v>
      </c>
      <c r="J64" s="511"/>
      <c r="K64" s="525"/>
      <c r="L64" s="514">
        <f t="shared" si="13"/>
        <v>0</v>
      </c>
      <c r="M64" s="525"/>
      <c r="N64" s="514">
        <f t="shared" si="14"/>
        <v>0</v>
      </c>
      <c r="O64" s="514">
        <f t="shared" si="15"/>
        <v>0</v>
      </c>
      <c r="P64" s="272"/>
    </row>
    <row r="65" spans="1:16" ht="12.5">
      <c r="B65" s="195" t="str">
        <f t="shared" si="8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10"/>
        <v>0</v>
      </c>
      <c r="H65" s="491">
        <f t="shared" si="11"/>
        <v>0</v>
      </c>
      <c r="I65" s="511">
        <f t="shared" si="12"/>
        <v>0</v>
      </c>
      <c r="J65" s="511"/>
      <c r="K65" s="525"/>
      <c r="L65" s="514">
        <f t="shared" si="13"/>
        <v>0</v>
      </c>
      <c r="M65" s="525"/>
      <c r="N65" s="514">
        <f t="shared" si="14"/>
        <v>0</v>
      </c>
      <c r="O65" s="514">
        <f t="shared" si="15"/>
        <v>0</v>
      </c>
      <c r="P65" s="272"/>
    </row>
    <row r="66" spans="1:16" ht="12.5">
      <c r="B66" s="195" t="str">
        <f t="shared" si="8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10"/>
        <v>0</v>
      </c>
      <c r="H66" s="491">
        <f t="shared" si="11"/>
        <v>0</v>
      </c>
      <c r="I66" s="511">
        <f t="shared" si="12"/>
        <v>0</v>
      </c>
      <c r="J66" s="511"/>
      <c r="K66" s="525"/>
      <c r="L66" s="514">
        <f t="shared" si="13"/>
        <v>0</v>
      </c>
      <c r="M66" s="525"/>
      <c r="N66" s="514">
        <f t="shared" si="14"/>
        <v>0</v>
      </c>
      <c r="O66" s="514">
        <f t="shared" si="15"/>
        <v>0</v>
      </c>
      <c r="P66" s="272"/>
    </row>
    <row r="67" spans="1:16" ht="12.5">
      <c r="B67" s="195" t="str">
        <f t="shared" si="8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10"/>
        <v>0</v>
      </c>
      <c r="H67" s="491">
        <f t="shared" si="11"/>
        <v>0</v>
      </c>
      <c r="I67" s="511">
        <f t="shared" si="12"/>
        <v>0</v>
      </c>
      <c r="J67" s="511"/>
      <c r="K67" s="525"/>
      <c r="L67" s="514">
        <f t="shared" si="13"/>
        <v>0</v>
      </c>
      <c r="M67" s="525"/>
      <c r="N67" s="514">
        <f t="shared" si="14"/>
        <v>0</v>
      </c>
      <c r="O67" s="514">
        <f t="shared" si="15"/>
        <v>0</v>
      </c>
      <c r="P67" s="272"/>
    </row>
    <row r="68" spans="1:16" ht="12.5">
      <c r="B68" s="195" t="str">
        <f t="shared" si="8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10"/>
        <v>0</v>
      </c>
      <c r="H68" s="491">
        <f t="shared" si="11"/>
        <v>0</v>
      </c>
      <c r="I68" s="511">
        <f t="shared" si="12"/>
        <v>0</v>
      </c>
      <c r="J68" s="511"/>
      <c r="K68" s="525"/>
      <c r="L68" s="514">
        <f t="shared" si="13"/>
        <v>0</v>
      </c>
      <c r="M68" s="525"/>
      <c r="N68" s="514">
        <f t="shared" si="14"/>
        <v>0</v>
      </c>
      <c r="O68" s="514">
        <f t="shared" si="15"/>
        <v>0</v>
      </c>
      <c r="P68" s="272"/>
    </row>
    <row r="69" spans="1:16" ht="12.5">
      <c r="B69" s="195" t="str">
        <f t="shared" si="8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10"/>
        <v>0</v>
      </c>
      <c r="H69" s="491">
        <f t="shared" si="11"/>
        <v>0</v>
      </c>
      <c r="I69" s="511">
        <f t="shared" si="12"/>
        <v>0</v>
      </c>
      <c r="J69" s="511"/>
      <c r="K69" s="525"/>
      <c r="L69" s="514">
        <f t="shared" si="13"/>
        <v>0</v>
      </c>
      <c r="M69" s="525"/>
      <c r="N69" s="514">
        <f t="shared" si="14"/>
        <v>0</v>
      </c>
      <c r="O69" s="514">
        <f t="shared" si="15"/>
        <v>0</v>
      </c>
      <c r="P69" s="272"/>
    </row>
    <row r="70" spans="1:16" ht="12.5">
      <c r="B70" s="195" t="str">
        <f t="shared" si="8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10"/>
        <v>0</v>
      </c>
      <c r="H70" s="491">
        <f t="shared" si="11"/>
        <v>0</v>
      </c>
      <c r="I70" s="511">
        <f t="shared" si="12"/>
        <v>0</v>
      </c>
      <c r="J70" s="511"/>
      <c r="K70" s="525"/>
      <c r="L70" s="514">
        <f t="shared" si="13"/>
        <v>0</v>
      </c>
      <c r="M70" s="525"/>
      <c r="N70" s="514">
        <f t="shared" si="14"/>
        <v>0</v>
      </c>
      <c r="O70" s="514">
        <f t="shared" si="15"/>
        <v>0</v>
      </c>
      <c r="P70" s="272"/>
    </row>
    <row r="71" spans="1:16" ht="12.5">
      <c r="B71" s="195" t="str">
        <f t="shared" si="8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10"/>
        <v>0</v>
      </c>
      <c r="H71" s="491">
        <f t="shared" si="11"/>
        <v>0</v>
      </c>
      <c r="I71" s="511">
        <f t="shared" si="12"/>
        <v>0</v>
      </c>
      <c r="J71" s="511"/>
      <c r="K71" s="525"/>
      <c r="L71" s="514">
        <f t="shared" si="13"/>
        <v>0</v>
      </c>
      <c r="M71" s="525"/>
      <c r="N71" s="514">
        <f t="shared" si="14"/>
        <v>0</v>
      </c>
      <c r="O71" s="514">
        <f t="shared" si="15"/>
        <v>0</v>
      </c>
      <c r="P71" s="272"/>
    </row>
    <row r="72" spans="1:16" ht="13" thickBot="1">
      <c r="B72" s="195" t="str">
        <f t="shared" si="8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10"/>
        <v>0</v>
      </c>
      <c r="H72" s="471">
        <f t="shared" si="11"/>
        <v>0</v>
      </c>
      <c r="I72" s="531">
        <f t="shared" si="12"/>
        <v>0</v>
      </c>
      <c r="J72" s="511"/>
      <c r="K72" s="532"/>
      <c r="L72" s="533">
        <f t="shared" si="13"/>
        <v>0</v>
      </c>
      <c r="M72" s="532"/>
      <c r="N72" s="533">
        <f t="shared" si="14"/>
        <v>0</v>
      </c>
      <c r="O72" s="533">
        <f t="shared" si="15"/>
        <v>0</v>
      </c>
      <c r="P72" s="272"/>
    </row>
    <row r="73" spans="1:16" ht="12.5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11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Siloam Springs - Chamber Springs 161 kV line***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2007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6">+(F99+D99)/2</f>
        <v>0</v>
      </c>
      <c r="H99" s="604">
        <f t="shared" ref="H99:H112" si="17">+J$94*G99+E99</f>
        <v>0</v>
      </c>
      <c r="I99" s="605">
        <f t="shared" ref="I99:I112" si="18">+J$95*G99+E99</f>
        <v>0</v>
      </c>
      <c r="J99" s="514">
        <f t="shared" ref="J99:J130" si="19">+I99-H99</f>
        <v>0</v>
      </c>
      <c r="K99" s="514"/>
      <c r="L99" s="512">
        <f>K17</f>
        <v>741629</v>
      </c>
      <c r="M99" s="513">
        <f t="shared" ref="M99:M130" si="20">IF(L99&lt;&gt;0,+H99-L99,0)</f>
        <v>-741629</v>
      </c>
      <c r="N99" s="512">
        <f>M17</f>
        <v>741629</v>
      </c>
      <c r="O99" s="513">
        <f t="shared" ref="O99:O130" si="21">IF(N99&lt;&gt;0,+I99-N99,0)</f>
        <v>-741629</v>
      </c>
      <c r="P99" s="513">
        <f t="shared" ref="P99:P130" si="22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2008</v>
      </c>
      <c r="D100" s="374">
        <f t="shared" ref="D100:D109" si="23">F99</f>
        <v>0</v>
      </c>
      <c r="E100" s="522">
        <f>IF(+J96&lt;F99,J96,D100)</f>
        <v>0</v>
      </c>
      <c r="F100" s="523">
        <f t="shared" ref="F100:F130" si="24">+D100-E100</f>
        <v>0</v>
      </c>
      <c r="G100" s="523">
        <f t="shared" si="16"/>
        <v>0</v>
      </c>
      <c r="H100" s="526">
        <f t="shared" si="17"/>
        <v>0</v>
      </c>
      <c r="I100" s="577">
        <f t="shared" si="18"/>
        <v>0</v>
      </c>
      <c r="J100" s="514">
        <f t="shared" si="19"/>
        <v>0</v>
      </c>
      <c r="K100" s="514"/>
      <c r="L100" s="518">
        <v>0</v>
      </c>
      <c r="M100" s="514">
        <f t="shared" si="20"/>
        <v>0</v>
      </c>
      <c r="N100" s="518">
        <v>0</v>
      </c>
      <c r="O100" s="514">
        <f t="shared" si="21"/>
        <v>0</v>
      </c>
      <c r="P100" s="514">
        <f t="shared" si="22"/>
        <v>0</v>
      </c>
      <c r="Q100" s="269"/>
    </row>
    <row r="101" spans="1:17" ht="12.5">
      <c r="B101" s="195" t="str">
        <f t="shared" ref="B101:B154" si="25">IF(D101=F100,"","IU")</f>
        <v/>
      </c>
      <c r="C101" s="507">
        <f>IF(D93="","-",+C100+1)</f>
        <v>2009</v>
      </c>
      <c r="D101" s="374">
        <f t="shared" si="23"/>
        <v>0</v>
      </c>
      <c r="E101" s="522">
        <f>IF(+J96&lt;F100,J96,D101)</f>
        <v>0</v>
      </c>
      <c r="F101" s="523">
        <f t="shared" si="24"/>
        <v>0</v>
      </c>
      <c r="G101" s="523">
        <f t="shared" si="16"/>
        <v>0</v>
      </c>
      <c r="H101" s="526">
        <f t="shared" si="17"/>
        <v>0</v>
      </c>
      <c r="I101" s="577">
        <f t="shared" si="18"/>
        <v>0</v>
      </c>
      <c r="J101" s="514">
        <f t="shared" si="19"/>
        <v>0</v>
      </c>
      <c r="K101" s="514"/>
      <c r="L101" s="518">
        <v>0</v>
      </c>
      <c r="M101" s="514">
        <f t="shared" si="20"/>
        <v>0</v>
      </c>
      <c r="N101" s="518">
        <v>0</v>
      </c>
      <c r="O101" s="514">
        <f t="shared" si="21"/>
        <v>0</v>
      </c>
      <c r="P101" s="514">
        <f t="shared" si="22"/>
        <v>0</v>
      </c>
      <c r="Q101" s="269"/>
    </row>
    <row r="102" spans="1:17" ht="12.5">
      <c r="B102" s="195" t="str">
        <f t="shared" si="25"/>
        <v/>
      </c>
      <c r="C102" s="507">
        <f>IF(D93="","-",+C101+1)</f>
        <v>2010</v>
      </c>
      <c r="D102" s="374">
        <f t="shared" si="23"/>
        <v>0</v>
      </c>
      <c r="E102" s="522">
        <f>IF(+J96&lt;F101,J96,D102)</f>
        <v>0</v>
      </c>
      <c r="F102" s="523">
        <f t="shared" si="24"/>
        <v>0</v>
      </c>
      <c r="G102" s="523">
        <f t="shared" si="16"/>
        <v>0</v>
      </c>
      <c r="H102" s="526">
        <f t="shared" si="17"/>
        <v>0</v>
      </c>
      <c r="I102" s="577">
        <f t="shared" si="18"/>
        <v>0</v>
      </c>
      <c r="J102" s="514">
        <f t="shared" si="19"/>
        <v>0</v>
      </c>
      <c r="K102" s="514"/>
      <c r="L102" s="525"/>
      <c r="M102" s="514">
        <f t="shared" si="20"/>
        <v>0</v>
      </c>
      <c r="N102" s="525"/>
      <c r="O102" s="514">
        <f t="shared" si="21"/>
        <v>0</v>
      </c>
      <c r="P102" s="514">
        <f t="shared" si="22"/>
        <v>0</v>
      </c>
      <c r="Q102" s="269"/>
    </row>
    <row r="103" spans="1:17" ht="12.5">
      <c r="B103" s="195" t="str">
        <f t="shared" si="25"/>
        <v/>
      </c>
      <c r="C103" s="507">
        <f>IF(D93="","-",+C102+1)</f>
        <v>2011</v>
      </c>
      <c r="D103" s="374">
        <f t="shared" si="23"/>
        <v>0</v>
      </c>
      <c r="E103" s="522">
        <f>IF(+J96&lt;F102,J96,D103)</f>
        <v>0</v>
      </c>
      <c r="F103" s="523">
        <f t="shared" si="24"/>
        <v>0</v>
      </c>
      <c r="G103" s="523">
        <f t="shared" si="16"/>
        <v>0</v>
      </c>
      <c r="H103" s="526">
        <f t="shared" si="17"/>
        <v>0</v>
      </c>
      <c r="I103" s="577">
        <f t="shared" si="18"/>
        <v>0</v>
      </c>
      <c r="J103" s="514">
        <f t="shared" si="19"/>
        <v>0</v>
      </c>
      <c r="K103" s="514"/>
      <c r="L103" s="525"/>
      <c r="M103" s="514">
        <f t="shared" si="20"/>
        <v>0</v>
      </c>
      <c r="N103" s="525"/>
      <c r="O103" s="514">
        <f t="shared" si="21"/>
        <v>0</v>
      </c>
      <c r="P103" s="514">
        <f t="shared" si="22"/>
        <v>0</v>
      </c>
      <c r="Q103" s="269"/>
    </row>
    <row r="104" spans="1:17" ht="12.5">
      <c r="B104" s="195" t="str">
        <f t="shared" si="25"/>
        <v/>
      </c>
      <c r="C104" s="507">
        <f>IF(D93="","-",+C103+1)</f>
        <v>2012</v>
      </c>
      <c r="D104" s="374">
        <f t="shared" si="23"/>
        <v>0</v>
      </c>
      <c r="E104" s="522">
        <f>IF(+J96&lt;F103,J96,D104)</f>
        <v>0</v>
      </c>
      <c r="F104" s="523">
        <f t="shared" si="24"/>
        <v>0</v>
      </c>
      <c r="G104" s="523">
        <f t="shared" si="16"/>
        <v>0</v>
      </c>
      <c r="H104" s="526">
        <f t="shared" si="17"/>
        <v>0</v>
      </c>
      <c r="I104" s="577">
        <f t="shared" si="18"/>
        <v>0</v>
      </c>
      <c r="J104" s="514">
        <f t="shared" si="19"/>
        <v>0</v>
      </c>
      <c r="K104" s="514"/>
      <c r="L104" s="525"/>
      <c r="M104" s="514">
        <f t="shared" si="20"/>
        <v>0</v>
      </c>
      <c r="N104" s="525"/>
      <c r="O104" s="514">
        <f t="shared" si="21"/>
        <v>0</v>
      </c>
      <c r="P104" s="514">
        <f t="shared" si="22"/>
        <v>0</v>
      </c>
      <c r="Q104" s="269"/>
    </row>
    <row r="105" spans="1:17" ht="12.5">
      <c r="B105" s="195" t="str">
        <f t="shared" si="25"/>
        <v/>
      </c>
      <c r="C105" s="507">
        <f>IF(D93="","-",+C104+1)</f>
        <v>2013</v>
      </c>
      <c r="D105" s="374">
        <f t="shared" si="23"/>
        <v>0</v>
      </c>
      <c r="E105" s="522">
        <f>IF(+J96&lt;F104,J96,D105)</f>
        <v>0</v>
      </c>
      <c r="F105" s="523">
        <f t="shared" si="24"/>
        <v>0</v>
      </c>
      <c r="G105" s="523">
        <f t="shared" si="16"/>
        <v>0</v>
      </c>
      <c r="H105" s="526">
        <f t="shared" si="17"/>
        <v>0</v>
      </c>
      <c r="I105" s="577">
        <f t="shared" si="18"/>
        <v>0</v>
      </c>
      <c r="J105" s="514">
        <f t="shared" si="19"/>
        <v>0</v>
      </c>
      <c r="K105" s="514"/>
      <c r="L105" s="525"/>
      <c r="M105" s="514">
        <f t="shared" si="20"/>
        <v>0</v>
      </c>
      <c r="N105" s="525"/>
      <c r="O105" s="514">
        <f t="shared" si="21"/>
        <v>0</v>
      </c>
      <c r="P105" s="514">
        <f t="shared" si="22"/>
        <v>0</v>
      </c>
      <c r="Q105" s="269"/>
    </row>
    <row r="106" spans="1:17" ht="12.5">
      <c r="B106" s="195" t="str">
        <f t="shared" si="25"/>
        <v/>
      </c>
      <c r="C106" s="507">
        <f>IF(D93="","-",+C105+1)</f>
        <v>2014</v>
      </c>
      <c r="D106" s="374">
        <f t="shared" si="23"/>
        <v>0</v>
      </c>
      <c r="E106" s="522">
        <f>IF(+J96&lt;F105,J96,D106)</f>
        <v>0</v>
      </c>
      <c r="F106" s="523">
        <f t="shared" si="24"/>
        <v>0</v>
      </c>
      <c r="G106" s="523">
        <f t="shared" si="16"/>
        <v>0</v>
      </c>
      <c r="H106" s="526">
        <f t="shared" si="17"/>
        <v>0</v>
      </c>
      <c r="I106" s="577">
        <f t="shared" si="18"/>
        <v>0</v>
      </c>
      <c r="J106" s="514">
        <f t="shared" si="19"/>
        <v>0</v>
      </c>
      <c r="K106" s="514"/>
      <c r="L106" s="525"/>
      <c r="M106" s="514">
        <f t="shared" si="20"/>
        <v>0</v>
      </c>
      <c r="N106" s="525"/>
      <c r="O106" s="514">
        <f t="shared" si="21"/>
        <v>0</v>
      </c>
      <c r="P106" s="514">
        <f t="shared" si="22"/>
        <v>0</v>
      </c>
      <c r="Q106" s="269"/>
    </row>
    <row r="107" spans="1:17" ht="12.5">
      <c r="B107" s="195" t="str">
        <f t="shared" si="25"/>
        <v/>
      </c>
      <c r="C107" s="507">
        <f>IF(D93="","-",+C106+1)</f>
        <v>2015</v>
      </c>
      <c r="D107" s="374">
        <f t="shared" si="23"/>
        <v>0</v>
      </c>
      <c r="E107" s="522">
        <f>IF(+J96&lt;F106,J96,D107)</f>
        <v>0</v>
      </c>
      <c r="F107" s="523">
        <f t="shared" si="24"/>
        <v>0</v>
      </c>
      <c r="G107" s="523">
        <f t="shared" si="16"/>
        <v>0</v>
      </c>
      <c r="H107" s="526">
        <f t="shared" si="17"/>
        <v>0</v>
      </c>
      <c r="I107" s="577">
        <f t="shared" si="18"/>
        <v>0</v>
      </c>
      <c r="J107" s="514">
        <f t="shared" si="19"/>
        <v>0</v>
      </c>
      <c r="K107" s="514"/>
      <c r="L107" s="525"/>
      <c r="M107" s="514">
        <f t="shared" si="20"/>
        <v>0</v>
      </c>
      <c r="N107" s="525"/>
      <c r="O107" s="514">
        <f t="shared" si="21"/>
        <v>0</v>
      </c>
      <c r="P107" s="514">
        <f t="shared" si="22"/>
        <v>0</v>
      </c>
      <c r="Q107" s="269"/>
    </row>
    <row r="108" spans="1:17" ht="12.5">
      <c r="B108" s="195" t="str">
        <f t="shared" si="25"/>
        <v/>
      </c>
      <c r="C108" s="507">
        <f>IF(D93="","-",+C107+1)</f>
        <v>2016</v>
      </c>
      <c r="D108" s="374">
        <f t="shared" si="23"/>
        <v>0</v>
      </c>
      <c r="E108" s="522">
        <f>IF(+J96&lt;F107,J96,D108)</f>
        <v>0</v>
      </c>
      <c r="F108" s="523">
        <f t="shared" si="24"/>
        <v>0</v>
      </c>
      <c r="G108" s="523">
        <f t="shared" si="16"/>
        <v>0</v>
      </c>
      <c r="H108" s="526">
        <f t="shared" si="17"/>
        <v>0</v>
      </c>
      <c r="I108" s="577">
        <f t="shared" si="18"/>
        <v>0</v>
      </c>
      <c r="J108" s="514">
        <f t="shared" si="19"/>
        <v>0</v>
      </c>
      <c r="K108" s="514"/>
      <c r="L108" s="525"/>
      <c r="M108" s="514">
        <f t="shared" si="20"/>
        <v>0</v>
      </c>
      <c r="N108" s="525"/>
      <c r="O108" s="514">
        <f t="shared" si="21"/>
        <v>0</v>
      </c>
      <c r="P108" s="514">
        <f t="shared" si="22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2017</v>
      </c>
      <c r="D109" s="374">
        <f t="shared" si="23"/>
        <v>0</v>
      </c>
      <c r="E109" s="522">
        <f>IF(+J96&lt;F108,J96,D109)</f>
        <v>0</v>
      </c>
      <c r="F109" s="523">
        <f t="shared" si="24"/>
        <v>0</v>
      </c>
      <c r="G109" s="523">
        <f t="shared" si="16"/>
        <v>0</v>
      </c>
      <c r="H109" s="526">
        <f t="shared" si="17"/>
        <v>0</v>
      </c>
      <c r="I109" s="577">
        <f t="shared" si="18"/>
        <v>0</v>
      </c>
      <c r="J109" s="514">
        <f t="shared" si="19"/>
        <v>0</v>
      </c>
      <c r="K109" s="514"/>
      <c r="L109" s="525"/>
      <c r="M109" s="514">
        <f t="shared" si="20"/>
        <v>0</v>
      </c>
      <c r="N109" s="525"/>
      <c r="O109" s="514">
        <f t="shared" si="21"/>
        <v>0</v>
      </c>
      <c r="P109" s="514">
        <f t="shared" si="22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2018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4"/>
        <v>0</v>
      </c>
      <c r="G110" s="523">
        <f t="shared" si="16"/>
        <v>0</v>
      </c>
      <c r="H110" s="526">
        <f t="shared" si="17"/>
        <v>0</v>
      </c>
      <c r="I110" s="577">
        <f t="shared" si="18"/>
        <v>0</v>
      </c>
      <c r="J110" s="514">
        <f t="shared" si="19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2019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4"/>
        <v>0</v>
      </c>
      <c r="G111" s="523">
        <f t="shared" si="16"/>
        <v>0</v>
      </c>
      <c r="H111" s="526">
        <f t="shared" si="17"/>
        <v>0</v>
      </c>
      <c r="I111" s="577">
        <f t="shared" si="18"/>
        <v>0</v>
      </c>
      <c r="J111" s="514">
        <f t="shared" si="19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2020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4"/>
        <v>0</v>
      </c>
      <c r="G112" s="523">
        <f t="shared" si="16"/>
        <v>0</v>
      </c>
      <c r="H112" s="526">
        <f t="shared" si="17"/>
        <v>0</v>
      </c>
      <c r="I112" s="577">
        <f t="shared" si="18"/>
        <v>0</v>
      </c>
      <c r="J112" s="514">
        <f t="shared" si="19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2021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4"/>
        <v>0</v>
      </c>
      <c r="G113" s="523">
        <f t="shared" si="16"/>
        <v>0</v>
      </c>
      <c r="H113" s="526">
        <f t="shared" ref="H113:H154" si="26">+J$94*G113+E113</f>
        <v>0</v>
      </c>
      <c r="I113" s="577">
        <f t="shared" ref="I113:I154" si="27">+J$95*G113+E113</f>
        <v>0</v>
      </c>
      <c r="J113" s="514">
        <f t="shared" si="19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2022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4"/>
        <v>0</v>
      </c>
      <c r="G114" s="523">
        <f t="shared" si="16"/>
        <v>0</v>
      </c>
      <c r="H114" s="526">
        <f t="shared" si="26"/>
        <v>0</v>
      </c>
      <c r="I114" s="577">
        <f t="shared" si="27"/>
        <v>0</v>
      </c>
      <c r="J114" s="514">
        <f t="shared" si="19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2023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4"/>
        <v>0</v>
      </c>
      <c r="G115" s="523">
        <f t="shared" si="16"/>
        <v>0</v>
      </c>
      <c r="H115" s="526">
        <f t="shared" si="26"/>
        <v>0</v>
      </c>
      <c r="I115" s="577">
        <f t="shared" si="27"/>
        <v>0</v>
      </c>
      <c r="J115" s="514">
        <f t="shared" si="19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2024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4"/>
        <v>0</v>
      </c>
      <c r="G116" s="523">
        <f t="shared" si="16"/>
        <v>0</v>
      </c>
      <c r="H116" s="526">
        <f t="shared" si="26"/>
        <v>0</v>
      </c>
      <c r="I116" s="577">
        <f t="shared" si="27"/>
        <v>0</v>
      </c>
      <c r="J116" s="514">
        <f t="shared" si="19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2025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4"/>
        <v>0</v>
      </c>
      <c r="G117" s="523">
        <f t="shared" si="16"/>
        <v>0</v>
      </c>
      <c r="H117" s="526">
        <f t="shared" si="26"/>
        <v>0</v>
      </c>
      <c r="I117" s="577">
        <f t="shared" si="27"/>
        <v>0</v>
      </c>
      <c r="J117" s="514">
        <f t="shared" si="19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2026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4"/>
        <v>0</v>
      </c>
      <c r="G118" s="523">
        <f t="shared" si="16"/>
        <v>0</v>
      </c>
      <c r="H118" s="526">
        <f t="shared" si="26"/>
        <v>0</v>
      </c>
      <c r="I118" s="577">
        <f t="shared" si="27"/>
        <v>0</v>
      </c>
      <c r="J118" s="514">
        <f t="shared" si="19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2027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4"/>
        <v>0</v>
      </c>
      <c r="G119" s="523">
        <f t="shared" si="16"/>
        <v>0</v>
      </c>
      <c r="H119" s="526">
        <f t="shared" si="26"/>
        <v>0</v>
      </c>
      <c r="I119" s="577">
        <f t="shared" si="27"/>
        <v>0</v>
      </c>
      <c r="J119" s="514">
        <f t="shared" si="19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2028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4"/>
        <v>0</v>
      </c>
      <c r="G120" s="523">
        <f t="shared" si="16"/>
        <v>0</v>
      </c>
      <c r="H120" s="526">
        <f t="shared" si="26"/>
        <v>0</v>
      </c>
      <c r="I120" s="577">
        <f t="shared" si="27"/>
        <v>0</v>
      </c>
      <c r="J120" s="514">
        <f t="shared" si="19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2029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4"/>
        <v>0</v>
      </c>
      <c r="G121" s="523">
        <f t="shared" si="16"/>
        <v>0</v>
      </c>
      <c r="H121" s="526">
        <f t="shared" si="26"/>
        <v>0</v>
      </c>
      <c r="I121" s="577">
        <f t="shared" si="27"/>
        <v>0</v>
      </c>
      <c r="J121" s="514">
        <f t="shared" si="19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2030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4"/>
        <v>0</v>
      </c>
      <c r="G122" s="523">
        <f t="shared" si="16"/>
        <v>0</v>
      </c>
      <c r="H122" s="526">
        <f t="shared" si="26"/>
        <v>0</v>
      </c>
      <c r="I122" s="577">
        <f t="shared" si="27"/>
        <v>0</v>
      </c>
      <c r="J122" s="514">
        <f t="shared" si="19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2031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4"/>
        <v>0</v>
      </c>
      <c r="G123" s="523">
        <f t="shared" si="16"/>
        <v>0</v>
      </c>
      <c r="H123" s="526">
        <f t="shared" si="26"/>
        <v>0</v>
      </c>
      <c r="I123" s="577">
        <f t="shared" si="27"/>
        <v>0</v>
      </c>
      <c r="J123" s="514">
        <f t="shared" si="19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2032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4"/>
        <v>0</v>
      </c>
      <c r="G124" s="523">
        <f t="shared" si="16"/>
        <v>0</v>
      </c>
      <c r="H124" s="526">
        <f t="shared" si="26"/>
        <v>0</v>
      </c>
      <c r="I124" s="577">
        <f t="shared" si="27"/>
        <v>0</v>
      </c>
      <c r="J124" s="514">
        <f t="shared" si="19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2033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4"/>
        <v>0</v>
      </c>
      <c r="G125" s="523">
        <f t="shared" si="16"/>
        <v>0</v>
      </c>
      <c r="H125" s="526">
        <f t="shared" si="26"/>
        <v>0</v>
      </c>
      <c r="I125" s="577">
        <f t="shared" si="27"/>
        <v>0</v>
      </c>
      <c r="J125" s="514">
        <f t="shared" si="19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2034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4"/>
        <v>0</v>
      </c>
      <c r="G126" s="523">
        <f t="shared" si="16"/>
        <v>0</v>
      </c>
      <c r="H126" s="526">
        <f t="shared" si="26"/>
        <v>0</v>
      </c>
      <c r="I126" s="577">
        <f t="shared" si="27"/>
        <v>0</v>
      </c>
      <c r="J126" s="514">
        <f t="shared" si="19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2035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4"/>
        <v>0</v>
      </c>
      <c r="G127" s="523">
        <f t="shared" si="16"/>
        <v>0</v>
      </c>
      <c r="H127" s="526">
        <f t="shared" si="26"/>
        <v>0</v>
      </c>
      <c r="I127" s="577">
        <f t="shared" si="27"/>
        <v>0</v>
      </c>
      <c r="J127" s="514">
        <f t="shared" si="19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2036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4"/>
        <v>0</v>
      </c>
      <c r="G128" s="523">
        <f t="shared" si="16"/>
        <v>0</v>
      </c>
      <c r="H128" s="526">
        <f t="shared" si="26"/>
        <v>0</v>
      </c>
      <c r="I128" s="577">
        <f t="shared" si="27"/>
        <v>0</v>
      </c>
      <c r="J128" s="514">
        <f t="shared" si="19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2037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4"/>
        <v>0</v>
      </c>
      <c r="G129" s="523">
        <f t="shared" si="16"/>
        <v>0</v>
      </c>
      <c r="H129" s="526">
        <f t="shared" si="26"/>
        <v>0</v>
      </c>
      <c r="I129" s="577">
        <f t="shared" si="27"/>
        <v>0</v>
      </c>
      <c r="J129" s="514">
        <f t="shared" si="19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2038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4"/>
        <v>0</v>
      </c>
      <c r="G130" s="523">
        <f t="shared" si="16"/>
        <v>0</v>
      </c>
      <c r="H130" s="526">
        <f t="shared" si="26"/>
        <v>0</v>
      </c>
      <c r="I130" s="577">
        <f t="shared" si="27"/>
        <v>0</v>
      </c>
      <c r="J130" s="514">
        <f t="shared" si="19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2039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8">+D131-E131</f>
        <v>0</v>
      </c>
      <c r="G131" s="523">
        <f t="shared" ref="G131:G154" si="29">+(F131+D131)/2</f>
        <v>0</v>
      </c>
      <c r="H131" s="526">
        <f t="shared" si="26"/>
        <v>0</v>
      </c>
      <c r="I131" s="577">
        <f t="shared" si="27"/>
        <v>0</v>
      </c>
      <c r="J131" s="514">
        <f t="shared" ref="J131:J154" si="30">+I131-H131</f>
        <v>0</v>
      </c>
      <c r="K131" s="514"/>
      <c r="L131" s="525"/>
      <c r="M131" s="514">
        <f t="shared" ref="M131:M154" si="31">IF(L131&lt;&gt;0,+H131-L131,0)</f>
        <v>0</v>
      </c>
      <c r="N131" s="525"/>
      <c r="O131" s="514">
        <f t="shared" ref="O131:O154" si="32">IF(N131&lt;&gt;0,+I131-N131,0)</f>
        <v>0</v>
      </c>
      <c r="P131" s="514">
        <f t="shared" ref="P131:P154" si="33">+O131-M131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2040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8"/>
        <v>0</v>
      </c>
      <c r="G132" s="523">
        <f t="shared" si="29"/>
        <v>0</v>
      </c>
      <c r="H132" s="526">
        <f t="shared" si="26"/>
        <v>0</v>
      </c>
      <c r="I132" s="577">
        <f t="shared" si="27"/>
        <v>0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2041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8"/>
        <v>0</v>
      </c>
      <c r="G133" s="523">
        <f t="shared" si="29"/>
        <v>0</v>
      </c>
      <c r="H133" s="526">
        <f t="shared" si="26"/>
        <v>0</v>
      </c>
      <c r="I133" s="577">
        <f t="shared" si="27"/>
        <v>0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2042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8"/>
        <v>0</v>
      </c>
      <c r="G134" s="523">
        <f t="shared" si="29"/>
        <v>0</v>
      </c>
      <c r="H134" s="526">
        <f t="shared" si="26"/>
        <v>0</v>
      </c>
      <c r="I134" s="577">
        <f t="shared" si="27"/>
        <v>0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2043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8"/>
        <v>0</v>
      </c>
      <c r="G135" s="523">
        <f t="shared" si="29"/>
        <v>0</v>
      </c>
      <c r="H135" s="526">
        <f t="shared" si="26"/>
        <v>0</v>
      </c>
      <c r="I135" s="577">
        <f t="shared" si="27"/>
        <v>0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2044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8"/>
        <v>0</v>
      </c>
      <c r="G136" s="523">
        <f t="shared" si="29"/>
        <v>0</v>
      </c>
      <c r="H136" s="526">
        <f t="shared" si="26"/>
        <v>0</v>
      </c>
      <c r="I136" s="577">
        <f t="shared" si="27"/>
        <v>0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2045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8"/>
        <v>0</v>
      </c>
      <c r="G137" s="523">
        <f t="shared" si="29"/>
        <v>0</v>
      </c>
      <c r="H137" s="526">
        <f t="shared" si="26"/>
        <v>0</v>
      </c>
      <c r="I137" s="577">
        <f t="shared" si="27"/>
        <v>0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2046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8"/>
        <v>0</v>
      </c>
      <c r="G138" s="523">
        <f t="shared" si="29"/>
        <v>0</v>
      </c>
      <c r="H138" s="526">
        <f t="shared" si="26"/>
        <v>0</v>
      </c>
      <c r="I138" s="577">
        <f t="shared" si="27"/>
        <v>0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2047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8"/>
        <v>0</v>
      </c>
      <c r="G139" s="523">
        <f t="shared" si="29"/>
        <v>0</v>
      </c>
      <c r="H139" s="526">
        <f t="shared" si="26"/>
        <v>0</v>
      </c>
      <c r="I139" s="577">
        <f t="shared" si="27"/>
        <v>0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2048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8"/>
        <v>0</v>
      </c>
      <c r="G140" s="523">
        <f t="shared" si="29"/>
        <v>0</v>
      </c>
      <c r="H140" s="526">
        <f t="shared" si="26"/>
        <v>0</v>
      </c>
      <c r="I140" s="577">
        <f t="shared" si="27"/>
        <v>0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2049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8"/>
        <v>0</v>
      </c>
      <c r="G141" s="523">
        <f t="shared" si="29"/>
        <v>0</v>
      </c>
      <c r="H141" s="526">
        <f t="shared" si="26"/>
        <v>0</v>
      </c>
      <c r="I141" s="577">
        <f t="shared" si="27"/>
        <v>0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  <c r="Q154" s="269"/>
    </row>
    <row r="155" spans="2:17" ht="12.5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9" priority="1" stopIfTrue="1" operator="equal">
      <formula>$I$10</formula>
    </cfRule>
  </conditionalFormatting>
  <conditionalFormatting sqref="C99:C154">
    <cfRule type="cellIs" dxfId="13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Q162"/>
  <sheetViews>
    <sheetView view="pageBreakPreview" topLeftCell="A82" zoomScale="75" zoomScaleNormal="100" zoomScaleSheetLayoutView="75" workbookViewId="0">
      <selection activeCell="L111" sqref="L111:N1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7.5429687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12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18187.877266204941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18187.877266204941</v>
      </c>
      <c r="O6" s="269"/>
      <c r="P6" s="269"/>
    </row>
    <row r="7" spans="1:17" ht="13.5" thickBot="1">
      <c r="C7" s="467" t="s">
        <v>48</v>
      </c>
      <c r="D7" s="468" t="s">
        <v>164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149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185247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4410.6428571428569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508">
        <v>77090</v>
      </c>
      <c r="E17" s="509">
        <v>868</v>
      </c>
      <c r="F17" s="508">
        <v>75730</v>
      </c>
      <c r="G17" s="509">
        <v>0</v>
      </c>
      <c r="H17" s="510">
        <v>0</v>
      </c>
      <c r="I17" s="596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97">
        <f t="shared" ref="N17:N48" si="2">IF(M17&lt;&gt;0,+H17-M17,0)</f>
        <v>0</v>
      </c>
      <c r="O17" s="519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515">
        <v>75730</v>
      </c>
      <c r="E18" s="606">
        <v>2010</v>
      </c>
      <c r="F18" s="607">
        <v>73720</v>
      </c>
      <c r="G18" s="516">
        <v>0</v>
      </c>
      <c r="H18" s="510">
        <v>0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2009</v>
      </c>
      <c r="D19" s="515">
        <v>119297</v>
      </c>
      <c r="E19" s="516">
        <v>3353</v>
      </c>
      <c r="F19" s="515">
        <v>115944</v>
      </c>
      <c r="G19" s="516">
        <v>21123</v>
      </c>
      <c r="H19" s="510">
        <v>21123</v>
      </c>
      <c r="I19" s="596">
        <f t="shared" si="0"/>
        <v>0</v>
      </c>
      <c r="J19" s="511"/>
      <c r="K19" s="518">
        <v>21123</v>
      </c>
      <c r="L19" s="514">
        <f t="shared" si="1"/>
        <v>0</v>
      </c>
      <c r="M19" s="518">
        <v>21123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/>
      <c r="C20" s="507">
        <f>IF(D11="","-",+C19+1)</f>
        <v>2010</v>
      </c>
      <c r="D20" s="515">
        <v>117816</v>
      </c>
      <c r="E20" s="516">
        <v>3264</v>
      </c>
      <c r="F20" s="515">
        <v>114552</v>
      </c>
      <c r="G20" s="516">
        <v>19733</v>
      </c>
      <c r="H20" s="510">
        <v>19733</v>
      </c>
      <c r="I20" s="517">
        <v>0</v>
      </c>
      <c r="J20" s="511"/>
      <c r="K20" s="518">
        <f t="shared" ref="K20:K25" si="4">G20</f>
        <v>19733</v>
      </c>
      <c r="L20" s="519">
        <f t="shared" si="1"/>
        <v>0</v>
      </c>
      <c r="M20" s="518">
        <f t="shared" ref="M20:M25" si="5">H20</f>
        <v>19733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ref="B21:B72" si="6">IF(D21=F20,"","IU")</f>
        <v>IU</v>
      </c>
      <c r="C21" s="507">
        <f>IF(D12="","-",+C20+1)</f>
        <v>2011</v>
      </c>
      <c r="D21" s="515">
        <v>175752</v>
      </c>
      <c r="E21" s="516">
        <v>4518.2195121951218</v>
      </c>
      <c r="F21" s="515">
        <v>171233.78048780488</v>
      </c>
      <c r="G21" s="516">
        <v>31263.597728424509</v>
      </c>
      <c r="H21" s="510">
        <v>31263.597728424509</v>
      </c>
      <c r="I21" s="517">
        <v>0</v>
      </c>
      <c r="J21" s="511"/>
      <c r="K21" s="518">
        <f t="shared" si="4"/>
        <v>31263.597728424509</v>
      </c>
      <c r="L21" s="519">
        <f t="shared" si="1"/>
        <v>0</v>
      </c>
      <c r="M21" s="518">
        <f t="shared" si="5"/>
        <v>31263.597728424509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2012</v>
      </c>
      <c r="D22" s="515">
        <v>171233.78048780488</v>
      </c>
      <c r="E22" s="520">
        <v>4410.6428571428569</v>
      </c>
      <c r="F22" s="515">
        <v>166823.13763066201</v>
      </c>
      <c r="G22" s="516">
        <v>29220.603252055036</v>
      </c>
      <c r="H22" s="510">
        <v>29220.603252055036</v>
      </c>
      <c r="I22" s="517">
        <v>0</v>
      </c>
      <c r="J22" s="511"/>
      <c r="K22" s="518">
        <f t="shared" si="4"/>
        <v>29220.603252055036</v>
      </c>
      <c r="L22" s="519">
        <f t="shared" si="1"/>
        <v>0</v>
      </c>
      <c r="M22" s="518">
        <f t="shared" si="5"/>
        <v>29220.603252055036</v>
      </c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6"/>
        <v/>
      </c>
      <c r="C23" s="507">
        <f>IF(D11="","-",+C22+1)</f>
        <v>2013</v>
      </c>
      <c r="D23" s="608">
        <v>166823.13763066201</v>
      </c>
      <c r="E23" s="609">
        <v>4410.6428571428569</v>
      </c>
      <c r="F23" s="608">
        <v>162412.49477351914</v>
      </c>
      <c r="G23" s="609">
        <v>27146.294093139273</v>
      </c>
      <c r="H23" s="610">
        <v>27146.294093139273</v>
      </c>
      <c r="I23" s="596">
        <v>0</v>
      </c>
      <c r="J23" s="511"/>
      <c r="K23" s="518">
        <f t="shared" si="4"/>
        <v>27146.294093139273</v>
      </c>
      <c r="L23" s="519">
        <f t="shared" ref="L23:L28" si="7">IF(K23&lt;&gt;0,+G23-K23,0)</f>
        <v>0</v>
      </c>
      <c r="M23" s="518">
        <f t="shared" si="5"/>
        <v>27146.294093139273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</row>
    <row r="24" spans="2:16" ht="12.5">
      <c r="B24" s="195" t="str">
        <f t="shared" si="6"/>
        <v/>
      </c>
      <c r="C24" s="507">
        <f>IF(D11="","-",+C23+1)</f>
        <v>2014</v>
      </c>
      <c r="D24" s="608">
        <v>162412.49477351914</v>
      </c>
      <c r="E24" s="609">
        <v>4410.6428571428569</v>
      </c>
      <c r="F24" s="608">
        <v>158001.85191637627</v>
      </c>
      <c r="G24" s="609">
        <v>25726.753003621568</v>
      </c>
      <c r="H24" s="610">
        <v>25726.753003621568</v>
      </c>
      <c r="I24" s="596">
        <v>0</v>
      </c>
      <c r="J24" s="511"/>
      <c r="K24" s="518">
        <f t="shared" si="4"/>
        <v>25726.753003621568</v>
      </c>
      <c r="L24" s="519">
        <f t="shared" si="7"/>
        <v>0</v>
      </c>
      <c r="M24" s="518">
        <f t="shared" si="5"/>
        <v>25726.753003621568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2015</v>
      </c>
      <c r="D25" s="608">
        <v>158001.85191637627</v>
      </c>
      <c r="E25" s="609">
        <v>4410.6428571428569</v>
      </c>
      <c r="F25" s="608">
        <v>153591.2090592334</v>
      </c>
      <c r="G25" s="609">
        <v>24639.342477815902</v>
      </c>
      <c r="H25" s="610">
        <v>24639.342477815902</v>
      </c>
      <c r="I25" s="511">
        <v>0</v>
      </c>
      <c r="J25" s="511"/>
      <c r="K25" s="518">
        <f t="shared" si="4"/>
        <v>24639.342477815902</v>
      </c>
      <c r="L25" s="519">
        <f t="shared" si="7"/>
        <v>0</v>
      </c>
      <c r="M25" s="518">
        <f t="shared" si="5"/>
        <v>24639.342477815902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2016</v>
      </c>
      <c r="D26" s="608">
        <v>153591.2090592334</v>
      </c>
      <c r="E26" s="609">
        <v>4410.6428571428569</v>
      </c>
      <c r="F26" s="608">
        <v>149180.56620209053</v>
      </c>
      <c r="G26" s="609">
        <v>23816.047182018898</v>
      </c>
      <c r="H26" s="610">
        <v>23816.047182018898</v>
      </c>
      <c r="I26" s="511">
        <f t="shared" si="0"/>
        <v>0</v>
      </c>
      <c r="J26" s="511"/>
      <c r="K26" s="518">
        <f>G26</f>
        <v>23816.047182018898</v>
      </c>
      <c r="L26" s="519">
        <f t="shared" si="7"/>
        <v>0</v>
      </c>
      <c r="M26" s="518">
        <f>H26</f>
        <v>23816.047182018898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2017</v>
      </c>
      <c r="D27" s="608">
        <v>149180.56620209053</v>
      </c>
      <c r="E27" s="609">
        <v>4308.0697674418607</v>
      </c>
      <c r="F27" s="608">
        <v>144872.49643464867</v>
      </c>
      <c r="G27" s="609">
        <v>22523.559241307841</v>
      </c>
      <c r="H27" s="610">
        <v>22523.559241307841</v>
      </c>
      <c r="I27" s="511">
        <f t="shared" si="0"/>
        <v>0</v>
      </c>
      <c r="J27" s="511"/>
      <c r="K27" s="518">
        <f>G27</f>
        <v>22523.559241307841</v>
      </c>
      <c r="L27" s="519">
        <f t="shared" si="7"/>
        <v>0</v>
      </c>
      <c r="M27" s="518">
        <f>H27</f>
        <v>22523.559241307841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2018</v>
      </c>
      <c r="D28" s="608">
        <v>144872.49643464867</v>
      </c>
      <c r="E28" s="609">
        <v>4518.2195121951218</v>
      </c>
      <c r="F28" s="608">
        <v>140354.27692245354</v>
      </c>
      <c r="G28" s="609">
        <v>22643.539387213004</v>
      </c>
      <c r="H28" s="610">
        <v>22643.539387213004</v>
      </c>
      <c r="I28" s="511">
        <f t="shared" si="0"/>
        <v>0</v>
      </c>
      <c r="J28" s="511"/>
      <c r="K28" s="518">
        <f>G28</f>
        <v>22643.539387213004</v>
      </c>
      <c r="L28" s="519">
        <f t="shared" si="7"/>
        <v>0</v>
      </c>
      <c r="M28" s="518">
        <f>H28</f>
        <v>22643.539387213004</v>
      </c>
      <c r="N28" s="514">
        <f t="shared" si="8"/>
        <v>0</v>
      </c>
      <c r="O28" s="514">
        <f t="shared" si="9"/>
        <v>0</v>
      </c>
      <c r="P28" s="272"/>
    </row>
    <row r="29" spans="2:16" ht="12.5">
      <c r="B29" s="195" t="str">
        <f t="shared" si="6"/>
        <v/>
      </c>
      <c r="C29" s="507">
        <f>IF(D11="","-",+C28+1)</f>
        <v>2019</v>
      </c>
      <c r="D29" s="608">
        <v>140354.27692245354</v>
      </c>
      <c r="E29" s="609">
        <v>4518.2195121951218</v>
      </c>
      <c r="F29" s="608">
        <v>135836.05741025842</v>
      </c>
      <c r="G29" s="609">
        <v>22069.300349550489</v>
      </c>
      <c r="H29" s="610">
        <v>22069.300349550489</v>
      </c>
      <c r="I29" s="511">
        <f t="shared" si="0"/>
        <v>0</v>
      </c>
      <c r="J29" s="511"/>
      <c r="K29" s="518">
        <f>G29</f>
        <v>22069.300349550489</v>
      </c>
      <c r="L29" s="519">
        <f t="shared" ref="L29" si="10">IF(K29&lt;&gt;0,+G29-K29,0)</f>
        <v>0</v>
      </c>
      <c r="M29" s="518">
        <f>H29</f>
        <v>22069.300349550489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/>
      </c>
      <c r="C30" s="507">
        <f>IF(D11="","-",+C29+1)</f>
        <v>2020</v>
      </c>
      <c r="D30" s="608">
        <v>135836.05741025842</v>
      </c>
      <c r="E30" s="609">
        <v>4518.2195121951218</v>
      </c>
      <c r="F30" s="608">
        <v>131317.8378980633</v>
      </c>
      <c r="G30" s="609">
        <v>18187.877266204941</v>
      </c>
      <c r="H30" s="610">
        <v>18187.877266204941</v>
      </c>
      <c r="I30" s="511">
        <f t="shared" si="0"/>
        <v>0</v>
      </c>
      <c r="J30" s="511"/>
      <c r="K30" s="518">
        <f>G30</f>
        <v>18187.877266204941</v>
      </c>
      <c r="L30" s="519">
        <f t="shared" ref="L30" si="11">IF(K30&lt;&gt;0,+G30-K30,0)</f>
        <v>0</v>
      </c>
      <c r="M30" s="518">
        <f>H30</f>
        <v>18187.877266204941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2021</v>
      </c>
      <c r="D31" s="523">
        <f>IF(F30+SUM(E$17:E30)=D$10,F30,D$10-SUM(E$17:E30))</f>
        <v>131317.8378980633</v>
      </c>
      <c r="E31" s="522">
        <f>IF(+I14&lt;F30,I14,D31)</f>
        <v>4410.6428571428569</v>
      </c>
      <c r="F31" s="523">
        <f t="shared" ref="F31:F48" si="12">+D31-E31</f>
        <v>126907.19504092044</v>
      </c>
      <c r="G31" s="524">
        <f t="shared" ref="G31:G72" si="13">+I$12*((D31+F31)/2)+E31</f>
        <v>18202.180253533355</v>
      </c>
      <c r="H31" s="491">
        <f t="shared" ref="H31:H72" si="14">+I$13*((D31+F31)/2)+E31</f>
        <v>18202.180253533355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2022</v>
      </c>
      <c r="D32" s="523">
        <f>IF(F31+SUM(E$17:E31)=D$10,F31,D$10-SUM(E$17:E31))</f>
        <v>126907.19504092044</v>
      </c>
      <c r="E32" s="522">
        <f>IF(+I14&lt;F31,I14,D32)</f>
        <v>4410.6428571428569</v>
      </c>
      <c r="F32" s="523">
        <f t="shared" si="12"/>
        <v>122496.55218377759</v>
      </c>
      <c r="G32" s="524">
        <f t="shared" si="13"/>
        <v>17731.044320552122</v>
      </c>
      <c r="H32" s="491">
        <f t="shared" si="14"/>
        <v>17731.044320552122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2023</v>
      </c>
      <c r="D33" s="523">
        <f>IF(F32+SUM(E$17:E32)=D$10,F32,D$10-SUM(E$17:E32))</f>
        <v>122496.55218377759</v>
      </c>
      <c r="E33" s="522">
        <f>IF(+I14&lt;F32,I14,D33)</f>
        <v>4410.6428571428569</v>
      </c>
      <c r="F33" s="523">
        <f t="shared" si="12"/>
        <v>118085.90932663473</v>
      </c>
      <c r="G33" s="524">
        <f t="shared" si="13"/>
        <v>17259.908387570897</v>
      </c>
      <c r="H33" s="491">
        <f t="shared" si="14"/>
        <v>17259.908387570897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2024</v>
      </c>
      <c r="D34" s="523">
        <f>IF(F33+SUM(E$17:E33)=D$10,F33,D$10-SUM(E$17:E33))</f>
        <v>118085.90932663473</v>
      </c>
      <c r="E34" s="522">
        <f>IF(+I14&lt;F33,I14,D34)</f>
        <v>4410.6428571428569</v>
      </c>
      <c r="F34" s="523">
        <f t="shared" si="12"/>
        <v>113675.26646949188</v>
      </c>
      <c r="G34" s="524">
        <f t="shared" si="13"/>
        <v>16788.772454589664</v>
      </c>
      <c r="H34" s="491">
        <f t="shared" si="14"/>
        <v>16788.772454589664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2025</v>
      </c>
      <c r="D35" s="523">
        <f>IF(F34+SUM(E$17:E34)=D$10,F34,D$10-SUM(E$17:E34))</f>
        <v>113675.26646949188</v>
      </c>
      <c r="E35" s="522">
        <f>IF(+I14&lt;F34,I14,D35)</f>
        <v>4410.6428571428569</v>
      </c>
      <c r="F35" s="523">
        <f t="shared" si="12"/>
        <v>109264.62361234902</v>
      </c>
      <c r="G35" s="524">
        <f t="shared" si="13"/>
        <v>16317.63652160844</v>
      </c>
      <c r="H35" s="491">
        <f t="shared" si="14"/>
        <v>16317.63652160844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2026</v>
      </c>
      <c r="D36" s="523">
        <f>IF(F35+SUM(E$17:E35)=D$10,F35,D$10-SUM(E$17:E35))</f>
        <v>109264.62361234902</v>
      </c>
      <c r="E36" s="522">
        <f>IF(+I14&lt;F35,I14,D36)</f>
        <v>4410.6428571428569</v>
      </c>
      <c r="F36" s="523">
        <f t="shared" si="12"/>
        <v>104853.98075520617</v>
      </c>
      <c r="G36" s="524">
        <f t="shared" si="13"/>
        <v>15846.500588627208</v>
      </c>
      <c r="H36" s="491">
        <f t="shared" si="14"/>
        <v>15846.500588627208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2027</v>
      </c>
      <c r="D37" s="523">
        <f>IF(F36+SUM(E$17:E36)=D$10,F36,D$10-SUM(E$17:E36))</f>
        <v>104853.98075520617</v>
      </c>
      <c r="E37" s="522">
        <f>IF(+I14&lt;F36,I14,D37)</f>
        <v>4410.6428571428569</v>
      </c>
      <c r="F37" s="523">
        <f t="shared" si="12"/>
        <v>100443.33789806331</v>
      </c>
      <c r="G37" s="524">
        <f t="shared" si="13"/>
        <v>15375.364655645981</v>
      </c>
      <c r="H37" s="491">
        <f t="shared" si="14"/>
        <v>15375.364655645981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2028</v>
      </c>
      <c r="D38" s="523">
        <f>IF(F37+SUM(E$17:E37)=D$10,F37,D$10-SUM(E$17:E37))</f>
        <v>100443.33789806331</v>
      </c>
      <c r="E38" s="522">
        <f>IF(+I14&lt;F37,I14,D38)</f>
        <v>4410.6428571428569</v>
      </c>
      <c r="F38" s="523">
        <f t="shared" si="12"/>
        <v>96032.695040920458</v>
      </c>
      <c r="G38" s="524">
        <f t="shared" si="13"/>
        <v>14904.228722664751</v>
      </c>
      <c r="H38" s="491">
        <f t="shared" si="14"/>
        <v>14904.228722664751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2029</v>
      </c>
      <c r="D39" s="523">
        <f>IF(F38+SUM(E$17:E38)=D$10,F38,D$10-SUM(E$17:E38))</f>
        <v>96032.695040920458</v>
      </c>
      <c r="E39" s="522">
        <f>IF(+I14&lt;F38,I14,D39)</f>
        <v>4410.6428571428569</v>
      </c>
      <c r="F39" s="523">
        <f t="shared" si="12"/>
        <v>91622.052183777603</v>
      </c>
      <c r="G39" s="524">
        <f t="shared" si="13"/>
        <v>14433.092789683524</v>
      </c>
      <c r="H39" s="491">
        <f t="shared" si="14"/>
        <v>14433.092789683524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2030</v>
      </c>
      <c r="D40" s="523">
        <f>IF(F39+SUM(E$17:E39)=D$10,F39,D$10-SUM(E$17:E39))</f>
        <v>91622.052183777603</v>
      </c>
      <c r="E40" s="522">
        <f>IF(+I14&lt;F39,I14,D40)</f>
        <v>4410.6428571428569</v>
      </c>
      <c r="F40" s="523">
        <f t="shared" si="12"/>
        <v>87211.409326634748</v>
      </c>
      <c r="G40" s="524">
        <f t="shared" si="13"/>
        <v>13961.956856702294</v>
      </c>
      <c r="H40" s="491">
        <f t="shared" si="14"/>
        <v>13961.956856702294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2031</v>
      </c>
      <c r="D41" s="523">
        <f>IF(F40+SUM(E$17:E40)=D$10,F40,D$10-SUM(E$17:E40))</f>
        <v>87211.409326634748</v>
      </c>
      <c r="E41" s="522">
        <f>IF(+I14&lt;F40,I14,D41)</f>
        <v>4410.6428571428569</v>
      </c>
      <c r="F41" s="523">
        <f t="shared" si="12"/>
        <v>82800.766469491893</v>
      </c>
      <c r="G41" s="524">
        <f t="shared" si="13"/>
        <v>13490.820923721067</v>
      </c>
      <c r="H41" s="491">
        <f t="shared" si="14"/>
        <v>13490.820923721067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2032</v>
      </c>
      <c r="D42" s="523">
        <f>IF(F41+SUM(E$17:E41)=D$10,F41,D$10-SUM(E$17:E41))</f>
        <v>82800.766469491893</v>
      </c>
      <c r="E42" s="522">
        <f>IF(+I14&lt;F41,I14,D42)</f>
        <v>4410.6428571428569</v>
      </c>
      <c r="F42" s="523">
        <f t="shared" si="12"/>
        <v>78390.123612349038</v>
      </c>
      <c r="G42" s="524">
        <f t="shared" si="13"/>
        <v>13019.684990739835</v>
      </c>
      <c r="H42" s="491">
        <f t="shared" si="14"/>
        <v>13019.684990739835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2033</v>
      </c>
      <c r="D43" s="523">
        <f>IF(F42+SUM(E$17:E42)=D$10,F42,D$10-SUM(E$17:E42))</f>
        <v>78390.123612349038</v>
      </c>
      <c r="E43" s="522">
        <f>IF(+I14&lt;F42,I14,D43)</f>
        <v>4410.6428571428569</v>
      </c>
      <c r="F43" s="523">
        <f t="shared" si="12"/>
        <v>73979.480755206183</v>
      </c>
      <c r="G43" s="524">
        <f t="shared" si="13"/>
        <v>12548.54905775861</v>
      </c>
      <c r="H43" s="491">
        <f t="shared" si="14"/>
        <v>12548.54905775861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2034</v>
      </c>
      <c r="D44" s="523">
        <f>IF(F43+SUM(E$17:E43)=D$10,F43,D$10-SUM(E$17:E43))</f>
        <v>73979.480755206183</v>
      </c>
      <c r="E44" s="522">
        <f>IF(+I14&lt;F43,I14,D44)</f>
        <v>4410.6428571428569</v>
      </c>
      <c r="F44" s="523">
        <f t="shared" si="12"/>
        <v>69568.837898063328</v>
      </c>
      <c r="G44" s="524">
        <f t="shared" si="13"/>
        <v>12077.413124777378</v>
      </c>
      <c r="H44" s="491">
        <f t="shared" si="14"/>
        <v>12077.413124777378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2035</v>
      </c>
      <c r="D45" s="523">
        <f>IF(F44+SUM(E$17:E44)=D$10,F44,D$10-SUM(E$17:E44))</f>
        <v>69568.837898063328</v>
      </c>
      <c r="E45" s="522">
        <f>IF(+I14&lt;F44,I14,D45)</f>
        <v>4410.6428571428569</v>
      </c>
      <c r="F45" s="523">
        <f t="shared" si="12"/>
        <v>65158.195040920473</v>
      </c>
      <c r="G45" s="524">
        <f t="shared" si="13"/>
        <v>11606.277191796151</v>
      </c>
      <c r="H45" s="491">
        <f t="shared" si="14"/>
        <v>11606.277191796151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2036</v>
      </c>
      <c r="D46" s="523">
        <f>IF(F45+SUM(E$17:E45)=D$10,F45,D$10-SUM(E$17:E45))</f>
        <v>65158.195040920473</v>
      </c>
      <c r="E46" s="522">
        <f>IF(+I14&lt;F45,I14,D46)</f>
        <v>4410.6428571428569</v>
      </c>
      <c r="F46" s="523">
        <f t="shared" si="12"/>
        <v>60747.552183777618</v>
      </c>
      <c r="G46" s="524">
        <f t="shared" si="13"/>
        <v>11135.141258814921</v>
      </c>
      <c r="H46" s="491">
        <f t="shared" si="14"/>
        <v>11135.141258814921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2037</v>
      </c>
      <c r="D47" s="523">
        <f>IF(F46+SUM(E$17:E46)=D$10,F46,D$10-SUM(E$17:E46))</f>
        <v>60747.552183777618</v>
      </c>
      <c r="E47" s="522">
        <f>IF(+I14&lt;F46,I14,D47)</f>
        <v>4410.6428571428569</v>
      </c>
      <c r="F47" s="523">
        <f t="shared" si="12"/>
        <v>56336.909326634763</v>
      </c>
      <c r="G47" s="524">
        <f t="shared" si="13"/>
        <v>10664.005325833694</v>
      </c>
      <c r="H47" s="491">
        <f t="shared" si="14"/>
        <v>10664.005325833694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2038</v>
      </c>
      <c r="D48" s="523">
        <f>IF(F47+SUM(E$17:E47)=D$10,F47,D$10-SUM(E$17:E47))</f>
        <v>56336.909326634763</v>
      </c>
      <c r="E48" s="522">
        <f>IF(+I14&lt;F47,I14,D48)</f>
        <v>4410.6428571428569</v>
      </c>
      <c r="F48" s="523">
        <f t="shared" si="12"/>
        <v>51926.266469491908</v>
      </c>
      <c r="G48" s="524">
        <f t="shared" si="13"/>
        <v>10192.869392852464</v>
      </c>
      <c r="H48" s="491">
        <f t="shared" si="14"/>
        <v>10192.869392852464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2039</v>
      </c>
      <c r="D49" s="523">
        <f>IF(F48+SUM(E$17:E48)=D$10,F48,D$10-SUM(E$17:E48))</f>
        <v>51926.266469491908</v>
      </c>
      <c r="E49" s="522">
        <f>IF(+I14&lt;F48,I14,D49)</f>
        <v>4410.6428571428569</v>
      </c>
      <c r="F49" s="523">
        <f t="shared" ref="F49:F72" si="15">+D49-E49</f>
        <v>47515.623612349053</v>
      </c>
      <c r="G49" s="524">
        <f t="shared" si="13"/>
        <v>9721.7334598712368</v>
      </c>
      <c r="H49" s="491">
        <f t="shared" si="14"/>
        <v>9721.7334598712368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2040</v>
      </c>
      <c r="D50" s="523">
        <f>IF(F49+SUM(E$17:E49)=D$10,F49,D$10-SUM(E$17:E49))</f>
        <v>47515.623612349053</v>
      </c>
      <c r="E50" s="522">
        <f>IF(+I14&lt;F49,I14,D50)</f>
        <v>4410.6428571428569</v>
      </c>
      <c r="F50" s="523">
        <f t="shared" si="15"/>
        <v>43104.980755206198</v>
      </c>
      <c r="G50" s="524">
        <f t="shared" si="13"/>
        <v>9250.5975268900074</v>
      </c>
      <c r="H50" s="491">
        <f t="shared" si="14"/>
        <v>9250.5975268900074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6"/>
        <v/>
      </c>
      <c r="C51" s="507">
        <f>IF(D11="","-",+C50+1)</f>
        <v>2041</v>
      </c>
      <c r="D51" s="523">
        <f>IF(F50+SUM(E$17:E50)=D$10,F50,D$10-SUM(E$17:E50))</f>
        <v>43104.980755206198</v>
      </c>
      <c r="E51" s="522">
        <f>IF(+I14&lt;F50,I14,D51)</f>
        <v>4410.6428571428569</v>
      </c>
      <c r="F51" s="523">
        <f t="shared" si="15"/>
        <v>38694.337898063342</v>
      </c>
      <c r="G51" s="524">
        <f t="shared" si="13"/>
        <v>8779.461593908778</v>
      </c>
      <c r="H51" s="491">
        <f t="shared" si="14"/>
        <v>8779.461593908778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6"/>
        <v/>
      </c>
      <c r="C52" s="507">
        <f>IF(D11="","-",+C51+1)</f>
        <v>2042</v>
      </c>
      <c r="D52" s="523">
        <f>IF(F51+SUM(E$17:E51)=D$10,F51,D$10-SUM(E$17:E51))</f>
        <v>38694.337898063342</v>
      </c>
      <c r="E52" s="522">
        <f>IF(+I14&lt;F51,I14,D52)</f>
        <v>4410.6428571428569</v>
      </c>
      <c r="F52" s="523">
        <f t="shared" si="15"/>
        <v>34283.695040920487</v>
      </c>
      <c r="G52" s="524">
        <f t="shared" si="13"/>
        <v>8308.3256609275504</v>
      </c>
      <c r="H52" s="491">
        <f t="shared" si="14"/>
        <v>8308.3256609275504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6"/>
        <v/>
      </c>
      <c r="C53" s="507">
        <f>IF(D11="","-",+C52+1)</f>
        <v>2043</v>
      </c>
      <c r="D53" s="523">
        <f>IF(F52+SUM(E$17:E52)=D$10,F52,D$10-SUM(E$17:E52))</f>
        <v>34283.695040920487</v>
      </c>
      <c r="E53" s="522">
        <f>IF(+I14&lt;F52,I14,D53)</f>
        <v>4410.6428571428569</v>
      </c>
      <c r="F53" s="523">
        <f t="shared" si="15"/>
        <v>29873.052183777632</v>
      </c>
      <c r="G53" s="524">
        <f t="shared" si="13"/>
        <v>7837.189727946321</v>
      </c>
      <c r="H53" s="491">
        <f t="shared" si="14"/>
        <v>7837.189727946321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6"/>
        <v/>
      </c>
      <c r="C54" s="507">
        <f>IF(D11="","-",+C53+1)</f>
        <v>2044</v>
      </c>
      <c r="D54" s="523">
        <f>IF(F53+SUM(E$17:E53)=D$10,F53,D$10-SUM(E$17:E53))</f>
        <v>29873.052183777632</v>
      </c>
      <c r="E54" s="522">
        <f>IF(+I14&lt;F53,I14,D54)</f>
        <v>4410.6428571428569</v>
      </c>
      <c r="F54" s="523">
        <f t="shared" si="15"/>
        <v>25462.409326634777</v>
      </c>
      <c r="G54" s="524">
        <f t="shared" si="13"/>
        <v>7366.0537949650925</v>
      </c>
      <c r="H54" s="491">
        <f t="shared" si="14"/>
        <v>7366.0537949650925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6"/>
        <v/>
      </c>
      <c r="C55" s="507">
        <f>IF(D11="","-",+C54+1)</f>
        <v>2045</v>
      </c>
      <c r="D55" s="523">
        <f>IF(F54+SUM(E$17:E54)=D$10,F54,D$10-SUM(E$17:E54))</f>
        <v>25462.409326634777</v>
      </c>
      <c r="E55" s="522">
        <f>IF(+I14&lt;F54,I14,D55)</f>
        <v>4410.6428571428569</v>
      </c>
      <c r="F55" s="523">
        <f t="shared" si="15"/>
        <v>21051.766469491922</v>
      </c>
      <c r="G55" s="524">
        <f t="shared" si="13"/>
        <v>6894.917861983864</v>
      </c>
      <c r="H55" s="491">
        <f t="shared" si="14"/>
        <v>6894.917861983864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6"/>
        <v/>
      </c>
      <c r="C56" s="507">
        <f>IF(D11="","-",+C55+1)</f>
        <v>2046</v>
      </c>
      <c r="D56" s="523">
        <f>IF(F55+SUM(E$17:E55)=D$10,F55,D$10-SUM(E$17:E55))</f>
        <v>21051.766469491922</v>
      </c>
      <c r="E56" s="522">
        <f>IF(+I14&lt;F55,I14,D56)</f>
        <v>4410.6428571428569</v>
      </c>
      <c r="F56" s="523">
        <f t="shared" si="15"/>
        <v>16641.123612349067</v>
      </c>
      <c r="G56" s="524">
        <f t="shared" si="13"/>
        <v>6423.7819290026355</v>
      </c>
      <c r="H56" s="491">
        <f t="shared" si="14"/>
        <v>6423.7819290026355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6"/>
        <v/>
      </c>
      <c r="C57" s="507">
        <f>IF(D11="","-",+C56+1)</f>
        <v>2047</v>
      </c>
      <c r="D57" s="523">
        <f>IF(F56+SUM(E$17:E56)=D$10,F56,D$10-SUM(E$17:E56))</f>
        <v>16641.123612349067</v>
      </c>
      <c r="E57" s="522">
        <f>IF(+I14&lt;F56,I14,D57)</f>
        <v>4410.6428571428569</v>
      </c>
      <c r="F57" s="523">
        <f t="shared" si="15"/>
        <v>12230.48075520621</v>
      </c>
      <c r="G57" s="524">
        <f t="shared" si="13"/>
        <v>5952.645996021407</v>
      </c>
      <c r="H57" s="491">
        <f t="shared" si="14"/>
        <v>5952.645996021407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6"/>
        <v/>
      </c>
      <c r="C58" s="507">
        <f>IF(D11="","-",+C57+1)</f>
        <v>2048</v>
      </c>
      <c r="D58" s="523">
        <f>IF(F57+SUM(E$17:E57)=D$10,F57,D$10-SUM(E$17:E57))</f>
        <v>12230.48075520621</v>
      </c>
      <c r="E58" s="522">
        <f>IF(+I14&lt;F57,I14,D58)</f>
        <v>4410.6428571428569</v>
      </c>
      <c r="F58" s="523">
        <f t="shared" si="15"/>
        <v>7819.8378980633534</v>
      </c>
      <c r="G58" s="524">
        <f t="shared" si="13"/>
        <v>5481.5100630401776</v>
      </c>
      <c r="H58" s="491">
        <f t="shared" si="14"/>
        <v>5481.5100630401776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2049</v>
      </c>
      <c r="D59" s="523">
        <f>IF(F58+SUM(E$17:E58)=D$10,F58,D$10-SUM(E$17:E58))</f>
        <v>7819.8378980633534</v>
      </c>
      <c r="E59" s="522">
        <f>IF(+I14&lt;F58,I14,D59)</f>
        <v>4410.6428571428569</v>
      </c>
      <c r="F59" s="523">
        <f t="shared" si="15"/>
        <v>3409.1950409204965</v>
      </c>
      <c r="G59" s="524">
        <f t="shared" si="13"/>
        <v>5010.3741300589481</v>
      </c>
      <c r="H59" s="491">
        <f t="shared" si="14"/>
        <v>5010.3741300589481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6"/>
        <v/>
      </c>
      <c r="C60" s="507">
        <f>IF(D11="","-",+C59+1)</f>
        <v>2050</v>
      </c>
      <c r="D60" s="523">
        <f>IF(F59+SUM(E$17:E59)=D$10,F59,D$10-SUM(E$17:E59))</f>
        <v>3409.1950409204965</v>
      </c>
      <c r="E60" s="522">
        <f>IF(+I14&lt;F59,I14,D60)</f>
        <v>3409.1950409204965</v>
      </c>
      <c r="F60" s="523">
        <f t="shared" si="15"/>
        <v>0</v>
      </c>
      <c r="G60" s="524">
        <f t="shared" si="13"/>
        <v>3591.2766941332352</v>
      </c>
      <c r="H60" s="491">
        <f t="shared" si="14"/>
        <v>3591.2766941332352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6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13"/>
        <v>0</v>
      </c>
      <c r="H61" s="491">
        <f t="shared" si="14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6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3"/>
        <v>0</v>
      </c>
      <c r="H62" s="491">
        <f t="shared" si="14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6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3"/>
        <v>0</v>
      </c>
      <c r="H63" s="491">
        <f t="shared" si="14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6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3"/>
        <v>0</v>
      </c>
      <c r="H64" s="491">
        <f t="shared" si="14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6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3"/>
        <v>0</v>
      </c>
      <c r="H65" s="491">
        <f t="shared" si="14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6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3"/>
        <v>0</v>
      </c>
      <c r="H66" s="491">
        <f t="shared" si="14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6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3"/>
        <v>0</v>
      </c>
      <c r="H67" s="491">
        <f t="shared" si="14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6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3"/>
        <v>0</v>
      </c>
      <c r="H68" s="491">
        <f t="shared" si="14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6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3"/>
        <v>0</v>
      </c>
      <c r="H69" s="491">
        <f t="shared" si="14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6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3"/>
        <v>0</v>
      </c>
      <c r="H70" s="491">
        <f t="shared" si="14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6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3"/>
        <v>0</v>
      </c>
      <c r="H71" s="491">
        <f t="shared" si="14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3"/>
        <v>0</v>
      </c>
      <c r="H72" s="471">
        <f t="shared" si="14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185247.00000000009</v>
      </c>
      <c r="F73" s="375"/>
      <c r="G73" s="375">
        <f>SUM(G17:G72)</f>
        <v>628266.22923757299</v>
      </c>
      <c r="H73" s="375">
        <f>SUM(H17:H72)</f>
        <v>628266.22923757299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12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18187.877266204941</v>
      </c>
      <c r="N87" s="546">
        <f>IF(J92&lt;D11,0,VLOOKUP(J92,C17:O72,11))</f>
        <v>18187.877266204941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18561.745960492495</v>
      </c>
      <c r="N88" s="550">
        <f>IF(J92&lt;D11,0,VLOOKUP(J92,C99:P154,7))</f>
        <v>18561.745960492495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Knox Lee - Oak Hill #2 138 kV line, S. Shreveport  (SWE Minor Proj II)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373.86869428755381</v>
      </c>
      <c r="N89" s="555">
        <f>+N88-N87</f>
        <v>373.86869428755381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TP2004036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185247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4410.6428571428569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2007</v>
      </c>
      <c r="D99" s="508">
        <f>IF(D93=C99,0,D92)</f>
        <v>0</v>
      </c>
      <c r="E99" s="516">
        <v>868</v>
      </c>
      <c r="F99" s="515">
        <f>77090-E99</f>
        <v>76222</v>
      </c>
      <c r="G99" s="574">
        <v>38111</v>
      </c>
      <c r="H99" s="575">
        <v>0</v>
      </c>
      <c r="I99" s="576">
        <v>0</v>
      </c>
      <c r="J99" s="514">
        <f t="shared" ref="J99:J130" si="20">+I99-H99</f>
        <v>0</v>
      </c>
      <c r="K99" s="514"/>
      <c r="L99" s="512">
        <v>0</v>
      </c>
      <c r="M99" s="597">
        <f t="shared" ref="M99:M130" si="21">IF(L99&lt;&gt;0,+H99-L99,0)</f>
        <v>0</v>
      </c>
      <c r="N99" s="512">
        <v>0</v>
      </c>
      <c r="O99" s="597">
        <f t="shared" ref="O99:O130" si="22">IF(N99&lt;&gt;0,+I99-N99,0)</f>
        <v>0</v>
      </c>
      <c r="P99" s="597">
        <f t="shared" ref="P99:P130" si="23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2008</v>
      </c>
      <c r="D100" s="508">
        <v>122650</v>
      </c>
      <c r="E100" s="516">
        <v>3353</v>
      </c>
      <c r="F100" s="515">
        <v>119297</v>
      </c>
      <c r="G100" s="515">
        <v>120973.5</v>
      </c>
      <c r="H100" s="516">
        <v>22636</v>
      </c>
      <c r="I100" s="510">
        <v>22636</v>
      </c>
      <c r="J100" s="514">
        <f t="shared" si="20"/>
        <v>0</v>
      </c>
      <c r="K100" s="514"/>
      <c r="L100" s="518">
        <v>22636</v>
      </c>
      <c r="M100" s="514">
        <f t="shared" si="21"/>
        <v>0</v>
      </c>
      <c r="N100" s="518">
        <v>22636</v>
      </c>
      <c r="O100" s="514">
        <f t="shared" si="22"/>
        <v>0</v>
      </c>
      <c r="P100" s="514">
        <f t="shared" si="23"/>
        <v>0</v>
      </c>
      <c r="Q100" s="269"/>
    </row>
    <row r="101" spans="1:17" ht="12.5">
      <c r="B101" s="195"/>
      <c r="C101" s="507">
        <f>IF(D93="","-",+C100+1)</f>
        <v>2009</v>
      </c>
      <c r="D101" s="508">
        <v>119826</v>
      </c>
      <c r="E101" s="516">
        <v>3264</v>
      </c>
      <c r="F101" s="515">
        <v>116561</v>
      </c>
      <c r="G101" s="515">
        <v>118193</v>
      </c>
      <c r="H101" s="516">
        <v>20371</v>
      </c>
      <c r="I101" s="510">
        <v>20371</v>
      </c>
      <c r="J101" s="514">
        <f t="shared" si="20"/>
        <v>0</v>
      </c>
      <c r="K101" s="514"/>
      <c r="L101" s="518">
        <f t="shared" ref="L101:L106" si="24">H101</f>
        <v>20371</v>
      </c>
      <c r="M101" s="519">
        <f t="shared" si="21"/>
        <v>0</v>
      </c>
      <c r="N101" s="518">
        <f t="shared" ref="N101:N106" si="25">I101</f>
        <v>20371</v>
      </c>
      <c r="O101" s="514">
        <f t="shared" si="22"/>
        <v>0</v>
      </c>
      <c r="P101" s="514">
        <f t="shared" si="23"/>
        <v>0</v>
      </c>
      <c r="Q101" s="269"/>
    </row>
    <row r="102" spans="1:17" ht="12.5">
      <c r="B102" s="195" t="str">
        <f t="shared" ref="B102:B154" si="26">IF(D102=F101,"","IU")</f>
        <v>IU</v>
      </c>
      <c r="C102" s="507">
        <f>IF(D93="","-",+C101+1)</f>
        <v>2010</v>
      </c>
      <c r="D102" s="508">
        <v>177762</v>
      </c>
      <c r="E102" s="516">
        <v>4518.2195121951218</v>
      </c>
      <c r="F102" s="515">
        <v>173243.78048780488</v>
      </c>
      <c r="G102" s="515">
        <v>175502.89024390245</v>
      </c>
      <c r="H102" s="516">
        <v>33491.304062009942</v>
      </c>
      <c r="I102" s="510">
        <v>33491.304062009942</v>
      </c>
      <c r="J102" s="514">
        <f t="shared" si="20"/>
        <v>0</v>
      </c>
      <c r="K102" s="514"/>
      <c r="L102" s="518">
        <f t="shared" si="24"/>
        <v>33491.304062009942</v>
      </c>
      <c r="M102" s="519">
        <f t="shared" si="21"/>
        <v>0</v>
      </c>
      <c r="N102" s="518">
        <f t="shared" si="25"/>
        <v>33491.304062009942</v>
      </c>
      <c r="O102" s="514">
        <f t="shared" si="22"/>
        <v>0</v>
      </c>
      <c r="P102" s="514">
        <f t="shared" si="23"/>
        <v>0</v>
      </c>
      <c r="Q102" s="269"/>
    </row>
    <row r="103" spans="1:17" ht="12.5">
      <c r="B103" s="195" t="str">
        <f t="shared" si="26"/>
        <v/>
      </c>
      <c r="C103" s="507">
        <f>IF(D93="","-",+C102+1)</f>
        <v>2011</v>
      </c>
      <c r="D103" s="508">
        <v>173243.78048780488</v>
      </c>
      <c r="E103" s="520">
        <v>4410.6428571428569</v>
      </c>
      <c r="F103" s="515">
        <v>168833.13763066201</v>
      </c>
      <c r="G103" s="515">
        <v>171038.45905923343</v>
      </c>
      <c r="H103" s="516">
        <v>30131.389443457461</v>
      </c>
      <c r="I103" s="510">
        <v>30131.389443457461</v>
      </c>
      <c r="J103" s="514">
        <f t="shared" si="20"/>
        <v>0</v>
      </c>
      <c r="K103" s="514"/>
      <c r="L103" s="518">
        <f t="shared" si="24"/>
        <v>30131.389443457461</v>
      </c>
      <c r="M103" s="519">
        <f t="shared" si="21"/>
        <v>0</v>
      </c>
      <c r="N103" s="518">
        <f t="shared" si="25"/>
        <v>30131.389443457461</v>
      </c>
      <c r="O103" s="514">
        <f t="shared" si="22"/>
        <v>0</v>
      </c>
      <c r="P103" s="514">
        <f t="shared" si="23"/>
        <v>0</v>
      </c>
      <c r="Q103" s="269"/>
    </row>
    <row r="104" spans="1:17" ht="12.5">
      <c r="B104" s="195" t="str">
        <f t="shared" si="26"/>
        <v/>
      </c>
      <c r="C104" s="507">
        <f>IF(D93="","-",+C103+1)</f>
        <v>2012</v>
      </c>
      <c r="D104" s="508">
        <v>168833.13763066201</v>
      </c>
      <c r="E104" s="516">
        <v>4410.6428571428569</v>
      </c>
      <c r="F104" s="515">
        <v>164422.49477351914</v>
      </c>
      <c r="G104" s="515">
        <v>166627.81620209059</v>
      </c>
      <c r="H104" s="516">
        <v>28930.581157886962</v>
      </c>
      <c r="I104" s="510">
        <v>28930.581157886962</v>
      </c>
      <c r="J104" s="514">
        <f t="shared" si="20"/>
        <v>0</v>
      </c>
      <c r="K104" s="514"/>
      <c r="L104" s="518">
        <f t="shared" si="24"/>
        <v>28930.581157886962</v>
      </c>
      <c r="M104" s="519">
        <f t="shared" si="21"/>
        <v>0</v>
      </c>
      <c r="N104" s="518">
        <f t="shared" si="25"/>
        <v>28930.581157886962</v>
      </c>
      <c r="O104" s="514">
        <f t="shared" si="22"/>
        <v>0</v>
      </c>
      <c r="P104" s="514">
        <f t="shared" si="23"/>
        <v>0</v>
      </c>
      <c r="Q104" s="269"/>
    </row>
    <row r="105" spans="1:17" ht="12.5">
      <c r="B105" s="195" t="str">
        <f t="shared" si="26"/>
        <v/>
      </c>
      <c r="C105" s="507">
        <f>IF(D93="","-",+C104+1)</f>
        <v>2013</v>
      </c>
      <c r="D105" s="508">
        <v>164422.49477351914</v>
      </c>
      <c r="E105" s="516">
        <v>4410.6428571428569</v>
      </c>
      <c r="F105" s="515">
        <v>160011.85191637627</v>
      </c>
      <c r="G105" s="515">
        <v>162217.17334494769</v>
      </c>
      <c r="H105" s="516">
        <v>26357.280382807578</v>
      </c>
      <c r="I105" s="510">
        <v>26357.280382807578</v>
      </c>
      <c r="J105" s="514">
        <v>0</v>
      </c>
      <c r="K105" s="514"/>
      <c r="L105" s="518">
        <f t="shared" si="24"/>
        <v>26357.280382807578</v>
      </c>
      <c r="M105" s="519">
        <f t="shared" ref="M105:M110" si="27">IF(L105&lt;&gt;0,+H105-L105,0)</f>
        <v>0</v>
      </c>
      <c r="N105" s="518">
        <f t="shared" si="25"/>
        <v>26357.280382807578</v>
      </c>
      <c r="O105" s="514">
        <f t="shared" ref="O105:O110" si="28">IF(N105&lt;&gt;0,+I105-N105,0)</f>
        <v>0</v>
      </c>
      <c r="P105" s="514">
        <f t="shared" ref="P105:P110" si="29">+O105-M105</f>
        <v>0</v>
      </c>
      <c r="Q105" s="269"/>
    </row>
    <row r="106" spans="1:17" ht="12.5">
      <c r="B106" s="195" t="str">
        <f t="shared" si="26"/>
        <v/>
      </c>
      <c r="C106" s="507">
        <f>IF(D93="","-",+C105+1)</f>
        <v>2014</v>
      </c>
      <c r="D106" s="508">
        <v>160011.85191637627</v>
      </c>
      <c r="E106" s="516">
        <v>4410.6428571428569</v>
      </c>
      <c r="F106" s="515">
        <v>155601.2090592334</v>
      </c>
      <c r="G106" s="515">
        <v>157806.53048780485</v>
      </c>
      <c r="H106" s="516">
        <v>25860.252454473681</v>
      </c>
      <c r="I106" s="510">
        <v>25860.252454473681</v>
      </c>
      <c r="J106" s="514">
        <v>0</v>
      </c>
      <c r="K106" s="514"/>
      <c r="L106" s="518">
        <f t="shared" si="24"/>
        <v>25860.252454473681</v>
      </c>
      <c r="M106" s="519">
        <f t="shared" si="27"/>
        <v>0</v>
      </c>
      <c r="N106" s="518">
        <f t="shared" si="25"/>
        <v>25860.252454473681</v>
      </c>
      <c r="O106" s="514">
        <f t="shared" si="28"/>
        <v>0</v>
      </c>
      <c r="P106" s="514">
        <f t="shared" si="29"/>
        <v>0</v>
      </c>
      <c r="Q106" s="269"/>
    </row>
    <row r="107" spans="1:17" ht="12.5">
      <c r="B107" s="195" t="str">
        <f t="shared" si="26"/>
        <v/>
      </c>
      <c r="C107" s="507">
        <f>IF(D93="","-",+C106+1)</f>
        <v>2015</v>
      </c>
      <c r="D107" s="508">
        <v>155601.2090592334</v>
      </c>
      <c r="E107" s="516">
        <v>4410.6428571428569</v>
      </c>
      <c r="F107" s="515">
        <v>151190.56620209053</v>
      </c>
      <c r="G107" s="515">
        <v>153395.88763066195</v>
      </c>
      <c r="H107" s="516">
        <v>24623.446840873446</v>
      </c>
      <c r="I107" s="510">
        <v>24623.446840873446</v>
      </c>
      <c r="J107" s="514">
        <f t="shared" si="20"/>
        <v>0</v>
      </c>
      <c r="K107" s="514"/>
      <c r="L107" s="518">
        <f>H107</f>
        <v>24623.446840873446</v>
      </c>
      <c r="M107" s="519">
        <f t="shared" si="27"/>
        <v>0</v>
      </c>
      <c r="N107" s="518">
        <f>I107</f>
        <v>24623.446840873446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6"/>
        <v/>
      </c>
      <c r="C108" s="507">
        <f>IF(D93="","-",+C107+1)</f>
        <v>2016</v>
      </c>
      <c r="D108" s="508">
        <v>151190.56620209053</v>
      </c>
      <c r="E108" s="516">
        <v>4308.0697674418607</v>
      </c>
      <c r="F108" s="515">
        <v>146882.49643464867</v>
      </c>
      <c r="G108" s="515">
        <v>149036.53131836961</v>
      </c>
      <c r="H108" s="516">
        <v>23228.255672846972</v>
      </c>
      <c r="I108" s="510">
        <v>23228.255672846972</v>
      </c>
      <c r="J108" s="514">
        <f t="shared" si="20"/>
        <v>0</v>
      </c>
      <c r="K108" s="514"/>
      <c r="L108" s="518">
        <f>H108</f>
        <v>23228.255672846972</v>
      </c>
      <c r="M108" s="519">
        <f t="shared" si="27"/>
        <v>0</v>
      </c>
      <c r="N108" s="518">
        <f>I108</f>
        <v>23228.255672846972</v>
      </c>
      <c r="O108" s="514">
        <f t="shared" si="28"/>
        <v>0</v>
      </c>
      <c r="P108" s="514">
        <f t="shared" si="29"/>
        <v>0</v>
      </c>
      <c r="Q108" s="269"/>
    </row>
    <row r="109" spans="1:17" ht="12.5">
      <c r="B109" s="195" t="str">
        <f t="shared" si="26"/>
        <v/>
      </c>
      <c r="C109" s="507">
        <f>IF(D93="","-",+C108+1)</f>
        <v>2017</v>
      </c>
      <c r="D109" s="508">
        <v>146882.49643464867</v>
      </c>
      <c r="E109" s="516">
        <v>4410.6428571428569</v>
      </c>
      <c r="F109" s="515">
        <v>142471.8535775058</v>
      </c>
      <c r="G109" s="515">
        <v>144677.17500607722</v>
      </c>
      <c r="H109" s="516">
        <v>21984.790198731629</v>
      </c>
      <c r="I109" s="510">
        <v>21984.790198731629</v>
      </c>
      <c r="J109" s="514">
        <f t="shared" si="20"/>
        <v>0</v>
      </c>
      <c r="K109" s="514"/>
      <c r="L109" s="518">
        <f>H109</f>
        <v>21984.790198731629</v>
      </c>
      <c r="M109" s="519">
        <f t="shared" si="27"/>
        <v>0</v>
      </c>
      <c r="N109" s="518">
        <f>I109</f>
        <v>21984.790198731629</v>
      </c>
      <c r="O109" s="514">
        <f t="shared" si="28"/>
        <v>0</v>
      </c>
      <c r="P109" s="514">
        <f t="shared" si="29"/>
        <v>0</v>
      </c>
      <c r="Q109" s="269"/>
    </row>
    <row r="110" spans="1:17" ht="12.5">
      <c r="B110" s="195" t="str">
        <f t="shared" si="26"/>
        <v/>
      </c>
      <c r="C110" s="507">
        <f>IF(D93="","-",+C109+1)</f>
        <v>2018</v>
      </c>
      <c r="D110" s="508">
        <v>142471.8535775058</v>
      </c>
      <c r="E110" s="516">
        <v>4410.6428571428569</v>
      </c>
      <c r="F110" s="515">
        <v>138061.21072036293</v>
      </c>
      <c r="G110" s="515">
        <v>140266.53214893438</v>
      </c>
      <c r="H110" s="516">
        <v>19223.431889109233</v>
      </c>
      <c r="I110" s="510">
        <v>19223.431889109233</v>
      </c>
      <c r="J110" s="514">
        <f t="shared" si="20"/>
        <v>0</v>
      </c>
      <c r="K110" s="514"/>
      <c r="L110" s="518">
        <f>H110</f>
        <v>19223.431889109233</v>
      </c>
      <c r="M110" s="519">
        <f t="shared" si="27"/>
        <v>0</v>
      </c>
      <c r="N110" s="518">
        <f>I110</f>
        <v>19223.431889109233</v>
      </c>
      <c r="O110" s="514">
        <f t="shared" si="28"/>
        <v>0</v>
      </c>
      <c r="P110" s="514">
        <f t="shared" si="29"/>
        <v>0</v>
      </c>
      <c r="Q110" s="269"/>
    </row>
    <row r="111" spans="1:17" ht="12.5">
      <c r="B111" s="195" t="str">
        <f t="shared" si="26"/>
        <v/>
      </c>
      <c r="C111" s="507">
        <f>IF(D93="","-",+C110+1)</f>
        <v>2019</v>
      </c>
      <c r="D111" s="508">
        <v>138061.21072036293</v>
      </c>
      <c r="E111" s="516">
        <v>4308.0697674418607</v>
      </c>
      <c r="F111" s="515">
        <v>133753.14095292107</v>
      </c>
      <c r="G111" s="515">
        <v>135907.17583664198</v>
      </c>
      <c r="H111" s="516">
        <v>18855.648147984095</v>
      </c>
      <c r="I111" s="510">
        <v>18855.648147984095</v>
      </c>
      <c r="J111" s="514">
        <f t="shared" si="20"/>
        <v>0</v>
      </c>
      <c r="K111" s="514"/>
      <c r="L111" s="518">
        <f>H111</f>
        <v>18855.648147984095</v>
      </c>
      <c r="M111" s="519">
        <f t="shared" ref="M111" si="30">IF(L111&lt;&gt;0,+H111-L111,0)</f>
        <v>0</v>
      </c>
      <c r="N111" s="518">
        <f>I111</f>
        <v>18855.648147984095</v>
      </c>
      <c r="O111" s="514">
        <f t="shared" si="22"/>
        <v>0</v>
      </c>
      <c r="P111" s="514">
        <f t="shared" si="23"/>
        <v>0</v>
      </c>
      <c r="Q111" s="269"/>
    </row>
    <row r="112" spans="1:17" ht="12.5">
      <c r="B112" s="195" t="str">
        <f t="shared" si="26"/>
        <v/>
      </c>
      <c r="C112" s="507">
        <f>IF(D93="","-",+C111+1)</f>
        <v>2020</v>
      </c>
      <c r="D112" s="374">
        <f>IF(F111+SUM(E$99:E111)=D$92,F111,D$92-SUM(E$99:E111))</f>
        <v>133753.14095292107</v>
      </c>
      <c r="E112" s="522">
        <f>IF(+J96&lt;F111,J96,D112)</f>
        <v>4410.6428571428569</v>
      </c>
      <c r="F112" s="523">
        <f t="shared" ref="F112:F130" si="31">+D112-E112</f>
        <v>129342.49809577821</v>
      </c>
      <c r="G112" s="523">
        <f t="shared" ref="G112:G130" si="32">+(F112+D112)/2</f>
        <v>131547.81952434964</v>
      </c>
      <c r="H112" s="526">
        <f>+J$94*G112+E112</f>
        <v>18561.745960492495</v>
      </c>
      <c r="I112" s="577">
        <f>+J$95*G112+E112</f>
        <v>18561.745960492495</v>
      </c>
      <c r="J112" s="514">
        <f t="shared" si="20"/>
        <v>0</v>
      </c>
      <c r="K112" s="514"/>
      <c r="L112" s="525"/>
      <c r="M112" s="514">
        <f t="shared" si="21"/>
        <v>0</v>
      </c>
      <c r="N112" s="525"/>
      <c r="O112" s="514">
        <f t="shared" si="22"/>
        <v>0</v>
      </c>
      <c r="P112" s="514">
        <f t="shared" si="23"/>
        <v>0</v>
      </c>
      <c r="Q112" s="269"/>
    </row>
    <row r="113" spans="2:17" ht="12.5">
      <c r="B113" s="195" t="str">
        <f t="shared" si="26"/>
        <v/>
      </c>
      <c r="C113" s="507">
        <f>IF(D93="","-",+C112+1)</f>
        <v>2021</v>
      </c>
      <c r="D113" s="374">
        <f>IF(F112+SUM(E$99:E112)=D$92,F112,D$92-SUM(E$99:E112))</f>
        <v>129342.49809577821</v>
      </c>
      <c r="E113" s="522">
        <f>IF(+J96&lt;F112,J96,D113)</f>
        <v>4410.6428571428569</v>
      </c>
      <c r="F113" s="523">
        <f t="shared" si="31"/>
        <v>124931.85523863535</v>
      </c>
      <c r="G113" s="523">
        <f t="shared" si="32"/>
        <v>127137.17666720678</v>
      </c>
      <c r="H113" s="526">
        <f t="shared" ref="H113:H154" si="33">+J$94*G113+E113</f>
        <v>18087.276204557638</v>
      </c>
      <c r="I113" s="577">
        <f t="shared" ref="I113:I154" si="34">+J$95*G113+E113</f>
        <v>18087.276204557638</v>
      </c>
      <c r="J113" s="514">
        <f t="shared" si="20"/>
        <v>0</v>
      </c>
      <c r="K113" s="514"/>
      <c r="L113" s="525"/>
      <c r="M113" s="514">
        <f t="shared" si="21"/>
        <v>0</v>
      </c>
      <c r="N113" s="525"/>
      <c r="O113" s="514">
        <f t="shared" si="22"/>
        <v>0</v>
      </c>
      <c r="P113" s="514">
        <f t="shared" si="23"/>
        <v>0</v>
      </c>
      <c r="Q113" s="269"/>
    </row>
    <row r="114" spans="2:17" ht="12.5">
      <c r="B114" s="195" t="str">
        <f t="shared" si="26"/>
        <v/>
      </c>
      <c r="C114" s="507">
        <f>IF(D93="","-",+C113+1)</f>
        <v>2022</v>
      </c>
      <c r="D114" s="374">
        <f>IF(F113+SUM(E$99:E113)=D$92,F113,D$92-SUM(E$99:E113))</f>
        <v>124931.85523863535</v>
      </c>
      <c r="E114" s="522">
        <f>IF(+J96&lt;F113,J96,D114)</f>
        <v>4410.6428571428569</v>
      </c>
      <c r="F114" s="523">
        <f t="shared" si="31"/>
        <v>120521.2123814925</v>
      </c>
      <c r="G114" s="523">
        <f t="shared" si="32"/>
        <v>122726.53381006393</v>
      </c>
      <c r="H114" s="526">
        <f t="shared" si="33"/>
        <v>17612.806448622778</v>
      </c>
      <c r="I114" s="577">
        <f t="shared" si="34"/>
        <v>17612.806448622778</v>
      </c>
      <c r="J114" s="514">
        <f t="shared" si="20"/>
        <v>0</v>
      </c>
      <c r="K114" s="514"/>
      <c r="L114" s="525"/>
      <c r="M114" s="514">
        <f t="shared" si="21"/>
        <v>0</v>
      </c>
      <c r="N114" s="525"/>
      <c r="O114" s="514">
        <f t="shared" si="22"/>
        <v>0</v>
      </c>
      <c r="P114" s="514">
        <f t="shared" si="23"/>
        <v>0</v>
      </c>
      <c r="Q114" s="269"/>
    </row>
    <row r="115" spans="2:17" ht="12.5">
      <c r="B115" s="195" t="str">
        <f t="shared" si="26"/>
        <v/>
      </c>
      <c r="C115" s="507">
        <f>IF(D93="","-",+C114+1)</f>
        <v>2023</v>
      </c>
      <c r="D115" s="374">
        <f>IF(F114+SUM(E$99:E114)=D$92,F114,D$92-SUM(E$99:E114))</f>
        <v>120521.2123814925</v>
      </c>
      <c r="E115" s="522">
        <f>IF(+J96&lt;F114,J96,D115)</f>
        <v>4410.6428571428569</v>
      </c>
      <c r="F115" s="523">
        <f t="shared" si="31"/>
        <v>116110.56952434964</v>
      </c>
      <c r="G115" s="523">
        <f t="shared" si="32"/>
        <v>118315.89095292107</v>
      </c>
      <c r="H115" s="526">
        <f t="shared" si="33"/>
        <v>17138.336692687917</v>
      </c>
      <c r="I115" s="577">
        <f t="shared" si="34"/>
        <v>17138.336692687917</v>
      </c>
      <c r="J115" s="514">
        <f t="shared" si="20"/>
        <v>0</v>
      </c>
      <c r="K115" s="514"/>
      <c r="L115" s="525"/>
      <c r="M115" s="514">
        <f t="shared" si="21"/>
        <v>0</v>
      </c>
      <c r="N115" s="525"/>
      <c r="O115" s="514">
        <f t="shared" si="22"/>
        <v>0</v>
      </c>
      <c r="P115" s="514">
        <f t="shared" si="23"/>
        <v>0</v>
      </c>
      <c r="Q115" s="269"/>
    </row>
    <row r="116" spans="2:17" ht="12.5">
      <c r="B116" s="195" t="str">
        <f t="shared" si="26"/>
        <v/>
      </c>
      <c r="C116" s="507">
        <f>IF(D93="","-",+C115+1)</f>
        <v>2024</v>
      </c>
      <c r="D116" s="374">
        <f>IF(F115+SUM(E$99:E115)=D$92,F115,D$92-SUM(E$99:E115))</f>
        <v>116110.56952434964</v>
      </c>
      <c r="E116" s="522">
        <f>IF(+J96&lt;F115,J96,D116)</f>
        <v>4410.6428571428569</v>
      </c>
      <c r="F116" s="523">
        <f t="shared" si="31"/>
        <v>111699.92666720679</v>
      </c>
      <c r="G116" s="523">
        <f t="shared" si="32"/>
        <v>113905.24809577822</v>
      </c>
      <c r="H116" s="526">
        <f t="shared" si="33"/>
        <v>16663.86693675306</v>
      </c>
      <c r="I116" s="577">
        <f t="shared" si="34"/>
        <v>16663.86693675306</v>
      </c>
      <c r="J116" s="514">
        <f t="shared" si="20"/>
        <v>0</v>
      </c>
      <c r="K116" s="514"/>
      <c r="L116" s="525"/>
      <c r="M116" s="514">
        <f t="shared" si="21"/>
        <v>0</v>
      </c>
      <c r="N116" s="525"/>
      <c r="O116" s="514">
        <f t="shared" si="22"/>
        <v>0</v>
      </c>
      <c r="P116" s="514">
        <f t="shared" si="23"/>
        <v>0</v>
      </c>
      <c r="Q116" s="269"/>
    </row>
    <row r="117" spans="2:17" ht="12.5">
      <c r="B117" s="195" t="str">
        <f t="shared" si="26"/>
        <v/>
      </c>
      <c r="C117" s="507">
        <f>IF(D93="","-",+C116+1)</f>
        <v>2025</v>
      </c>
      <c r="D117" s="374">
        <f>IF(F116+SUM(E$99:E116)=D$92,F116,D$92-SUM(E$99:E116))</f>
        <v>111699.92666720679</v>
      </c>
      <c r="E117" s="522">
        <f>IF(+J96&lt;F116,J96,D117)</f>
        <v>4410.6428571428569</v>
      </c>
      <c r="F117" s="523">
        <f t="shared" si="31"/>
        <v>107289.28381006393</v>
      </c>
      <c r="G117" s="523">
        <f t="shared" si="32"/>
        <v>109494.60523863535</v>
      </c>
      <c r="H117" s="526">
        <f t="shared" si="33"/>
        <v>16189.397180818196</v>
      </c>
      <c r="I117" s="577">
        <f t="shared" si="34"/>
        <v>16189.397180818196</v>
      </c>
      <c r="J117" s="514">
        <f t="shared" si="20"/>
        <v>0</v>
      </c>
      <c r="K117" s="514"/>
      <c r="L117" s="525"/>
      <c r="M117" s="514">
        <f t="shared" si="21"/>
        <v>0</v>
      </c>
      <c r="N117" s="525"/>
      <c r="O117" s="514">
        <f t="shared" si="22"/>
        <v>0</v>
      </c>
      <c r="P117" s="514">
        <f t="shared" si="23"/>
        <v>0</v>
      </c>
      <c r="Q117" s="269"/>
    </row>
    <row r="118" spans="2:17" ht="12.5">
      <c r="B118" s="195" t="str">
        <f t="shared" si="26"/>
        <v/>
      </c>
      <c r="C118" s="507">
        <f>IF(D93="","-",+C117+1)</f>
        <v>2026</v>
      </c>
      <c r="D118" s="374">
        <f>IF(F117+SUM(E$99:E117)=D$92,F117,D$92-SUM(E$99:E117))</f>
        <v>107289.28381006393</v>
      </c>
      <c r="E118" s="522">
        <f>IF(+J96&lt;F117,J96,D118)</f>
        <v>4410.6428571428569</v>
      </c>
      <c r="F118" s="523">
        <f t="shared" si="31"/>
        <v>102878.64095292108</v>
      </c>
      <c r="G118" s="523">
        <f t="shared" si="32"/>
        <v>105083.96238149251</v>
      </c>
      <c r="H118" s="526">
        <f t="shared" si="33"/>
        <v>15714.927424883337</v>
      </c>
      <c r="I118" s="577">
        <f t="shared" si="34"/>
        <v>15714.927424883337</v>
      </c>
      <c r="J118" s="514">
        <f t="shared" si="20"/>
        <v>0</v>
      </c>
      <c r="K118" s="514"/>
      <c r="L118" s="525"/>
      <c r="M118" s="514">
        <f t="shared" si="21"/>
        <v>0</v>
      </c>
      <c r="N118" s="525"/>
      <c r="O118" s="514">
        <f t="shared" si="22"/>
        <v>0</v>
      </c>
      <c r="P118" s="514">
        <f t="shared" si="23"/>
        <v>0</v>
      </c>
      <c r="Q118" s="269"/>
    </row>
    <row r="119" spans="2:17" ht="12.5">
      <c r="B119" s="195" t="str">
        <f t="shared" si="26"/>
        <v/>
      </c>
      <c r="C119" s="507">
        <f>IF(D93="","-",+C118+1)</f>
        <v>2027</v>
      </c>
      <c r="D119" s="374">
        <f>IF(F118+SUM(E$99:E118)=D$92,F118,D$92-SUM(E$99:E118))</f>
        <v>102878.64095292108</v>
      </c>
      <c r="E119" s="522">
        <f>IF(+J96&lt;F118,J96,D119)</f>
        <v>4410.6428571428569</v>
      </c>
      <c r="F119" s="523">
        <f t="shared" si="31"/>
        <v>98467.998095778225</v>
      </c>
      <c r="G119" s="523">
        <f t="shared" si="32"/>
        <v>100673.31952434964</v>
      </c>
      <c r="H119" s="526">
        <f t="shared" si="33"/>
        <v>15240.457668948477</v>
      </c>
      <c r="I119" s="577">
        <f t="shared" si="34"/>
        <v>15240.457668948477</v>
      </c>
      <c r="J119" s="514">
        <f t="shared" si="20"/>
        <v>0</v>
      </c>
      <c r="K119" s="514"/>
      <c r="L119" s="525"/>
      <c r="M119" s="514">
        <f t="shared" si="21"/>
        <v>0</v>
      </c>
      <c r="N119" s="525"/>
      <c r="O119" s="514">
        <f t="shared" si="22"/>
        <v>0</v>
      </c>
      <c r="P119" s="514">
        <f t="shared" si="23"/>
        <v>0</v>
      </c>
      <c r="Q119" s="269"/>
    </row>
    <row r="120" spans="2:17" ht="12.5">
      <c r="B120" s="195" t="str">
        <f t="shared" si="26"/>
        <v/>
      </c>
      <c r="C120" s="507">
        <f>IF(D93="","-",+C119+1)</f>
        <v>2028</v>
      </c>
      <c r="D120" s="374">
        <f>IF(F119+SUM(E$99:E119)=D$92,F119,D$92-SUM(E$99:E119))</f>
        <v>98467.998095778225</v>
      </c>
      <c r="E120" s="522">
        <f>IF(+J96&lt;F119,J96,D120)</f>
        <v>4410.6428571428569</v>
      </c>
      <c r="F120" s="523">
        <f t="shared" si="31"/>
        <v>94057.355238635369</v>
      </c>
      <c r="G120" s="523">
        <f t="shared" si="32"/>
        <v>96262.676667206804</v>
      </c>
      <c r="H120" s="526">
        <f t="shared" si="33"/>
        <v>14765.987913013618</v>
      </c>
      <c r="I120" s="577">
        <f t="shared" si="34"/>
        <v>14765.987913013618</v>
      </c>
      <c r="J120" s="514">
        <f t="shared" si="20"/>
        <v>0</v>
      </c>
      <c r="K120" s="514"/>
      <c r="L120" s="525"/>
      <c r="M120" s="514">
        <f t="shared" si="21"/>
        <v>0</v>
      </c>
      <c r="N120" s="525"/>
      <c r="O120" s="514">
        <f t="shared" si="22"/>
        <v>0</v>
      </c>
      <c r="P120" s="514">
        <f t="shared" si="23"/>
        <v>0</v>
      </c>
      <c r="Q120" s="269"/>
    </row>
    <row r="121" spans="2:17" ht="12.5">
      <c r="B121" s="195" t="str">
        <f t="shared" si="26"/>
        <v/>
      </c>
      <c r="C121" s="507">
        <f>IF(D93="","-",+C120+1)</f>
        <v>2029</v>
      </c>
      <c r="D121" s="374">
        <f>IF(F120+SUM(E$99:E120)=D$92,F120,D$92-SUM(E$99:E120))</f>
        <v>94057.355238635369</v>
      </c>
      <c r="E121" s="522">
        <f>IF(+J96&lt;F120,J96,D121)</f>
        <v>4410.6428571428569</v>
      </c>
      <c r="F121" s="523">
        <f t="shared" si="31"/>
        <v>89646.712381492514</v>
      </c>
      <c r="G121" s="523">
        <f t="shared" si="32"/>
        <v>91852.033810063935</v>
      </c>
      <c r="H121" s="526">
        <f t="shared" si="33"/>
        <v>14291.518157078755</v>
      </c>
      <c r="I121" s="577">
        <f t="shared" si="34"/>
        <v>14291.518157078755</v>
      </c>
      <c r="J121" s="514">
        <f t="shared" si="20"/>
        <v>0</v>
      </c>
      <c r="K121" s="514"/>
      <c r="L121" s="525"/>
      <c r="M121" s="514">
        <f t="shared" si="21"/>
        <v>0</v>
      </c>
      <c r="N121" s="525"/>
      <c r="O121" s="514">
        <f t="shared" si="22"/>
        <v>0</v>
      </c>
      <c r="P121" s="514">
        <f t="shared" si="23"/>
        <v>0</v>
      </c>
      <c r="Q121" s="269"/>
    </row>
    <row r="122" spans="2:17" ht="12.5">
      <c r="B122" s="195" t="str">
        <f t="shared" si="26"/>
        <v/>
      </c>
      <c r="C122" s="507">
        <f>IF(D93="","-",+C121+1)</f>
        <v>2030</v>
      </c>
      <c r="D122" s="374">
        <f>IF(F121+SUM(E$99:E121)=D$92,F121,D$92-SUM(E$99:E121))</f>
        <v>89646.712381492514</v>
      </c>
      <c r="E122" s="522">
        <f>IF(+J96&lt;F121,J96,D122)</f>
        <v>4410.6428571428569</v>
      </c>
      <c r="F122" s="523">
        <f t="shared" si="31"/>
        <v>85236.069524349659</v>
      </c>
      <c r="G122" s="523">
        <f t="shared" si="32"/>
        <v>87441.390952921094</v>
      </c>
      <c r="H122" s="526">
        <f t="shared" si="33"/>
        <v>13817.048401143898</v>
      </c>
      <c r="I122" s="577">
        <f t="shared" si="34"/>
        <v>13817.048401143898</v>
      </c>
      <c r="J122" s="514">
        <f t="shared" si="20"/>
        <v>0</v>
      </c>
      <c r="K122" s="514"/>
      <c r="L122" s="525"/>
      <c r="M122" s="514">
        <f t="shared" si="21"/>
        <v>0</v>
      </c>
      <c r="N122" s="525"/>
      <c r="O122" s="514">
        <f t="shared" si="22"/>
        <v>0</v>
      </c>
      <c r="P122" s="514">
        <f t="shared" si="23"/>
        <v>0</v>
      </c>
      <c r="Q122" s="269"/>
    </row>
    <row r="123" spans="2:17" ht="12.5">
      <c r="B123" s="195" t="str">
        <f t="shared" si="26"/>
        <v/>
      </c>
      <c r="C123" s="507">
        <f>IF(D93="","-",+C122+1)</f>
        <v>2031</v>
      </c>
      <c r="D123" s="374">
        <f>IF(F122+SUM(E$99:E122)=D$92,F122,D$92-SUM(E$99:E122))</f>
        <v>85236.069524349659</v>
      </c>
      <c r="E123" s="522">
        <f>IF(+J96&lt;F122,J96,D123)</f>
        <v>4410.6428571428569</v>
      </c>
      <c r="F123" s="523">
        <f t="shared" si="31"/>
        <v>80825.426667206804</v>
      </c>
      <c r="G123" s="523">
        <f t="shared" si="32"/>
        <v>83030.748095778225</v>
      </c>
      <c r="H123" s="526">
        <f t="shared" si="33"/>
        <v>13342.578645209036</v>
      </c>
      <c r="I123" s="577">
        <f t="shared" si="34"/>
        <v>13342.578645209036</v>
      </c>
      <c r="J123" s="514">
        <f t="shared" si="20"/>
        <v>0</v>
      </c>
      <c r="K123" s="514"/>
      <c r="L123" s="525"/>
      <c r="M123" s="514">
        <f t="shared" si="21"/>
        <v>0</v>
      </c>
      <c r="N123" s="525"/>
      <c r="O123" s="514">
        <f t="shared" si="22"/>
        <v>0</v>
      </c>
      <c r="P123" s="514">
        <f t="shared" si="23"/>
        <v>0</v>
      </c>
      <c r="Q123" s="269"/>
    </row>
    <row r="124" spans="2:17" ht="12.5">
      <c r="B124" s="195" t="str">
        <f t="shared" si="26"/>
        <v/>
      </c>
      <c r="C124" s="507">
        <f>IF(D93="","-",+C123+1)</f>
        <v>2032</v>
      </c>
      <c r="D124" s="374">
        <f>IF(F123+SUM(E$99:E123)=D$92,F123,D$92-SUM(E$99:E123))</f>
        <v>80825.426667206804</v>
      </c>
      <c r="E124" s="522">
        <f>IF(+J96&lt;F123,J96,D124)</f>
        <v>4410.6428571428569</v>
      </c>
      <c r="F124" s="523">
        <f t="shared" si="31"/>
        <v>76414.783810063949</v>
      </c>
      <c r="G124" s="523">
        <f t="shared" si="32"/>
        <v>78620.105238635384</v>
      </c>
      <c r="H124" s="526">
        <f t="shared" si="33"/>
        <v>12868.108889274177</v>
      </c>
      <c r="I124" s="577">
        <f t="shared" si="34"/>
        <v>12868.108889274177</v>
      </c>
      <c r="J124" s="514">
        <f t="shared" si="20"/>
        <v>0</v>
      </c>
      <c r="K124" s="514"/>
      <c r="L124" s="525"/>
      <c r="M124" s="514">
        <f t="shared" si="21"/>
        <v>0</v>
      </c>
      <c r="N124" s="525"/>
      <c r="O124" s="514">
        <f t="shared" si="22"/>
        <v>0</v>
      </c>
      <c r="P124" s="514">
        <f t="shared" si="23"/>
        <v>0</v>
      </c>
      <c r="Q124" s="269"/>
    </row>
    <row r="125" spans="2:17" ht="12.5">
      <c r="B125" s="195" t="str">
        <f t="shared" si="26"/>
        <v/>
      </c>
      <c r="C125" s="507">
        <f>IF(D93="","-",+C124+1)</f>
        <v>2033</v>
      </c>
      <c r="D125" s="374">
        <f>IF(F124+SUM(E$99:E124)=D$92,F124,D$92-SUM(E$99:E124))</f>
        <v>76414.783810063949</v>
      </c>
      <c r="E125" s="522">
        <f>IF(+J96&lt;F124,J96,D125)</f>
        <v>4410.6428571428569</v>
      </c>
      <c r="F125" s="523">
        <f t="shared" si="31"/>
        <v>72004.140952921094</v>
      </c>
      <c r="G125" s="523">
        <f t="shared" si="32"/>
        <v>74209.462381492514</v>
      </c>
      <c r="H125" s="526">
        <f t="shared" si="33"/>
        <v>12393.639133339317</v>
      </c>
      <c r="I125" s="577">
        <f t="shared" si="34"/>
        <v>12393.639133339317</v>
      </c>
      <c r="J125" s="514">
        <f t="shared" si="20"/>
        <v>0</v>
      </c>
      <c r="K125" s="514"/>
      <c r="L125" s="525"/>
      <c r="M125" s="514">
        <f t="shared" si="21"/>
        <v>0</v>
      </c>
      <c r="N125" s="525"/>
      <c r="O125" s="514">
        <f t="shared" si="22"/>
        <v>0</v>
      </c>
      <c r="P125" s="514">
        <f t="shared" si="23"/>
        <v>0</v>
      </c>
      <c r="Q125" s="269"/>
    </row>
    <row r="126" spans="2:17" ht="12.5">
      <c r="B126" s="195" t="str">
        <f t="shared" si="26"/>
        <v/>
      </c>
      <c r="C126" s="507">
        <f>IF(D93="","-",+C125+1)</f>
        <v>2034</v>
      </c>
      <c r="D126" s="374">
        <f>IF(F125+SUM(E$99:E125)=D$92,F125,D$92-SUM(E$99:E125))</f>
        <v>72004.140952921094</v>
      </c>
      <c r="E126" s="522">
        <f>IF(+J96&lt;F125,J96,D126)</f>
        <v>4410.6428571428569</v>
      </c>
      <c r="F126" s="523">
        <f t="shared" si="31"/>
        <v>67593.498095778239</v>
      </c>
      <c r="G126" s="523">
        <f t="shared" si="32"/>
        <v>69798.819524349674</v>
      </c>
      <c r="H126" s="526">
        <f t="shared" si="33"/>
        <v>11919.169377404458</v>
      </c>
      <c r="I126" s="577">
        <f t="shared" si="34"/>
        <v>11919.169377404458</v>
      </c>
      <c r="J126" s="514">
        <f t="shared" si="20"/>
        <v>0</v>
      </c>
      <c r="K126" s="514"/>
      <c r="L126" s="525"/>
      <c r="M126" s="514">
        <f t="shared" si="21"/>
        <v>0</v>
      </c>
      <c r="N126" s="525"/>
      <c r="O126" s="514">
        <f t="shared" si="22"/>
        <v>0</v>
      </c>
      <c r="P126" s="514">
        <f t="shared" si="23"/>
        <v>0</v>
      </c>
      <c r="Q126" s="269"/>
    </row>
    <row r="127" spans="2:17" ht="12.5">
      <c r="B127" s="195" t="str">
        <f t="shared" si="26"/>
        <v/>
      </c>
      <c r="C127" s="507">
        <f>IF(D93="","-",+C126+1)</f>
        <v>2035</v>
      </c>
      <c r="D127" s="374">
        <f>IF(F126+SUM(E$99:E126)=D$92,F126,D$92-SUM(E$99:E126))</f>
        <v>67593.498095778239</v>
      </c>
      <c r="E127" s="522">
        <f>IF(+J96&lt;F126,J96,D127)</f>
        <v>4410.6428571428569</v>
      </c>
      <c r="F127" s="523">
        <f t="shared" si="31"/>
        <v>63182.855238635384</v>
      </c>
      <c r="G127" s="523">
        <f t="shared" si="32"/>
        <v>65388.176667206812</v>
      </c>
      <c r="H127" s="526">
        <f t="shared" si="33"/>
        <v>11444.699621469597</v>
      </c>
      <c r="I127" s="577">
        <f t="shared" si="34"/>
        <v>11444.699621469597</v>
      </c>
      <c r="J127" s="514">
        <f t="shared" si="20"/>
        <v>0</v>
      </c>
      <c r="K127" s="514"/>
      <c r="L127" s="525"/>
      <c r="M127" s="514">
        <f t="shared" si="21"/>
        <v>0</v>
      </c>
      <c r="N127" s="525"/>
      <c r="O127" s="514">
        <f t="shared" si="22"/>
        <v>0</v>
      </c>
      <c r="P127" s="514">
        <f t="shared" si="23"/>
        <v>0</v>
      </c>
      <c r="Q127" s="269"/>
    </row>
    <row r="128" spans="2:17" ht="12.5">
      <c r="B128" s="195" t="str">
        <f t="shared" si="26"/>
        <v/>
      </c>
      <c r="C128" s="507">
        <f>IF(D93="","-",+C127+1)</f>
        <v>2036</v>
      </c>
      <c r="D128" s="374">
        <f>IF(F127+SUM(E$99:E127)=D$92,F127,D$92-SUM(E$99:E127))</f>
        <v>63182.855238635384</v>
      </c>
      <c r="E128" s="522">
        <f>IF(+J96&lt;F127,J96,D128)</f>
        <v>4410.6428571428569</v>
      </c>
      <c r="F128" s="523">
        <f t="shared" si="31"/>
        <v>58772.212381492529</v>
      </c>
      <c r="G128" s="523">
        <f t="shared" si="32"/>
        <v>60977.533810063956</v>
      </c>
      <c r="H128" s="526">
        <f t="shared" si="33"/>
        <v>10970.229865534737</v>
      </c>
      <c r="I128" s="577">
        <f t="shared" si="34"/>
        <v>10970.229865534737</v>
      </c>
      <c r="J128" s="514">
        <f t="shared" si="20"/>
        <v>0</v>
      </c>
      <c r="K128" s="514"/>
      <c r="L128" s="525"/>
      <c r="M128" s="514">
        <f t="shared" si="21"/>
        <v>0</v>
      </c>
      <c r="N128" s="525"/>
      <c r="O128" s="514">
        <f t="shared" si="22"/>
        <v>0</v>
      </c>
      <c r="P128" s="514">
        <f t="shared" si="23"/>
        <v>0</v>
      </c>
      <c r="Q128" s="269"/>
    </row>
    <row r="129" spans="2:17" ht="12.5">
      <c r="B129" s="195" t="str">
        <f t="shared" si="26"/>
        <v/>
      </c>
      <c r="C129" s="507">
        <f>IF(D93="","-",+C128+1)</f>
        <v>2037</v>
      </c>
      <c r="D129" s="374">
        <f>IF(F128+SUM(E$99:E128)=D$92,F128,D$92-SUM(E$99:E128))</f>
        <v>58772.212381492529</v>
      </c>
      <c r="E129" s="522">
        <f>IF(+J96&lt;F128,J96,D129)</f>
        <v>4410.6428571428569</v>
      </c>
      <c r="F129" s="523">
        <f t="shared" si="31"/>
        <v>54361.569524349674</v>
      </c>
      <c r="G129" s="523">
        <f t="shared" si="32"/>
        <v>56566.890952921101</v>
      </c>
      <c r="H129" s="526">
        <f t="shared" si="33"/>
        <v>10495.760109599876</v>
      </c>
      <c r="I129" s="577">
        <f t="shared" si="34"/>
        <v>10495.760109599876</v>
      </c>
      <c r="J129" s="514">
        <f t="shared" si="20"/>
        <v>0</v>
      </c>
      <c r="K129" s="514"/>
      <c r="L129" s="525"/>
      <c r="M129" s="514">
        <f t="shared" si="21"/>
        <v>0</v>
      </c>
      <c r="N129" s="525"/>
      <c r="O129" s="514">
        <f t="shared" si="22"/>
        <v>0</v>
      </c>
      <c r="P129" s="514">
        <f t="shared" si="23"/>
        <v>0</v>
      </c>
      <c r="Q129" s="269"/>
    </row>
    <row r="130" spans="2:17" ht="12.5">
      <c r="B130" s="195" t="str">
        <f t="shared" si="26"/>
        <v/>
      </c>
      <c r="C130" s="507">
        <f>IF(D93="","-",+C129+1)</f>
        <v>2038</v>
      </c>
      <c r="D130" s="374">
        <f>IF(F129+SUM(E$99:E129)=D$92,F129,D$92-SUM(E$99:E129))</f>
        <v>54361.569524349674</v>
      </c>
      <c r="E130" s="522">
        <f>IF(+J96&lt;F129,J96,D130)</f>
        <v>4410.6428571428569</v>
      </c>
      <c r="F130" s="523">
        <f t="shared" si="31"/>
        <v>49950.926667206819</v>
      </c>
      <c r="G130" s="523">
        <f t="shared" si="32"/>
        <v>52156.248095778246</v>
      </c>
      <c r="H130" s="526">
        <f t="shared" si="33"/>
        <v>10021.290353665017</v>
      </c>
      <c r="I130" s="577">
        <f t="shared" si="34"/>
        <v>10021.290353665017</v>
      </c>
      <c r="J130" s="514">
        <f t="shared" si="20"/>
        <v>0</v>
      </c>
      <c r="K130" s="514"/>
      <c r="L130" s="525"/>
      <c r="M130" s="514">
        <f t="shared" si="21"/>
        <v>0</v>
      </c>
      <c r="N130" s="525"/>
      <c r="O130" s="514">
        <f t="shared" si="22"/>
        <v>0</v>
      </c>
      <c r="P130" s="514">
        <f t="shared" si="23"/>
        <v>0</v>
      </c>
      <c r="Q130" s="269"/>
    </row>
    <row r="131" spans="2:17" ht="12.5">
      <c r="B131" s="195" t="str">
        <f t="shared" si="26"/>
        <v/>
      </c>
      <c r="C131" s="507">
        <f>IF(D93="","-",+C130+1)</f>
        <v>2039</v>
      </c>
      <c r="D131" s="374">
        <f>IF(F130+SUM(E$99:E130)=D$92,F130,D$92-SUM(E$99:E130))</f>
        <v>49950.926667206819</v>
      </c>
      <c r="E131" s="522">
        <f>IF(+J96&lt;F130,J96,D131)</f>
        <v>4410.6428571428569</v>
      </c>
      <c r="F131" s="523">
        <f t="shared" ref="F131:F154" si="35">+D131-E131</f>
        <v>45540.283810063964</v>
      </c>
      <c r="G131" s="523">
        <f t="shared" ref="G131:G154" si="36">+(F131+D131)/2</f>
        <v>47745.605238635391</v>
      </c>
      <c r="H131" s="526">
        <f t="shared" si="33"/>
        <v>9546.8205977301586</v>
      </c>
      <c r="I131" s="577">
        <f t="shared" si="34"/>
        <v>9546.8205977301586</v>
      </c>
      <c r="J131" s="514">
        <f t="shared" ref="J131:J154" si="37">+I131-H131</f>
        <v>0</v>
      </c>
      <c r="K131" s="514"/>
      <c r="L131" s="525"/>
      <c r="M131" s="514">
        <f t="shared" ref="M131:M154" si="38">IF(L131&lt;&gt;0,+H131-L131,0)</f>
        <v>0</v>
      </c>
      <c r="N131" s="525"/>
      <c r="O131" s="514">
        <f t="shared" ref="O131:O154" si="39">IF(N131&lt;&gt;0,+I131-N131,0)</f>
        <v>0</v>
      </c>
      <c r="P131" s="514">
        <f t="shared" ref="P131:P154" si="40">+O131-M131</f>
        <v>0</v>
      </c>
      <c r="Q131" s="269"/>
    </row>
    <row r="132" spans="2:17" ht="12.5">
      <c r="B132" s="195" t="str">
        <f t="shared" si="26"/>
        <v/>
      </c>
      <c r="C132" s="507">
        <f>IF(D93="","-",+C131+1)</f>
        <v>2040</v>
      </c>
      <c r="D132" s="374">
        <f>IF(F131+SUM(E$99:E131)=D$92,F131,D$92-SUM(E$99:E131))</f>
        <v>45540.283810063964</v>
      </c>
      <c r="E132" s="522">
        <f>IF(+J96&lt;F131,J96,D132)</f>
        <v>4410.6428571428569</v>
      </c>
      <c r="F132" s="523">
        <f t="shared" si="35"/>
        <v>41129.640952921109</v>
      </c>
      <c r="G132" s="523">
        <f t="shared" si="36"/>
        <v>43334.962381492536</v>
      </c>
      <c r="H132" s="526">
        <f t="shared" si="33"/>
        <v>9072.350841795298</v>
      </c>
      <c r="I132" s="577">
        <f t="shared" si="34"/>
        <v>9072.350841795298</v>
      </c>
      <c r="J132" s="514">
        <f t="shared" si="37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  <c r="Q132" s="269"/>
    </row>
    <row r="133" spans="2:17" ht="12.5">
      <c r="B133" s="195" t="str">
        <f t="shared" si="26"/>
        <v/>
      </c>
      <c r="C133" s="507">
        <f>IF(D93="","-",+C132+1)</f>
        <v>2041</v>
      </c>
      <c r="D133" s="374">
        <f>IF(F132+SUM(E$99:E132)=D$92,F132,D$92-SUM(E$99:E132))</f>
        <v>41129.640952921109</v>
      </c>
      <c r="E133" s="522">
        <f>IF(+J96&lt;F132,J96,D133)</f>
        <v>4410.6428571428569</v>
      </c>
      <c r="F133" s="523">
        <f t="shared" si="35"/>
        <v>36718.998095778254</v>
      </c>
      <c r="G133" s="523">
        <f t="shared" si="36"/>
        <v>38924.319524349681</v>
      </c>
      <c r="H133" s="526">
        <f t="shared" si="33"/>
        <v>8597.8810858604375</v>
      </c>
      <c r="I133" s="577">
        <f t="shared" si="34"/>
        <v>8597.8810858604375</v>
      </c>
      <c r="J133" s="514">
        <f t="shared" si="37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  <c r="Q133" s="269"/>
    </row>
    <row r="134" spans="2:17" ht="12.5">
      <c r="B134" s="195" t="str">
        <f t="shared" si="26"/>
        <v/>
      </c>
      <c r="C134" s="507">
        <f>IF(D93="","-",+C133+1)</f>
        <v>2042</v>
      </c>
      <c r="D134" s="374">
        <f>IF(F133+SUM(E$99:E133)=D$92,F133,D$92-SUM(E$99:E133))</f>
        <v>36718.998095778254</v>
      </c>
      <c r="E134" s="522">
        <f>IF(+J96&lt;F133,J96,D134)</f>
        <v>4410.6428571428569</v>
      </c>
      <c r="F134" s="523">
        <f t="shared" si="35"/>
        <v>32308.355238635399</v>
      </c>
      <c r="G134" s="523">
        <f t="shared" si="36"/>
        <v>34513.676667206826</v>
      </c>
      <c r="H134" s="526">
        <f t="shared" si="33"/>
        <v>8123.4113299255778</v>
      </c>
      <c r="I134" s="577">
        <f t="shared" si="34"/>
        <v>8123.4113299255778</v>
      </c>
      <c r="J134" s="514">
        <f t="shared" si="37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  <c r="Q134" s="269"/>
    </row>
    <row r="135" spans="2:17" ht="12.5">
      <c r="B135" s="195" t="str">
        <f t="shared" si="26"/>
        <v/>
      </c>
      <c r="C135" s="507">
        <f>IF(D93="","-",+C134+1)</f>
        <v>2043</v>
      </c>
      <c r="D135" s="374">
        <f>IF(F134+SUM(E$99:E134)=D$92,F134,D$92-SUM(E$99:E134))</f>
        <v>32308.355238635399</v>
      </c>
      <c r="E135" s="522">
        <f>IF(+J96&lt;F134,J96,D135)</f>
        <v>4410.6428571428569</v>
      </c>
      <c r="F135" s="523">
        <f t="shared" si="35"/>
        <v>27897.712381492543</v>
      </c>
      <c r="G135" s="523">
        <f t="shared" si="36"/>
        <v>30103.033810063971</v>
      </c>
      <c r="H135" s="526">
        <f t="shared" si="33"/>
        <v>7648.9415739907181</v>
      </c>
      <c r="I135" s="577">
        <f t="shared" si="34"/>
        <v>7648.9415739907181</v>
      </c>
      <c r="J135" s="514">
        <f t="shared" si="37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  <c r="Q135" s="269"/>
    </row>
    <row r="136" spans="2:17" ht="12.5">
      <c r="B136" s="195" t="str">
        <f t="shared" si="26"/>
        <v/>
      </c>
      <c r="C136" s="507">
        <f>IF(D93="","-",+C135+1)</f>
        <v>2044</v>
      </c>
      <c r="D136" s="374">
        <f>IF(F135+SUM(E$99:E135)=D$92,F135,D$92-SUM(E$99:E135))</f>
        <v>27897.712381492543</v>
      </c>
      <c r="E136" s="522">
        <f>IF(+J96&lt;F135,J96,D136)</f>
        <v>4410.6428571428569</v>
      </c>
      <c r="F136" s="523">
        <f t="shared" si="35"/>
        <v>23487.069524349688</v>
      </c>
      <c r="G136" s="523">
        <f t="shared" si="36"/>
        <v>25692.390952921116</v>
      </c>
      <c r="H136" s="526">
        <f t="shared" si="33"/>
        <v>7174.4718180558575</v>
      </c>
      <c r="I136" s="577">
        <f t="shared" si="34"/>
        <v>7174.4718180558575</v>
      </c>
      <c r="J136" s="514">
        <f t="shared" si="37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  <c r="Q136" s="269"/>
    </row>
    <row r="137" spans="2:17" ht="12.5">
      <c r="B137" s="195" t="str">
        <f t="shared" si="26"/>
        <v/>
      </c>
      <c r="C137" s="507">
        <f>IF(D93="","-",+C136+1)</f>
        <v>2045</v>
      </c>
      <c r="D137" s="374">
        <f>IF(F136+SUM(E$99:E136)=D$92,F136,D$92-SUM(E$99:E136))</f>
        <v>23487.069524349688</v>
      </c>
      <c r="E137" s="522">
        <f>IF(+J96&lt;F136,J96,D137)</f>
        <v>4410.6428571428569</v>
      </c>
      <c r="F137" s="523">
        <f t="shared" si="35"/>
        <v>19076.426667206833</v>
      </c>
      <c r="G137" s="523">
        <f t="shared" si="36"/>
        <v>21281.748095778261</v>
      </c>
      <c r="H137" s="526">
        <f t="shared" si="33"/>
        <v>6700.0020621209978</v>
      </c>
      <c r="I137" s="577">
        <f t="shared" si="34"/>
        <v>6700.0020621209978</v>
      </c>
      <c r="J137" s="514">
        <f t="shared" si="37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  <c r="Q137" s="269"/>
    </row>
    <row r="138" spans="2:17" ht="12.5">
      <c r="B138" s="195" t="str">
        <f t="shared" si="26"/>
        <v/>
      </c>
      <c r="C138" s="507">
        <f>IF(D93="","-",+C137+1)</f>
        <v>2046</v>
      </c>
      <c r="D138" s="374">
        <f>IF(F137+SUM(E$99:E137)=D$92,F137,D$92-SUM(E$99:E137))</f>
        <v>19076.426667206833</v>
      </c>
      <c r="E138" s="522">
        <f>IF(+J96&lt;F137,J96,D138)</f>
        <v>4410.6428571428569</v>
      </c>
      <c r="F138" s="523">
        <f t="shared" si="35"/>
        <v>14665.783810063976</v>
      </c>
      <c r="G138" s="523">
        <f t="shared" si="36"/>
        <v>16871.105238635406</v>
      </c>
      <c r="H138" s="526">
        <f t="shared" si="33"/>
        <v>6225.5323061861382</v>
      </c>
      <c r="I138" s="577">
        <f t="shared" si="34"/>
        <v>6225.5323061861382</v>
      </c>
      <c r="J138" s="514">
        <f t="shared" si="37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  <c r="Q138" s="269"/>
    </row>
    <row r="139" spans="2:17" ht="12.5">
      <c r="B139" s="195" t="str">
        <f t="shared" si="26"/>
        <v/>
      </c>
      <c r="C139" s="507">
        <f>IF(D93="","-",+C138+1)</f>
        <v>2047</v>
      </c>
      <c r="D139" s="374">
        <f>IF(F138+SUM(E$99:E138)=D$92,F138,D$92-SUM(E$99:E138))</f>
        <v>14665.783810063976</v>
      </c>
      <c r="E139" s="522">
        <f>IF(+J96&lt;F138,J96,D139)</f>
        <v>4410.6428571428569</v>
      </c>
      <c r="F139" s="523">
        <f t="shared" si="35"/>
        <v>10255.14095292112</v>
      </c>
      <c r="G139" s="523">
        <f t="shared" si="36"/>
        <v>12460.462381492547</v>
      </c>
      <c r="H139" s="526">
        <f t="shared" si="33"/>
        <v>5751.0625502512776</v>
      </c>
      <c r="I139" s="577">
        <f t="shared" si="34"/>
        <v>5751.0625502512776</v>
      </c>
      <c r="J139" s="514">
        <f t="shared" si="37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  <c r="Q139" s="269"/>
    </row>
    <row r="140" spans="2:17" ht="12.5">
      <c r="B140" s="195" t="str">
        <f t="shared" si="26"/>
        <v/>
      </c>
      <c r="C140" s="507">
        <f>IF(D93="","-",+C139+1)</f>
        <v>2048</v>
      </c>
      <c r="D140" s="374">
        <f>IF(F139+SUM(E$99:E139)=D$92,F139,D$92-SUM(E$99:E139))</f>
        <v>10255.14095292112</v>
      </c>
      <c r="E140" s="522">
        <f>IF(+J96&lt;F139,J96,D140)</f>
        <v>4410.6428571428569</v>
      </c>
      <c r="F140" s="523">
        <f t="shared" si="35"/>
        <v>5844.4980957782627</v>
      </c>
      <c r="G140" s="523">
        <f t="shared" si="36"/>
        <v>8049.8195243496912</v>
      </c>
      <c r="H140" s="526">
        <f t="shared" si="33"/>
        <v>5276.592794316417</v>
      </c>
      <c r="I140" s="577">
        <f t="shared" si="34"/>
        <v>5276.592794316417</v>
      </c>
      <c r="J140" s="514">
        <f t="shared" si="37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  <c r="Q140" s="269"/>
    </row>
    <row r="141" spans="2:17" ht="12.5">
      <c r="B141" s="195" t="str">
        <f t="shared" si="26"/>
        <v/>
      </c>
      <c r="C141" s="507">
        <f>IF(D93="","-",+C140+1)</f>
        <v>2049</v>
      </c>
      <c r="D141" s="374">
        <f>IF(F140+SUM(E$99:E140)=D$92,F140,D$92-SUM(E$99:E140))</f>
        <v>5844.4980957782627</v>
      </c>
      <c r="E141" s="522">
        <f>IF(+J96&lt;F140,J96,D141)</f>
        <v>4410.6428571428569</v>
      </c>
      <c r="F141" s="523">
        <f t="shared" si="35"/>
        <v>1433.8552386354058</v>
      </c>
      <c r="G141" s="523">
        <f t="shared" si="36"/>
        <v>3639.1766672068343</v>
      </c>
      <c r="H141" s="526">
        <f t="shared" si="33"/>
        <v>4802.1230383815573</v>
      </c>
      <c r="I141" s="577">
        <f t="shared" si="34"/>
        <v>4802.1230383815573</v>
      </c>
      <c r="J141" s="514">
        <f t="shared" si="37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  <c r="Q141" s="269"/>
    </row>
    <row r="142" spans="2:17" ht="12.5">
      <c r="B142" s="195" t="str">
        <f t="shared" si="26"/>
        <v/>
      </c>
      <c r="C142" s="507">
        <f>IF(D93="","-",+C141+1)</f>
        <v>2050</v>
      </c>
      <c r="D142" s="374">
        <f>IF(F141+SUM(E$99:E141)=D$92,F141,D$92-SUM(E$99:E141))</f>
        <v>1433.8552386354058</v>
      </c>
      <c r="E142" s="522">
        <f>IF(+J96&lt;F141,J96,D142)</f>
        <v>1433.8552386354058</v>
      </c>
      <c r="F142" s="523">
        <f t="shared" si="35"/>
        <v>0</v>
      </c>
      <c r="G142" s="523">
        <f t="shared" si="36"/>
        <v>716.92761931770292</v>
      </c>
      <c r="H142" s="526">
        <f t="shared" si="33"/>
        <v>1510.9778902710409</v>
      </c>
      <c r="I142" s="577">
        <f t="shared" si="34"/>
        <v>1510.9778902710409</v>
      </c>
      <c r="J142" s="514">
        <f t="shared" si="37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  <c r="Q142" s="269"/>
    </row>
    <row r="143" spans="2:17" ht="12.5">
      <c r="B143" s="195" t="str">
        <f t="shared" si="26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5"/>
        <v>0</v>
      </c>
      <c r="G143" s="523">
        <f t="shared" si="36"/>
        <v>0</v>
      </c>
      <c r="H143" s="526">
        <f t="shared" si="33"/>
        <v>0</v>
      </c>
      <c r="I143" s="577">
        <f t="shared" si="34"/>
        <v>0</v>
      </c>
      <c r="J143" s="514">
        <f t="shared" si="37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  <c r="Q143" s="269"/>
    </row>
    <row r="144" spans="2:17" ht="12.5">
      <c r="B144" s="195" t="str">
        <f t="shared" si="26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5"/>
        <v>0</v>
      </c>
      <c r="G144" s="523">
        <f t="shared" si="36"/>
        <v>0</v>
      </c>
      <c r="H144" s="526">
        <f t="shared" si="33"/>
        <v>0</v>
      </c>
      <c r="I144" s="577">
        <f t="shared" si="34"/>
        <v>0</v>
      </c>
      <c r="J144" s="514">
        <f t="shared" si="37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  <c r="Q144" s="269"/>
    </row>
    <row r="145" spans="2:17" ht="12.5">
      <c r="B145" s="195" t="str">
        <f t="shared" si="26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5"/>
        <v>0</v>
      </c>
      <c r="G145" s="523">
        <f t="shared" si="36"/>
        <v>0</v>
      </c>
      <c r="H145" s="526">
        <f t="shared" si="33"/>
        <v>0</v>
      </c>
      <c r="I145" s="577">
        <f t="shared" si="34"/>
        <v>0</v>
      </c>
      <c r="J145" s="514">
        <f t="shared" si="37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  <c r="Q145" s="269"/>
    </row>
    <row r="146" spans="2:17" ht="12.5">
      <c r="B146" s="195" t="str">
        <f t="shared" si="26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5"/>
        <v>0</v>
      </c>
      <c r="G146" s="523">
        <f t="shared" si="36"/>
        <v>0</v>
      </c>
      <c r="H146" s="526">
        <f t="shared" si="33"/>
        <v>0</v>
      </c>
      <c r="I146" s="577">
        <f t="shared" si="34"/>
        <v>0</v>
      </c>
      <c r="J146" s="514">
        <f t="shared" si="37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  <c r="Q146" s="269"/>
    </row>
    <row r="147" spans="2:17" ht="12.5">
      <c r="B147" s="195" t="str">
        <f t="shared" si="26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5"/>
        <v>0</v>
      </c>
      <c r="G147" s="523">
        <f t="shared" si="36"/>
        <v>0</v>
      </c>
      <c r="H147" s="526">
        <f t="shared" si="33"/>
        <v>0</v>
      </c>
      <c r="I147" s="577">
        <f t="shared" si="34"/>
        <v>0</v>
      </c>
      <c r="J147" s="514">
        <f t="shared" si="37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  <c r="Q147" s="269"/>
    </row>
    <row r="148" spans="2:17" ht="12.5">
      <c r="B148" s="195" t="str">
        <f t="shared" si="26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5"/>
        <v>0</v>
      </c>
      <c r="G148" s="523">
        <f t="shared" si="36"/>
        <v>0</v>
      </c>
      <c r="H148" s="526">
        <f t="shared" si="33"/>
        <v>0</v>
      </c>
      <c r="I148" s="577">
        <f t="shared" si="34"/>
        <v>0</v>
      </c>
      <c r="J148" s="514">
        <f t="shared" si="37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  <c r="Q148" s="269"/>
    </row>
    <row r="149" spans="2:17" ht="12.5">
      <c r="B149" s="195" t="str">
        <f t="shared" si="26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5"/>
        <v>0</v>
      </c>
      <c r="G149" s="523">
        <f t="shared" si="36"/>
        <v>0</v>
      </c>
      <c r="H149" s="526">
        <f t="shared" si="33"/>
        <v>0</v>
      </c>
      <c r="I149" s="577">
        <f t="shared" si="34"/>
        <v>0</v>
      </c>
      <c r="J149" s="514">
        <f t="shared" si="37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  <c r="Q149" s="269"/>
    </row>
    <row r="150" spans="2:17" ht="12.5">
      <c r="B150" s="195" t="str">
        <f t="shared" si="26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5"/>
        <v>0</v>
      </c>
      <c r="G150" s="523">
        <f t="shared" si="36"/>
        <v>0</v>
      </c>
      <c r="H150" s="526">
        <f t="shared" si="33"/>
        <v>0</v>
      </c>
      <c r="I150" s="577">
        <f t="shared" si="34"/>
        <v>0</v>
      </c>
      <c r="J150" s="514">
        <f t="shared" si="37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  <c r="Q150" s="269"/>
    </row>
    <row r="151" spans="2:17" ht="12.5">
      <c r="B151" s="195" t="str">
        <f t="shared" si="26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5"/>
        <v>0</v>
      </c>
      <c r="G151" s="523">
        <f t="shared" si="36"/>
        <v>0</v>
      </c>
      <c r="H151" s="526">
        <f t="shared" si="33"/>
        <v>0</v>
      </c>
      <c r="I151" s="577">
        <f t="shared" si="34"/>
        <v>0</v>
      </c>
      <c r="J151" s="514">
        <f t="shared" si="37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  <c r="Q151" s="269"/>
    </row>
    <row r="152" spans="2:17" ht="12.5">
      <c r="B152" s="195" t="str">
        <f t="shared" si="26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5"/>
        <v>0</v>
      </c>
      <c r="G152" s="523">
        <f t="shared" si="36"/>
        <v>0</v>
      </c>
      <c r="H152" s="526">
        <f t="shared" si="33"/>
        <v>0</v>
      </c>
      <c r="I152" s="577">
        <f t="shared" si="34"/>
        <v>0</v>
      </c>
      <c r="J152" s="514">
        <f t="shared" si="37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  <c r="Q152" s="269"/>
    </row>
    <row r="153" spans="2:17" ht="12.5">
      <c r="B153" s="195" t="str">
        <f t="shared" si="26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5"/>
        <v>0</v>
      </c>
      <c r="G153" s="523">
        <f t="shared" si="36"/>
        <v>0</v>
      </c>
      <c r="H153" s="526">
        <f t="shared" si="33"/>
        <v>0</v>
      </c>
      <c r="I153" s="577">
        <f t="shared" si="34"/>
        <v>0</v>
      </c>
      <c r="J153" s="514">
        <f t="shared" si="37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  <c r="Q153" s="269"/>
    </row>
    <row r="154" spans="2:17" ht="13" thickBot="1">
      <c r="B154" s="195" t="str">
        <f t="shared" si="26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5"/>
        <v>0</v>
      </c>
      <c r="G154" s="528">
        <f t="shared" si="36"/>
        <v>0</v>
      </c>
      <c r="H154" s="530">
        <f t="shared" si="33"/>
        <v>0</v>
      </c>
      <c r="I154" s="579">
        <f t="shared" si="34"/>
        <v>0</v>
      </c>
      <c r="J154" s="533">
        <f t="shared" si="37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  <c r="Q154" s="269"/>
    </row>
    <row r="155" spans="2:17" ht="12.5">
      <c r="C155" s="374" t="s">
        <v>78</v>
      </c>
      <c r="D155" s="375"/>
      <c r="E155" s="375">
        <f>SUM(E99:E154)</f>
        <v>185247.00000000006</v>
      </c>
      <c r="F155" s="375"/>
      <c r="G155" s="375"/>
      <c r="H155" s="375">
        <f>SUM(H99:H154)</f>
        <v>647662.39312356291</v>
      </c>
      <c r="I155" s="375">
        <f>SUM(I99:I154)</f>
        <v>647662.39312356291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7" priority="1" stopIfTrue="1" operator="equal">
      <formula>$I$10</formula>
    </cfRule>
  </conditionalFormatting>
  <conditionalFormatting sqref="C99:C154">
    <cfRule type="cellIs" dxfId="13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2"/>
  <dimension ref="A1:Q162"/>
  <sheetViews>
    <sheetView view="pageBreakPreview" topLeftCell="A76" zoomScale="75" zoomScaleNormal="100" zoomScaleSheetLayoutView="75" workbookViewId="0">
      <selection activeCell="L112" sqref="L112:N11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13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556615.89330498932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556615.89330498932</v>
      </c>
      <c r="O6" s="269"/>
      <c r="P6" s="269"/>
    </row>
    <row r="7" spans="1:17" ht="13.5" thickBot="1">
      <c r="C7" s="467" t="s">
        <v>48</v>
      </c>
      <c r="D7" s="611" t="s">
        <v>150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151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5731607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2006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136466.83333333334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2006</v>
      </c>
      <c r="D17" s="508">
        <v>3884542</v>
      </c>
      <c r="E17" s="509">
        <v>69992</v>
      </c>
      <c r="F17" s="508">
        <v>3814550</v>
      </c>
      <c r="G17" s="509">
        <v>508462</v>
      </c>
      <c r="H17" s="510">
        <v>508462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2007</v>
      </c>
      <c r="D18" s="515">
        <f>F17</f>
        <v>3814550</v>
      </c>
      <c r="E18" s="516">
        <v>104988</v>
      </c>
      <c r="F18" s="515">
        <v>3709563</v>
      </c>
      <c r="G18" s="516">
        <v>673524</v>
      </c>
      <c r="H18" s="510">
        <v>673524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612">
        <f>IF(D11="","-",+C18+1)</f>
        <v>2008</v>
      </c>
      <c r="D19" s="515">
        <v>5654153</v>
      </c>
      <c r="E19" s="516">
        <v>154908</v>
      </c>
      <c r="F19" s="515">
        <v>5499245</v>
      </c>
      <c r="G19" s="516">
        <v>999621</v>
      </c>
      <c r="H19" s="510">
        <v>999621</v>
      </c>
      <c r="I19" s="596">
        <f t="shared" si="0"/>
        <v>0</v>
      </c>
      <c r="J19" s="511"/>
      <c r="K19" s="518">
        <v>999621</v>
      </c>
      <c r="L19" s="514">
        <f t="shared" si="1"/>
        <v>0</v>
      </c>
      <c r="M19" s="518">
        <f>K19</f>
        <v>999621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4">IF(D20=F19,"","IU")</f>
        <v>IU</v>
      </c>
      <c r="C20" s="507">
        <f>IF(D11="","-",+C19+1)</f>
        <v>2009</v>
      </c>
      <c r="D20" s="515">
        <v>3604575</v>
      </c>
      <c r="E20" s="516">
        <v>104988</v>
      </c>
      <c r="F20" s="515">
        <v>3499587</v>
      </c>
      <c r="G20" s="516">
        <v>641343</v>
      </c>
      <c r="H20" s="510">
        <v>641343</v>
      </c>
      <c r="I20" s="596">
        <f t="shared" si="0"/>
        <v>0</v>
      </c>
      <c r="J20" s="511"/>
      <c r="K20" s="518">
        <v>641343</v>
      </c>
      <c r="L20" s="514">
        <f t="shared" si="1"/>
        <v>0</v>
      </c>
      <c r="M20" s="518">
        <v>641343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4"/>
        <v>IU</v>
      </c>
      <c r="C21" s="507">
        <f>IF(D12="","-",+C20+1)</f>
        <v>2010</v>
      </c>
      <c r="D21" s="515">
        <v>3449666</v>
      </c>
      <c r="E21" s="516">
        <v>102224.78947368421</v>
      </c>
      <c r="F21" s="515">
        <v>3347441.210526316</v>
      </c>
      <c r="G21" s="516">
        <v>583469.67252567795</v>
      </c>
      <c r="H21" s="510">
        <v>583469.67252567795</v>
      </c>
      <c r="I21" s="598">
        <v>0</v>
      </c>
      <c r="J21" s="511"/>
      <c r="K21" s="518">
        <f t="shared" ref="K21:K26" si="5">G21</f>
        <v>583469.67252567795</v>
      </c>
      <c r="L21" s="519">
        <f t="shared" si="1"/>
        <v>0</v>
      </c>
      <c r="M21" s="518">
        <f t="shared" ref="M21:M26" si="6">H21</f>
        <v>583469.67252567795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4"/>
        <v/>
      </c>
      <c r="C22" s="507">
        <f>IF(D11="","-",+C21+1)</f>
        <v>2011</v>
      </c>
      <c r="D22" s="515">
        <v>3347441.210526316</v>
      </c>
      <c r="E22" s="516">
        <v>94744.926829268297</v>
      </c>
      <c r="F22" s="515">
        <v>3252696.2836970477</v>
      </c>
      <c r="G22" s="516">
        <v>602790.6645462896</v>
      </c>
      <c r="H22" s="510">
        <v>602790.6645462896</v>
      </c>
      <c r="I22" s="517">
        <v>0</v>
      </c>
      <c r="J22" s="511"/>
      <c r="K22" s="518">
        <f t="shared" si="5"/>
        <v>602790.6645462896</v>
      </c>
      <c r="L22" s="519">
        <f t="shared" si="1"/>
        <v>0</v>
      </c>
      <c r="M22" s="518">
        <f t="shared" si="6"/>
        <v>602790.6645462896</v>
      </c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4"/>
        <v/>
      </c>
      <c r="C23" s="507">
        <f>IF(D11="","-",+C22+1)</f>
        <v>2012</v>
      </c>
      <c r="D23" s="515">
        <v>3252696.2836970477</v>
      </c>
      <c r="E23" s="520">
        <v>92489.095238095237</v>
      </c>
      <c r="F23" s="515">
        <v>3160207.1884589526</v>
      </c>
      <c r="G23" s="516">
        <v>562475.55094765779</v>
      </c>
      <c r="H23" s="510">
        <v>562475.55094765779</v>
      </c>
      <c r="I23" s="517">
        <v>0</v>
      </c>
      <c r="J23" s="511"/>
      <c r="K23" s="518">
        <f t="shared" si="5"/>
        <v>562475.55094765779</v>
      </c>
      <c r="L23" s="519">
        <f t="shared" si="1"/>
        <v>0</v>
      </c>
      <c r="M23" s="518">
        <f t="shared" si="6"/>
        <v>562475.55094765779</v>
      </c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4"/>
        <v/>
      </c>
      <c r="C24" s="507">
        <f>IF(D11="","-",+C23+1)</f>
        <v>2013</v>
      </c>
      <c r="D24" s="608">
        <v>3160207.1884589526</v>
      </c>
      <c r="E24" s="609">
        <v>92489.095238095237</v>
      </c>
      <c r="F24" s="608">
        <v>3067718.0932208574</v>
      </c>
      <c r="G24" s="609">
        <v>521929.99973922677</v>
      </c>
      <c r="H24" s="610">
        <v>521929.99973922677</v>
      </c>
      <c r="I24" s="596">
        <v>0</v>
      </c>
      <c r="J24" s="511"/>
      <c r="K24" s="518">
        <f t="shared" si="5"/>
        <v>521929.99973922677</v>
      </c>
      <c r="L24" s="519">
        <f t="shared" ref="L24:L29" si="7">IF(K24&lt;&gt;0,+G24-K24,0)</f>
        <v>0</v>
      </c>
      <c r="M24" s="518">
        <f t="shared" si="6"/>
        <v>521929.99973922677</v>
      </c>
      <c r="N24" s="514">
        <f t="shared" ref="N24:N29" si="8">IF(M24&lt;&gt;0,+H24-M24,0)</f>
        <v>0</v>
      </c>
      <c r="O24" s="514">
        <f t="shared" ref="O24:O29" si="9">+N24-L24</f>
        <v>0</v>
      </c>
      <c r="P24" s="272"/>
    </row>
    <row r="25" spans="2:16" ht="12.5">
      <c r="B25" s="195" t="str">
        <f t="shared" si="4"/>
        <v/>
      </c>
      <c r="C25" s="507">
        <f>IF(D11="","-",+C24+1)</f>
        <v>2014</v>
      </c>
      <c r="D25" s="608">
        <v>3067718.0932208574</v>
      </c>
      <c r="E25" s="609">
        <v>92489.095238095237</v>
      </c>
      <c r="F25" s="608">
        <v>2975228.9979827623</v>
      </c>
      <c r="G25" s="609">
        <v>493878.75151607196</v>
      </c>
      <c r="H25" s="610">
        <v>493878.75151607196</v>
      </c>
      <c r="I25" s="596">
        <v>0</v>
      </c>
      <c r="J25" s="511"/>
      <c r="K25" s="518">
        <f t="shared" si="5"/>
        <v>493878.75151607196</v>
      </c>
      <c r="L25" s="519">
        <f t="shared" si="7"/>
        <v>0</v>
      </c>
      <c r="M25" s="518">
        <f t="shared" si="6"/>
        <v>493878.75151607196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4"/>
        <v>IU</v>
      </c>
      <c r="C26" s="507">
        <f>IF(D11="","-",+C25+1)</f>
        <v>2015</v>
      </c>
      <c r="D26" s="608">
        <v>4822293.9979827618</v>
      </c>
      <c r="E26" s="609">
        <v>136466.83333333334</v>
      </c>
      <c r="F26" s="608">
        <v>4685827.1646494288</v>
      </c>
      <c r="G26" s="609">
        <v>753612.76745725656</v>
      </c>
      <c r="H26" s="610">
        <v>753612.76745725656</v>
      </c>
      <c r="I26" s="511">
        <v>0</v>
      </c>
      <c r="J26" s="511"/>
      <c r="K26" s="518">
        <f t="shared" si="5"/>
        <v>753612.76745725656</v>
      </c>
      <c r="L26" s="519">
        <f t="shared" si="7"/>
        <v>0</v>
      </c>
      <c r="M26" s="518">
        <f t="shared" si="6"/>
        <v>753612.76745725656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4"/>
        <v/>
      </c>
      <c r="C27" s="507">
        <f>IF(D11="","-",+C26+1)</f>
        <v>2016</v>
      </c>
      <c r="D27" s="608">
        <v>4685827.1646494288</v>
      </c>
      <c r="E27" s="609">
        <v>136466.83333333334</v>
      </c>
      <c r="F27" s="608">
        <v>4549360.3313160958</v>
      </c>
      <c r="G27" s="609">
        <v>728247.51158298948</v>
      </c>
      <c r="H27" s="610">
        <v>728247.51158298948</v>
      </c>
      <c r="I27" s="511">
        <f t="shared" si="0"/>
        <v>0</v>
      </c>
      <c r="J27" s="511"/>
      <c r="K27" s="518">
        <f>G27</f>
        <v>728247.51158298948</v>
      </c>
      <c r="L27" s="519">
        <f t="shared" si="7"/>
        <v>0</v>
      </c>
      <c r="M27" s="518">
        <f>H27</f>
        <v>728247.51158298948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4"/>
        <v/>
      </c>
      <c r="C28" s="507">
        <f>IF(D11="","-",+C27+1)</f>
        <v>2017</v>
      </c>
      <c r="D28" s="608">
        <v>4549360.3313160958</v>
      </c>
      <c r="E28" s="609">
        <v>133293.18604651163</v>
      </c>
      <c r="F28" s="608">
        <v>4416067.1452695839</v>
      </c>
      <c r="G28" s="609">
        <v>688667.94856072206</v>
      </c>
      <c r="H28" s="610">
        <v>688667.94856072206</v>
      </c>
      <c r="I28" s="511">
        <f t="shared" si="0"/>
        <v>0</v>
      </c>
      <c r="J28" s="511"/>
      <c r="K28" s="518">
        <f>G28</f>
        <v>688667.94856072206</v>
      </c>
      <c r="L28" s="519">
        <f t="shared" si="7"/>
        <v>0</v>
      </c>
      <c r="M28" s="518">
        <f>H28</f>
        <v>688667.94856072206</v>
      </c>
      <c r="N28" s="514">
        <f t="shared" si="8"/>
        <v>0</v>
      </c>
      <c r="O28" s="514">
        <f t="shared" si="9"/>
        <v>0</v>
      </c>
      <c r="P28" s="272"/>
    </row>
    <row r="29" spans="2:16" ht="12.5">
      <c r="B29" s="195" t="str">
        <f t="shared" si="4"/>
        <v>IU</v>
      </c>
      <c r="C29" s="507">
        <f>IF(D11="","-",+C28+1)</f>
        <v>2018</v>
      </c>
      <c r="D29" s="608">
        <v>4549360.3313160958</v>
      </c>
      <c r="E29" s="609">
        <v>133293.18604651163</v>
      </c>
      <c r="F29" s="608">
        <v>4416067.1452695839</v>
      </c>
      <c r="G29" s="609">
        <v>688667.94856072206</v>
      </c>
      <c r="H29" s="610">
        <v>688667.94856072206</v>
      </c>
      <c r="I29" s="511">
        <f t="shared" si="0"/>
        <v>0</v>
      </c>
      <c r="J29" s="511"/>
      <c r="K29" s="518">
        <f>G29</f>
        <v>688667.94856072206</v>
      </c>
      <c r="L29" s="519">
        <f t="shared" si="7"/>
        <v>0</v>
      </c>
      <c r="M29" s="518">
        <f>H29</f>
        <v>688667.94856072206</v>
      </c>
      <c r="N29" s="514">
        <f t="shared" si="8"/>
        <v>0</v>
      </c>
      <c r="O29" s="514">
        <f t="shared" si="9"/>
        <v>0</v>
      </c>
      <c r="P29" s="272"/>
    </row>
    <row r="30" spans="2:16" ht="12.5">
      <c r="B30" s="195" t="str">
        <f t="shared" si="4"/>
        <v>IU</v>
      </c>
      <c r="C30" s="507">
        <f>IF(D11="","-",+C29+1)</f>
        <v>2019</v>
      </c>
      <c r="D30" s="608">
        <v>4282773.9592230711</v>
      </c>
      <c r="E30" s="609">
        <v>139795.29268292684</v>
      </c>
      <c r="F30" s="608">
        <v>4142978.6665401445</v>
      </c>
      <c r="G30" s="609">
        <v>675227.01156482252</v>
      </c>
      <c r="H30" s="610">
        <v>675227.01156482252</v>
      </c>
      <c r="I30" s="511">
        <f t="shared" si="0"/>
        <v>0</v>
      </c>
      <c r="J30" s="511"/>
      <c r="K30" s="518">
        <f>G30</f>
        <v>675227.01156482252</v>
      </c>
      <c r="L30" s="519">
        <f t="shared" ref="L30" si="10">IF(K30&lt;&gt;0,+G30-K30,0)</f>
        <v>0</v>
      </c>
      <c r="M30" s="518">
        <f>H30</f>
        <v>675227.01156482252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4"/>
        <v/>
      </c>
      <c r="C31" s="507">
        <f>IF(D11="","-",+C30+1)</f>
        <v>2020</v>
      </c>
      <c r="D31" s="608">
        <v>4142978.6665401445</v>
      </c>
      <c r="E31" s="609">
        <v>139795.29268292684</v>
      </c>
      <c r="F31" s="608">
        <v>4003183.3738572178</v>
      </c>
      <c r="G31" s="609">
        <v>556615.89330498932</v>
      </c>
      <c r="H31" s="610">
        <v>556615.89330498932</v>
      </c>
      <c r="I31" s="511">
        <f t="shared" si="0"/>
        <v>0</v>
      </c>
      <c r="J31" s="511"/>
      <c r="K31" s="518">
        <f>G31</f>
        <v>556615.89330498932</v>
      </c>
      <c r="L31" s="519">
        <f t="shared" ref="L31" si="11">IF(K31&lt;&gt;0,+G31-K31,0)</f>
        <v>0</v>
      </c>
      <c r="M31" s="518">
        <f>H31</f>
        <v>556615.89330498932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4"/>
        <v/>
      </c>
      <c r="C32" s="507">
        <f>IF(D11="","-",+C31+1)</f>
        <v>2021</v>
      </c>
      <c r="D32" s="523">
        <f>IF(F31+SUM(E$17:E31)=D$10,F31,D$10-SUM(E$17:E31))</f>
        <v>4003183.3738572178</v>
      </c>
      <c r="E32" s="522">
        <f>IF(+I14&lt;F31,I14,D32)</f>
        <v>136466.83333333334</v>
      </c>
      <c r="F32" s="523">
        <f t="shared" ref="F32:F48" si="12">+D32-E32</f>
        <v>3866716.5405238844</v>
      </c>
      <c r="G32" s="524">
        <f t="shared" ref="G32:G72" si="13">+I$12*((D32+F32)/2)+E32</f>
        <v>556790.21460940002</v>
      </c>
      <c r="H32" s="491">
        <f t="shared" ref="H32:H72" si="14">+I$13*((D32+F32)/2)+E32</f>
        <v>556790.21460940002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4"/>
        <v/>
      </c>
      <c r="C33" s="507">
        <f>IF(D11="","-",+C32+1)</f>
        <v>2022</v>
      </c>
      <c r="D33" s="523">
        <f>IF(F32+SUM(E$17:E32)=D$10,F32,D$10-SUM(E$17:E32))</f>
        <v>3866716.5405238844</v>
      </c>
      <c r="E33" s="522">
        <f>IF(+I14&lt;F32,I14,D33)</f>
        <v>136466.83333333334</v>
      </c>
      <c r="F33" s="523">
        <f t="shared" si="12"/>
        <v>3730249.7071905509</v>
      </c>
      <c r="G33" s="524">
        <f t="shared" si="13"/>
        <v>542213.10398722126</v>
      </c>
      <c r="H33" s="491">
        <f t="shared" si="14"/>
        <v>542213.10398722126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4"/>
        <v/>
      </c>
      <c r="C34" s="507">
        <f>IF(D11="","-",+C33+1)</f>
        <v>2023</v>
      </c>
      <c r="D34" s="523">
        <f>IF(F33+SUM(E$17:E33)=D$10,F33,D$10-SUM(E$17:E33))</f>
        <v>3730249.7071905509</v>
      </c>
      <c r="E34" s="522">
        <f>IF(+I14&lt;F33,I14,D34)</f>
        <v>136466.83333333334</v>
      </c>
      <c r="F34" s="523">
        <f t="shared" si="12"/>
        <v>3593782.8738572174</v>
      </c>
      <c r="G34" s="524">
        <f t="shared" si="13"/>
        <v>527635.99336504249</v>
      </c>
      <c r="H34" s="491">
        <f t="shared" si="14"/>
        <v>527635.99336504249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4"/>
        <v/>
      </c>
      <c r="C35" s="507">
        <f>IF(D11="","-",+C34+1)</f>
        <v>2024</v>
      </c>
      <c r="D35" s="523">
        <f>IF(F34+SUM(E$17:E34)=D$10,F34,D$10-SUM(E$17:E34))</f>
        <v>3593782.8738572174</v>
      </c>
      <c r="E35" s="522">
        <f>IF(+I14&lt;F34,I14,D35)</f>
        <v>136466.83333333334</v>
      </c>
      <c r="F35" s="523">
        <f t="shared" si="12"/>
        <v>3457316.0405238839</v>
      </c>
      <c r="G35" s="524">
        <f t="shared" si="13"/>
        <v>513058.88274286373</v>
      </c>
      <c r="H35" s="491">
        <f t="shared" si="14"/>
        <v>513058.88274286373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4"/>
        <v/>
      </c>
      <c r="C36" s="507">
        <f>IF(D11="","-",+C35+1)</f>
        <v>2025</v>
      </c>
      <c r="D36" s="523">
        <f>IF(F35+SUM(E$17:E35)=D$10,F35,D$10-SUM(E$17:E35))</f>
        <v>3457316.0405238839</v>
      </c>
      <c r="E36" s="522">
        <f>IF(+I14&lt;F35,I14,D36)</f>
        <v>136466.83333333334</v>
      </c>
      <c r="F36" s="523">
        <f t="shared" si="12"/>
        <v>3320849.2071905504</v>
      </c>
      <c r="G36" s="524">
        <f t="shared" si="13"/>
        <v>498481.77212068497</v>
      </c>
      <c r="H36" s="491">
        <f t="shared" si="14"/>
        <v>498481.77212068497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4"/>
        <v/>
      </c>
      <c r="C37" s="507">
        <f>IF(D11="","-",+C36+1)</f>
        <v>2026</v>
      </c>
      <c r="D37" s="523">
        <f>IF(F36+SUM(E$17:E36)=D$10,F36,D$10-SUM(E$17:E36))</f>
        <v>3320849.2071905504</v>
      </c>
      <c r="E37" s="522">
        <f>IF(+I14&lt;F36,I14,D37)</f>
        <v>136466.83333333334</v>
      </c>
      <c r="F37" s="523">
        <f t="shared" si="12"/>
        <v>3184382.3738572169</v>
      </c>
      <c r="G37" s="524">
        <f t="shared" si="13"/>
        <v>483904.66149850632</v>
      </c>
      <c r="H37" s="491">
        <f t="shared" si="14"/>
        <v>483904.66149850632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4"/>
        <v/>
      </c>
      <c r="C38" s="507">
        <f>IF(D11="","-",+C37+1)</f>
        <v>2027</v>
      </c>
      <c r="D38" s="523">
        <f>IF(F37+SUM(E$17:E37)=D$10,F37,D$10-SUM(E$17:E37))</f>
        <v>3184382.3738572169</v>
      </c>
      <c r="E38" s="522">
        <f>IF(+I14&lt;F37,I14,D38)</f>
        <v>136466.83333333334</v>
      </c>
      <c r="F38" s="523">
        <f t="shared" si="12"/>
        <v>3047915.5405238834</v>
      </c>
      <c r="G38" s="524">
        <f t="shared" si="13"/>
        <v>469327.55087632756</v>
      </c>
      <c r="H38" s="491">
        <f t="shared" si="14"/>
        <v>469327.55087632756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4"/>
        <v/>
      </c>
      <c r="C39" s="507">
        <f>IF(D11="","-",+C38+1)</f>
        <v>2028</v>
      </c>
      <c r="D39" s="523">
        <f>IF(F38+SUM(E$17:E38)=D$10,F38,D$10-SUM(E$17:E38))</f>
        <v>3047915.5405238834</v>
      </c>
      <c r="E39" s="522">
        <f>IF(+I14&lt;F38,I14,D39)</f>
        <v>136466.83333333334</v>
      </c>
      <c r="F39" s="523">
        <f t="shared" si="12"/>
        <v>2911448.7071905499</v>
      </c>
      <c r="G39" s="524">
        <f t="shared" si="13"/>
        <v>454750.44025414879</v>
      </c>
      <c r="H39" s="491">
        <f t="shared" si="14"/>
        <v>454750.44025414879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4"/>
        <v/>
      </c>
      <c r="C40" s="507">
        <f>IF(D11="","-",+C39+1)</f>
        <v>2029</v>
      </c>
      <c r="D40" s="523">
        <f>IF(F39+SUM(E$17:E39)=D$10,F39,D$10-SUM(E$17:E39))</f>
        <v>2911448.7071905499</v>
      </c>
      <c r="E40" s="522">
        <f>IF(+I14&lt;F39,I14,D40)</f>
        <v>136466.83333333334</v>
      </c>
      <c r="F40" s="523">
        <f t="shared" si="12"/>
        <v>2774981.8738572164</v>
      </c>
      <c r="G40" s="524">
        <f t="shared" si="13"/>
        <v>440173.32963197003</v>
      </c>
      <c r="H40" s="491">
        <f t="shared" si="14"/>
        <v>440173.32963197003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4"/>
        <v/>
      </c>
      <c r="C41" s="507">
        <f>IF(D11="","-",+C40+1)</f>
        <v>2030</v>
      </c>
      <c r="D41" s="523">
        <f>IF(F40+SUM(E$17:E40)=D$10,F40,D$10-SUM(E$17:E40))</f>
        <v>2774981.8738572164</v>
      </c>
      <c r="E41" s="522">
        <f>IF(+I14&lt;F40,I14,D41)</f>
        <v>136466.83333333334</v>
      </c>
      <c r="F41" s="523">
        <f t="shared" si="12"/>
        <v>2638515.040523883</v>
      </c>
      <c r="G41" s="524">
        <f t="shared" si="13"/>
        <v>425596.21900979127</v>
      </c>
      <c r="H41" s="491">
        <f t="shared" si="14"/>
        <v>425596.21900979127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4"/>
        <v/>
      </c>
      <c r="C42" s="507">
        <f>IF(D11="","-",+C41+1)</f>
        <v>2031</v>
      </c>
      <c r="D42" s="523">
        <f>IF(F41+SUM(E$17:E41)=D$10,F41,D$10-SUM(E$17:E41))</f>
        <v>2638515.040523883</v>
      </c>
      <c r="E42" s="522">
        <f>IF(+I14&lt;F41,I14,D42)</f>
        <v>136466.83333333334</v>
      </c>
      <c r="F42" s="523">
        <f t="shared" si="12"/>
        <v>2502048.2071905495</v>
      </c>
      <c r="G42" s="524">
        <f t="shared" si="13"/>
        <v>411019.1083876125</v>
      </c>
      <c r="H42" s="491">
        <f t="shared" si="14"/>
        <v>411019.1083876125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4"/>
        <v/>
      </c>
      <c r="C43" s="507">
        <f>IF(D11="","-",+C42+1)</f>
        <v>2032</v>
      </c>
      <c r="D43" s="523">
        <f>IF(F42+SUM(E$17:E42)=D$10,F42,D$10-SUM(E$17:E42))</f>
        <v>2502048.2071905495</v>
      </c>
      <c r="E43" s="522">
        <f>IF(+I14&lt;F42,I14,D43)</f>
        <v>136466.83333333334</v>
      </c>
      <c r="F43" s="523">
        <f t="shared" si="12"/>
        <v>2365581.373857216</v>
      </c>
      <c r="G43" s="524">
        <f t="shared" si="13"/>
        <v>396441.99776543386</v>
      </c>
      <c r="H43" s="491">
        <f t="shared" si="14"/>
        <v>396441.99776543386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4"/>
        <v/>
      </c>
      <c r="C44" s="507">
        <f>IF(D11="","-",+C43+1)</f>
        <v>2033</v>
      </c>
      <c r="D44" s="523">
        <f>IF(F43+SUM(E$17:E43)=D$10,F43,D$10-SUM(E$17:E43))</f>
        <v>2365581.373857216</v>
      </c>
      <c r="E44" s="522">
        <f>IF(+I14&lt;F43,I14,D44)</f>
        <v>136466.83333333334</v>
      </c>
      <c r="F44" s="523">
        <f t="shared" si="12"/>
        <v>2229114.5405238825</v>
      </c>
      <c r="G44" s="524">
        <f t="shared" si="13"/>
        <v>381864.88714325504</v>
      </c>
      <c r="H44" s="491">
        <f t="shared" si="14"/>
        <v>381864.88714325504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4"/>
        <v/>
      </c>
      <c r="C45" s="507">
        <f>IF(D11="","-",+C44+1)</f>
        <v>2034</v>
      </c>
      <c r="D45" s="523">
        <f>IF(F44+SUM(E$17:E44)=D$10,F44,D$10-SUM(E$17:E44))</f>
        <v>2229114.5405238825</v>
      </c>
      <c r="E45" s="522">
        <f>IF(+I14&lt;F44,I14,D45)</f>
        <v>136466.83333333334</v>
      </c>
      <c r="F45" s="523">
        <f t="shared" si="12"/>
        <v>2092647.7071905492</v>
      </c>
      <c r="G45" s="524">
        <f t="shared" si="13"/>
        <v>367287.77652107633</v>
      </c>
      <c r="H45" s="491">
        <f t="shared" si="14"/>
        <v>367287.77652107633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4"/>
        <v/>
      </c>
      <c r="C46" s="507">
        <f>IF(D11="","-",+C45+1)</f>
        <v>2035</v>
      </c>
      <c r="D46" s="523">
        <f>IF(F45+SUM(E$17:E45)=D$10,F45,D$10-SUM(E$17:E45))</f>
        <v>2092647.7071905492</v>
      </c>
      <c r="E46" s="522">
        <f>IF(+I14&lt;F45,I14,D46)</f>
        <v>136466.83333333334</v>
      </c>
      <c r="F46" s="523">
        <f t="shared" si="12"/>
        <v>1956180.873857216</v>
      </c>
      <c r="G46" s="524">
        <f t="shared" si="13"/>
        <v>352710.66589889757</v>
      </c>
      <c r="H46" s="491">
        <f t="shared" si="14"/>
        <v>352710.66589889757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4"/>
        <v/>
      </c>
      <c r="C47" s="507">
        <f>IF(D11="","-",+C46+1)</f>
        <v>2036</v>
      </c>
      <c r="D47" s="523">
        <f>IF(F46+SUM(E$17:E46)=D$10,F46,D$10-SUM(E$17:E46))</f>
        <v>1956180.873857216</v>
      </c>
      <c r="E47" s="522">
        <f>IF(+I14&lt;F46,I14,D47)</f>
        <v>136466.83333333334</v>
      </c>
      <c r="F47" s="523">
        <f t="shared" si="12"/>
        <v>1819714.0405238827</v>
      </c>
      <c r="G47" s="524">
        <f t="shared" si="13"/>
        <v>338133.55527671892</v>
      </c>
      <c r="H47" s="491">
        <f t="shared" si="14"/>
        <v>338133.55527671892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4"/>
        <v/>
      </c>
      <c r="C48" s="507">
        <f>IF(D11="","-",+C47+1)</f>
        <v>2037</v>
      </c>
      <c r="D48" s="523">
        <f>IF(F47+SUM(E$17:E47)=D$10,F47,D$10-SUM(E$17:E47))</f>
        <v>1819714.0405238827</v>
      </c>
      <c r="E48" s="522">
        <f>IF(+I14&lt;F47,I14,D48)</f>
        <v>136466.83333333334</v>
      </c>
      <c r="F48" s="523">
        <f t="shared" si="12"/>
        <v>1683247.2071905495</v>
      </c>
      <c r="G48" s="524">
        <f t="shared" si="13"/>
        <v>323556.44465454016</v>
      </c>
      <c r="H48" s="491">
        <f t="shared" si="14"/>
        <v>323556.44465454016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4"/>
        <v/>
      </c>
      <c r="C49" s="507">
        <f>IF(D11="","-",+C48+1)</f>
        <v>2038</v>
      </c>
      <c r="D49" s="523">
        <f>IF(F48+SUM(E$17:E48)=D$10,F48,D$10-SUM(E$17:E48))</f>
        <v>1683247.2071905495</v>
      </c>
      <c r="E49" s="522">
        <f>IF(+I14&lt;F48,I14,D49)</f>
        <v>136466.83333333334</v>
      </c>
      <c r="F49" s="523">
        <f t="shared" ref="F49:F72" si="15">+D49-E49</f>
        <v>1546780.3738572162</v>
      </c>
      <c r="G49" s="524">
        <f t="shared" si="13"/>
        <v>308979.33403236151</v>
      </c>
      <c r="H49" s="491">
        <f t="shared" si="14"/>
        <v>308979.33403236151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4"/>
        <v/>
      </c>
      <c r="C50" s="507">
        <f>IF(D11="","-",+C49+1)</f>
        <v>2039</v>
      </c>
      <c r="D50" s="523">
        <f>IF(F49+SUM(E$17:E49)=D$10,F49,D$10-SUM(E$17:E49))</f>
        <v>1546780.3738572162</v>
      </c>
      <c r="E50" s="522">
        <f>IF(+I14&lt;F49,I14,D50)</f>
        <v>136466.83333333334</v>
      </c>
      <c r="F50" s="523">
        <f t="shared" si="15"/>
        <v>1410313.540523883</v>
      </c>
      <c r="G50" s="524">
        <f t="shared" si="13"/>
        <v>294402.22341018275</v>
      </c>
      <c r="H50" s="491">
        <f t="shared" si="14"/>
        <v>294402.22341018275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4"/>
        <v/>
      </c>
      <c r="C51" s="507">
        <f>IF(D11="","-",+C50+1)</f>
        <v>2040</v>
      </c>
      <c r="D51" s="523">
        <f>IF(F50+SUM(E$17:E50)=D$10,F50,D$10-SUM(E$17:E50))</f>
        <v>1410313.540523883</v>
      </c>
      <c r="E51" s="522">
        <f>IF(+I14&lt;F50,I14,D51)</f>
        <v>136466.83333333334</v>
      </c>
      <c r="F51" s="523">
        <f t="shared" si="15"/>
        <v>1273846.7071905497</v>
      </c>
      <c r="G51" s="524">
        <f t="shared" si="13"/>
        <v>279825.11278800404</v>
      </c>
      <c r="H51" s="491">
        <f t="shared" si="14"/>
        <v>279825.11278800404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4"/>
        <v/>
      </c>
      <c r="C52" s="507">
        <f>IF(D11="","-",+C51+1)</f>
        <v>2041</v>
      </c>
      <c r="D52" s="523">
        <f>IF(F51+SUM(E$17:E51)=D$10,F51,D$10-SUM(E$17:E51))</f>
        <v>1273846.7071905497</v>
      </c>
      <c r="E52" s="522">
        <f>IF(+I14&lt;F51,I14,D52)</f>
        <v>136466.83333333334</v>
      </c>
      <c r="F52" s="523">
        <f t="shared" si="15"/>
        <v>1137379.8738572164</v>
      </c>
      <c r="G52" s="524">
        <f t="shared" si="13"/>
        <v>265248.00216582528</v>
      </c>
      <c r="H52" s="491">
        <f t="shared" si="14"/>
        <v>265248.00216582528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4"/>
        <v/>
      </c>
      <c r="C53" s="507">
        <f>IF(D11="","-",+C52+1)</f>
        <v>2042</v>
      </c>
      <c r="D53" s="523">
        <f>IF(F52+SUM(E$17:E52)=D$10,F52,D$10-SUM(E$17:E52))</f>
        <v>1137379.8738572164</v>
      </c>
      <c r="E53" s="522">
        <f>IF(+I14&lt;F52,I14,D53)</f>
        <v>136466.83333333334</v>
      </c>
      <c r="F53" s="523">
        <f t="shared" si="15"/>
        <v>1000913.0405238831</v>
      </c>
      <c r="G53" s="524">
        <f t="shared" si="13"/>
        <v>250670.89154364658</v>
      </c>
      <c r="H53" s="491">
        <f t="shared" si="14"/>
        <v>250670.89154364658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4"/>
        <v/>
      </c>
      <c r="C54" s="507">
        <f>IF(D11="","-",+C53+1)</f>
        <v>2043</v>
      </c>
      <c r="D54" s="523">
        <f>IF(F53+SUM(E$17:E53)=D$10,F53,D$10-SUM(E$17:E53))</f>
        <v>1000913.0405238831</v>
      </c>
      <c r="E54" s="522">
        <f>IF(+I14&lt;F53,I14,D54)</f>
        <v>136466.83333333334</v>
      </c>
      <c r="F54" s="523">
        <f t="shared" si="15"/>
        <v>864446.2071905497</v>
      </c>
      <c r="G54" s="524">
        <f t="shared" si="13"/>
        <v>236093.78092146787</v>
      </c>
      <c r="H54" s="491">
        <f t="shared" si="14"/>
        <v>236093.78092146787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4"/>
        <v/>
      </c>
      <c r="C55" s="507">
        <f>IF(D11="","-",+C54+1)</f>
        <v>2044</v>
      </c>
      <c r="D55" s="523">
        <f>IF(F54+SUM(E$17:E54)=D$10,F54,D$10-SUM(E$17:E54))</f>
        <v>864446.2071905497</v>
      </c>
      <c r="E55" s="522">
        <f>IF(+I14&lt;F54,I14,D55)</f>
        <v>136466.83333333334</v>
      </c>
      <c r="F55" s="523">
        <f t="shared" si="15"/>
        <v>727979.37385721633</v>
      </c>
      <c r="G55" s="524">
        <f t="shared" si="13"/>
        <v>221516.67029928911</v>
      </c>
      <c r="H55" s="491">
        <f t="shared" si="14"/>
        <v>221516.67029928911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4"/>
        <v/>
      </c>
      <c r="C56" s="507">
        <f>IF(D11="","-",+C55+1)</f>
        <v>2045</v>
      </c>
      <c r="D56" s="523">
        <f>IF(F55+SUM(E$17:E55)=D$10,F55,D$10-SUM(E$17:E55))</f>
        <v>727979.37385721633</v>
      </c>
      <c r="E56" s="522">
        <f>IF(+I14&lt;F55,I14,D56)</f>
        <v>136466.83333333334</v>
      </c>
      <c r="F56" s="523">
        <f t="shared" si="15"/>
        <v>591512.54052388296</v>
      </c>
      <c r="G56" s="524">
        <f t="shared" si="13"/>
        <v>206939.5596771104</v>
      </c>
      <c r="H56" s="491">
        <f t="shared" si="14"/>
        <v>206939.5596771104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4"/>
        <v/>
      </c>
      <c r="C57" s="507">
        <f>IF(D11="","-",+C56+1)</f>
        <v>2046</v>
      </c>
      <c r="D57" s="523">
        <f>IF(F56+SUM(E$17:E56)=D$10,F56,D$10-SUM(E$17:E56))</f>
        <v>591512.54052388296</v>
      </c>
      <c r="E57" s="522">
        <f>IF(+I14&lt;F56,I14,D57)</f>
        <v>136466.83333333334</v>
      </c>
      <c r="F57" s="523">
        <f t="shared" si="15"/>
        <v>455045.70719054958</v>
      </c>
      <c r="G57" s="524">
        <f t="shared" si="13"/>
        <v>192362.44905493167</v>
      </c>
      <c r="H57" s="491">
        <f t="shared" si="14"/>
        <v>192362.44905493167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4"/>
        <v/>
      </c>
      <c r="C58" s="507">
        <f>IF(D11="","-",+C57+1)</f>
        <v>2047</v>
      </c>
      <c r="D58" s="523">
        <f>IF(F57+SUM(E$17:E57)=D$10,F57,D$10-SUM(E$17:E57))</f>
        <v>455045.70719054958</v>
      </c>
      <c r="E58" s="522">
        <f>IF(+I14&lt;F57,I14,D58)</f>
        <v>136466.83333333334</v>
      </c>
      <c r="F58" s="523">
        <f t="shared" si="15"/>
        <v>318578.87385721621</v>
      </c>
      <c r="G58" s="524">
        <f t="shared" si="13"/>
        <v>177785.33843275293</v>
      </c>
      <c r="H58" s="491">
        <f t="shared" si="14"/>
        <v>177785.33843275293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4"/>
        <v/>
      </c>
      <c r="C59" s="507">
        <f>IF(D11="","-",+C58+1)</f>
        <v>2048</v>
      </c>
      <c r="D59" s="523">
        <f>IF(F58+SUM(E$17:E58)=D$10,F58,D$10-SUM(E$17:E58))</f>
        <v>318578.87385721621</v>
      </c>
      <c r="E59" s="522">
        <f>IF(+I14&lt;F58,I14,D59)</f>
        <v>136466.83333333334</v>
      </c>
      <c r="F59" s="523">
        <f t="shared" si="15"/>
        <v>182112.04052388287</v>
      </c>
      <c r="G59" s="524">
        <f t="shared" si="13"/>
        <v>163208.2278105742</v>
      </c>
      <c r="H59" s="491">
        <f t="shared" si="14"/>
        <v>163208.2278105742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4"/>
        <v/>
      </c>
      <c r="C60" s="507">
        <f>IF(D11="","-",+C59+1)</f>
        <v>2049</v>
      </c>
      <c r="D60" s="523">
        <f>IF(F59+SUM(E$17:E59)=D$10,F59,D$10-SUM(E$17:E59))</f>
        <v>182112.04052388287</v>
      </c>
      <c r="E60" s="522">
        <f>IF(+I14&lt;F59,I14,D60)</f>
        <v>136466.83333333334</v>
      </c>
      <c r="F60" s="523">
        <f t="shared" si="15"/>
        <v>45645.207190549525</v>
      </c>
      <c r="G60" s="524">
        <f t="shared" si="13"/>
        <v>148631.11718839547</v>
      </c>
      <c r="H60" s="491">
        <f t="shared" si="14"/>
        <v>148631.11718839547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4"/>
        <v/>
      </c>
      <c r="C61" s="507">
        <f>IF(D11="","-",+C60+1)</f>
        <v>2050</v>
      </c>
      <c r="D61" s="523">
        <f>IF(F60+SUM(E$17:E60)=D$10,F60,D$10-SUM(E$17:E60))</f>
        <v>45645.207190549525</v>
      </c>
      <c r="E61" s="522">
        <f>IF(+I14&lt;F60,I14,D61)</f>
        <v>45645.207190549525</v>
      </c>
      <c r="F61" s="523">
        <f t="shared" si="15"/>
        <v>0</v>
      </c>
      <c r="G61" s="526">
        <f t="shared" si="13"/>
        <v>48083.071462535911</v>
      </c>
      <c r="H61" s="491">
        <f t="shared" si="14"/>
        <v>48083.071462535911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4"/>
        <v/>
      </c>
      <c r="C62" s="507">
        <f>IF(D11="","-",+C61+1)</f>
        <v>2051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3"/>
        <v>0</v>
      </c>
      <c r="H62" s="491">
        <f t="shared" si="14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4"/>
        <v/>
      </c>
      <c r="C63" s="507">
        <f>IF(D11="","-",+C62+1)</f>
        <v>2052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3"/>
        <v>0</v>
      </c>
      <c r="H63" s="491">
        <f t="shared" si="14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4"/>
        <v/>
      </c>
      <c r="C64" s="507">
        <f>IF(D11="","-",+C63+1)</f>
        <v>2053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3"/>
        <v>0</v>
      </c>
      <c r="H64" s="491">
        <f t="shared" si="14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4"/>
        <v/>
      </c>
      <c r="C65" s="507">
        <f>IF(D11="","-",+C64+1)</f>
        <v>2054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3"/>
        <v>0</v>
      </c>
      <c r="H65" s="491">
        <f t="shared" si="14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4"/>
        <v/>
      </c>
      <c r="C66" s="507">
        <f>IF(D11="","-",+C65+1)</f>
        <v>2055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3"/>
        <v>0</v>
      </c>
      <c r="H66" s="491">
        <f t="shared" si="14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4"/>
        <v/>
      </c>
      <c r="C67" s="507">
        <f>IF(D11="","-",+C66+1)</f>
        <v>2056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3"/>
        <v>0</v>
      </c>
      <c r="H67" s="491">
        <f t="shared" si="14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4"/>
        <v/>
      </c>
      <c r="C68" s="507">
        <f>IF(D11="","-",+C67+1)</f>
        <v>2057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3"/>
        <v>0</v>
      </c>
      <c r="H68" s="491">
        <f t="shared" si="14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4"/>
        <v/>
      </c>
      <c r="C69" s="507">
        <f>IF(D11="","-",+C68+1)</f>
        <v>2058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3"/>
        <v>0</v>
      </c>
      <c r="H69" s="491">
        <f t="shared" si="14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4"/>
        <v/>
      </c>
      <c r="C70" s="507">
        <f>IF(D11="","-",+C69+1)</f>
        <v>2059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3"/>
        <v>0</v>
      </c>
      <c r="H70" s="491">
        <f t="shared" si="14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4"/>
        <v/>
      </c>
      <c r="C71" s="507">
        <f>IF(D11="","-",+C70+1)</f>
        <v>2060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3"/>
        <v>0</v>
      </c>
      <c r="H71" s="491">
        <f t="shared" si="14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4"/>
        <v/>
      </c>
      <c r="C72" s="527">
        <f>IF(D11="","-",+C71+1)</f>
        <v>2061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3"/>
        <v>0</v>
      </c>
      <c r="H72" s="471">
        <f t="shared" si="14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5731606.9999999981</v>
      </c>
      <c r="F73" s="375"/>
      <c r="G73" s="375">
        <f>SUM(G17:G72)</f>
        <v>19955226.102836967</v>
      </c>
      <c r="H73" s="375">
        <f>SUM(H17:H72)</f>
        <v>19955226.102836967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13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556615.89330498932</v>
      </c>
      <c r="N87" s="546">
        <f>IF(J92&lt;D11,0,VLOOKUP(J92,C17:O72,11))</f>
        <v>556615.89330498932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580106.57633315108</v>
      </c>
      <c r="N88" s="550">
        <f>IF(J92&lt;D11,0,VLOOKUP(J92,C99:P154,7))</f>
        <v>580106.57633315108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 xml:space="preserve">Carthage REC - Carthage T 138 kV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23490.683028161759</v>
      </c>
      <c r="N89" s="555">
        <f>+N88-N87</f>
        <v>23490.683028161759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TP2004139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5731607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136466.83333333334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161</v>
      </c>
      <c r="N97" s="498" t="s">
        <v>228</v>
      </c>
      <c r="O97" s="499" t="s">
        <v>161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2006</v>
      </c>
      <c r="D99" s="508">
        <v>0</v>
      </c>
      <c r="E99" s="516">
        <v>69992</v>
      </c>
      <c r="F99" s="515">
        <v>3814550</v>
      </c>
      <c r="G99" s="574">
        <v>1907275</v>
      </c>
      <c r="H99" s="575">
        <v>374013</v>
      </c>
      <c r="I99" s="576">
        <v>374013</v>
      </c>
      <c r="J99" s="514">
        <f t="shared" ref="J99:J130" si="20">+I99-H99</f>
        <v>0</v>
      </c>
      <c r="K99" s="514"/>
      <c r="L99" s="512">
        <f>K17</f>
        <v>0</v>
      </c>
      <c r="M99" s="513">
        <f t="shared" ref="M99:M130" si="21">IF(L99&lt;&gt;0,+H99-L99,0)</f>
        <v>0</v>
      </c>
      <c r="N99" s="512">
        <f>M17</f>
        <v>0</v>
      </c>
      <c r="O99" s="513">
        <f t="shared" ref="O99:O130" si="22">IF(N99&lt;&gt;0,+I99-N99,0)</f>
        <v>0</v>
      </c>
      <c r="P99" s="513">
        <f t="shared" ref="P99:P130" si="23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2007</v>
      </c>
      <c r="D100" s="508">
        <v>5731607</v>
      </c>
      <c r="E100" s="516">
        <v>77454</v>
      </c>
      <c r="F100" s="515">
        <v>5654153</v>
      </c>
      <c r="G100" s="515">
        <v>5692880</v>
      </c>
      <c r="H100" s="516">
        <v>622381</v>
      </c>
      <c r="I100" s="510">
        <v>622381</v>
      </c>
      <c r="J100" s="514">
        <f t="shared" si="20"/>
        <v>0</v>
      </c>
      <c r="K100" s="514"/>
      <c r="L100" s="518">
        <v>622381</v>
      </c>
      <c r="M100" s="514">
        <f t="shared" si="21"/>
        <v>0</v>
      </c>
      <c r="N100" s="518">
        <v>622381</v>
      </c>
      <c r="O100" s="514">
        <f t="shared" si="22"/>
        <v>0</v>
      </c>
      <c r="P100" s="514">
        <f t="shared" si="23"/>
        <v>0</v>
      </c>
      <c r="Q100" s="269"/>
    </row>
    <row r="101" spans="1:17" ht="12.5">
      <c r="B101" s="195" t="str">
        <f t="shared" ref="B101:B154" si="24">IF(D101=F100,"","IU")</f>
        <v>IU</v>
      </c>
      <c r="C101" s="507">
        <f>IF(D93="","-",+C100+1)</f>
        <v>2008</v>
      </c>
      <c r="D101" s="508">
        <v>3709563</v>
      </c>
      <c r="E101" s="516">
        <v>104988</v>
      </c>
      <c r="F101" s="515">
        <v>3604575</v>
      </c>
      <c r="G101" s="515">
        <v>3657069</v>
      </c>
      <c r="H101" s="516">
        <v>687928</v>
      </c>
      <c r="I101" s="510">
        <v>687928</v>
      </c>
      <c r="J101" s="514">
        <f t="shared" si="20"/>
        <v>0</v>
      </c>
      <c r="K101" s="514"/>
      <c r="L101" s="518">
        <v>687928</v>
      </c>
      <c r="M101" s="514">
        <f t="shared" si="21"/>
        <v>0</v>
      </c>
      <c r="N101" s="518">
        <v>687928</v>
      </c>
      <c r="O101" s="514">
        <f t="shared" si="22"/>
        <v>0</v>
      </c>
      <c r="P101" s="514">
        <f>+O101-M101</f>
        <v>0</v>
      </c>
      <c r="Q101" s="269"/>
    </row>
    <row r="102" spans="1:17" ht="12.5">
      <c r="B102" s="195" t="str">
        <f t="shared" si="24"/>
        <v>IU</v>
      </c>
      <c r="C102" s="507">
        <f>IF(D93="","-",+C101+1)</f>
        <v>2009</v>
      </c>
      <c r="D102" s="508">
        <v>3632108</v>
      </c>
      <c r="E102" s="516">
        <v>102224.78947368421</v>
      </c>
      <c r="F102" s="515">
        <v>3529883.210526316</v>
      </c>
      <c r="G102" s="515">
        <v>3580995.6052631577</v>
      </c>
      <c r="H102" s="516">
        <v>620529.72613879445</v>
      </c>
      <c r="I102" s="510">
        <v>620529.72613879445</v>
      </c>
      <c r="J102" s="514">
        <f t="shared" si="20"/>
        <v>0</v>
      </c>
      <c r="K102" s="514"/>
      <c r="L102" s="518">
        <f t="shared" ref="L102:L107" si="25">H102</f>
        <v>620529.72613879445</v>
      </c>
      <c r="M102" s="519">
        <f t="shared" si="21"/>
        <v>0</v>
      </c>
      <c r="N102" s="518">
        <f t="shared" ref="N102:N107" si="26">I102</f>
        <v>620529.72613879445</v>
      </c>
      <c r="O102" s="514">
        <f t="shared" si="22"/>
        <v>0</v>
      </c>
      <c r="P102" s="514">
        <f t="shared" si="23"/>
        <v>0</v>
      </c>
      <c r="Q102" s="269"/>
    </row>
    <row r="103" spans="1:17" ht="12.5">
      <c r="B103" s="195" t="str">
        <f t="shared" si="24"/>
        <v/>
      </c>
      <c r="C103" s="507">
        <f>IF(D93="","-",+C102+1)</f>
        <v>2010</v>
      </c>
      <c r="D103" s="508">
        <v>3529883.210526316</v>
      </c>
      <c r="E103" s="516">
        <v>94744.926829268297</v>
      </c>
      <c r="F103" s="515">
        <v>3435138.2836970477</v>
      </c>
      <c r="G103" s="515">
        <v>3482510.7471116818</v>
      </c>
      <c r="H103" s="516">
        <v>669658.98198518401</v>
      </c>
      <c r="I103" s="510">
        <v>669658.98198518401</v>
      </c>
      <c r="J103" s="514">
        <f t="shared" si="20"/>
        <v>0</v>
      </c>
      <c r="K103" s="514"/>
      <c r="L103" s="518">
        <f t="shared" si="25"/>
        <v>669658.98198518401</v>
      </c>
      <c r="M103" s="519">
        <f t="shared" si="21"/>
        <v>0</v>
      </c>
      <c r="N103" s="518">
        <f t="shared" si="26"/>
        <v>669658.98198518401</v>
      </c>
      <c r="O103" s="514">
        <f t="shared" si="22"/>
        <v>0</v>
      </c>
      <c r="P103" s="514">
        <f t="shared" si="23"/>
        <v>0</v>
      </c>
      <c r="Q103" s="269"/>
    </row>
    <row r="104" spans="1:17" ht="12.5">
      <c r="B104" s="195" t="str">
        <f t="shared" si="24"/>
        <v/>
      </c>
      <c r="C104" s="507">
        <f>IF(D93="","-",+C103+1)</f>
        <v>2011</v>
      </c>
      <c r="D104" s="508">
        <v>3435138.2836970477</v>
      </c>
      <c r="E104" s="520">
        <v>92489.095238095237</v>
      </c>
      <c r="F104" s="515">
        <v>3342649.1884589526</v>
      </c>
      <c r="G104" s="515">
        <v>3388893.7360780002</v>
      </c>
      <c r="H104" s="516">
        <v>602110.60067638115</v>
      </c>
      <c r="I104" s="510">
        <v>602110.60067638115</v>
      </c>
      <c r="J104" s="514">
        <f t="shared" si="20"/>
        <v>0</v>
      </c>
      <c r="K104" s="514"/>
      <c r="L104" s="518">
        <f t="shared" si="25"/>
        <v>602110.60067638115</v>
      </c>
      <c r="M104" s="519">
        <f t="shared" si="21"/>
        <v>0</v>
      </c>
      <c r="N104" s="518">
        <f t="shared" si="26"/>
        <v>602110.60067638115</v>
      </c>
      <c r="O104" s="514">
        <f t="shared" si="22"/>
        <v>0</v>
      </c>
      <c r="P104" s="514">
        <f t="shared" si="23"/>
        <v>0</v>
      </c>
      <c r="Q104" s="269"/>
    </row>
    <row r="105" spans="1:17" ht="12.5">
      <c r="B105" s="195" t="str">
        <f t="shared" si="24"/>
        <v/>
      </c>
      <c r="C105" s="507">
        <f>IF(D93="","-",+C104+1)</f>
        <v>2012</v>
      </c>
      <c r="D105" s="508">
        <v>3342649.1884589526</v>
      </c>
      <c r="E105" s="516">
        <v>92489.095238095237</v>
      </c>
      <c r="F105" s="515">
        <v>3250160.0932208574</v>
      </c>
      <c r="G105" s="515">
        <v>3296404.640839905</v>
      </c>
      <c r="H105" s="516">
        <v>577567.99892876786</v>
      </c>
      <c r="I105" s="510">
        <v>577567.99892876786</v>
      </c>
      <c r="J105" s="514">
        <f t="shared" si="20"/>
        <v>0</v>
      </c>
      <c r="K105" s="514"/>
      <c r="L105" s="518">
        <f t="shared" si="25"/>
        <v>577567.99892876786</v>
      </c>
      <c r="M105" s="519">
        <f t="shared" si="21"/>
        <v>0</v>
      </c>
      <c r="N105" s="518">
        <f t="shared" si="26"/>
        <v>577567.99892876786</v>
      </c>
      <c r="O105" s="514">
        <f t="shared" si="22"/>
        <v>0</v>
      </c>
      <c r="P105" s="514">
        <f t="shared" si="23"/>
        <v>0</v>
      </c>
      <c r="Q105" s="269"/>
    </row>
    <row r="106" spans="1:17" ht="12.5">
      <c r="B106" s="195" t="str">
        <f t="shared" si="24"/>
        <v/>
      </c>
      <c r="C106" s="507">
        <f>IF(D93="","-",+C105+1)</f>
        <v>2013</v>
      </c>
      <c r="D106" s="508">
        <v>3250160.0932208574</v>
      </c>
      <c r="E106" s="516">
        <v>92489.095238095237</v>
      </c>
      <c r="F106" s="515">
        <v>3157670.9979827623</v>
      </c>
      <c r="G106" s="515">
        <v>3203915.5456018099</v>
      </c>
      <c r="H106" s="516">
        <v>525952.28345826664</v>
      </c>
      <c r="I106" s="510">
        <v>525952.28345826664</v>
      </c>
      <c r="J106" s="514">
        <v>0</v>
      </c>
      <c r="K106" s="514"/>
      <c r="L106" s="518">
        <f t="shared" si="25"/>
        <v>525952.28345826664</v>
      </c>
      <c r="M106" s="519">
        <f t="shared" ref="M106:M111" si="27">IF(L106&lt;&gt;0,+H106-L106,0)</f>
        <v>0</v>
      </c>
      <c r="N106" s="518">
        <f t="shared" si="26"/>
        <v>525952.28345826664</v>
      </c>
      <c r="O106" s="514">
        <f t="shared" ref="O106:O111" si="28">IF(N106&lt;&gt;0,+I106-N106,0)</f>
        <v>0</v>
      </c>
      <c r="P106" s="514">
        <f t="shared" ref="P106:P111" si="29">+O106-M106</f>
        <v>0</v>
      </c>
      <c r="Q106" s="269"/>
    </row>
    <row r="107" spans="1:17" ht="12.5">
      <c r="B107" s="195" t="str">
        <f t="shared" si="24"/>
        <v>IU</v>
      </c>
      <c r="C107" s="507">
        <f>IF(D93="","-",+C106+1)</f>
        <v>2014</v>
      </c>
      <c r="D107" s="508">
        <v>5004735.9979827618</v>
      </c>
      <c r="E107" s="516">
        <v>136466.83333333334</v>
      </c>
      <c r="F107" s="515">
        <v>4868269.1646494288</v>
      </c>
      <c r="G107" s="515">
        <v>4936502.5813160948</v>
      </c>
      <c r="H107" s="516">
        <v>807453.34332208754</v>
      </c>
      <c r="I107" s="510">
        <v>807453.34332208754</v>
      </c>
      <c r="J107" s="514">
        <v>0</v>
      </c>
      <c r="K107" s="514"/>
      <c r="L107" s="518">
        <f t="shared" si="25"/>
        <v>807453.34332208754</v>
      </c>
      <c r="M107" s="519">
        <f t="shared" si="27"/>
        <v>0</v>
      </c>
      <c r="N107" s="518">
        <f t="shared" si="26"/>
        <v>807453.34332208754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4"/>
        <v/>
      </c>
      <c r="C108" s="507">
        <f>IF(D93="","-",+C107+1)</f>
        <v>2015</v>
      </c>
      <c r="D108" s="508">
        <v>4868269.1646494288</v>
      </c>
      <c r="E108" s="516">
        <v>136466.83333333334</v>
      </c>
      <c r="F108" s="515">
        <v>4731802.3313160958</v>
      </c>
      <c r="G108" s="515">
        <v>4800035.7479827628</v>
      </c>
      <c r="H108" s="516">
        <v>768962.15760486678</v>
      </c>
      <c r="I108" s="510">
        <v>768962.15760486678</v>
      </c>
      <c r="J108" s="514">
        <f t="shared" si="20"/>
        <v>0</v>
      </c>
      <c r="K108" s="514"/>
      <c r="L108" s="518">
        <f>H108</f>
        <v>768962.15760486678</v>
      </c>
      <c r="M108" s="519">
        <f t="shared" si="27"/>
        <v>0</v>
      </c>
      <c r="N108" s="518">
        <f>I108</f>
        <v>768962.15760486678</v>
      </c>
      <c r="O108" s="514">
        <f t="shared" si="28"/>
        <v>0</v>
      </c>
      <c r="P108" s="514">
        <f t="shared" si="29"/>
        <v>0</v>
      </c>
      <c r="Q108" s="269"/>
    </row>
    <row r="109" spans="1:17" ht="12.5">
      <c r="B109" s="195" t="str">
        <f t="shared" si="24"/>
        <v/>
      </c>
      <c r="C109" s="507">
        <f>IF(D93="","-",+C108+1)</f>
        <v>2016</v>
      </c>
      <c r="D109" s="508">
        <v>4731802.3313160958</v>
      </c>
      <c r="E109" s="516">
        <v>133293.18604651163</v>
      </c>
      <c r="F109" s="515">
        <v>4598509.1452695839</v>
      </c>
      <c r="G109" s="515">
        <v>4665155.7382928394</v>
      </c>
      <c r="H109" s="516">
        <v>725534.65238617209</v>
      </c>
      <c r="I109" s="510">
        <v>725534.65238617209</v>
      </c>
      <c r="J109" s="514">
        <f t="shared" si="20"/>
        <v>0</v>
      </c>
      <c r="K109" s="514"/>
      <c r="L109" s="518">
        <f>H109</f>
        <v>725534.65238617209</v>
      </c>
      <c r="M109" s="519">
        <f t="shared" si="27"/>
        <v>0</v>
      </c>
      <c r="N109" s="518">
        <f>I109</f>
        <v>725534.65238617209</v>
      </c>
      <c r="O109" s="514">
        <f t="shared" si="28"/>
        <v>0</v>
      </c>
      <c r="P109" s="514">
        <f t="shared" si="29"/>
        <v>0</v>
      </c>
      <c r="Q109" s="269"/>
    </row>
    <row r="110" spans="1:17" ht="12.5">
      <c r="B110" s="195" t="str">
        <f t="shared" si="24"/>
        <v/>
      </c>
      <c r="C110" s="507">
        <f>IF(D93="","-",+C109+1)</f>
        <v>2017</v>
      </c>
      <c r="D110" s="508">
        <v>4598509.1452695839</v>
      </c>
      <c r="E110" s="516">
        <v>136466.83333333334</v>
      </c>
      <c r="F110" s="515">
        <v>4462042.3119362509</v>
      </c>
      <c r="G110" s="515">
        <v>4530275.7286029179</v>
      </c>
      <c r="H110" s="516">
        <v>686766.02979709371</v>
      </c>
      <c r="I110" s="510">
        <v>686766.02979709371</v>
      </c>
      <c r="J110" s="514">
        <f t="shared" si="20"/>
        <v>0</v>
      </c>
      <c r="K110" s="514"/>
      <c r="L110" s="518">
        <f>H110</f>
        <v>686766.02979709371</v>
      </c>
      <c r="M110" s="519">
        <f t="shared" si="27"/>
        <v>0</v>
      </c>
      <c r="N110" s="518">
        <f>I110</f>
        <v>686766.02979709371</v>
      </c>
      <c r="O110" s="514">
        <f t="shared" si="28"/>
        <v>0</v>
      </c>
      <c r="P110" s="514">
        <f t="shared" si="29"/>
        <v>0</v>
      </c>
      <c r="Q110" s="269"/>
    </row>
    <row r="111" spans="1:17" ht="12.5">
      <c r="B111" s="195" t="str">
        <f t="shared" si="24"/>
        <v/>
      </c>
      <c r="C111" s="507">
        <f>IF(D93="","-",+C110+1)</f>
        <v>2018</v>
      </c>
      <c r="D111" s="508">
        <v>4462042.3119362509</v>
      </c>
      <c r="E111" s="516">
        <v>136466.83333333334</v>
      </c>
      <c r="F111" s="515">
        <v>4325575.4786029179</v>
      </c>
      <c r="G111" s="515">
        <v>4393808.8952695839</v>
      </c>
      <c r="H111" s="516">
        <v>600473.20188958384</v>
      </c>
      <c r="I111" s="510">
        <v>600473.20188958384</v>
      </c>
      <c r="J111" s="514">
        <f t="shared" si="20"/>
        <v>0</v>
      </c>
      <c r="K111" s="514"/>
      <c r="L111" s="518">
        <f>H111</f>
        <v>600473.20188958384</v>
      </c>
      <c r="M111" s="519">
        <f t="shared" si="27"/>
        <v>0</v>
      </c>
      <c r="N111" s="518">
        <f>I111</f>
        <v>600473.20188958384</v>
      </c>
      <c r="O111" s="514">
        <f t="shared" si="28"/>
        <v>0</v>
      </c>
      <c r="P111" s="514">
        <f t="shared" si="29"/>
        <v>0</v>
      </c>
      <c r="Q111" s="269"/>
    </row>
    <row r="112" spans="1:17" ht="12.5">
      <c r="B112" s="195" t="str">
        <f t="shared" si="24"/>
        <v/>
      </c>
      <c r="C112" s="507">
        <f>IF(D93="","-",+C111+1)</f>
        <v>2019</v>
      </c>
      <c r="D112" s="508">
        <v>4325575.4786029179</v>
      </c>
      <c r="E112" s="516">
        <v>133293.18604651163</v>
      </c>
      <c r="F112" s="515">
        <v>4192282.292556406</v>
      </c>
      <c r="G112" s="515">
        <v>4258928.8855796624</v>
      </c>
      <c r="H112" s="516">
        <v>589171.26164273242</v>
      </c>
      <c r="I112" s="510">
        <v>589171.26164273242</v>
      </c>
      <c r="J112" s="514">
        <f t="shared" si="20"/>
        <v>0</v>
      </c>
      <c r="K112" s="514"/>
      <c r="L112" s="518">
        <f>H112</f>
        <v>589171.26164273242</v>
      </c>
      <c r="M112" s="519">
        <f t="shared" ref="M112" si="30">IF(L112&lt;&gt;0,+H112-L112,0)</f>
        <v>0</v>
      </c>
      <c r="N112" s="518">
        <f>I112</f>
        <v>589171.26164273242</v>
      </c>
      <c r="O112" s="514">
        <f t="shared" si="22"/>
        <v>0</v>
      </c>
      <c r="P112" s="514">
        <f t="shared" si="23"/>
        <v>0</v>
      </c>
      <c r="Q112" s="269"/>
    </row>
    <row r="113" spans="2:17" ht="12.5">
      <c r="B113" s="195" t="str">
        <f t="shared" si="24"/>
        <v/>
      </c>
      <c r="C113" s="507">
        <f>IF(D93="","-",+C112+1)</f>
        <v>2020</v>
      </c>
      <c r="D113" s="374">
        <f>IF(F112+SUM(E$99:E112)=D$92,F112,D$92-SUM(E$99:E112))</f>
        <v>4192282.292556406</v>
      </c>
      <c r="E113" s="522">
        <f>IF(+J96&lt;F112,J96,D113)</f>
        <v>136466.83333333334</v>
      </c>
      <c r="F113" s="523">
        <f t="shared" ref="F113:F130" si="31">+D113-E113</f>
        <v>4055815.4592230725</v>
      </c>
      <c r="G113" s="523">
        <f t="shared" ref="G113:G130" si="32">+(F113+D113)/2</f>
        <v>4124048.875889739</v>
      </c>
      <c r="H113" s="526">
        <f t="shared" ref="H113:H154" si="33">+J$94*G113+E113</f>
        <v>580106.57633315108</v>
      </c>
      <c r="I113" s="577">
        <f t="shared" ref="I113:I154" si="34">+J$95*G113+E113</f>
        <v>580106.57633315108</v>
      </c>
      <c r="J113" s="514">
        <f t="shared" si="20"/>
        <v>0</v>
      </c>
      <c r="K113" s="514"/>
      <c r="L113" s="525"/>
      <c r="M113" s="514">
        <f t="shared" si="21"/>
        <v>0</v>
      </c>
      <c r="N113" s="525"/>
      <c r="O113" s="514">
        <f t="shared" si="22"/>
        <v>0</v>
      </c>
      <c r="P113" s="514">
        <f t="shared" si="23"/>
        <v>0</v>
      </c>
      <c r="Q113" s="269"/>
    </row>
    <row r="114" spans="2:17" ht="12.5">
      <c r="B114" s="195" t="str">
        <f t="shared" si="24"/>
        <v/>
      </c>
      <c r="C114" s="507">
        <f>IF(D93="","-",+C113+1)</f>
        <v>2021</v>
      </c>
      <c r="D114" s="374">
        <f>IF(F113+SUM(E$99:E113)=D$92,F113,D$92-SUM(E$99:E113))</f>
        <v>4055815.4592230725</v>
      </c>
      <c r="E114" s="522">
        <f>IF(+J96&lt;F113,J96,D114)</f>
        <v>136466.83333333334</v>
      </c>
      <c r="F114" s="523">
        <f t="shared" si="31"/>
        <v>3919348.625889739</v>
      </c>
      <c r="G114" s="523">
        <f t="shared" si="32"/>
        <v>3987582.042556406</v>
      </c>
      <c r="H114" s="526">
        <f t="shared" si="33"/>
        <v>565426.31606224505</v>
      </c>
      <c r="I114" s="577">
        <f t="shared" si="34"/>
        <v>565426.31606224505</v>
      </c>
      <c r="J114" s="514">
        <f t="shared" si="20"/>
        <v>0</v>
      </c>
      <c r="K114" s="514"/>
      <c r="L114" s="525"/>
      <c r="M114" s="514">
        <f t="shared" si="21"/>
        <v>0</v>
      </c>
      <c r="N114" s="525"/>
      <c r="O114" s="514">
        <f t="shared" si="22"/>
        <v>0</v>
      </c>
      <c r="P114" s="514">
        <f t="shared" si="23"/>
        <v>0</v>
      </c>
      <c r="Q114" s="269"/>
    </row>
    <row r="115" spans="2:17" ht="12.5">
      <c r="B115" s="195" t="str">
        <f t="shared" si="24"/>
        <v/>
      </c>
      <c r="C115" s="507">
        <f>IF(D93="","-",+C114+1)</f>
        <v>2022</v>
      </c>
      <c r="D115" s="374">
        <f>IF(F114+SUM(E$99:E114)=D$92,F114,D$92-SUM(E$99:E114))</f>
        <v>3919348.625889739</v>
      </c>
      <c r="E115" s="522">
        <f>IF(+J96&lt;F114,J96,D115)</f>
        <v>136466.83333333334</v>
      </c>
      <c r="F115" s="523">
        <f t="shared" si="31"/>
        <v>3782881.7925564055</v>
      </c>
      <c r="G115" s="523">
        <f t="shared" si="32"/>
        <v>3851115.209223072</v>
      </c>
      <c r="H115" s="526">
        <f t="shared" si="33"/>
        <v>550746.05579133891</v>
      </c>
      <c r="I115" s="577">
        <f t="shared" si="34"/>
        <v>550746.05579133891</v>
      </c>
      <c r="J115" s="514">
        <f t="shared" si="20"/>
        <v>0</v>
      </c>
      <c r="K115" s="514"/>
      <c r="L115" s="525"/>
      <c r="M115" s="514">
        <f t="shared" si="21"/>
        <v>0</v>
      </c>
      <c r="N115" s="525"/>
      <c r="O115" s="514">
        <f t="shared" si="22"/>
        <v>0</v>
      </c>
      <c r="P115" s="514">
        <f t="shared" si="23"/>
        <v>0</v>
      </c>
      <c r="Q115" s="269"/>
    </row>
    <row r="116" spans="2:17" ht="12.5">
      <c r="B116" s="195" t="str">
        <f t="shared" si="24"/>
        <v/>
      </c>
      <c r="C116" s="507">
        <f>IF(D93="","-",+C115+1)</f>
        <v>2023</v>
      </c>
      <c r="D116" s="374">
        <f>IF(F115+SUM(E$99:E115)=D$92,F115,D$92-SUM(E$99:E115))</f>
        <v>3782881.7925564055</v>
      </c>
      <c r="E116" s="522">
        <f>IF(+J96&lt;F115,J96,D116)</f>
        <v>136466.83333333334</v>
      </c>
      <c r="F116" s="523">
        <f t="shared" si="31"/>
        <v>3646414.959223072</v>
      </c>
      <c r="G116" s="523">
        <f t="shared" si="32"/>
        <v>3714648.375889739</v>
      </c>
      <c r="H116" s="526">
        <f t="shared" si="33"/>
        <v>536065.79552043288</v>
      </c>
      <c r="I116" s="577">
        <f t="shared" si="34"/>
        <v>536065.79552043288</v>
      </c>
      <c r="J116" s="514">
        <f t="shared" si="20"/>
        <v>0</v>
      </c>
      <c r="K116" s="514"/>
      <c r="L116" s="525"/>
      <c r="M116" s="514">
        <f t="shared" si="21"/>
        <v>0</v>
      </c>
      <c r="N116" s="525"/>
      <c r="O116" s="514">
        <f t="shared" si="22"/>
        <v>0</v>
      </c>
      <c r="P116" s="514">
        <f t="shared" si="23"/>
        <v>0</v>
      </c>
      <c r="Q116" s="269"/>
    </row>
    <row r="117" spans="2:17" ht="12.5">
      <c r="B117" s="195" t="str">
        <f t="shared" si="24"/>
        <v/>
      </c>
      <c r="C117" s="507">
        <f>IF(D93="","-",+C116+1)</f>
        <v>2024</v>
      </c>
      <c r="D117" s="374">
        <f>IF(F116+SUM(E$99:E116)=D$92,F116,D$92-SUM(E$99:E116))</f>
        <v>3646414.959223072</v>
      </c>
      <c r="E117" s="522">
        <f>IF(+J96&lt;F116,J96,D117)</f>
        <v>136466.83333333334</v>
      </c>
      <c r="F117" s="523">
        <f t="shared" si="31"/>
        <v>3509948.1258897386</v>
      </c>
      <c r="G117" s="523">
        <f t="shared" si="32"/>
        <v>3578181.5425564051</v>
      </c>
      <c r="H117" s="526">
        <f t="shared" si="33"/>
        <v>521385.53524952673</v>
      </c>
      <c r="I117" s="577">
        <f t="shared" si="34"/>
        <v>521385.53524952673</v>
      </c>
      <c r="J117" s="514">
        <f t="shared" si="20"/>
        <v>0</v>
      </c>
      <c r="K117" s="514"/>
      <c r="L117" s="525"/>
      <c r="M117" s="514">
        <f t="shared" si="21"/>
        <v>0</v>
      </c>
      <c r="N117" s="525"/>
      <c r="O117" s="514">
        <f t="shared" si="22"/>
        <v>0</v>
      </c>
      <c r="P117" s="514">
        <f t="shared" si="23"/>
        <v>0</v>
      </c>
      <c r="Q117" s="269"/>
    </row>
    <row r="118" spans="2:17" ht="12.5">
      <c r="B118" s="195" t="str">
        <f t="shared" si="24"/>
        <v/>
      </c>
      <c r="C118" s="507">
        <f>IF(D93="","-",+C117+1)</f>
        <v>2025</v>
      </c>
      <c r="D118" s="374">
        <f>IF(F117+SUM(E$99:E117)=D$92,F117,D$92-SUM(E$99:E117))</f>
        <v>3509948.1258897386</v>
      </c>
      <c r="E118" s="522">
        <f>IF(+J96&lt;F117,J96,D118)</f>
        <v>136466.83333333334</v>
      </c>
      <c r="F118" s="523">
        <f t="shared" si="31"/>
        <v>3373481.2925564051</v>
      </c>
      <c r="G118" s="523">
        <f t="shared" si="32"/>
        <v>3441714.709223072</v>
      </c>
      <c r="H118" s="526">
        <f t="shared" si="33"/>
        <v>506705.2749786207</v>
      </c>
      <c r="I118" s="577">
        <f t="shared" si="34"/>
        <v>506705.2749786207</v>
      </c>
      <c r="J118" s="514">
        <f t="shared" si="20"/>
        <v>0</v>
      </c>
      <c r="K118" s="514"/>
      <c r="L118" s="525"/>
      <c r="M118" s="514">
        <f t="shared" si="21"/>
        <v>0</v>
      </c>
      <c r="N118" s="525"/>
      <c r="O118" s="514">
        <f t="shared" si="22"/>
        <v>0</v>
      </c>
      <c r="P118" s="514">
        <f t="shared" si="23"/>
        <v>0</v>
      </c>
      <c r="Q118" s="269"/>
    </row>
    <row r="119" spans="2:17" ht="12.5">
      <c r="B119" s="195" t="str">
        <f t="shared" si="24"/>
        <v/>
      </c>
      <c r="C119" s="507">
        <f>IF(D93="","-",+C118+1)</f>
        <v>2026</v>
      </c>
      <c r="D119" s="374">
        <f>IF(F118+SUM(E$99:E118)=D$92,F118,D$92-SUM(E$99:E118))</f>
        <v>3373481.2925564051</v>
      </c>
      <c r="E119" s="522">
        <f>IF(+J96&lt;F118,J96,D119)</f>
        <v>136466.83333333334</v>
      </c>
      <c r="F119" s="523">
        <f t="shared" si="31"/>
        <v>3237014.4592230716</v>
      </c>
      <c r="G119" s="523">
        <f t="shared" si="32"/>
        <v>3305247.8758897381</v>
      </c>
      <c r="H119" s="526">
        <f t="shared" si="33"/>
        <v>492025.01470771455</v>
      </c>
      <c r="I119" s="577">
        <f t="shared" si="34"/>
        <v>492025.01470771455</v>
      </c>
      <c r="J119" s="514">
        <f t="shared" si="20"/>
        <v>0</v>
      </c>
      <c r="K119" s="514"/>
      <c r="L119" s="525"/>
      <c r="M119" s="514">
        <f t="shared" si="21"/>
        <v>0</v>
      </c>
      <c r="N119" s="525"/>
      <c r="O119" s="514">
        <f t="shared" si="22"/>
        <v>0</v>
      </c>
      <c r="P119" s="514">
        <f t="shared" si="23"/>
        <v>0</v>
      </c>
      <c r="Q119" s="269"/>
    </row>
    <row r="120" spans="2:17" ht="12.5">
      <c r="B120" s="195" t="str">
        <f t="shared" si="24"/>
        <v/>
      </c>
      <c r="C120" s="507">
        <f>IF(D93="","-",+C119+1)</f>
        <v>2027</v>
      </c>
      <c r="D120" s="374">
        <f>IF(F119+SUM(E$99:E119)=D$92,F119,D$92-SUM(E$99:E119))</f>
        <v>3237014.4592230716</v>
      </c>
      <c r="E120" s="522">
        <f>IF(+J96&lt;F119,J96,D120)</f>
        <v>136466.83333333334</v>
      </c>
      <c r="F120" s="523">
        <f t="shared" si="31"/>
        <v>3100547.6258897381</v>
      </c>
      <c r="G120" s="523">
        <f t="shared" si="32"/>
        <v>3168781.0425564051</v>
      </c>
      <c r="H120" s="526">
        <f t="shared" si="33"/>
        <v>477344.75443680852</v>
      </c>
      <c r="I120" s="577">
        <f t="shared" si="34"/>
        <v>477344.75443680852</v>
      </c>
      <c r="J120" s="514">
        <f t="shared" si="20"/>
        <v>0</v>
      </c>
      <c r="K120" s="514"/>
      <c r="L120" s="525"/>
      <c r="M120" s="514">
        <f t="shared" si="21"/>
        <v>0</v>
      </c>
      <c r="N120" s="525"/>
      <c r="O120" s="514">
        <f t="shared" si="22"/>
        <v>0</v>
      </c>
      <c r="P120" s="514">
        <f t="shared" si="23"/>
        <v>0</v>
      </c>
      <c r="Q120" s="269"/>
    </row>
    <row r="121" spans="2:17" ht="12.5">
      <c r="B121" s="195" t="str">
        <f t="shared" si="24"/>
        <v/>
      </c>
      <c r="C121" s="507">
        <f>IF(D93="","-",+C120+1)</f>
        <v>2028</v>
      </c>
      <c r="D121" s="374">
        <f>IF(F120+SUM(E$99:E120)=D$92,F120,D$92-SUM(E$99:E120))</f>
        <v>3100547.6258897381</v>
      </c>
      <c r="E121" s="522">
        <f>IF(+J96&lt;F120,J96,D121)</f>
        <v>136466.83333333334</v>
      </c>
      <c r="F121" s="523">
        <f t="shared" si="31"/>
        <v>2964080.7925564046</v>
      </c>
      <c r="G121" s="523">
        <f t="shared" si="32"/>
        <v>3032314.2092230711</v>
      </c>
      <c r="H121" s="526">
        <f t="shared" si="33"/>
        <v>462664.49416590238</v>
      </c>
      <c r="I121" s="577">
        <f t="shared" si="34"/>
        <v>462664.49416590238</v>
      </c>
      <c r="J121" s="514">
        <f t="shared" si="20"/>
        <v>0</v>
      </c>
      <c r="K121" s="514"/>
      <c r="L121" s="525"/>
      <c r="M121" s="514">
        <f t="shared" si="21"/>
        <v>0</v>
      </c>
      <c r="N121" s="525"/>
      <c r="O121" s="514">
        <f t="shared" si="22"/>
        <v>0</v>
      </c>
      <c r="P121" s="514">
        <f t="shared" si="23"/>
        <v>0</v>
      </c>
      <c r="Q121" s="269"/>
    </row>
    <row r="122" spans="2:17" ht="12.5">
      <c r="B122" s="195" t="str">
        <f t="shared" si="24"/>
        <v/>
      </c>
      <c r="C122" s="507">
        <f>IF(D93="","-",+C121+1)</f>
        <v>2029</v>
      </c>
      <c r="D122" s="374">
        <f>IF(F121+SUM(E$99:E121)=D$92,F121,D$92-SUM(E$99:E121))</f>
        <v>2964080.7925564046</v>
      </c>
      <c r="E122" s="522">
        <f>IF(+J96&lt;F121,J96,D122)</f>
        <v>136466.83333333334</v>
      </c>
      <c r="F122" s="523">
        <f t="shared" si="31"/>
        <v>2827613.9592230711</v>
      </c>
      <c r="G122" s="523">
        <f t="shared" si="32"/>
        <v>2895847.3758897381</v>
      </c>
      <c r="H122" s="526">
        <f t="shared" si="33"/>
        <v>447984.23389499635</v>
      </c>
      <c r="I122" s="577">
        <f t="shared" si="34"/>
        <v>447984.23389499635</v>
      </c>
      <c r="J122" s="514">
        <f t="shared" si="20"/>
        <v>0</v>
      </c>
      <c r="K122" s="514"/>
      <c r="L122" s="525"/>
      <c r="M122" s="514">
        <f t="shared" si="21"/>
        <v>0</v>
      </c>
      <c r="N122" s="525"/>
      <c r="O122" s="514">
        <f t="shared" si="22"/>
        <v>0</v>
      </c>
      <c r="P122" s="514">
        <f t="shared" si="23"/>
        <v>0</v>
      </c>
      <c r="Q122" s="269"/>
    </row>
    <row r="123" spans="2:17" ht="12.5">
      <c r="B123" s="195" t="str">
        <f t="shared" si="24"/>
        <v/>
      </c>
      <c r="C123" s="507">
        <f>IF(D93="","-",+C122+1)</f>
        <v>2030</v>
      </c>
      <c r="D123" s="374">
        <f>IF(F122+SUM(E$99:E122)=D$92,F122,D$92-SUM(E$99:E122))</f>
        <v>2827613.9592230711</v>
      </c>
      <c r="E123" s="522">
        <f>IF(+J96&lt;F122,J96,D123)</f>
        <v>136466.83333333334</v>
      </c>
      <c r="F123" s="523">
        <f t="shared" si="31"/>
        <v>2691147.1258897376</v>
      </c>
      <c r="G123" s="523">
        <f t="shared" si="32"/>
        <v>2759380.5425564041</v>
      </c>
      <c r="H123" s="526">
        <f t="shared" si="33"/>
        <v>433303.9736240902</v>
      </c>
      <c r="I123" s="577">
        <f t="shared" si="34"/>
        <v>433303.9736240902</v>
      </c>
      <c r="J123" s="514">
        <f t="shared" si="20"/>
        <v>0</v>
      </c>
      <c r="K123" s="514"/>
      <c r="L123" s="525"/>
      <c r="M123" s="514">
        <f t="shared" si="21"/>
        <v>0</v>
      </c>
      <c r="N123" s="525"/>
      <c r="O123" s="514">
        <f t="shared" si="22"/>
        <v>0</v>
      </c>
      <c r="P123" s="514">
        <f t="shared" si="23"/>
        <v>0</v>
      </c>
      <c r="Q123" s="269"/>
    </row>
    <row r="124" spans="2:17" ht="12.5">
      <c r="B124" s="195" t="str">
        <f t="shared" si="24"/>
        <v/>
      </c>
      <c r="C124" s="507">
        <f>IF(D93="","-",+C123+1)</f>
        <v>2031</v>
      </c>
      <c r="D124" s="374">
        <f>IF(F123+SUM(E$99:E123)=D$92,F123,D$92-SUM(E$99:E123))</f>
        <v>2691147.1258897376</v>
      </c>
      <c r="E124" s="522">
        <f>IF(+J96&lt;F123,J96,D124)</f>
        <v>136466.83333333334</v>
      </c>
      <c r="F124" s="523">
        <f t="shared" si="31"/>
        <v>2554680.2925564041</v>
      </c>
      <c r="G124" s="523">
        <f t="shared" si="32"/>
        <v>2622913.7092230711</v>
      </c>
      <c r="H124" s="526">
        <f t="shared" si="33"/>
        <v>418623.71335318417</v>
      </c>
      <c r="I124" s="577">
        <f t="shared" si="34"/>
        <v>418623.71335318417</v>
      </c>
      <c r="J124" s="514">
        <f t="shared" si="20"/>
        <v>0</v>
      </c>
      <c r="K124" s="514"/>
      <c r="L124" s="525"/>
      <c r="M124" s="514">
        <f t="shared" si="21"/>
        <v>0</v>
      </c>
      <c r="N124" s="525"/>
      <c r="O124" s="514">
        <f t="shared" si="22"/>
        <v>0</v>
      </c>
      <c r="P124" s="514">
        <f t="shared" si="23"/>
        <v>0</v>
      </c>
      <c r="Q124" s="269"/>
    </row>
    <row r="125" spans="2:17" ht="12.5">
      <c r="B125" s="195" t="str">
        <f t="shared" si="24"/>
        <v/>
      </c>
      <c r="C125" s="507">
        <f>IF(D93="","-",+C124+1)</f>
        <v>2032</v>
      </c>
      <c r="D125" s="374">
        <f>IF(F124+SUM(E$99:E124)=D$92,F124,D$92-SUM(E$99:E124))</f>
        <v>2554680.2925564041</v>
      </c>
      <c r="E125" s="522">
        <f>IF(+J96&lt;F124,J96,D125)</f>
        <v>136466.83333333334</v>
      </c>
      <c r="F125" s="523">
        <f t="shared" si="31"/>
        <v>2418213.4592230706</v>
      </c>
      <c r="G125" s="523">
        <f t="shared" si="32"/>
        <v>2486446.8758897372</v>
      </c>
      <c r="H125" s="526">
        <f t="shared" si="33"/>
        <v>403943.45308227802</v>
      </c>
      <c r="I125" s="577">
        <f t="shared" si="34"/>
        <v>403943.45308227802</v>
      </c>
      <c r="J125" s="514">
        <f t="shared" si="20"/>
        <v>0</v>
      </c>
      <c r="K125" s="514"/>
      <c r="L125" s="525"/>
      <c r="M125" s="514">
        <f t="shared" si="21"/>
        <v>0</v>
      </c>
      <c r="N125" s="525"/>
      <c r="O125" s="514">
        <f t="shared" si="22"/>
        <v>0</v>
      </c>
      <c r="P125" s="514">
        <f t="shared" si="23"/>
        <v>0</v>
      </c>
      <c r="Q125" s="269"/>
    </row>
    <row r="126" spans="2:17" ht="12.5">
      <c r="B126" s="195" t="str">
        <f t="shared" si="24"/>
        <v/>
      </c>
      <c r="C126" s="507">
        <f>IF(D93="","-",+C125+1)</f>
        <v>2033</v>
      </c>
      <c r="D126" s="374">
        <f>IF(F125+SUM(E$99:E125)=D$92,F125,D$92-SUM(E$99:E125))</f>
        <v>2418213.4592230706</v>
      </c>
      <c r="E126" s="522">
        <f>IF(+J96&lt;F125,J96,D126)</f>
        <v>136466.83333333334</v>
      </c>
      <c r="F126" s="523">
        <f t="shared" si="31"/>
        <v>2281746.6258897372</v>
      </c>
      <c r="G126" s="523">
        <f t="shared" si="32"/>
        <v>2349980.0425564041</v>
      </c>
      <c r="H126" s="526">
        <f t="shared" si="33"/>
        <v>389263.19281137205</v>
      </c>
      <c r="I126" s="577">
        <f t="shared" si="34"/>
        <v>389263.19281137205</v>
      </c>
      <c r="J126" s="514">
        <f t="shared" si="20"/>
        <v>0</v>
      </c>
      <c r="K126" s="514"/>
      <c r="L126" s="525"/>
      <c r="M126" s="514">
        <f t="shared" si="21"/>
        <v>0</v>
      </c>
      <c r="N126" s="525"/>
      <c r="O126" s="514">
        <f t="shared" si="22"/>
        <v>0</v>
      </c>
      <c r="P126" s="514">
        <f t="shared" si="23"/>
        <v>0</v>
      </c>
      <c r="Q126" s="269"/>
    </row>
    <row r="127" spans="2:17" ht="12.5">
      <c r="B127" s="195" t="str">
        <f t="shared" si="24"/>
        <v/>
      </c>
      <c r="C127" s="507">
        <f>IF(D93="","-",+C126+1)</f>
        <v>2034</v>
      </c>
      <c r="D127" s="374">
        <f>IF(F126+SUM(E$99:E126)=D$92,F126,D$92-SUM(E$99:E126))</f>
        <v>2281746.6258897372</v>
      </c>
      <c r="E127" s="522">
        <f>IF(+J96&lt;F126,J96,D127)</f>
        <v>136466.83333333334</v>
      </c>
      <c r="F127" s="523">
        <f t="shared" si="31"/>
        <v>2145279.7925564037</v>
      </c>
      <c r="G127" s="523">
        <f t="shared" si="32"/>
        <v>2213513.2092230702</v>
      </c>
      <c r="H127" s="526">
        <f t="shared" si="33"/>
        <v>374582.9325404659</v>
      </c>
      <c r="I127" s="577">
        <f t="shared" si="34"/>
        <v>374582.9325404659</v>
      </c>
      <c r="J127" s="514">
        <f t="shared" si="20"/>
        <v>0</v>
      </c>
      <c r="K127" s="514"/>
      <c r="L127" s="525"/>
      <c r="M127" s="514">
        <f t="shared" si="21"/>
        <v>0</v>
      </c>
      <c r="N127" s="525"/>
      <c r="O127" s="514">
        <f t="shared" si="22"/>
        <v>0</v>
      </c>
      <c r="P127" s="514">
        <f t="shared" si="23"/>
        <v>0</v>
      </c>
      <c r="Q127" s="269"/>
    </row>
    <row r="128" spans="2:17" ht="12.5">
      <c r="B128" s="195" t="str">
        <f t="shared" si="24"/>
        <v/>
      </c>
      <c r="C128" s="507">
        <f>IF(D93="","-",+C127+1)</f>
        <v>2035</v>
      </c>
      <c r="D128" s="374">
        <f>IF(F127+SUM(E$99:E127)=D$92,F127,D$92-SUM(E$99:E127))</f>
        <v>2145279.7925564037</v>
      </c>
      <c r="E128" s="522">
        <f>IF(+J96&lt;F127,J96,D128)</f>
        <v>136466.83333333334</v>
      </c>
      <c r="F128" s="523">
        <f t="shared" si="31"/>
        <v>2008812.9592230704</v>
      </c>
      <c r="G128" s="523">
        <f t="shared" si="32"/>
        <v>2077046.3758897372</v>
      </c>
      <c r="H128" s="526">
        <f t="shared" si="33"/>
        <v>359902.67226955987</v>
      </c>
      <c r="I128" s="577">
        <f t="shared" si="34"/>
        <v>359902.67226955987</v>
      </c>
      <c r="J128" s="514">
        <f t="shared" si="20"/>
        <v>0</v>
      </c>
      <c r="K128" s="514"/>
      <c r="L128" s="525"/>
      <c r="M128" s="514">
        <f t="shared" si="21"/>
        <v>0</v>
      </c>
      <c r="N128" s="525"/>
      <c r="O128" s="514">
        <f t="shared" si="22"/>
        <v>0</v>
      </c>
      <c r="P128" s="514">
        <f t="shared" si="23"/>
        <v>0</v>
      </c>
      <c r="Q128" s="269"/>
    </row>
    <row r="129" spans="2:17" ht="12.5">
      <c r="B129" s="195" t="str">
        <f t="shared" si="24"/>
        <v/>
      </c>
      <c r="C129" s="507">
        <f>IF(D93="","-",+C128+1)</f>
        <v>2036</v>
      </c>
      <c r="D129" s="374">
        <f>IF(F128+SUM(E$99:E128)=D$92,F128,D$92-SUM(E$99:E128))</f>
        <v>2008812.9592230704</v>
      </c>
      <c r="E129" s="522">
        <f>IF(+J96&lt;F128,J96,D129)</f>
        <v>136466.83333333334</v>
      </c>
      <c r="F129" s="523">
        <f t="shared" si="31"/>
        <v>1872346.1258897372</v>
      </c>
      <c r="G129" s="523">
        <f t="shared" si="32"/>
        <v>1940579.5425564037</v>
      </c>
      <c r="H129" s="526">
        <f t="shared" si="33"/>
        <v>345222.41199865378</v>
      </c>
      <c r="I129" s="577">
        <f t="shared" si="34"/>
        <v>345222.41199865378</v>
      </c>
      <c r="J129" s="514">
        <f t="shared" si="20"/>
        <v>0</v>
      </c>
      <c r="K129" s="514"/>
      <c r="L129" s="525"/>
      <c r="M129" s="514">
        <f t="shared" si="21"/>
        <v>0</v>
      </c>
      <c r="N129" s="525"/>
      <c r="O129" s="514">
        <f t="shared" si="22"/>
        <v>0</v>
      </c>
      <c r="P129" s="514">
        <f t="shared" si="23"/>
        <v>0</v>
      </c>
      <c r="Q129" s="269"/>
    </row>
    <row r="130" spans="2:17" ht="12.5">
      <c r="B130" s="195" t="str">
        <f t="shared" si="24"/>
        <v/>
      </c>
      <c r="C130" s="507">
        <f>IF(D93="","-",+C129+1)</f>
        <v>2037</v>
      </c>
      <c r="D130" s="374">
        <f>IF(F129+SUM(E$99:E129)=D$92,F129,D$92-SUM(E$99:E129))</f>
        <v>1872346.1258897372</v>
      </c>
      <c r="E130" s="522">
        <f>IF(+J96&lt;F129,J96,D130)</f>
        <v>136466.83333333334</v>
      </c>
      <c r="F130" s="523">
        <f t="shared" si="31"/>
        <v>1735879.2925564039</v>
      </c>
      <c r="G130" s="523">
        <f t="shared" si="32"/>
        <v>1804112.7092230706</v>
      </c>
      <c r="H130" s="526">
        <f t="shared" si="33"/>
        <v>330542.15172774775</v>
      </c>
      <c r="I130" s="577">
        <f t="shared" si="34"/>
        <v>330542.15172774775</v>
      </c>
      <c r="J130" s="514">
        <f t="shared" si="20"/>
        <v>0</v>
      </c>
      <c r="K130" s="514"/>
      <c r="L130" s="525"/>
      <c r="M130" s="514">
        <f t="shared" si="21"/>
        <v>0</v>
      </c>
      <c r="N130" s="525"/>
      <c r="O130" s="514">
        <f t="shared" si="22"/>
        <v>0</v>
      </c>
      <c r="P130" s="514">
        <f t="shared" si="23"/>
        <v>0</v>
      </c>
      <c r="Q130" s="269"/>
    </row>
    <row r="131" spans="2:17" ht="12.5">
      <c r="B131" s="195" t="str">
        <f t="shared" si="24"/>
        <v/>
      </c>
      <c r="C131" s="507">
        <f>IF(D93="","-",+C130+1)</f>
        <v>2038</v>
      </c>
      <c r="D131" s="374">
        <f>IF(F130+SUM(E$99:E130)=D$92,F130,D$92-SUM(E$99:E130))</f>
        <v>1735879.2925564039</v>
      </c>
      <c r="E131" s="522">
        <f>IF(+J96&lt;F130,J96,D131)</f>
        <v>136466.83333333334</v>
      </c>
      <c r="F131" s="523">
        <f t="shared" ref="F131:F154" si="35">+D131-E131</f>
        <v>1599412.4592230706</v>
      </c>
      <c r="G131" s="523">
        <f t="shared" ref="G131:G154" si="36">+(F131+D131)/2</f>
        <v>1667645.8758897372</v>
      </c>
      <c r="H131" s="526">
        <f t="shared" si="33"/>
        <v>315861.89145684167</v>
      </c>
      <c r="I131" s="577">
        <f t="shared" si="34"/>
        <v>315861.89145684167</v>
      </c>
      <c r="J131" s="514">
        <f t="shared" ref="J131:J154" si="37">+I131-H131</f>
        <v>0</v>
      </c>
      <c r="K131" s="514"/>
      <c r="L131" s="525"/>
      <c r="M131" s="514">
        <f t="shared" ref="M131:M154" si="38">IF(L131&lt;&gt;0,+H131-L131,0)</f>
        <v>0</v>
      </c>
      <c r="N131" s="525"/>
      <c r="O131" s="514">
        <f t="shared" ref="O131:O154" si="39">IF(N131&lt;&gt;0,+I131-N131,0)</f>
        <v>0</v>
      </c>
      <c r="P131" s="514">
        <f t="shared" ref="P131:P154" si="40">+O131-M131</f>
        <v>0</v>
      </c>
      <c r="Q131" s="269"/>
    </row>
    <row r="132" spans="2:17" ht="12.5">
      <c r="B132" s="195" t="str">
        <f t="shared" si="24"/>
        <v/>
      </c>
      <c r="C132" s="507">
        <f>IF(D93="","-",+C131+1)</f>
        <v>2039</v>
      </c>
      <c r="D132" s="374">
        <f>IF(F131+SUM(E$99:E131)=D$92,F131,D$92-SUM(E$99:E131))</f>
        <v>1599412.4592230706</v>
      </c>
      <c r="E132" s="522">
        <f>IF(+J96&lt;F131,J96,D132)</f>
        <v>136466.83333333334</v>
      </c>
      <c r="F132" s="523">
        <f t="shared" si="35"/>
        <v>1462945.6258897374</v>
      </c>
      <c r="G132" s="523">
        <f t="shared" si="36"/>
        <v>1531179.0425564041</v>
      </c>
      <c r="H132" s="526">
        <f t="shared" si="33"/>
        <v>301181.63118593564</v>
      </c>
      <c r="I132" s="577">
        <f t="shared" si="34"/>
        <v>301181.63118593564</v>
      </c>
      <c r="J132" s="514">
        <f t="shared" si="37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  <c r="Q132" s="269"/>
    </row>
    <row r="133" spans="2:17" ht="12.5">
      <c r="B133" s="195" t="str">
        <f t="shared" si="24"/>
        <v/>
      </c>
      <c r="C133" s="507">
        <f>IF(D93="","-",+C132+1)</f>
        <v>2040</v>
      </c>
      <c r="D133" s="374">
        <f>IF(F132+SUM(E$99:E132)=D$92,F132,D$92-SUM(E$99:E132))</f>
        <v>1462945.6258897374</v>
      </c>
      <c r="E133" s="522">
        <f>IF(+J96&lt;F132,J96,D133)</f>
        <v>136466.83333333334</v>
      </c>
      <c r="F133" s="523">
        <f t="shared" si="35"/>
        <v>1326478.7925564041</v>
      </c>
      <c r="G133" s="523">
        <f t="shared" si="36"/>
        <v>1394712.2092230706</v>
      </c>
      <c r="H133" s="526">
        <f t="shared" si="33"/>
        <v>286501.37091502955</v>
      </c>
      <c r="I133" s="577">
        <f t="shared" si="34"/>
        <v>286501.37091502955</v>
      </c>
      <c r="J133" s="514">
        <f t="shared" si="37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  <c r="Q133" s="269"/>
    </row>
    <row r="134" spans="2:17" ht="12.5">
      <c r="B134" s="195" t="str">
        <f t="shared" si="24"/>
        <v/>
      </c>
      <c r="C134" s="507">
        <f>IF(D93="","-",+C133+1)</f>
        <v>2041</v>
      </c>
      <c r="D134" s="374">
        <f>IF(F133+SUM(E$99:E133)=D$92,F133,D$92-SUM(E$99:E133))</f>
        <v>1326478.7925564041</v>
      </c>
      <c r="E134" s="522">
        <f>IF(+J96&lt;F133,J96,D134)</f>
        <v>136466.83333333334</v>
      </c>
      <c r="F134" s="523">
        <f t="shared" si="35"/>
        <v>1190011.9592230709</v>
      </c>
      <c r="G134" s="523">
        <f t="shared" si="36"/>
        <v>1258245.3758897376</v>
      </c>
      <c r="H134" s="526">
        <f t="shared" si="33"/>
        <v>271821.11064412352</v>
      </c>
      <c r="I134" s="577">
        <f t="shared" si="34"/>
        <v>271821.11064412352</v>
      </c>
      <c r="J134" s="514">
        <f t="shared" si="37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  <c r="Q134" s="269"/>
    </row>
    <row r="135" spans="2:17" ht="12.5">
      <c r="B135" s="195" t="str">
        <f t="shared" si="24"/>
        <v/>
      </c>
      <c r="C135" s="507">
        <f>IF(D93="","-",+C134+1)</f>
        <v>2042</v>
      </c>
      <c r="D135" s="374">
        <f>IF(F134+SUM(E$99:E134)=D$92,F134,D$92-SUM(E$99:E134))</f>
        <v>1190011.9592230709</v>
      </c>
      <c r="E135" s="522">
        <f>IF(+J96&lt;F134,J96,D135)</f>
        <v>136466.83333333334</v>
      </c>
      <c r="F135" s="523">
        <f t="shared" si="35"/>
        <v>1053545.1258897376</v>
      </c>
      <c r="G135" s="523">
        <f t="shared" si="36"/>
        <v>1121778.5425564041</v>
      </c>
      <c r="H135" s="526">
        <f t="shared" si="33"/>
        <v>257140.85037321743</v>
      </c>
      <c r="I135" s="577">
        <f t="shared" si="34"/>
        <v>257140.85037321743</v>
      </c>
      <c r="J135" s="514">
        <f t="shared" si="37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  <c r="Q135" s="269"/>
    </row>
    <row r="136" spans="2:17" ht="12.5">
      <c r="B136" s="195" t="str">
        <f t="shared" si="24"/>
        <v/>
      </c>
      <c r="C136" s="507">
        <f>IF(D93="","-",+C135+1)</f>
        <v>2043</v>
      </c>
      <c r="D136" s="374">
        <f>IF(F135+SUM(E$99:E135)=D$92,F135,D$92-SUM(E$99:E135))</f>
        <v>1053545.1258897376</v>
      </c>
      <c r="E136" s="522">
        <f>IF(+J96&lt;F135,J96,D136)</f>
        <v>136466.83333333334</v>
      </c>
      <c r="F136" s="523">
        <f t="shared" si="35"/>
        <v>917078.29255640425</v>
      </c>
      <c r="G136" s="523">
        <f t="shared" si="36"/>
        <v>985311.70922307088</v>
      </c>
      <c r="H136" s="526">
        <f t="shared" si="33"/>
        <v>242460.5901023114</v>
      </c>
      <c r="I136" s="577">
        <f t="shared" si="34"/>
        <v>242460.5901023114</v>
      </c>
      <c r="J136" s="514">
        <f t="shared" si="37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  <c r="Q136" s="269"/>
    </row>
    <row r="137" spans="2:17" ht="12.5">
      <c r="B137" s="195" t="str">
        <f t="shared" si="24"/>
        <v/>
      </c>
      <c r="C137" s="507">
        <f>IF(D93="","-",+C136+1)</f>
        <v>2044</v>
      </c>
      <c r="D137" s="374">
        <f>IF(F136+SUM(E$99:E136)=D$92,F136,D$92-SUM(E$99:E136))</f>
        <v>917078.29255640425</v>
      </c>
      <c r="E137" s="522">
        <f>IF(+J96&lt;F136,J96,D137)</f>
        <v>136466.83333333334</v>
      </c>
      <c r="F137" s="523">
        <f t="shared" si="35"/>
        <v>780611.45922307088</v>
      </c>
      <c r="G137" s="523">
        <f t="shared" si="36"/>
        <v>848844.87588973762</v>
      </c>
      <c r="H137" s="526">
        <f t="shared" si="33"/>
        <v>227780.32983140531</v>
      </c>
      <c r="I137" s="577">
        <f t="shared" si="34"/>
        <v>227780.32983140531</v>
      </c>
      <c r="J137" s="514">
        <f t="shared" si="37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  <c r="Q137" s="269"/>
    </row>
    <row r="138" spans="2:17" ht="12.5">
      <c r="B138" s="195" t="str">
        <f t="shared" si="24"/>
        <v/>
      </c>
      <c r="C138" s="507">
        <f>IF(D93="","-",+C137+1)</f>
        <v>2045</v>
      </c>
      <c r="D138" s="374">
        <f>IF(F137+SUM(E$99:E137)=D$92,F137,D$92-SUM(E$99:E137))</f>
        <v>780611.45922307088</v>
      </c>
      <c r="E138" s="522">
        <f>IF(+J96&lt;F137,J96,D138)</f>
        <v>136466.83333333334</v>
      </c>
      <c r="F138" s="523">
        <f t="shared" si="35"/>
        <v>644144.62588973751</v>
      </c>
      <c r="G138" s="523">
        <f t="shared" si="36"/>
        <v>712378.04255640414</v>
      </c>
      <c r="H138" s="526">
        <f t="shared" si="33"/>
        <v>213100.06956049922</v>
      </c>
      <c r="I138" s="577">
        <f t="shared" si="34"/>
        <v>213100.06956049922</v>
      </c>
      <c r="J138" s="514">
        <f t="shared" si="37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  <c r="Q138" s="269"/>
    </row>
    <row r="139" spans="2:17" ht="12.5">
      <c r="B139" s="195" t="str">
        <f t="shared" si="24"/>
        <v/>
      </c>
      <c r="C139" s="507">
        <f>IF(D93="","-",+C138+1)</f>
        <v>2046</v>
      </c>
      <c r="D139" s="374">
        <f>IF(F138+SUM(E$99:E138)=D$92,F138,D$92-SUM(E$99:E138))</f>
        <v>644144.62588973751</v>
      </c>
      <c r="E139" s="522">
        <f>IF(+J96&lt;F138,J96,D139)</f>
        <v>136466.83333333334</v>
      </c>
      <c r="F139" s="523">
        <f t="shared" si="35"/>
        <v>507677.79255640414</v>
      </c>
      <c r="G139" s="523">
        <f t="shared" si="36"/>
        <v>575911.20922307088</v>
      </c>
      <c r="H139" s="526">
        <f t="shared" si="33"/>
        <v>198419.80928959319</v>
      </c>
      <c r="I139" s="577">
        <f t="shared" si="34"/>
        <v>198419.80928959319</v>
      </c>
      <c r="J139" s="514">
        <f t="shared" si="37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  <c r="Q139" s="269"/>
    </row>
    <row r="140" spans="2:17" ht="12.5">
      <c r="B140" s="195" t="str">
        <f t="shared" si="24"/>
        <v/>
      </c>
      <c r="C140" s="507">
        <f>IF(D93="","-",+C139+1)</f>
        <v>2047</v>
      </c>
      <c r="D140" s="374">
        <f>IF(F139+SUM(E$99:E139)=D$92,F139,D$92-SUM(E$99:E139))</f>
        <v>507677.79255640414</v>
      </c>
      <c r="E140" s="522">
        <f>IF(+J96&lt;F139,J96,D140)</f>
        <v>136466.83333333334</v>
      </c>
      <c r="F140" s="523">
        <f t="shared" si="35"/>
        <v>371210.95922307076</v>
      </c>
      <c r="G140" s="523">
        <f t="shared" si="36"/>
        <v>439444.37588973745</v>
      </c>
      <c r="H140" s="526">
        <f t="shared" si="33"/>
        <v>183739.5490186871</v>
      </c>
      <c r="I140" s="577">
        <f t="shared" si="34"/>
        <v>183739.5490186871</v>
      </c>
      <c r="J140" s="514">
        <f t="shared" si="37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  <c r="Q140" s="269"/>
    </row>
    <row r="141" spans="2:17" ht="12.5">
      <c r="B141" s="195" t="str">
        <f t="shared" si="24"/>
        <v/>
      </c>
      <c r="C141" s="507">
        <f>IF(D93="","-",+C140+1)</f>
        <v>2048</v>
      </c>
      <c r="D141" s="374">
        <f>IF(F140+SUM(E$99:E140)=D$92,F140,D$92-SUM(E$99:E140))</f>
        <v>371210.95922307076</v>
      </c>
      <c r="E141" s="522">
        <f>IF(+J96&lt;F140,J96,D141)</f>
        <v>136466.83333333334</v>
      </c>
      <c r="F141" s="523">
        <f t="shared" si="35"/>
        <v>234744.12588973742</v>
      </c>
      <c r="G141" s="523">
        <f t="shared" si="36"/>
        <v>302977.54255640408</v>
      </c>
      <c r="H141" s="526">
        <f t="shared" si="33"/>
        <v>169059.28874778104</v>
      </c>
      <c r="I141" s="577">
        <f t="shared" si="34"/>
        <v>169059.28874778104</v>
      </c>
      <c r="J141" s="514">
        <f t="shared" si="37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  <c r="Q141" s="269"/>
    </row>
    <row r="142" spans="2:17" ht="12.5">
      <c r="B142" s="195" t="str">
        <f t="shared" si="24"/>
        <v/>
      </c>
      <c r="C142" s="507">
        <f>IF(D93="","-",+C141+1)</f>
        <v>2049</v>
      </c>
      <c r="D142" s="374">
        <f>IF(F141+SUM(E$99:E141)=D$92,F141,D$92-SUM(E$99:E141))</f>
        <v>234744.12588973742</v>
      </c>
      <c r="E142" s="522">
        <f>IF(+J96&lt;F141,J96,D142)</f>
        <v>136466.83333333334</v>
      </c>
      <c r="F142" s="523">
        <f t="shared" si="35"/>
        <v>98277.292556404078</v>
      </c>
      <c r="G142" s="523">
        <f t="shared" si="36"/>
        <v>166510.70922307076</v>
      </c>
      <c r="H142" s="526">
        <f t="shared" si="33"/>
        <v>154379.02847687498</v>
      </c>
      <c r="I142" s="577">
        <f t="shared" si="34"/>
        <v>154379.02847687498</v>
      </c>
      <c r="J142" s="514">
        <f t="shared" si="37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  <c r="Q142" s="269"/>
    </row>
    <row r="143" spans="2:17" ht="12.5">
      <c r="B143" s="195" t="str">
        <f t="shared" si="24"/>
        <v/>
      </c>
      <c r="C143" s="507">
        <f>IF(D93="","-",+C142+1)</f>
        <v>2050</v>
      </c>
      <c r="D143" s="374">
        <f>IF(F142+SUM(E$99:E142)=D$92,F142,D$92-SUM(E$99:E142))</f>
        <v>98277.292556404078</v>
      </c>
      <c r="E143" s="522">
        <f>IF(+J96&lt;F142,J96,D143)</f>
        <v>98277.292556404078</v>
      </c>
      <c r="F143" s="523">
        <f t="shared" si="35"/>
        <v>0</v>
      </c>
      <c r="G143" s="523">
        <f t="shared" si="36"/>
        <v>49138.646278202039</v>
      </c>
      <c r="H143" s="526">
        <f t="shared" si="33"/>
        <v>103563.32506044838</v>
      </c>
      <c r="I143" s="577">
        <f t="shared" si="34"/>
        <v>103563.32506044838</v>
      </c>
      <c r="J143" s="514">
        <f t="shared" si="37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  <c r="Q143" s="269"/>
    </row>
    <row r="144" spans="2:17" ht="12.5">
      <c r="B144" s="195" t="str">
        <f t="shared" si="24"/>
        <v/>
      </c>
      <c r="C144" s="507">
        <f>IF(D93="","-",+C143+1)</f>
        <v>2051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5"/>
        <v>0</v>
      </c>
      <c r="G144" s="523">
        <f t="shared" si="36"/>
        <v>0</v>
      </c>
      <c r="H144" s="526">
        <f t="shared" si="33"/>
        <v>0</v>
      </c>
      <c r="I144" s="577">
        <f t="shared" si="34"/>
        <v>0</v>
      </c>
      <c r="J144" s="514">
        <f t="shared" si="37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  <c r="Q144" s="269"/>
    </row>
    <row r="145" spans="2:17" ht="12.5">
      <c r="B145" s="195" t="str">
        <f t="shared" si="24"/>
        <v/>
      </c>
      <c r="C145" s="507">
        <f>IF(D93="","-",+C144+1)</f>
        <v>2052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5"/>
        <v>0</v>
      </c>
      <c r="G145" s="523">
        <f t="shared" si="36"/>
        <v>0</v>
      </c>
      <c r="H145" s="526">
        <f t="shared" si="33"/>
        <v>0</v>
      </c>
      <c r="I145" s="577">
        <f t="shared" si="34"/>
        <v>0</v>
      </c>
      <c r="J145" s="514">
        <f t="shared" si="37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  <c r="Q145" s="269"/>
    </row>
    <row r="146" spans="2:17" ht="12.5">
      <c r="B146" s="195" t="str">
        <f t="shared" si="24"/>
        <v/>
      </c>
      <c r="C146" s="507">
        <f>IF(D93="","-",+C145+1)</f>
        <v>2053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5"/>
        <v>0</v>
      </c>
      <c r="G146" s="523">
        <f t="shared" si="36"/>
        <v>0</v>
      </c>
      <c r="H146" s="526">
        <f t="shared" si="33"/>
        <v>0</v>
      </c>
      <c r="I146" s="577">
        <f t="shared" si="34"/>
        <v>0</v>
      </c>
      <c r="J146" s="514">
        <f t="shared" si="37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  <c r="Q146" s="269"/>
    </row>
    <row r="147" spans="2:17" ht="12.5">
      <c r="B147" s="195" t="str">
        <f t="shared" si="24"/>
        <v/>
      </c>
      <c r="C147" s="507">
        <f>IF(D93="","-",+C146+1)</f>
        <v>2054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5"/>
        <v>0</v>
      </c>
      <c r="G147" s="523">
        <f t="shared" si="36"/>
        <v>0</v>
      </c>
      <c r="H147" s="526">
        <f t="shared" si="33"/>
        <v>0</v>
      </c>
      <c r="I147" s="577">
        <f t="shared" si="34"/>
        <v>0</v>
      </c>
      <c r="J147" s="514">
        <f t="shared" si="37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  <c r="Q147" s="269"/>
    </row>
    <row r="148" spans="2:17" ht="12.5">
      <c r="B148" s="195" t="str">
        <f t="shared" si="24"/>
        <v/>
      </c>
      <c r="C148" s="507">
        <f>IF(D93="","-",+C147+1)</f>
        <v>2055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5"/>
        <v>0</v>
      </c>
      <c r="G148" s="523">
        <f t="shared" si="36"/>
        <v>0</v>
      </c>
      <c r="H148" s="526">
        <f t="shared" si="33"/>
        <v>0</v>
      </c>
      <c r="I148" s="577">
        <f t="shared" si="34"/>
        <v>0</v>
      </c>
      <c r="J148" s="514">
        <f t="shared" si="37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  <c r="Q148" s="269"/>
    </row>
    <row r="149" spans="2:17" ht="12.5">
      <c r="B149" s="195" t="str">
        <f t="shared" si="24"/>
        <v/>
      </c>
      <c r="C149" s="507">
        <f>IF(D93="","-",+C148+1)</f>
        <v>2056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5"/>
        <v>0</v>
      </c>
      <c r="G149" s="523">
        <f t="shared" si="36"/>
        <v>0</v>
      </c>
      <c r="H149" s="526">
        <f t="shared" si="33"/>
        <v>0</v>
      </c>
      <c r="I149" s="577">
        <f t="shared" si="34"/>
        <v>0</v>
      </c>
      <c r="J149" s="514">
        <f t="shared" si="37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  <c r="Q149" s="269"/>
    </row>
    <row r="150" spans="2:17" ht="12.5">
      <c r="B150" s="195" t="str">
        <f t="shared" si="24"/>
        <v/>
      </c>
      <c r="C150" s="507">
        <f>IF(D93="","-",+C149+1)</f>
        <v>2057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5"/>
        <v>0</v>
      </c>
      <c r="G150" s="523">
        <f t="shared" si="36"/>
        <v>0</v>
      </c>
      <c r="H150" s="526">
        <f t="shared" si="33"/>
        <v>0</v>
      </c>
      <c r="I150" s="577">
        <f t="shared" si="34"/>
        <v>0</v>
      </c>
      <c r="J150" s="514">
        <f t="shared" si="37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  <c r="Q150" s="269"/>
    </row>
    <row r="151" spans="2:17" ht="12.5">
      <c r="B151" s="195" t="str">
        <f t="shared" si="24"/>
        <v/>
      </c>
      <c r="C151" s="507">
        <f>IF(D93="","-",+C150+1)</f>
        <v>2058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5"/>
        <v>0</v>
      </c>
      <c r="G151" s="523">
        <f t="shared" si="36"/>
        <v>0</v>
      </c>
      <c r="H151" s="526">
        <f t="shared" si="33"/>
        <v>0</v>
      </c>
      <c r="I151" s="577">
        <f t="shared" si="34"/>
        <v>0</v>
      </c>
      <c r="J151" s="514">
        <f t="shared" si="37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  <c r="Q151" s="269"/>
    </row>
    <row r="152" spans="2:17" ht="12.5">
      <c r="B152" s="195" t="str">
        <f t="shared" si="24"/>
        <v/>
      </c>
      <c r="C152" s="507">
        <f>IF(D93="","-",+C151+1)</f>
        <v>2059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5"/>
        <v>0</v>
      </c>
      <c r="G152" s="523">
        <f t="shared" si="36"/>
        <v>0</v>
      </c>
      <c r="H152" s="526">
        <f t="shared" si="33"/>
        <v>0</v>
      </c>
      <c r="I152" s="577">
        <f t="shared" si="34"/>
        <v>0</v>
      </c>
      <c r="J152" s="514">
        <f t="shared" si="37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  <c r="Q152" s="269"/>
    </row>
    <row r="153" spans="2:17" ht="12.5">
      <c r="B153" s="195" t="str">
        <f t="shared" si="24"/>
        <v/>
      </c>
      <c r="C153" s="507">
        <f>IF(D93="","-",+C152+1)</f>
        <v>2060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5"/>
        <v>0</v>
      </c>
      <c r="G153" s="523">
        <f t="shared" si="36"/>
        <v>0</v>
      </c>
      <c r="H153" s="526">
        <f t="shared" si="33"/>
        <v>0</v>
      </c>
      <c r="I153" s="577">
        <f t="shared" si="34"/>
        <v>0</v>
      </c>
      <c r="J153" s="514">
        <f t="shared" si="37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  <c r="Q153" s="269"/>
    </row>
    <row r="154" spans="2:17" ht="13" thickBot="1">
      <c r="B154" s="195" t="str">
        <f t="shared" si="24"/>
        <v/>
      </c>
      <c r="C154" s="527">
        <f>IF(D93="","-",+C153+1)</f>
        <v>2061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5"/>
        <v>0</v>
      </c>
      <c r="G154" s="528">
        <f t="shared" si="36"/>
        <v>0</v>
      </c>
      <c r="H154" s="530">
        <f t="shared" si="33"/>
        <v>0</v>
      </c>
      <c r="I154" s="579">
        <f t="shared" si="34"/>
        <v>0</v>
      </c>
      <c r="J154" s="533">
        <f t="shared" si="37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  <c r="Q154" s="269"/>
    </row>
    <row r="155" spans="2:17" ht="12.5">
      <c r="C155" s="374" t="s">
        <v>78</v>
      </c>
      <c r="D155" s="375"/>
      <c r="E155" s="375">
        <f>SUM(E99:E154)</f>
        <v>5731606.9999999972</v>
      </c>
      <c r="F155" s="375"/>
      <c r="G155" s="375"/>
      <c r="H155" s="375">
        <f>SUM(H99:H154)</f>
        <v>19979349.635040767</v>
      </c>
      <c r="I155" s="375">
        <f>SUM(I99:I154)</f>
        <v>19979349.635040767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5" priority="1" stopIfTrue="1" operator="equal">
      <formula>$I$10</formula>
    </cfRule>
  </conditionalFormatting>
  <conditionalFormatting sqref="C99:C154">
    <cfRule type="cellIs" dxfId="13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3">
    <tabColor indexed="16"/>
  </sheetPr>
  <dimension ref="A1:W162"/>
  <sheetViews>
    <sheetView view="pageBreakPreview" topLeftCell="A94" zoomScale="75" zoomScaleNormal="100" zoomScaleSheetLayoutView="75" workbookViewId="0">
      <selection activeCell="E109" sqref="E109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9.179687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14.26953125" style="183" customWidth="1"/>
    <col min="24" max="16384" width="8.7265625" style="183"/>
  </cols>
  <sheetData>
    <row r="1" spans="1:23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14 of 74</v>
      </c>
      <c r="Q1" s="453"/>
      <c r="R1" s="269"/>
      <c r="S1" s="269"/>
      <c r="T1" s="269"/>
      <c r="U1" s="269"/>
      <c r="V1" s="269"/>
      <c r="W1" s="269"/>
    </row>
    <row r="2" spans="1:23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  <c r="R2" s="269"/>
      <c r="S2" s="269"/>
      <c r="T2" s="269"/>
      <c r="U2" s="269"/>
      <c r="V2" s="269"/>
      <c r="W2" s="269"/>
    </row>
    <row r="3" spans="1:23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  <c r="R3" s="269"/>
      <c r="S3" s="269"/>
      <c r="T3" s="269"/>
      <c r="U3" s="269"/>
      <c r="V3" s="269"/>
      <c r="W3" s="269"/>
    </row>
    <row r="4" spans="1:23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  <c r="R4" s="269"/>
      <c r="S4" s="269"/>
      <c r="T4" s="269"/>
      <c r="U4" s="269"/>
      <c r="V4" s="269"/>
      <c r="W4" s="269"/>
    </row>
    <row r="5" spans="1:23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7938.3172353794334</v>
      </c>
      <c r="P5" s="269"/>
      <c r="R5" s="269"/>
      <c r="S5" s="269"/>
      <c r="T5" s="269"/>
      <c r="U5" s="269"/>
      <c r="V5" s="269"/>
      <c r="W5" s="269"/>
    </row>
    <row r="6" spans="1:23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7938.3172353794334</v>
      </c>
      <c r="O6" s="269"/>
      <c r="P6" s="269"/>
      <c r="R6" s="269"/>
      <c r="S6" s="269"/>
      <c r="T6" s="269"/>
      <c r="U6" s="269"/>
      <c r="V6" s="269"/>
      <c r="W6" s="269"/>
    </row>
    <row r="7" spans="1:23" ht="13.5" thickBot="1">
      <c r="C7" s="467" t="s">
        <v>48</v>
      </c>
      <c r="D7" s="468" t="s">
        <v>233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  <c r="R7" s="269"/>
      <c r="S7" s="269"/>
      <c r="T7" s="269"/>
      <c r="U7" s="269"/>
      <c r="V7" s="269"/>
      <c r="W7" s="269"/>
    </row>
    <row r="8" spans="1:23" ht="13.5" thickBot="1">
      <c r="C8" s="472"/>
      <c r="D8" s="473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  <c r="R8" s="269"/>
      <c r="S8" s="269"/>
      <c r="T8" s="269"/>
      <c r="U8" s="269"/>
      <c r="V8" s="269"/>
      <c r="W8" s="269"/>
    </row>
    <row r="9" spans="1:23" ht="13.5" thickBot="1">
      <c r="A9" s="191"/>
      <c r="C9" s="476" t="s">
        <v>50</v>
      </c>
      <c r="D9" s="477" t="s">
        <v>152</v>
      </c>
      <c r="E9" s="478"/>
      <c r="F9" s="478"/>
      <c r="G9" s="478"/>
      <c r="H9" s="478"/>
      <c r="I9" s="479"/>
      <c r="J9" s="480"/>
      <c r="O9" s="481"/>
      <c r="P9" s="272"/>
      <c r="R9" s="269"/>
      <c r="S9" s="269"/>
      <c r="T9" s="269"/>
      <c r="U9" s="269"/>
      <c r="V9" s="269"/>
      <c r="W9" s="269"/>
    </row>
    <row r="10" spans="1:23" ht="13">
      <c r="C10" s="482" t="s">
        <v>51</v>
      </c>
      <c r="D10" s="483">
        <v>81701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  <c r="R10" s="269"/>
      <c r="S10" s="269"/>
      <c r="T10" s="269"/>
      <c r="U10" s="269"/>
      <c r="V10" s="269"/>
      <c r="W10" s="269"/>
    </row>
    <row r="11" spans="1:23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  <c r="R11" s="269"/>
      <c r="S11" s="269"/>
      <c r="T11" s="269"/>
      <c r="U11" s="269"/>
      <c r="V11" s="269"/>
      <c r="W11" s="269"/>
    </row>
    <row r="12" spans="1:23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  <c r="R12" s="269"/>
      <c r="S12" s="269"/>
      <c r="T12" s="269"/>
      <c r="U12" s="269"/>
      <c r="V12" s="269"/>
      <c r="W12" s="269"/>
    </row>
    <row r="13" spans="1:23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  <c r="R13" s="269"/>
      <c r="S13" s="269"/>
      <c r="T13" s="269"/>
      <c r="U13" s="269"/>
      <c r="V13" s="269"/>
      <c r="W13" s="269"/>
    </row>
    <row r="14" spans="1:23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1945.2619047619048</v>
      </c>
      <c r="J14" s="375"/>
      <c r="K14" s="375"/>
      <c r="L14" s="375"/>
      <c r="M14" s="375"/>
      <c r="N14" s="375"/>
      <c r="O14" s="272"/>
      <c r="P14" s="272"/>
      <c r="R14" s="269"/>
      <c r="S14" s="269"/>
      <c r="T14" s="269"/>
      <c r="U14" s="269"/>
      <c r="V14" s="269"/>
      <c r="W14" s="269"/>
    </row>
    <row r="15" spans="1:23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  <c r="R15" s="269"/>
      <c r="S15" s="269"/>
      <c r="T15" s="269"/>
      <c r="U15" s="269"/>
      <c r="V15" s="269"/>
      <c r="W15" s="269"/>
    </row>
    <row r="16" spans="1:23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  <c r="R16" s="269"/>
      <c r="S16" s="269"/>
      <c r="T16" s="269"/>
      <c r="U16" s="269"/>
      <c r="V16" s="269"/>
      <c r="W16" s="269"/>
    </row>
    <row r="17" spans="2:23" ht="12.5">
      <c r="C17" s="507">
        <f>IF(D11= "","-",D11)</f>
        <v>2007</v>
      </c>
      <c r="D17" s="508">
        <v>54301</v>
      </c>
      <c r="E17" s="509">
        <v>714</v>
      </c>
      <c r="F17" s="508">
        <v>53587</v>
      </c>
      <c r="G17" s="509">
        <v>8418</v>
      </c>
      <c r="H17" s="510">
        <v>8418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  <c r="R17" s="372"/>
      <c r="S17" s="372"/>
      <c r="T17" s="372"/>
      <c r="U17" s="372"/>
      <c r="V17" s="372"/>
      <c r="W17" s="269"/>
    </row>
    <row r="18" spans="2:23" ht="12.5">
      <c r="B18" s="195" t="str">
        <f>IF(D18=F17,"","IU")</f>
        <v/>
      </c>
      <c r="C18" s="507">
        <f>IF(D11="","-",+C17+1)</f>
        <v>2008</v>
      </c>
      <c r="D18" s="515">
        <v>53587</v>
      </c>
      <c r="E18" s="516">
        <v>1429</v>
      </c>
      <c r="F18" s="515">
        <v>52158</v>
      </c>
      <c r="G18" s="516">
        <v>8927</v>
      </c>
      <c r="H18" s="510">
        <v>8927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  <c r="R18" s="372"/>
      <c r="S18" s="372"/>
      <c r="T18" s="372"/>
      <c r="U18" s="372"/>
      <c r="V18" s="372"/>
      <c r="W18" s="269"/>
    </row>
    <row r="19" spans="2:23" ht="12.5">
      <c r="B19" s="195" t="str">
        <f>IF(D19=F18,"","IU")</f>
        <v/>
      </c>
      <c r="C19" s="507">
        <f>IF(D11="","-",+C18+1)</f>
        <v>2009</v>
      </c>
      <c r="D19" s="515">
        <v>52158</v>
      </c>
      <c r="E19" s="516">
        <v>1429</v>
      </c>
      <c r="F19" s="515">
        <v>50729</v>
      </c>
      <c r="G19" s="516">
        <v>8722</v>
      </c>
      <c r="H19" s="510">
        <v>8722</v>
      </c>
      <c r="I19" s="596">
        <f t="shared" si="0"/>
        <v>0</v>
      </c>
      <c r="J19" s="511"/>
      <c r="K19" s="518">
        <f>G19</f>
        <v>8722</v>
      </c>
      <c r="L19" s="519">
        <f>IF(K19&lt;&gt;0,+G19-K19,0)</f>
        <v>0</v>
      </c>
      <c r="M19" s="518">
        <f>H19</f>
        <v>8722</v>
      </c>
      <c r="N19" s="514">
        <f>IF(M19&lt;&gt;0,+H19-M19,0)</f>
        <v>0</v>
      </c>
      <c r="O19" s="514">
        <f>+N19-L19</f>
        <v>0</v>
      </c>
      <c r="P19" s="272"/>
      <c r="R19" s="372"/>
      <c r="S19" s="372"/>
      <c r="T19" s="372"/>
      <c r="U19" s="372"/>
      <c r="V19" s="372"/>
      <c r="W19" s="269"/>
    </row>
    <row r="20" spans="2:23" ht="12.5">
      <c r="B20" s="195" t="str">
        <f t="shared" ref="B20:B72" si="4">IF(D20=F19,"","IU")</f>
        <v/>
      </c>
      <c r="C20" s="507">
        <f>IF(D11="","-",+C19+1)</f>
        <v>2010</v>
      </c>
      <c r="D20" s="515">
        <v>50729</v>
      </c>
      <c r="E20" s="516">
        <v>1428.9736842105262</v>
      </c>
      <c r="F20" s="515">
        <v>49300.026315789473</v>
      </c>
      <c r="G20" s="516">
        <v>8516.5919295125823</v>
      </c>
      <c r="H20" s="510">
        <v>8516.5919295125823</v>
      </c>
      <c r="I20" s="517">
        <v>0</v>
      </c>
      <c r="J20" s="511"/>
      <c r="K20" s="518">
        <f t="shared" ref="K20:K25" si="5">G20</f>
        <v>8516.5919295125823</v>
      </c>
      <c r="L20" s="519">
        <f t="shared" si="1"/>
        <v>0</v>
      </c>
      <c r="M20" s="518">
        <f t="shared" ref="M20:M25" si="6">H20</f>
        <v>8516.5919295125823</v>
      </c>
      <c r="N20" s="514">
        <f t="shared" si="2"/>
        <v>0</v>
      </c>
      <c r="O20" s="514">
        <f t="shared" si="3"/>
        <v>0</v>
      </c>
      <c r="P20" s="272"/>
      <c r="R20" s="269"/>
      <c r="S20" s="269"/>
      <c r="T20" s="269"/>
      <c r="U20" s="269"/>
      <c r="V20" s="269"/>
      <c r="W20" s="269"/>
    </row>
    <row r="21" spans="2:23" ht="12.5">
      <c r="B21" s="195" t="str">
        <f t="shared" si="4"/>
        <v>IU</v>
      </c>
      <c r="C21" s="507">
        <f>IF(D12="","-",+C20+1)</f>
        <v>2011</v>
      </c>
      <c r="D21" s="515">
        <v>76700.026315789466</v>
      </c>
      <c r="E21" s="516">
        <v>1992.7073170731708</v>
      </c>
      <c r="F21" s="515">
        <v>74707.318998716291</v>
      </c>
      <c r="G21" s="516">
        <v>13661.406661613239</v>
      </c>
      <c r="H21" s="510">
        <v>13661.406661613239</v>
      </c>
      <c r="I21" s="517">
        <v>0</v>
      </c>
      <c r="J21" s="511"/>
      <c r="K21" s="518">
        <f t="shared" si="5"/>
        <v>13661.406661613239</v>
      </c>
      <c r="L21" s="519">
        <f t="shared" si="1"/>
        <v>0</v>
      </c>
      <c r="M21" s="518">
        <f t="shared" si="6"/>
        <v>13661.406661613239</v>
      </c>
      <c r="N21" s="514">
        <f t="shared" si="2"/>
        <v>0</v>
      </c>
      <c r="O21" s="514">
        <f t="shared" si="3"/>
        <v>0</v>
      </c>
      <c r="P21" s="272"/>
      <c r="R21" s="269"/>
      <c r="S21" s="269"/>
      <c r="T21" s="269"/>
      <c r="U21" s="269"/>
      <c r="V21" s="269"/>
      <c r="W21" s="269"/>
    </row>
    <row r="22" spans="2:23" ht="12.5">
      <c r="B22" s="195" t="str">
        <f t="shared" si="4"/>
        <v/>
      </c>
      <c r="C22" s="507">
        <f>IF(D11="","-",+C21+1)</f>
        <v>2012</v>
      </c>
      <c r="D22" s="515">
        <v>74707.318998716291</v>
      </c>
      <c r="E22" s="520">
        <v>1945.2619047619048</v>
      </c>
      <c r="F22" s="515">
        <v>72762.057093954383</v>
      </c>
      <c r="G22" s="516">
        <v>12766.445227365637</v>
      </c>
      <c r="H22" s="510">
        <v>12766.445227365637</v>
      </c>
      <c r="I22" s="517">
        <v>0</v>
      </c>
      <c r="J22" s="511"/>
      <c r="K22" s="518">
        <f t="shared" si="5"/>
        <v>12766.445227365637</v>
      </c>
      <c r="L22" s="519">
        <f t="shared" si="1"/>
        <v>0</v>
      </c>
      <c r="M22" s="518">
        <f t="shared" si="6"/>
        <v>12766.445227365637</v>
      </c>
      <c r="N22" s="514">
        <f t="shared" si="2"/>
        <v>0</v>
      </c>
      <c r="O22" s="514">
        <f t="shared" si="3"/>
        <v>0</v>
      </c>
      <c r="P22" s="272"/>
      <c r="R22" s="269"/>
      <c r="S22" s="269"/>
      <c r="T22" s="269"/>
      <c r="U22" s="269"/>
      <c r="V22" s="269"/>
      <c r="W22" s="269"/>
    </row>
    <row r="23" spans="2:23" ht="12.5">
      <c r="B23" s="195" t="str">
        <f t="shared" si="4"/>
        <v/>
      </c>
      <c r="C23" s="507">
        <f>IF(D11="","-",+C22+1)</f>
        <v>2013</v>
      </c>
      <c r="D23" s="608">
        <v>72762.057093954383</v>
      </c>
      <c r="E23" s="609">
        <v>1945.2619047619048</v>
      </c>
      <c r="F23" s="608">
        <v>70816.795189192475</v>
      </c>
      <c r="G23" s="609">
        <v>11858.698425256665</v>
      </c>
      <c r="H23" s="610">
        <v>11858.698425256665</v>
      </c>
      <c r="I23" s="596">
        <v>0</v>
      </c>
      <c r="J23" s="511"/>
      <c r="K23" s="518">
        <f t="shared" si="5"/>
        <v>11858.698425256665</v>
      </c>
      <c r="L23" s="519">
        <f t="shared" ref="L23:L28" si="7">IF(K23&lt;&gt;0,+G23-K23,0)</f>
        <v>0</v>
      </c>
      <c r="M23" s="518">
        <f t="shared" si="6"/>
        <v>11858.698425256665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  <c r="R23" s="269"/>
      <c r="S23" s="269"/>
      <c r="T23" s="269"/>
      <c r="U23" s="269"/>
      <c r="V23" s="269"/>
      <c r="W23" s="269"/>
    </row>
    <row r="24" spans="2:23" ht="12.5">
      <c r="B24" s="195" t="str">
        <f t="shared" si="4"/>
        <v/>
      </c>
      <c r="C24" s="507">
        <f>IF(D11="","-",+C23+1)</f>
        <v>2014</v>
      </c>
      <c r="D24" s="608">
        <v>70816.795189192475</v>
      </c>
      <c r="E24" s="609">
        <v>1945.2619047619048</v>
      </c>
      <c r="F24" s="608">
        <v>68871.533284430567</v>
      </c>
      <c r="G24" s="609">
        <v>11236.755464120854</v>
      </c>
      <c r="H24" s="610">
        <v>11236.755464120854</v>
      </c>
      <c r="I24" s="596">
        <v>0</v>
      </c>
      <c r="J24" s="511"/>
      <c r="K24" s="518">
        <f t="shared" si="5"/>
        <v>11236.755464120854</v>
      </c>
      <c r="L24" s="519">
        <f t="shared" si="7"/>
        <v>0</v>
      </c>
      <c r="M24" s="518">
        <f t="shared" si="6"/>
        <v>11236.755464120854</v>
      </c>
      <c r="N24" s="514">
        <f t="shared" si="8"/>
        <v>0</v>
      </c>
      <c r="O24" s="514">
        <f t="shared" si="9"/>
        <v>0</v>
      </c>
      <c r="P24" s="272"/>
      <c r="R24" s="269"/>
      <c r="S24" s="269"/>
      <c r="T24" s="269"/>
      <c r="U24" s="269"/>
      <c r="V24" s="269"/>
      <c r="W24" s="269"/>
    </row>
    <row r="25" spans="2:23" ht="12.5">
      <c r="B25" s="195" t="str">
        <f t="shared" si="4"/>
        <v/>
      </c>
      <c r="C25" s="507">
        <f>IF(D11="","-",+C24+1)</f>
        <v>2015</v>
      </c>
      <c r="D25" s="608">
        <v>68871.533284430567</v>
      </c>
      <c r="E25" s="609">
        <v>1945.2619047619048</v>
      </c>
      <c r="F25" s="608">
        <v>66926.271379668658</v>
      </c>
      <c r="G25" s="609">
        <v>10759.773156827454</v>
      </c>
      <c r="H25" s="610">
        <v>10759.773156827454</v>
      </c>
      <c r="I25" s="511">
        <v>0</v>
      </c>
      <c r="J25" s="511"/>
      <c r="K25" s="518">
        <f t="shared" si="5"/>
        <v>10759.773156827454</v>
      </c>
      <c r="L25" s="519">
        <f t="shared" si="7"/>
        <v>0</v>
      </c>
      <c r="M25" s="518">
        <f t="shared" si="6"/>
        <v>10759.773156827454</v>
      </c>
      <c r="N25" s="514">
        <f t="shared" si="8"/>
        <v>0</v>
      </c>
      <c r="O25" s="514">
        <f t="shared" si="9"/>
        <v>0</v>
      </c>
      <c r="P25" s="272"/>
      <c r="R25" s="269"/>
      <c r="S25" s="269"/>
      <c r="T25" s="269"/>
      <c r="U25" s="269"/>
      <c r="V25" s="269"/>
      <c r="W25" s="269"/>
    </row>
    <row r="26" spans="2:23" ht="12.5">
      <c r="B26" s="195" t="str">
        <f t="shared" si="4"/>
        <v/>
      </c>
      <c r="C26" s="507">
        <f>IF(D11="","-",+C25+1)</f>
        <v>2016</v>
      </c>
      <c r="D26" s="608">
        <v>66926.271379668658</v>
      </c>
      <c r="E26" s="609">
        <v>1945.2619047619048</v>
      </c>
      <c r="F26" s="608">
        <v>64981.00947490675</v>
      </c>
      <c r="G26" s="609">
        <v>10397.989993961875</v>
      </c>
      <c r="H26" s="610">
        <v>10397.989993961875</v>
      </c>
      <c r="I26" s="511">
        <f t="shared" si="0"/>
        <v>0</v>
      </c>
      <c r="J26" s="511"/>
      <c r="K26" s="518">
        <f>G26</f>
        <v>10397.989993961875</v>
      </c>
      <c r="L26" s="519">
        <f t="shared" si="7"/>
        <v>0</v>
      </c>
      <c r="M26" s="518">
        <f>H26</f>
        <v>10397.989993961875</v>
      </c>
      <c r="N26" s="514">
        <f t="shared" si="8"/>
        <v>0</v>
      </c>
      <c r="O26" s="514">
        <f t="shared" si="9"/>
        <v>0</v>
      </c>
      <c r="P26" s="272"/>
      <c r="R26" s="269"/>
      <c r="S26" s="269"/>
      <c r="T26" s="269"/>
      <c r="U26" s="269"/>
      <c r="V26" s="269"/>
      <c r="W26" s="269"/>
    </row>
    <row r="27" spans="2:23" ht="12.5">
      <c r="B27" s="195" t="str">
        <f t="shared" si="4"/>
        <v/>
      </c>
      <c r="C27" s="507">
        <f>IF(D11="","-",+C26+1)</f>
        <v>2017</v>
      </c>
      <c r="D27" s="608">
        <v>64981.00947490675</v>
      </c>
      <c r="E27" s="609">
        <v>1900.0232558139535</v>
      </c>
      <c r="F27" s="608">
        <v>63080.986219092796</v>
      </c>
      <c r="G27" s="609">
        <v>9832.9858090659618</v>
      </c>
      <c r="H27" s="610">
        <v>9832.9858090659618</v>
      </c>
      <c r="I27" s="511">
        <f t="shared" si="0"/>
        <v>0</v>
      </c>
      <c r="J27" s="511"/>
      <c r="K27" s="518">
        <f>G27</f>
        <v>9832.9858090659618</v>
      </c>
      <c r="L27" s="519">
        <f t="shared" si="7"/>
        <v>0</v>
      </c>
      <c r="M27" s="518">
        <f>H27</f>
        <v>9832.9858090659618</v>
      </c>
      <c r="N27" s="514">
        <f t="shared" si="8"/>
        <v>0</v>
      </c>
      <c r="O27" s="514">
        <f t="shared" si="9"/>
        <v>0</v>
      </c>
      <c r="P27" s="272"/>
      <c r="R27" s="269"/>
      <c r="S27" s="269"/>
      <c r="T27" s="269"/>
      <c r="U27" s="269"/>
      <c r="V27" s="269"/>
      <c r="W27" s="269"/>
    </row>
    <row r="28" spans="2:23" ht="12.5">
      <c r="B28" s="195" t="str">
        <f t="shared" si="4"/>
        <v/>
      </c>
      <c r="C28" s="507">
        <f>IF(D11="","-",+C27+1)</f>
        <v>2018</v>
      </c>
      <c r="D28" s="608">
        <v>63080.986219092796</v>
      </c>
      <c r="E28" s="609">
        <v>1992.7073170731708</v>
      </c>
      <c r="F28" s="608">
        <v>61088.278902019629</v>
      </c>
      <c r="G28" s="609">
        <v>9883.2977496491349</v>
      </c>
      <c r="H28" s="610">
        <v>9883.2977496491349</v>
      </c>
      <c r="I28" s="511">
        <f t="shared" si="0"/>
        <v>0</v>
      </c>
      <c r="J28" s="511"/>
      <c r="K28" s="518">
        <f>G28</f>
        <v>9883.2977496491349</v>
      </c>
      <c r="L28" s="519">
        <f t="shared" si="7"/>
        <v>0</v>
      </c>
      <c r="M28" s="518">
        <f>H28</f>
        <v>9883.2977496491349</v>
      </c>
      <c r="N28" s="514">
        <f t="shared" si="8"/>
        <v>0</v>
      </c>
      <c r="O28" s="514">
        <f t="shared" si="9"/>
        <v>0</v>
      </c>
      <c r="P28" s="272"/>
      <c r="R28" s="269"/>
      <c r="S28" s="269"/>
      <c r="T28" s="269"/>
      <c r="U28" s="269"/>
      <c r="V28" s="269"/>
      <c r="W28" s="269"/>
    </row>
    <row r="29" spans="2:23" ht="12.5">
      <c r="B29" s="195" t="str">
        <f t="shared" si="4"/>
        <v/>
      </c>
      <c r="C29" s="507">
        <f>IF(D11="","-",+C28+1)</f>
        <v>2019</v>
      </c>
      <c r="D29" s="608">
        <v>61088.278902019629</v>
      </c>
      <c r="E29" s="609">
        <v>1992.7073170731708</v>
      </c>
      <c r="F29" s="608">
        <v>59095.571584946461</v>
      </c>
      <c r="G29" s="609">
        <v>9630.036408757971</v>
      </c>
      <c r="H29" s="610">
        <v>9630.036408757971</v>
      </c>
      <c r="I29" s="511">
        <f t="shared" si="0"/>
        <v>0</v>
      </c>
      <c r="J29" s="511"/>
      <c r="K29" s="518">
        <f>G29</f>
        <v>9630.036408757971</v>
      </c>
      <c r="L29" s="519">
        <f t="shared" ref="L29" si="10">IF(K29&lt;&gt;0,+G29-K29,0)</f>
        <v>0</v>
      </c>
      <c r="M29" s="518">
        <f>H29</f>
        <v>9630.036408757971</v>
      </c>
      <c r="N29" s="514">
        <f t="shared" ref="N29" si="11">IF(M29&lt;&gt;0,+H29-M29,0)</f>
        <v>0</v>
      </c>
      <c r="O29" s="514">
        <f t="shared" si="3"/>
        <v>0</v>
      </c>
      <c r="P29" s="272"/>
      <c r="R29" s="269"/>
      <c r="S29" s="269"/>
      <c r="T29" s="269"/>
      <c r="U29" s="269"/>
      <c r="V29" s="269"/>
      <c r="W29" s="269"/>
    </row>
    <row r="30" spans="2:23" ht="12.5">
      <c r="B30" s="195" t="str">
        <f t="shared" si="4"/>
        <v/>
      </c>
      <c r="C30" s="507">
        <f>IF(D11="","-",+C29+1)</f>
        <v>2020</v>
      </c>
      <c r="D30" s="608">
        <v>59095.571584946461</v>
      </c>
      <c r="E30" s="609">
        <v>1992.7073170731708</v>
      </c>
      <c r="F30" s="608">
        <v>57102.864267873294</v>
      </c>
      <c r="G30" s="609">
        <v>7938.3172353794334</v>
      </c>
      <c r="H30" s="610">
        <v>7938.3172353794334</v>
      </c>
      <c r="I30" s="511">
        <f t="shared" si="0"/>
        <v>0</v>
      </c>
      <c r="J30" s="511"/>
      <c r="K30" s="518">
        <f>G30</f>
        <v>7938.3172353794334</v>
      </c>
      <c r="L30" s="519">
        <f t="shared" ref="L30" si="12">IF(K30&lt;&gt;0,+G30-K30,0)</f>
        <v>0</v>
      </c>
      <c r="M30" s="518">
        <f>H30</f>
        <v>7938.3172353794334</v>
      </c>
      <c r="N30" s="514">
        <f t="shared" si="2"/>
        <v>0</v>
      </c>
      <c r="O30" s="514">
        <f t="shared" si="3"/>
        <v>0</v>
      </c>
      <c r="P30" s="272"/>
      <c r="R30" s="269"/>
      <c r="S30" s="269"/>
      <c r="T30" s="269"/>
      <c r="U30" s="269"/>
      <c r="V30" s="269"/>
      <c r="W30" s="269"/>
    </row>
    <row r="31" spans="2:23" ht="12.5">
      <c r="B31" s="195" t="str">
        <f t="shared" si="4"/>
        <v/>
      </c>
      <c r="C31" s="507">
        <f>IF(D11="","-",+C30+1)</f>
        <v>2021</v>
      </c>
      <c r="D31" s="523">
        <f>IF(F30+SUM(E$17:E30)=D$10,F30,D$10-SUM(E$17:E30))</f>
        <v>57102.864267873294</v>
      </c>
      <c r="E31" s="522">
        <f>IF(+I14&lt;F30,I14,D31)</f>
        <v>1945.2619047619048</v>
      </c>
      <c r="F31" s="523">
        <f t="shared" ref="F31:F48" si="13">+D31-E31</f>
        <v>55157.602363111386</v>
      </c>
      <c r="G31" s="524">
        <f t="shared" ref="G31:G72" si="14">+I$12*((D31+F31)/2)+E31</f>
        <v>7940.9796942269904</v>
      </c>
      <c r="H31" s="491">
        <f t="shared" ref="H31:H72" si="15">+I$13*((D31+F31)/2)+E31</f>
        <v>7940.9796942269904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  <c r="R31" s="269"/>
      <c r="S31" s="269"/>
      <c r="T31" s="269"/>
      <c r="U31" s="269"/>
      <c r="V31" s="269"/>
      <c r="W31" s="269"/>
    </row>
    <row r="32" spans="2:23" ht="12.5">
      <c r="B32" s="195" t="str">
        <f t="shared" si="4"/>
        <v/>
      </c>
      <c r="C32" s="507">
        <f>IF(D11="","-",+C31+1)</f>
        <v>2022</v>
      </c>
      <c r="D32" s="523">
        <f>IF(F31+SUM(E$17:E31)=D$10,F31,D$10-SUM(E$17:E31))</f>
        <v>55157.602363111386</v>
      </c>
      <c r="E32" s="522">
        <f>IF(+I14&lt;F31,I14,D32)</f>
        <v>1945.2619047619048</v>
      </c>
      <c r="F32" s="523">
        <f t="shared" si="13"/>
        <v>53212.340458349478</v>
      </c>
      <c r="G32" s="524">
        <f t="shared" si="14"/>
        <v>7733.19075912683</v>
      </c>
      <c r="H32" s="491">
        <f t="shared" si="15"/>
        <v>7733.19075912683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  <c r="R32" s="269"/>
      <c r="S32" s="269"/>
      <c r="T32" s="269"/>
      <c r="U32" s="269"/>
      <c r="V32" s="269"/>
      <c r="W32" s="269"/>
    </row>
    <row r="33" spans="2:23" ht="12.5">
      <c r="B33" s="582" t="str">
        <f t="shared" si="4"/>
        <v/>
      </c>
      <c r="C33" s="507">
        <f>IF(D11="","-",+C32+1)</f>
        <v>2023</v>
      </c>
      <c r="D33" s="523">
        <f>IF(F32+SUM(E$17:E32)=D$10,F32,D$10-SUM(E$17:E32))</f>
        <v>53212.340458349478</v>
      </c>
      <c r="E33" s="522">
        <f>IF(+I14&lt;F32,I14,D33)</f>
        <v>1945.2619047619048</v>
      </c>
      <c r="F33" s="523">
        <f t="shared" si="13"/>
        <v>51267.078553587569</v>
      </c>
      <c r="G33" s="524">
        <f t="shared" si="14"/>
        <v>7525.4018240266696</v>
      </c>
      <c r="H33" s="491">
        <f t="shared" si="15"/>
        <v>7525.4018240266696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  <c r="R33" s="269"/>
      <c r="S33" s="269"/>
      <c r="T33" s="269"/>
      <c r="U33" s="269"/>
      <c r="V33" s="269"/>
      <c r="W33" s="269"/>
    </row>
    <row r="34" spans="2:23" ht="12.5">
      <c r="B34" s="195" t="str">
        <f t="shared" si="4"/>
        <v/>
      </c>
      <c r="C34" s="507">
        <f>IF(D11="","-",+C33+1)</f>
        <v>2024</v>
      </c>
      <c r="D34" s="523">
        <f>IF(F33+SUM(E$17:E33)=D$10,F33,D$10-SUM(E$17:E33))</f>
        <v>51267.078553587569</v>
      </c>
      <c r="E34" s="522">
        <f>IF(+I14&lt;F33,I14,D34)</f>
        <v>1945.2619047619048</v>
      </c>
      <c r="F34" s="523">
        <f t="shared" si="13"/>
        <v>49321.816648825661</v>
      </c>
      <c r="G34" s="524">
        <f t="shared" si="14"/>
        <v>7317.6128889265083</v>
      </c>
      <c r="H34" s="491">
        <f t="shared" si="15"/>
        <v>7317.6128889265083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  <c r="R34" s="269"/>
      <c r="S34" s="269"/>
      <c r="T34" s="269"/>
      <c r="U34" s="269"/>
      <c r="V34" s="269"/>
      <c r="W34" s="269"/>
    </row>
    <row r="35" spans="2:23" ht="12.5">
      <c r="B35" s="195" t="str">
        <f t="shared" si="4"/>
        <v/>
      </c>
      <c r="C35" s="507">
        <f>IF(D11="","-",+C34+1)</f>
        <v>2025</v>
      </c>
      <c r="D35" s="523">
        <f>IF(F34+SUM(E$17:E34)=D$10,F34,D$10-SUM(E$17:E34))</f>
        <v>49321.816648825661</v>
      </c>
      <c r="E35" s="522">
        <f>IF(+I14&lt;F34,I14,D35)</f>
        <v>1945.2619047619048</v>
      </c>
      <c r="F35" s="523">
        <f t="shared" si="13"/>
        <v>47376.554744063753</v>
      </c>
      <c r="G35" s="524">
        <f t="shared" si="14"/>
        <v>7109.8239538263479</v>
      </c>
      <c r="H35" s="491">
        <f t="shared" si="15"/>
        <v>7109.8239538263479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  <c r="R35" s="269"/>
      <c r="S35" s="269"/>
      <c r="T35" s="269"/>
      <c r="U35" s="269"/>
      <c r="V35" s="269"/>
      <c r="W35" s="269"/>
    </row>
    <row r="36" spans="2:23" ht="12.5">
      <c r="B36" s="195" t="str">
        <f t="shared" si="4"/>
        <v/>
      </c>
      <c r="C36" s="507">
        <f>IF(D11="","-",+C35+1)</f>
        <v>2026</v>
      </c>
      <c r="D36" s="523">
        <f>IF(F35+SUM(E$17:E35)=D$10,F35,D$10-SUM(E$17:E35))</f>
        <v>47376.554744063753</v>
      </c>
      <c r="E36" s="522">
        <f>IF(+I14&lt;F35,I14,D36)</f>
        <v>1945.2619047619048</v>
      </c>
      <c r="F36" s="523">
        <f t="shared" si="13"/>
        <v>45431.292839301845</v>
      </c>
      <c r="G36" s="524">
        <f t="shared" si="14"/>
        <v>6902.0350187261874</v>
      </c>
      <c r="H36" s="491">
        <f t="shared" si="15"/>
        <v>6902.0350187261874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  <c r="R36" s="269"/>
      <c r="S36" s="269"/>
      <c r="T36" s="269"/>
      <c r="U36" s="269"/>
      <c r="V36" s="269"/>
      <c r="W36" s="269"/>
    </row>
    <row r="37" spans="2:23" ht="12.5">
      <c r="B37" s="195" t="str">
        <f t="shared" si="4"/>
        <v/>
      </c>
      <c r="C37" s="507">
        <f>IF(D11="","-",+C36+1)</f>
        <v>2027</v>
      </c>
      <c r="D37" s="523">
        <f>IF(F36+SUM(E$17:E36)=D$10,F36,D$10-SUM(E$17:E36))</f>
        <v>45431.292839301845</v>
      </c>
      <c r="E37" s="522">
        <f>IF(+I14&lt;F36,I14,D37)</f>
        <v>1945.2619047619048</v>
      </c>
      <c r="F37" s="523">
        <f t="shared" si="13"/>
        <v>43486.030934539936</v>
      </c>
      <c r="G37" s="524">
        <f t="shared" si="14"/>
        <v>6694.246083626027</v>
      </c>
      <c r="H37" s="491">
        <f t="shared" si="15"/>
        <v>6694.246083626027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  <c r="R37" s="269"/>
      <c r="S37" s="269"/>
      <c r="T37" s="269"/>
      <c r="U37" s="269"/>
      <c r="V37" s="269"/>
      <c r="W37" s="269"/>
    </row>
    <row r="38" spans="2:23" ht="12.5">
      <c r="B38" s="195" t="str">
        <f t="shared" si="4"/>
        <v/>
      </c>
      <c r="C38" s="507">
        <f>IF(D11="","-",+C37+1)</f>
        <v>2028</v>
      </c>
      <c r="D38" s="523">
        <f>IF(F37+SUM(E$17:E37)=D$10,F37,D$10-SUM(E$17:E37))</f>
        <v>43486.030934539936</v>
      </c>
      <c r="E38" s="522">
        <f>IF(+I14&lt;F37,I14,D38)</f>
        <v>1945.2619047619048</v>
      </c>
      <c r="F38" s="523">
        <f t="shared" si="13"/>
        <v>41540.769029778028</v>
      </c>
      <c r="G38" s="524">
        <f t="shared" si="14"/>
        <v>6486.4571485258666</v>
      </c>
      <c r="H38" s="491">
        <f t="shared" si="15"/>
        <v>6486.4571485258666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  <c r="R38" s="269"/>
      <c r="S38" s="269"/>
      <c r="T38" s="269"/>
      <c r="U38" s="269"/>
      <c r="V38" s="269"/>
      <c r="W38" s="269"/>
    </row>
    <row r="39" spans="2:23" ht="12.5">
      <c r="B39" s="195" t="str">
        <f t="shared" si="4"/>
        <v/>
      </c>
      <c r="C39" s="507">
        <f>IF(D11="","-",+C38+1)</f>
        <v>2029</v>
      </c>
      <c r="D39" s="523">
        <f>IF(F38+SUM(E$17:E38)=D$10,F38,D$10-SUM(E$17:E38))</f>
        <v>41540.769029778028</v>
      </c>
      <c r="E39" s="522">
        <f>IF(+I14&lt;F38,I14,D39)</f>
        <v>1945.2619047619048</v>
      </c>
      <c r="F39" s="523">
        <f t="shared" si="13"/>
        <v>39595.50712501612</v>
      </c>
      <c r="G39" s="524">
        <f t="shared" si="14"/>
        <v>6278.6682134257053</v>
      </c>
      <c r="H39" s="491">
        <f t="shared" si="15"/>
        <v>6278.6682134257053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  <c r="R39" s="269"/>
      <c r="S39" s="269"/>
      <c r="T39" s="269"/>
      <c r="U39" s="269"/>
      <c r="V39" s="269"/>
      <c r="W39" s="269"/>
    </row>
    <row r="40" spans="2:23" ht="12.5">
      <c r="B40" s="195" t="str">
        <f t="shared" si="4"/>
        <v/>
      </c>
      <c r="C40" s="507">
        <f>IF(D11="","-",+C39+1)</f>
        <v>2030</v>
      </c>
      <c r="D40" s="523">
        <f>IF(F39+SUM(E$17:E39)=D$10,F39,D$10-SUM(E$17:E39))</f>
        <v>39595.50712501612</v>
      </c>
      <c r="E40" s="522">
        <f>IF(+I14&lt;F39,I14,D40)</f>
        <v>1945.2619047619048</v>
      </c>
      <c r="F40" s="523">
        <f t="shared" si="13"/>
        <v>37650.245220254212</v>
      </c>
      <c r="G40" s="524">
        <f t="shared" si="14"/>
        <v>6070.8792783255449</v>
      </c>
      <c r="H40" s="491">
        <f t="shared" si="15"/>
        <v>6070.8792783255449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  <c r="R40" s="269"/>
      <c r="S40" s="269"/>
      <c r="T40" s="269"/>
      <c r="U40" s="269"/>
      <c r="V40" s="269"/>
      <c r="W40" s="269"/>
    </row>
    <row r="41" spans="2:23" ht="12.5">
      <c r="B41" s="195" t="str">
        <f t="shared" si="4"/>
        <v/>
      </c>
      <c r="C41" s="507">
        <f>IF(D11="","-",+C40+1)</f>
        <v>2031</v>
      </c>
      <c r="D41" s="523">
        <f>IF(F40+SUM(E$17:E40)=D$10,F40,D$10-SUM(E$17:E40))</f>
        <v>37650.245220254212</v>
      </c>
      <c r="E41" s="522">
        <f>IF(+I14&lt;F40,I14,D41)</f>
        <v>1945.2619047619048</v>
      </c>
      <c r="F41" s="523">
        <f t="shared" si="13"/>
        <v>35704.983315492304</v>
      </c>
      <c r="G41" s="524">
        <f t="shared" si="14"/>
        <v>5863.0903432253845</v>
      </c>
      <c r="H41" s="491">
        <f t="shared" si="15"/>
        <v>5863.0903432253845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  <c r="R41" s="269"/>
      <c r="S41" s="269"/>
      <c r="T41" s="269"/>
      <c r="U41" s="269"/>
      <c r="V41" s="269"/>
      <c r="W41" s="269"/>
    </row>
    <row r="42" spans="2:23" ht="12.5">
      <c r="B42" s="195" t="str">
        <f t="shared" si="4"/>
        <v/>
      </c>
      <c r="C42" s="507">
        <f>IF(D11="","-",+C41+1)</f>
        <v>2032</v>
      </c>
      <c r="D42" s="523">
        <f>IF(F41+SUM(E$17:E41)=D$10,F41,D$10-SUM(E$17:E41))</f>
        <v>35704.983315492304</v>
      </c>
      <c r="E42" s="522">
        <f>IF(+I14&lt;F41,I14,D42)</f>
        <v>1945.2619047619048</v>
      </c>
      <c r="F42" s="523">
        <f t="shared" si="13"/>
        <v>33759.721410730395</v>
      </c>
      <c r="G42" s="524">
        <f t="shared" si="14"/>
        <v>5655.301408125224</v>
      </c>
      <c r="H42" s="491">
        <f t="shared" si="15"/>
        <v>5655.301408125224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  <c r="R42" s="269"/>
      <c r="S42" s="269"/>
      <c r="T42" s="269"/>
      <c r="U42" s="269"/>
      <c r="V42" s="269"/>
      <c r="W42" s="269"/>
    </row>
    <row r="43" spans="2:23" ht="12.5">
      <c r="B43" s="195" t="str">
        <f t="shared" si="4"/>
        <v/>
      </c>
      <c r="C43" s="507">
        <f>IF(D11="","-",+C42+1)</f>
        <v>2033</v>
      </c>
      <c r="D43" s="523">
        <f>IF(F42+SUM(E$17:E42)=D$10,F42,D$10-SUM(E$17:E42))</f>
        <v>33759.721410730395</v>
      </c>
      <c r="E43" s="522">
        <f>IF(+I14&lt;F42,I14,D43)</f>
        <v>1945.2619047619048</v>
      </c>
      <c r="F43" s="523">
        <f t="shared" si="13"/>
        <v>31814.459505968491</v>
      </c>
      <c r="G43" s="524">
        <f t="shared" si="14"/>
        <v>5447.5124730250636</v>
      </c>
      <c r="H43" s="491">
        <f t="shared" si="15"/>
        <v>5447.5124730250636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  <c r="R43" s="269"/>
      <c r="S43" s="269"/>
      <c r="T43" s="269"/>
      <c r="U43" s="269"/>
      <c r="V43" s="269"/>
      <c r="W43" s="269"/>
    </row>
    <row r="44" spans="2:23" ht="12.5">
      <c r="B44" s="195" t="str">
        <f t="shared" si="4"/>
        <v/>
      </c>
      <c r="C44" s="507">
        <f>IF(D11="","-",+C43+1)</f>
        <v>2034</v>
      </c>
      <c r="D44" s="523">
        <f>IF(F43+SUM(E$17:E43)=D$10,F43,D$10-SUM(E$17:E43))</f>
        <v>31814.459505968491</v>
      </c>
      <c r="E44" s="522">
        <f>IF(+I14&lt;F43,I14,D44)</f>
        <v>1945.2619047619048</v>
      </c>
      <c r="F44" s="523">
        <f t="shared" si="13"/>
        <v>29869.197601206586</v>
      </c>
      <c r="G44" s="524">
        <f t="shared" si="14"/>
        <v>5239.7235379249032</v>
      </c>
      <c r="H44" s="491">
        <f t="shared" si="15"/>
        <v>5239.7235379249032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  <c r="R44" s="269"/>
      <c r="S44" s="269"/>
      <c r="T44" s="269"/>
      <c r="U44" s="269"/>
      <c r="V44" s="269"/>
      <c r="W44" s="269"/>
    </row>
    <row r="45" spans="2:23" ht="12.5">
      <c r="B45" s="195" t="str">
        <f t="shared" si="4"/>
        <v/>
      </c>
      <c r="C45" s="507">
        <f>IF(D11="","-",+C44+1)</f>
        <v>2035</v>
      </c>
      <c r="D45" s="523">
        <f>IF(F44+SUM(E$17:E44)=D$10,F44,D$10-SUM(E$17:E44))</f>
        <v>29869.197601206586</v>
      </c>
      <c r="E45" s="522">
        <f>IF(+I14&lt;F44,I14,D45)</f>
        <v>1945.2619047619048</v>
      </c>
      <c r="F45" s="523">
        <f t="shared" si="13"/>
        <v>27923.935696444682</v>
      </c>
      <c r="G45" s="524">
        <f t="shared" si="14"/>
        <v>5031.9346028247428</v>
      </c>
      <c r="H45" s="491">
        <f t="shared" si="15"/>
        <v>5031.9346028247428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  <c r="R45" s="269"/>
      <c r="S45" s="269"/>
      <c r="T45" s="269"/>
      <c r="U45" s="269"/>
      <c r="V45" s="269"/>
      <c r="W45" s="269"/>
    </row>
    <row r="46" spans="2:23" ht="12.5">
      <c r="B46" s="195" t="str">
        <f t="shared" si="4"/>
        <v/>
      </c>
      <c r="C46" s="507">
        <f>IF(D11="","-",+C45+1)</f>
        <v>2036</v>
      </c>
      <c r="D46" s="523">
        <f>IF(F45+SUM(E$17:E45)=D$10,F45,D$10-SUM(E$17:E45))</f>
        <v>27923.935696444682</v>
      </c>
      <c r="E46" s="522">
        <f>IF(+I14&lt;F45,I14,D46)</f>
        <v>1945.2619047619048</v>
      </c>
      <c r="F46" s="523">
        <f t="shared" si="13"/>
        <v>25978.673791682777</v>
      </c>
      <c r="G46" s="524">
        <f t="shared" si="14"/>
        <v>4824.1456677245833</v>
      </c>
      <c r="H46" s="491">
        <f t="shared" si="15"/>
        <v>4824.1456677245833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  <c r="R46" s="269"/>
      <c r="S46" s="269"/>
      <c r="T46" s="269"/>
      <c r="U46" s="269"/>
      <c r="V46" s="269"/>
      <c r="W46" s="269"/>
    </row>
    <row r="47" spans="2:23" ht="12.5">
      <c r="B47" s="195" t="str">
        <f t="shared" si="4"/>
        <v/>
      </c>
      <c r="C47" s="507">
        <f>IF(D11="","-",+C46+1)</f>
        <v>2037</v>
      </c>
      <c r="D47" s="523">
        <f>IF(F46+SUM(E$17:E46)=D$10,F46,D$10-SUM(E$17:E46))</f>
        <v>25978.673791682777</v>
      </c>
      <c r="E47" s="522">
        <f>IF(+I14&lt;F46,I14,D47)</f>
        <v>1945.2619047619048</v>
      </c>
      <c r="F47" s="523">
        <f t="shared" si="13"/>
        <v>24033.411886920872</v>
      </c>
      <c r="G47" s="524">
        <f t="shared" si="14"/>
        <v>4616.3567326244229</v>
      </c>
      <c r="H47" s="491">
        <f t="shared" si="15"/>
        <v>4616.3567326244229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  <c r="R47" s="269"/>
      <c r="S47" s="269"/>
      <c r="T47" s="269"/>
      <c r="U47" s="269"/>
      <c r="V47" s="269"/>
      <c r="W47" s="269"/>
    </row>
    <row r="48" spans="2:23" ht="12.5">
      <c r="B48" s="195" t="str">
        <f t="shared" si="4"/>
        <v/>
      </c>
      <c r="C48" s="507">
        <f>IF(D11="","-",+C47+1)</f>
        <v>2038</v>
      </c>
      <c r="D48" s="523">
        <f>IF(F47+SUM(E$17:E47)=D$10,F47,D$10-SUM(E$17:E47))</f>
        <v>24033.411886920872</v>
      </c>
      <c r="E48" s="522">
        <f>IF(+I14&lt;F47,I14,D48)</f>
        <v>1945.2619047619048</v>
      </c>
      <c r="F48" s="523">
        <f t="shared" si="13"/>
        <v>22088.149982158968</v>
      </c>
      <c r="G48" s="524">
        <f t="shared" si="14"/>
        <v>4408.5677975242625</v>
      </c>
      <c r="H48" s="491">
        <f t="shared" si="15"/>
        <v>4408.5677975242625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  <c r="R48" s="269"/>
      <c r="S48" s="269"/>
      <c r="T48" s="269"/>
      <c r="U48" s="269"/>
      <c r="V48" s="269"/>
      <c r="W48" s="269"/>
    </row>
    <row r="49" spans="2:23" ht="12.5">
      <c r="B49" s="195" t="str">
        <f t="shared" si="4"/>
        <v/>
      </c>
      <c r="C49" s="507">
        <f>IF(D11="","-",+C48+1)</f>
        <v>2039</v>
      </c>
      <c r="D49" s="523">
        <f>IF(F48+SUM(E$17:E48)=D$10,F48,D$10-SUM(E$17:E48))</f>
        <v>22088.149982158968</v>
      </c>
      <c r="E49" s="522">
        <f>IF(+I14&lt;F48,I14,D49)</f>
        <v>1945.2619047619048</v>
      </c>
      <c r="F49" s="523">
        <f t="shared" ref="F49:F72" si="16">+D49-E49</f>
        <v>20142.888077397063</v>
      </c>
      <c r="G49" s="524">
        <f t="shared" si="14"/>
        <v>4200.778862424102</v>
      </c>
      <c r="H49" s="491">
        <f t="shared" si="15"/>
        <v>4200.778862424102</v>
      </c>
      <c r="I49" s="511">
        <f t="shared" ref="I49:I72" si="17">H49-G49</f>
        <v>0</v>
      </c>
      <c r="J49" s="511"/>
      <c r="K49" s="525"/>
      <c r="L49" s="514">
        <f t="shared" ref="L49:L72" si="18">IF(K49&lt;&gt;0,+G49-K49,0)</f>
        <v>0</v>
      </c>
      <c r="M49" s="525"/>
      <c r="N49" s="514">
        <f t="shared" ref="N49:N72" si="19">IF(M49&lt;&gt;0,+H49-M49,0)</f>
        <v>0</v>
      </c>
      <c r="O49" s="514">
        <f t="shared" ref="O49:O72" si="20">+N49-L49</f>
        <v>0</v>
      </c>
      <c r="P49" s="272"/>
      <c r="R49" s="269"/>
      <c r="S49" s="269"/>
      <c r="T49" s="269"/>
      <c r="U49" s="269"/>
      <c r="V49" s="269"/>
      <c r="W49" s="269"/>
    </row>
    <row r="50" spans="2:23" ht="12.5">
      <c r="B50" s="195" t="str">
        <f t="shared" si="4"/>
        <v/>
      </c>
      <c r="C50" s="507">
        <f>IF(D11="","-",+C49+1)</f>
        <v>2040</v>
      </c>
      <c r="D50" s="523">
        <f>IF(F49+SUM(E$17:E49)=D$10,F49,D$10-SUM(E$17:E49))</f>
        <v>20142.888077397063</v>
      </c>
      <c r="E50" s="522">
        <f>IF(+I14&lt;F49,I14,D50)</f>
        <v>1945.2619047619048</v>
      </c>
      <c r="F50" s="523">
        <f t="shared" si="16"/>
        <v>18197.626172635159</v>
      </c>
      <c r="G50" s="524">
        <f t="shared" si="14"/>
        <v>3992.9899273239421</v>
      </c>
      <c r="H50" s="491">
        <f t="shared" si="15"/>
        <v>3992.9899273239421</v>
      </c>
      <c r="I50" s="511">
        <f t="shared" si="17"/>
        <v>0</v>
      </c>
      <c r="J50" s="511"/>
      <c r="K50" s="525"/>
      <c r="L50" s="514">
        <f t="shared" si="18"/>
        <v>0</v>
      </c>
      <c r="M50" s="525"/>
      <c r="N50" s="514">
        <f t="shared" si="19"/>
        <v>0</v>
      </c>
      <c r="O50" s="514">
        <f t="shared" si="20"/>
        <v>0</v>
      </c>
      <c r="P50" s="272"/>
      <c r="R50" s="269"/>
      <c r="S50" s="269"/>
      <c r="T50" s="269"/>
      <c r="U50" s="269"/>
      <c r="V50" s="269"/>
      <c r="W50" s="269"/>
    </row>
    <row r="51" spans="2:23" ht="12.5">
      <c r="B51" s="195" t="str">
        <f t="shared" si="4"/>
        <v/>
      </c>
      <c r="C51" s="507">
        <f>IF(D11="","-",+C50+1)</f>
        <v>2041</v>
      </c>
      <c r="D51" s="523">
        <f>IF(F50+SUM(E$17:E50)=D$10,F50,D$10-SUM(E$17:E50))</f>
        <v>18197.626172635159</v>
      </c>
      <c r="E51" s="522">
        <f>IF(+I14&lt;F50,I14,D51)</f>
        <v>1945.2619047619048</v>
      </c>
      <c r="F51" s="523">
        <f t="shared" si="16"/>
        <v>16252.364267873254</v>
      </c>
      <c r="G51" s="524">
        <f t="shared" si="14"/>
        <v>3785.2009922237817</v>
      </c>
      <c r="H51" s="491">
        <f t="shared" si="15"/>
        <v>3785.2009922237817</v>
      </c>
      <c r="I51" s="511">
        <f t="shared" si="17"/>
        <v>0</v>
      </c>
      <c r="J51" s="511"/>
      <c r="K51" s="525"/>
      <c r="L51" s="514">
        <f t="shared" si="18"/>
        <v>0</v>
      </c>
      <c r="M51" s="525"/>
      <c r="N51" s="514">
        <f t="shared" si="19"/>
        <v>0</v>
      </c>
      <c r="O51" s="514">
        <f t="shared" si="20"/>
        <v>0</v>
      </c>
      <c r="P51" s="272"/>
      <c r="R51" s="269"/>
      <c r="S51" s="269"/>
      <c r="T51" s="269"/>
      <c r="U51" s="269"/>
      <c r="V51" s="269"/>
      <c r="W51" s="269"/>
    </row>
    <row r="52" spans="2:23" ht="12.5">
      <c r="B52" s="195" t="str">
        <f t="shared" si="4"/>
        <v/>
      </c>
      <c r="C52" s="507">
        <f>IF(D11="","-",+C51+1)</f>
        <v>2042</v>
      </c>
      <c r="D52" s="523">
        <f>IF(F51+SUM(E$17:E51)=D$10,F51,D$10-SUM(E$17:E51))</f>
        <v>16252.364267873254</v>
      </c>
      <c r="E52" s="522">
        <f>IF(+I14&lt;F51,I14,D52)</f>
        <v>1945.2619047619048</v>
      </c>
      <c r="F52" s="523">
        <f t="shared" si="16"/>
        <v>14307.102363111349</v>
      </c>
      <c r="G52" s="524">
        <f t="shared" si="14"/>
        <v>3577.4120571236217</v>
      </c>
      <c r="H52" s="491">
        <f t="shared" si="15"/>
        <v>3577.4120571236217</v>
      </c>
      <c r="I52" s="511">
        <f t="shared" si="17"/>
        <v>0</v>
      </c>
      <c r="J52" s="511"/>
      <c r="K52" s="525"/>
      <c r="L52" s="514">
        <f t="shared" si="18"/>
        <v>0</v>
      </c>
      <c r="M52" s="525"/>
      <c r="N52" s="514">
        <f t="shared" si="19"/>
        <v>0</v>
      </c>
      <c r="O52" s="514">
        <f t="shared" si="20"/>
        <v>0</v>
      </c>
      <c r="P52" s="272"/>
      <c r="R52" s="269"/>
      <c r="S52" s="269"/>
      <c r="T52" s="269"/>
      <c r="U52" s="269"/>
      <c r="V52" s="269"/>
      <c r="W52" s="269"/>
    </row>
    <row r="53" spans="2:23" ht="12.5">
      <c r="B53" s="195" t="str">
        <f t="shared" si="4"/>
        <v/>
      </c>
      <c r="C53" s="507">
        <f>IF(D11="","-",+C52+1)</f>
        <v>2043</v>
      </c>
      <c r="D53" s="523">
        <f>IF(F52+SUM(E$17:E52)=D$10,F52,D$10-SUM(E$17:E52))</f>
        <v>14307.102363111349</v>
      </c>
      <c r="E53" s="522">
        <f>IF(+I14&lt;F52,I14,D53)</f>
        <v>1945.2619047619048</v>
      </c>
      <c r="F53" s="523">
        <f t="shared" si="16"/>
        <v>12361.840458349445</v>
      </c>
      <c r="G53" s="524">
        <f t="shared" si="14"/>
        <v>3369.6231220234613</v>
      </c>
      <c r="H53" s="491">
        <f t="shared" si="15"/>
        <v>3369.6231220234613</v>
      </c>
      <c r="I53" s="511">
        <f t="shared" si="17"/>
        <v>0</v>
      </c>
      <c r="J53" s="511"/>
      <c r="K53" s="525"/>
      <c r="L53" s="514">
        <f t="shared" si="18"/>
        <v>0</v>
      </c>
      <c r="M53" s="525"/>
      <c r="N53" s="514">
        <f t="shared" si="19"/>
        <v>0</v>
      </c>
      <c r="O53" s="514">
        <f t="shared" si="20"/>
        <v>0</v>
      </c>
      <c r="P53" s="272"/>
      <c r="R53" s="269"/>
      <c r="S53" s="269"/>
      <c r="T53" s="269"/>
      <c r="U53" s="269"/>
      <c r="V53" s="269"/>
      <c r="W53" s="269"/>
    </row>
    <row r="54" spans="2:23" ht="12.5">
      <c r="B54" s="195" t="str">
        <f t="shared" si="4"/>
        <v/>
      </c>
      <c r="C54" s="507">
        <f>IF(D11="","-",+C53+1)</f>
        <v>2044</v>
      </c>
      <c r="D54" s="523">
        <f>IF(F53+SUM(E$17:E53)=D$10,F53,D$10-SUM(E$17:E53))</f>
        <v>12361.840458349445</v>
      </c>
      <c r="E54" s="522">
        <f>IF(+I14&lt;F53,I14,D54)</f>
        <v>1945.2619047619048</v>
      </c>
      <c r="F54" s="523">
        <f t="shared" si="16"/>
        <v>10416.57855358754</v>
      </c>
      <c r="G54" s="524">
        <f t="shared" si="14"/>
        <v>3161.8341869233009</v>
      </c>
      <c r="H54" s="491">
        <f t="shared" si="15"/>
        <v>3161.8341869233009</v>
      </c>
      <c r="I54" s="511">
        <f t="shared" si="17"/>
        <v>0</v>
      </c>
      <c r="J54" s="511"/>
      <c r="K54" s="525"/>
      <c r="L54" s="514">
        <f t="shared" si="18"/>
        <v>0</v>
      </c>
      <c r="M54" s="525"/>
      <c r="N54" s="514">
        <f t="shared" si="19"/>
        <v>0</v>
      </c>
      <c r="O54" s="514">
        <f t="shared" si="20"/>
        <v>0</v>
      </c>
      <c r="P54" s="272"/>
      <c r="R54" s="269"/>
      <c r="S54" s="269"/>
      <c r="T54" s="269"/>
      <c r="U54" s="269"/>
      <c r="V54" s="269"/>
      <c r="W54" s="269"/>
    </row>
    <row r="55" spans="2:23" ht="12.5">
      <c r="B55" s="195" t="str">
        <f t="shared" si="4"/>
        <v/>
      </c>
      <c r="C55" s="507">
        <f>IF(D11="","-",+C54+1)</f>
        <v>2045</v>
      </c>
      <c r="D55" s="523">
        <f>IF(F54+SUM(E$17:E54)=D$10,F54,D$10-SUM(E$17:E54))</f>
        <v>10416.57855358754</v>
      </c>
      <c r="E55" s="522">
        <f>IF(+I14&lt;F54,I14,D55)</f>
        <v>1945.2619047619048</v>
      </c>
      <c r="F55" s="523">
        <f t="shared" si="16"/>
        <v>8471.3166488256356</v>
      </c>
      <c r="G55" s="524">
        <f t="shared" si="14"/>
        <v>2954.0452518231409</v>
      </c>
      <c r="H55" s="491">
        <f t="shared" si="15"/>
        <v>2954.0452518231409</v>
      </c>
      <c r="I55" s="511">
        <f t="shared" si="17"/>
        <v>0</v>
      </c>
      <c r="J55" s="511"/>
      <c r="K55" s="525"/>
      <c r="L55" s="514">
        <f t="shared" si="18"/>
        <v>0</v>
      </c>
      <c r="M55" s="525"/>
      <c r="N55" s="514">
        <f t="shared" si="19"/>
        <v>0</v>
      </c>
      <c r="O55" s="514">
        <f t="shared" si="20"/>
        <v>0</v>
      </c>
      <c r="P55" s="272"/>
      <c r="R55" s="269"/>
      <c r="S55" s="269"/>
      <c r="T55" s="269"/>
      <c r="U55" s="269"/>
      <c r="V55" s="269"/>
      <c r="W55" s="269"/>
    </row>
    <row r="56" spans="2:23" ht="12.5">
      <c r="B56" s="195" t="str">
        <f t="shared" si="4"/>
        <v/>
      </c>
      <c r="C56" s="507">
        <f>IF(D11="","-",+C55+1)</f>
        <v>2046</v>
      </c>
      <c r="D56" s="523">
        <f>IF(F55+SUM(E$17:E55)=D$10,F55,D$10-SUM(E$17:E55))</f>
        <v>8471.3166488256356</v>
      </c>
      <c r="E56" s="522">
        <f>IF(+I14&lt;F55,I14,D56)</f>
        <v>1945.2619047619048</v>
      </c>
      <c r="F56" s="523">
        <f t="shared" si="16"/>
        <v>6526.0547440637311</v>
      </c>
      <c r="G56" s="524">
        <f t="shared" si="14"/>
        <v>2746.2563167229805</v>
      </c>
      <c r="H56" s="491">
        <f t="shared" si="15"/>
        <v>2746.2563167229805</v>
      </c>
      <c r="I56" s="511">
        <f t="shared" si="17"/>
        <v>0</v>
      </c>
      <c r="J56" s="511"/>
      <c r="K56" s="525"/>
      <c r="L56" s="514">
        <f t="shared" si="18"/>
        <v>0</v>
      </c>
      <c r="M56" s="525"/>
      <c r="N56" s="514">
        <f t="shared" si="19"/>
        <v>0</v>
      </c>
      <c r="O56" s="514">
        <f t="shared" si="20"/>
        <v>0</v>
      </c>
      <c r="P56" s="272"/>
      <c r="R56" s="269"/>
      <c r="S56" s="269"/>
      <c r="T56" s="269"/>
      <c r="U56" s="269"/>
      <c r="V56" s="269"/>
      <c r="W56" s="269"/>
    </row>
    <row r="57" spans="2:23" ht="12.5">
      <c r="B57" s="195" t="str">
        <f t="shared" si="4"/>
        <v/>
      </c>
      <c r="C57" s="507">
        <f>IF(D11="","-",+C56+1)</f>
        <v>2047</v>
      </c>
      <c r="D57" s="523">
        <f>IF(F56+SUM(E$17:E56)=D$10,F56,D$10-SUM(E$17:E56))</f>
        <v>6526.0547440637311</v>
      </c>
      <c r="E57" s="522">
        <f>IF(+I14&lt;F56,I14,D57)</f>
        <v>1945.2619047619048</v>
      </c>
      <c r="F57" s="523">
        <f t="shared" si="16"/>
        <v>4580.7928393018265</v>
      </c>
      <c r="G57" s="524">
        <f t="shared" si="14"/>
        <v>2538.4673816228205</v>
      </c>
      <c r="H57" s="491">
        <f t="shared" si="15"/>
        <v>2538.4673816228205</v>
      </c>
      <c r="I57" s="511">
        <f t="shared" si="17"/>
        <v>0</v>
      </c>
      <c r="J57" s="511"/>
      <c r="K57" s="525"/>
      <c r="L57" s="514">
        <f t="shared" si="18"/>
        <v>0</v>
      </c>
      <c r="M57" s="525"/>
      <c r="N57" s="514">
        <f t="shared" si="19"/>
        <v>0</v>
      </c>
      <c r="O57" s="514">
        <f t="shared" si="20"/>
        <v>0</v>
      </c>
      <c r="P57" s="272"/>
      <c r="R57" s="269"/>
      <c r="S57" s="269"/>
      <c r="T57" s="269"/>
      <c r="U57" s="269"/>
      <c r="V57" s="269"/>
      <c r="W57" s="269"/>
    </row>
    <row r="58" spans="2:23" ht="12.5">
      <c r="B58" s="195" t="str">
        <f t="shared" si="4"/>
        <v/>
      </c>
      <c r="C58" s="507">
        <f>IF(D11="","-",+C57+1)</f>
        <v>2048</v>
      </c>
      <c r="D58" s="523">
        <f>IF(F57+SUM(E$17:E57)=D$10,F57,D$10-SUM(E$17:E57))</f>
        <v>4580.7928393018265</v>
      </c>
      <c r="E58" s="522">
        <f>IF(+I14&lt;F57,I14,D58)</f>
        <v>1945.2619047619048</v>
      </c>
      <c r="F58" s="523">
        <f t="shared" si="16"/>
        <v>2635.5309345399219</v>
      </c>
      <c r="G58" s="524">
        <f t="shared" si="14"/>
        <v>2330.6784465226601</v>
      </c>
      <c r="H58" s="491">
        <f t="shared" si="15"/>
        <v>2330.6784465226601</v>
      </c>
      <c r="I58" s="511">
        <f t="shared" si="17"/>
        <v>0</v>
      </c>
      <c r="J58" s="511"/>
      <c r="K58" s="525"/>
      <c r="L58" s="514">
        <f t="shared" si="18"/>
        <v>0</v>
      </c>
      <c r="M58" s="525"/>
      <c r="N58" s="514">
        <f t="shared" si="19"/>
        <v>0</v>
      </c>
      <c r="O58" s="514">
        <f t="shared" si="20"/>
        <v>0</v>
      </c>
      <c r="P58" s="272"/>
      <c r="Q58" s="183" t="str">
        <f>IF(ROUND(Q57,0)=ROUND(SUM(Q18:Q56),0),"","Error -- check allocations above).")</f>
        <v/>
      </c>
      <c r="R58" s="269"/>
      <c r="S58" s="269"/>
      <c r="T58" s="269"/>
      <c r="U58" s="269"/>
      <c r="V58" s="269"/>
      <c r="W58" s="269"/>
    </row>
    <row r="59" spans="2:23" ht="12.5">
      <c r="B59" s="582" t="str">
        <f t="shared" si="4"/>
        <v/>
      </c>
      <c r="C59" s="507">
        <f>IF(D11="","-",+C58+1)</f>
        <v>2049</v>
      </c>
      <c r="D59" s="523">
        <f>IF(F58+SUM(E$17:E58)=D$10,F58,D$10-SUM(E$17:E58))</f>
        <v>2635.5309345399219</v>
      </c>
      <c r="E59" s="522">
        <f>IF(+I14&lt;F58,I14,D59)</f>
        <v>1945.2619047619048</v>
      </c>
      <c r="F59" s="523">
        <f t="shared" si="16"/>
        <v>690.26902977801706</v>
      </c>
      <c r="G59" s="524">
        <f t="shared" si="14"/>
        <v>2122.8895114225002</v>
      </c>
      <c r="H59" s="491">
        <f t="shared" si="15"/>
        <v>2122.8895114225002</v>
      </c>
      <c r="I59" s="511">
        <f t="shared" si="17"/>
        <v>0</v>
      </c>
      <c r="J59" s="511"/>
      <c r="K59" s="525"/>
      <c r="L59" s="514">
        <f t="shared" si="18"/>
        <v>0</v>
      </c>
      <c r="M59" s="525"/>
      <c r="N59" s="514">
        <f t="shared" si="19"/>
        <v>0</v>
      </c>
      <c r="O59" s="514">
        <f t="shared" si="20"/>
        <v>0</v>
      </c>
      <c r="P59" s="272"/>
      <c r="R59" s="269"/>
      <c r="S59" s="269"/>
      <c r="T59" s="269"/>
      <c r="U59" s="269"/>
      <c r="V59" s="269"/>
      <c r="W59" s="269"/>
    </row>
    <row r="60" spans="2:23" ht="12.5">
      <c r="B60" s="195" t="str">
        <f t="shared" si="4"/>
        <v/>
      </c>
      <c r="C60" s="507">
        <f>IF(D11="","-",+C59+1)</f>
        <v>2050</v>
      </c>
      <c r="D60" s="523">
        <f>IF(F59+SUM(E$17:E59)=D$10,F59,D$10-SUM(E$17:E59))</f>
        <v>690.26902977801706</v>
      </c>
      <c r="E60" s="522">
        <f>IF(+I14&lt;F59,I14,D60)</f>
        <v>690.26902977801706</v>
      </c>
      <c r="F60" s="523">
        <f t="shared" si="16"/>
        <v>0</v>
      </c>
      <c r="G60" s="524">
        <f t="shared" si="14"/>
        <v>727.13559933327451</v>
      </c>
      <c r="H60" s="491">
        <f t="shared" si="15"/>
        <v>727.13559933327451</v>
      </c>
      <c r="I60" s="511">
        <f t="shared" si="17"/>
        <v>0</v>
      </c>
      <c r="J60" s="511"/>
      <c r="K60" s="525"/>
      <c r="L60" s="514">
        <f t="shared" si="18"/>
        <v>0</v>
      </c>
      <c r="M60" s="525"/>
      <c r="N60" s="514">
        <f t="shared" si="19"/>
        <v>0</v>
      </c>
      <c r="O60" s="514">
        <f t="shared" si="20"/>
        <v>0</v>
      </c>
      <c r="P60" s="272"/>
      <c r="R60" s="269"/>
      <c r="S60" s="269"/>
      <c r="T60" s="269"/>
      <c r="U60" s="269"/>
      <c r="V60" s="269"/>
      <c r="W60" s="269"/>
    </row>
    <row r="61" spans="2:23" ht="12.5">
      <c r="B61" s="195" t="str">
        <f t="shared" si="4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6"/>
        <v>0</v>
      </c>
      <c r="G61" s="524">
        <f t="shared" si="14"/>
        <v>0</v>
      </c>
      <c r="H61" s="491">
        <f t="shared" si="15"/>
        <v>0</v>
      </c>
      <c r="I61" s="511">
        <f t="shared" si="17"/>
        <v>0</v>
      </c>
      <c r="J61" s="511"/>
      <c r="K61" s="525"/>
      <c r="L61" s="514">
        <f t="shared" si="18"/>
        <v>0</v>
      </c>
      <c r="M61" s="525"/>
      <c r="N61" s="514">
        <f t="shared" si="19"/>
        <v>0</v>
      </c>
      <c r="O61" s="514">
        <f t="shared" si="20"/>
        <v>0</v>
      </c>
      <c r="P61" s="272"/>
      <c r="R61" s="269"/>
      <c r="S61" s="269"/>
      <c r="T61" s="269"/>
      <c r="U61" s="269"/>
      <c r="V61" s="269"/>
      <c r="W61" s="269"/>
    </row>
    <row r="62" spans="2:23" ht="12.5">
      <c r="B62" s="195" t="str">
        <f t="shared" si="4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4">
        <f t="shared" si="14"/>
        <v>0</v>
      </c>
      <c r="H62" s="491">
        <f t="shared" si="15"/>
        <v>0</v>
      </c>
      <c r="I62" s="511">
        <f t="shared" si="17"/>
        <v>0</v>
      </c>
      <c r="J62" s="511"/>
      <c r="K62" s="525"/>
      <c r="L62" s="514">
        <f t="shared" si="18"/>
        <v>0</v>
      </c>
      <c r="M62" s="525"/>
      <c r="N62" s="514">
        <f t="shared" si="19"/>
        <v>0</v>
      </c>
      <c r="O62" s="514">
        <f t="shared" si="20"/>
        <v>0</v>
      </c>
      <c r="P62" s="272"/>
      <c r="R62" s="269"/>
      <c r="S62" s="269"/>
      <c r="T62" s="269"/>
      <c r="U62" s="269"/>
      <c r="V62" s="269"/>
      <c r="W62" s="269"/>
    </row>
    <row r="63" spans="2:23" ht="12.5">
      <c r="B63" s="195" t="str">
        <f t="shared" si="4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4">
        <f t="shared" si="14"/>
        <v>0</v>
      </c>
      <c r="H63" s="491">
        <f t="shared" si="15"/>
        <v>0</v>
      </c>
      <c r="I63" s="511">
        <f t="shared" si="17"/>
        <v>0</v>
      </c>
      <c r="J63" s="511"/>
      <c r="K63" s="525"/>
      <c r="L63" s="514">
        <f t="shared" si="18"/>
        <v>0</v>
      </c>
      <c r="M63" s="525"/>
      <c r="N63" s="514">
        <f t="shared" si="19"/>
        <v>0</v>
      </c>
      <c r="O63" s="514">
        <f t="shared" si="20"/>
        <v>0</v>
      </c>
      <c r="P63" s="272"/>
      <c r="R63" s="269"/>
      <c r="S63" s="269"/>
      <c r="T63" s="269"/>
      <c r="U63" s="269"/>
      <c r="V63" s="269"/>
      <c r="W63" s="269"/>
    </row>
    <row r="64" spans="2:23" ht="12.5">
      <c r="B64" s="195" t="str">
        <f t="shared" si="4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4">
        <f t="shared" si="14"/>
        <v>0</v>
      </c>
      <c r="H64" s="491">
        <f t="shared" si="15"/>
        <v>0</v>
      </c>
      <c r="I64" s="511">
        <f t="shared" si="17"/>
        <v>0</v>
      </c>
      <c r="J64" s="511"/>
      <c r="K64" s="525"/>
      <c r="L64" s="514">
        <f t="shared" si="18"/>
        <v>0</v>
      </c>
      <c r="M64" s="525"/>
      <c r="N64" s="514">
        <f t="shared" si="19"/>
        <v>0</v>
      </c>
      <c r="O64" s="514">
        <f t="shared" si="20"/>
        <v>0</v>
      </c>
      <c r="P64" s="272"/>
      <c r="R64" s="269"/>
      <c r="S64" s="269"/>
      <c r="T64" s="269"/>
      <c r="U64" s="269"/>
      <c r="V64" s="269"/>
      <c r="W64" s="269"/>
    </row>
    <row r="65" spans="1:23" ht="12.5">
      <c r="B65" s="195" t="str">
        <f t="shared" si="4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4">
        <f t="shared" si="14"/>
        <v>0</v>
      </c>
      <c r="H65" s="491">
        <f t="shared" si="15"/>
        <v>0</v>
      </c>
      <c r="I65" s="511">
        <f t="shared" si="17"/>
        <v>0</v>
      </c>
      <c r="J65" s="511"/>
      <c r="K65" s="525"/>
      <c r="L65" s="514">
        <f t="shared" si="18"/>
        <v>0</v>
      </c>
      <c r="M65" s="525"/>
      <c r="N65" s="514">
        <f t="shared" si="19"/>
        <v>0</v>
      </c>
      <c r="O65" s="514">
        <f t="shared" si="20"/>
        <v>0</v>
      </c>
      <c r="P65" s="272"/>
      <c r="R65" s="269"/>
      <c r="S65" s="269"/>
      <c r="T65" s="269"/>
      <c r="U65" s="269"/>
      <c r="V65" s="269"/>
      <c r="W65" s="269"/>
    </row>
    <row r="66" spans="1:23" ht="12.5">
      <c r="B66" s="195" t="str">
        <f t="shared" si="4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4">
        <f t="shared" si="14"/>
        <v>0</v>
      </c>
      <c r="H66" s="491">
        <f t="shared" si="15"/>
        <v>0</v>
      </c>
      <c r="I66" s="511">
        <f t="shared" si="17"/>
        <v>0</v>
      </c>
      <c r="J66" s="511"/>
      <c r="K66" s="525"/>
      <c r="L66" s="514">
        <f t="shared" si="18"/>
        <v>0</v>
      </c>
      <c r="M66" s="525"/>
      <c r="N66" s="514">
        <f t="shared" si="19"/>
        <v>0</v>
      </c>
      <c r="O66" s="514">
        <f t="shared" si="20"/>
        <v>0</v>
      </c>
      <c r="P66" s="272"/>
      <c r="R66" s="269"/>
      <c r="S66" s="269"/>
      <c r="T66" s="269"/>
      <c r="U66" s="269"/>
      <c r="V66" s="269"/>
      <c r="W66" s="269"/>
    </row>
    <row r="67" spans="1:23" ht="12.5">
      <c r="B67" s="195" t="str">
        <f t="shared" si="4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4">
        <f t="shared" si="14"/>
        <v>0</v>
      </c>
      <c r="H67" s="491">
        <f t="shared" si="15"/>
        <v>0</v>
      </c>
      <c r="I67" s="511">
        <f t="shared" si="17"/>
        <v>0</v>
      </c>
      <c r="J67" s="511"/>
      <c r="K67" s="525"/>
      <c r="L67" s="514">
        <f t="shared" si="18"/>
        <v>0</v>
      </c>
      <c r="M67" s="525"/>
      <c r="N67" s="514">
        <f t="shared" si="19"/>
        <v>0</v>
      </c>
      <c r="O67" s="514">
        <f t="shared" si="20"/>
        <v>0</v>
      </c>
      <c r="P67" s="272"/>
      <c r="R67" s="269"/>
      <c r="S67" s="269"/>
      <c r="T67" s="269"/>
      <c r="U67" s="269"/>
      <c r="V67" s="269"/>
      <c r="W67" s="269"/>
    </row>
    <row r="68" spans="1:23" ht="12.5">
      <c r="B68" s="195" t="str">
        <f t="shared" si="4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4">
        <f t="shared" si="14"/>
        <v>0</v>
      </c>
      <c r="H68" s="491">
        <f t="shared" si="15"/>
        <v>0</v>
      </c>
      <c r="I68" s="511">
        <f t="shared" si="17"/>
        <v>0</v>
      </c>
      <c r="J68" s="511"/>
      <c r="K68" s="525"/>
      <c r="L68" s="514">
        <f t="shared" si="18"/>
        <v>0</v>
      </c>
      <c r="M68" s="525"/>
      <c r="N68" s="514">
        <f t="shared" si="19"/>
        <v>0</v>
      </c>
      <c r="O68" s="514">
        <f t="shared" si="20"/>
        <v>0</v>
      </c>
      <c r="P68" s="272"/>
      <c r="R68" s="269"/>
      <c r="S68" s="269"/>
      <c r="T68" s="269"/>
      <c r="U68" s="269"/>
      <c r="V68" s="269"/>
      <c r="W68" s="269"/>
    </row>
    <row r="69" spans="1:23" ht="12.5">
      <c r="B69" s="195" t="str">
        <f t="shared" si="4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4">
        <f t="shared" si="14"/>
        <v>0</v>
      </c>
      <c r="H69" s="491">
        <f t="shared" si="15"/>
        <v>0</v>
      </c>
      <c r="I69" s="511">
        <f t="shared" si="17"/>
        <v>0</v>
      </c>
      <c r="J69" s="511"/>
      <c r="K69" s="525"/>
      <c r="L69" s="514">
        <f t="shared" si="18"/>
        <v>0</v>
      </c>
      <c r="M69" s="525"/>
      <c r="N69" s="514">
        <f t="shared" si="19"/>
        <v>0</v>
      </c>
      <c r="O69" s="514">
        <f t="shared" si="20"/>
        <v>0</v>
      </c>
      <c r="P69" s="272"/>
      <c r="R69" s="269"/>
      <c r="S69" s="269"/>
      <c r="T69" s="269"/>
      <c r="U69" s="269"/>
      <c r="V69" s="269"/>
      <c r="W69" s="269"/>
    </row>
    <row r="70" spans="1:23" ht="12.5">
      <c r="B70" s="195" t="str">
        <f t="shared" si="4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4">
        <f t="shared" si="14"/>
        <v>0</v>
      </c>
      <c r="H70" s="491">
        <f t="shared" si="15"/>
        <v>0</v>
      </c>
      <c r="I70" s="511">
        <f t="shared" si="17"/>
        <v>0</v>
      </c>
      <c r="J70" s="511"/>
      <c r="K70" s="525"/>
      <c r="L70" s="514">
        <f t="shared" si="18"/>
        <v>0</v>
      </c>
      <c r="M70" s="525"/>
      <c r="N70" s="514">
        <f t="shared" si="19"/>
        <v>0</v>
      </c>
      <c r="O70" s="514">
        <f t="shared" si="20"/>
        <v>0</v>
      </c>
      <c r="P70" s="272"/>
      <c r="R70" s="269"/>
      <c r="S70" s="269"/>
      <c r="T70" s="269"/>
      <c r="U70" s="269"/>
      <c r="V70" s="269"/>
      <c r="W70" s="269"/>
    </row>
    <row r="71" spans="1:23" ht="12.5">
      <c r="B71" s="195" t="str">
        <f t="shared" si="4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4">
        <f t="shared" si="14"/>
        <v>0</v>
      </c>
      <c r="H71" s="491">
        <f t="shared" si="15"/>
        <v>0</v>
      </c>
      <c r="I71" s="511">
        <f t="shared" si="17"/>
        <v>0</v>
      </c>
      <c r="J71" s="511"/>
      <c r="K71" s="525"/>
      <c r="L71" s="514">
        <f t="shared" si="18"/>
        <v>0</v>
      </c>
      <c r="M71" s="525"/>
      <c r="N71" s="514">
        <f t="shared" si="19"/>
        <v>0</v>
      </c>
      <c r="O71" s="514">
        <f t="shared" si="20"/>
        <v>0</v>
      </c>
      <c r="P71" s="272"/>
      <c r="R71" s="269"/>
      <c r="S71" s="269"/>
      <c r="T71" s="269"/>
      <c r="U71" s="269"/>
      <c r="V71" s="269"/>
      <c r="W71" s="269"/>
    </row>
    <row r="72" spans="1:23" ht="13" thickBot="1">
      <c r="B72" s="195" t="str">
        <f t="shared" si="4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28">
        <f t="shared" si="14"/>
        <v>0</v>
      </c>
      <c r="H72" s="528">
        <f t="shared" si="15"/>
        <v>0</v>
      </c>
      <c r="I72" s="531">
        <f t="shared" si="17"/>
        <v>0</v>
      </c>
      <c r="J72" s="511"/>
      <c r="K72" s="532"/>
      <c r="L72" s="533">
        <f t="shared" si="18"/>
        <v>0</v>
      </c>
      <c r="M72" s="532"/>
      <c r="N72" s="533">
        <f t="shared" si="19"/>
        <v>0</v>
      </c>
      <c r="O72" s="533">
        <f t="shared" si="20"/>
        <v>0</v>
      </c>
      <c r="P72" s="272"/>
      <c r="R72" s="269"/>
      <c r="S72" s="269"/>
      <c r="T72" s="269"/>
      <c r="U72" s="269"/>
      <c r="V72" s="269"/>
      <c r="W72" s="269"/>
    </row>
    <row r="73" spans="1:23" ht="12.5">
      <c r="C73" s="374" t="s">
        <v>78</v>
      </c>
      <c r="D73" s="375"/>
      <c r="E73" s="375">
        <f>SUM(E17:E72)</f>
        <v>81701.000000000029</v>
      </c>
      <c r="F73" s="375"/>
      <c r="G73" s="375">
        <f>SUM(G17:G72)</f>
        <v>289202.53714276163</v>
      </c>
      <c r="H73" s="375">
        <f>SUM(H17:H72)</f>
        <v>289202.53714276163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  <c r="R73" s="269"/>
      <c r="S73" s="269"/>
      <c r="T73" s="269"/>
      <c r="U73" s="269"/>
      <c r="V73" s="269"/>
      <c r="W73" s="269"/>
    </row>
    <row r="74" spans="1:23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  <c r="R74" s="269"/>
      <c r="S74" s="269"/>
      <c r="T74" s="269"/>
      <c r="U74" s="269"/>
      <c r="V74" s="269"/>
      <c r="W74" s="269"/>
    </row>
    <row r="75" spans="1:23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  <c r="R75" s="269"/>
      <c r="S75" s="269"/>
      <c r="T75" s="269"/>
      <c r="U75" s="269"/>
      <c r="V75" s="269"/>
      <c r="W75" s="269"/>
    </row>
    <row r="76" spans="1:23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  <c r="R76" s="269"/>
      <c r="S76" s="269"/>
      <c r="T76" s="269"/>
      <c r="U76" s="269"/>
      <c r="V76" s="269"/>
      <c r="W76" s="269"/>
    </row>
    <row r="77" spans="1:23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  <c r="R77" s="269"/>
      <c r="S77" s="269"/>
      <c r="T77" s="269"/>
      <c r="U77" s="269"/>
      <c r="V77" s="269"/>
      <c r="W77" s="269"/>
    </row>
    <row r="78" spans="1:23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  <c r="R78" s="269"/>
      <c r="S78" s="269"/>
      <c r="T78" s="269"/>
      <c r="U78" s="269"/>
      <c r="V78" s="269"/>
      <c r="W78" s="269"/>
    </row>
    <row r="79" spans="1:23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R79" s="269"/>
      <c r="S79" s="269"/>
      <c r="T79" s="269"/>
      <c r="U79" s="269"/>
      <c r="V79" s="269"/>
      <c r="W79" s="269"/>
    </row>
    <row r="80" spans="1:23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  <c r="R80" s="269"/>
      <c r="S80" s="269"/>
      <c r="T80" s="269"/>
      <c r="U80" s="269"/>
      <c r="V80" s="269"/>
      <c r="W80" s="269"/>
    </row>
    <row r="81" spans="1:23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  <c r="R81" s="269"/>
      <c r="S81" s="269"/>
      <c r="T81" s="269"/>
      <c r="U81" s="269"/>
      <c r="V81" s="269"/>
      <c r="W81" s="269"/>
    </row>
    <row r="82" spans="1:23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</row>
    <row r="83" spans="1:23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14 of 74</v>
      </c>
      <c r="Q83" s="269"/>
      <c r="R83" s="269"/>
      <c r="S83" s="269"/>
      <c r="T83" s="269"/>
      <c r="U83" s="269"/>
      <c r="V83" s="269"/>
      <c r="W83" s="269"/>
    </row>
    <row r="84" spans="1:23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  <c r="R84" s="269"/>
      <c r="S84" s="269"/>
      <c r="T84" s="269"/>
      <c r="U84" s="269"/>
      <c r="V84" s="269"/>
      <c r="W84" s="269"/>
    </row>
    <row r="85" spans="1:23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  <c r="R85" s="269"/>
      <c r="S85" s="269"/>
      <c r="T85" s="269"/>
      <c r="U85" s="269"/>
      <c r="V85" s="269"/>
      <c r="W85" s="269"/>
    </row>
    <row r="86" spans="1:23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  <c r="R86" s="269"/>
      <c r="S86" s="269"/>
      <c r="T86" s="269"/>
      <c r="U86" s="269"/>
      <c r="V86" s="269"/>
      <c r="W86" s="269"/>
    </row>
    <row r="87" spans="1:23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7938.3172353794334</v>
      </c>
      <c r="N87" s="546">
        <f>IF(J92&lt;D11,0,VLOOKUP(J92,C17:O72,11))</f>
        <v>7938.3172353794334</v>
      </c>
      <c r="O87" s="547">
        <f>+N87-M87</f>
        <v>0</v>
      </c>
      <c r="P87" s="269"/>
      <c r="Q87" s="269"/>
      <c r="R87" s="269"/>
      <c r="S87" s="269"/>
      <c r="T87" s="269"/>
      <c r="U87" s="269"/>
      <c r="V87" s="269"/>
      <c r="W87" s="269"/>
    </row>
    <row r="88" spans="1:23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8229.9197146067363</v>
      </c>
      <c r="N88" s="550">
        <f>IF(J92&lt;D11,0,VLOOKUP(J92,C99:P154,7))</f>
        <v>8229.9197146067363</v>
      </c>
      <c r="O88" s="551">
        <f>+N88-M88</f>
        <v>0</v>
      </c>
      <c r="P88" s="269"/>
      <c r="Q88" s="269"/>
      <c r="R88" s="269"/>
      <c r="S88" s="269"/>
      <c r="T88" s="269"/>
      <c r="U88" s="269"/>
      <c r="V88" s="269"/>
      <c r="W88" s="269"/>
    </row>
    <row r="89" spans="1:23" ht="13.5" thickBot="1">
      <c r="C89" s="467" t="s">
        <v>84</v>
      </c>
      <c r="D89" s="552" t="str">
        <f>+D7</f>
        <v>NW Henderson - Oak Hill 138 kV line*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291.60247922730287</v>
      </c>
      <c r="N89" s="555">
        <f>+N88-N87</f>
        <v>291.60247922730287</v>
      </c>
      <c r="O89" s="556">
        <f>+O88-O87</f>
        <v>0</v>
      </c>
      <c r="P89" s="269"/>
      <c r="Q89" s="269"/>
      <c r="R89" s="269"/>
      <c r="S89" s="269"/>
      <c r="T89" s="269"/>
      <c r="U89" s="269"/>
      <c r="V89" s="269"/>
      <c r="W89" s="269"/>
    </row>
    <row r="90" spans="1:23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  <c r="R90" s="269"/>
      <c r="S90" s="269"/>
      <c r="T90" s="269"/>
      <c r="U90" s="269"/>
      <c r="V90" s="269"/>
      <c r="W90" s="269"/>
    </row>
    <row r="91" spans="1:23" ht="13.5" thickBot="1">
      <c r="A91" s="191"/>
      <c r="C91" s="558" t="s">
        <v>85</v>
      </c>
      <c r="D91" s="559" t="str">
        <f>+D9</f>
        <v>TP2006089</v>
      </c>
      <c r="E91" s="560"/>
      <c r="F91" s="560"/>
      <c r="G91" s="560"/>
      <c r="H91" s="560"/>
      <c r="I91" s="560"/>
      <c r="J91" s="561"/>
      <c r="K91" s="562"/>
      <c r="P91" s="481"/>
      <c r="Q91" s="269"/>
      <c r="R91" s="269"/>
      <c r="S91" s="269"/>
      <c r="T91" s="269"/>
      <c r="U91" s="269"/>
      <c r="V91" s="269"/>
      <c r="W91" s="269"/>
    </row>
    <row r="92" spans="1:23" ht="13">
      <c r="C92" s="486" t="s">
        <v>51</v>
      </c>
      <c r="D92" s="483">
        <v>81701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  <c r="R92" s="269"/>
      <c r="S92" s="269"/>
      <c r="T92" s="269"/>
      <c r="U92" s="269"/>
      <c r="V92" s="269"/>
      <c r="W92" s="269"/>
    </row>
    <row r="93" spans="1:23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  <c r="R93" s="269"/>
      <c r="S93" s="269"/>
      <c r="T93" s="269"/>
      <c r="U93" s="269"/>
      <c r="V93" s="269"/>
      <c r="W93" s="269"/>
    </row>
    <row r="94" spans="1:23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  <c r="R94" s="269"/>
      <c r="S94" s="269"/>
      <c r="T94" s="269"/>
      <c r="U94" s="269"/>
      <c r="V94" s="269"/>
      <c r="W94" s="269"/>
    </row>
    <row r="95" spans="1:23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  <c r="R95" s="269"/>
      <c r="S95" s="269"/>
      <c r="T95" s="269"/>
      <c r="U95" s="269"/>
      <c r="V95" s="269"/>
      <c r="W95" s="269"/>
    </row>
    <row r="96" spans="1:23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1945.2619047619048</v>
      </c>
      <c r="K96" s="375"/>
      <c r="L96" s="375"/>
      <c r="M96" s="375"/>
      <c r="N96" s="375"/>
      <c r="O96" s="375"/>
      <c r="P96" s="272"/>
      <c r="Q96" s="269"/>
      <c r="R96" s="269"/>
      <c r="S96" s="269"/>
      <c r="T96" s="269"/>
      <c r="U96" s="269"/>
      <c r="V96" s="269"/>
      <c r="W96" s="269"/>
    </row>
    <row r="97" spans="1:23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  <c r="R97" s="269"/>
      <c r="S97" s="269"/>
      <c r="T97" s="269"/>
      <c r="U97" s="269"/>
      <c r="V97" s="269"/>
      <c r="W97" s="269"/>
    </row>
    <row r="98" spans="1:23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  <c r="R98" s="269"/>
      <c r="S98" s="269"/>
      <c r="T98" s="269"/>
      <c r="U98" s="269"/>
      <c r="V98" s="269"/>
      <c r="W98" s="269"/>
    </row>
    <row r="99" spans="1:23" ht="12.5">
      <c r="C99" s="507">
        <f>IF(D93= "","-",D93)</f>
        <v>2007</v>
      </c>
      <c r="D99" s="508">
        <f>IF(D93=C99,0,D92)</f>
        <v>0</v>
      </c>
      <c r="E99" s="516">
        <v>0</v>
      </c>
      <c r="F99" s="515">
        <v>54301</v>
      </c>
      <c r="G99" s="574">
        <v>27151</v>
      </c>
      <c r="H99" s="575">
        <v>4328</v>
      </c>
      <c r="I99" s="576">
        <v>4328</v>
      </c>
      <c r="J99" s="613">
        <f t="shared" ref="J99:J130" si="21">+I99-H99</f>
        <v>0</v>
      </c>
      <c r="K99" s="514"/>
      <c r="L99" s="512">
        <v>0</v>
      </c>
      <c r="M99" s="513">
        <f t="shared" ref="M99:M130" si="22">IF(L99&lt;&gt;0,+H99-L99,0)</f>
        <v>0</v>
      </c>
      <c r="N99" s="512">
        <v>0</v>
      </c>
      <c r="O99" s="513">
        <f t="shared" ref="O99:O130" si="23">IF(N99&lt;&gt;0,+I99-N99,0)</f>
        <v>0</v>
      </c>
      <c r="P99" s="513">
        <f t="shared" ref="P99:P130" si="24">+O99-M99</f>
        <v>0</v>
      </c>
      <c r="Q99" s="269"/>
      <c r="R99" s="372"/>
      <c r="S99" s="372"/>
      <c r="T99" s="372"/>
      <c r="U99" s="372"/>
      <c r="V99" s="372"/>
      <c r="W99" s="372">
        <f>ROUND(I99,0)</f>
        <v>4328</v>
      </c>
    </row>
    <row r="100" spans="1:23" ht="12.5">
      <c r="B100" s="195" t="str">
        <f>IF(D100=F99,"","IU")</f>
        <v/>
      </c>
      <c r="C100" s="507">
        <f>IF(D93="","-",+C99+1)</f>
        <v>2008</v>
      </c>
      <c r="D100" s="508">
        <v>54301</v>
      </c>
      <c r="E100" s="516">
        <v>1468</v>
      </c>
      <c r="F100" s="515">
        <v>52833</v>
      </c>
      <c r="G100" s="515">
        <v>53567</v>
      </c>
      <c r="H100" s="516">
        <v>10006</v>
      </c>
      <c r="I100" s="510">
        <v>10006</v>
      </c>
      <c r="J100" s="613">
        <f t="shared" si="21"/>
        <v>0</v>
      </c>
      <c r="K100" s="514"/>
      <c r="L100" s="518">
        <v>10006</v>
      </c>
      <c r="M100" s="514">
        <f t="shared" si="22"/>
        <v>0</v>
      </c>
      <c r="N100" s="518">
        <v>10006</v>
      </c>
      <c r="O100" s="514">
        <f t="shared" si="23"/>
        <v>0</v>
      </c>
      <c r="P100" s="514">
        <f t="shared" si="24"/>
        <v>0</v>
      </c>
      <c r="Q100" s="269"/>
      <c r="R100" s="372"/>
      <c r="S100" s="372"/>
      <c r="T100" s="372"/>
      <c r="U100" s="372"/>
      <c r="V100" s="372"/>
      <c r="W100" s="372">
        <f>ROUND(I100,0)</f>
        <v>10006</v>
      </c>
    </row>
    <row r="101" spans="1:23" ht="12.5">
      <c r="B101" s="195" t="str">
        <f t="shared" ref="B101:B154" si="25">IF(D101=F100,"","IU")</f>
        <v/>
      </c>
      <c r="C101" s="507">
        <f>IF(D93="","-",+C100+1)</f>
        <v>2009</v>
      </c>
      <c r="D101" s="508">
        <v>52833</v>
      </c>
      <c r="E101" s="516">
        <v>1428.9736842105262</v>
      </c>
      <c r="F101" s="515">
        <v>51404.026315789473</v>
      </c>
      <c r="G101" s="515">
        <v>52118.513157894733</v>
      </c>
      <c r="H101" s="516">
        <v>8972.4855002204786</v>
      </c>
      <c r="I101" s="510">
        <v>8972.4855002204786</v>
      </c>
      <c r="J101" s="613">
        <f t="shared" si="21"/>
        <v>0</v>
      </c>
      <c r="K101" s="514"/>
      <c r="L101" s="518">
        <f t="shared" ref="L101:L106" si="26">H101</f>
        <v>8972.4855002204786</v>
      </c>
      <c r="M101" s="519">
        <f t="shared" si="22"/>
        <v>0</v>
      </c>
      <c r="N101" s="518">
        <f t="shared" ref="N101:N106" si="27">I101</f>
        <v>8972.4855002204786</v>
      </c>
      <c r="O101" s="514">
        <f t="shared" si="23"/>
        <v>0</v>
      </c>
      <c r="P101" s="514">
        <f t="shared" si="24"/>
        <v>0</v>
      </c>
      <c r="Q101" s="269"/>
      <c r="R101" s="269"/>
      <c r="S101" s="269"/>
      <c r="T101" s="269"/>
      <c r="U101" s="269"/>
      <c r="V101" s="269"/>
      <c r="W101" s="269"/>
    </row>
    <row r="102" spans="1:23" ht="12.5">
      <c r="B102" s="195" t="str">
        <f t="shared" si="25"/>
        <v>IU</v>
      </c>
      <c r="C102" s="507">
        <f>IF(D93="","-",+C101+1)</f>
        <v>2010</v>
      </c>
      <c r="D102" s="508">
        <v>78804.026315789481</v>
      </c>
      <c r="E102" s="516">
        <v>1992.7073170731708</v>
      </c>
      <c r="F102" s="515">
        <v>76811.318998716306</v>
      </c>
      <c r="G102" s="515">
        <v>77807.672657252901</v>
      </c>
      <c r="H102" s="516">
        <v>14837.671154363743</v>
      </c>
      <c r="I102" s="510">
        <v>14837.671154363743</v>
      </c>
      <c r="J102" s="613">
        <f t="shared" si="21"/>
        <v>0</v>
      </c>
      <c r="K102" s="514"/>
      <c r="L102" s="518">
        <f t="shared" si="26"/>
        <v>14837.671154363743</v>
      </c>
      <c r="M102" s="519">
        <f t="shared" si="22"/>
        <v>0</v>
      </c>
      <c r="N102" s="518">
        <f t="shared" si="27"/>
        <v>14837.671154363743</v>
      </c>
      <c r="O102" s="514">
        <f t="shared" si="23"/>
        <v>0</v>
      </c>
      <c r="P102" s="514">
        <f t="shared" si="24"/>
        <v>0</v>
      </c>
      <c r="Q102" s="269"/>
      <c r="R102" s="269"/>
      <c r="S102" s="269"/>
      <c r="T102" s="269"/>
      <c r="U102" s="269"/>
      <c r="V102" s="269"/>
      <c r="W102" s="269"/>
    </row>
    <row r="103" spans="1:23" ht="12.5">
      <c r="B103" s="195" t="str">
        <f t="shared" si="25"/>
        <v/>
      </c>
      <c r="C103" s="507">
        <f>IF(D93="","-",+C102+1)</f>
        <v>2011</v>
      </c>
      <c r="D103" s="508">
        <v>76811.318998716306</v>
      </c>
      <c r="E103" s="520">
        <v>1945.2619047619048</v>
      </c>
      <c r="F103" s="515">
        <v>74866.057093954398</v>
      </c>
      <c r="G103" s="515">
        <v>75838.688046335359</v>
      </c>
      <c r="H103" s="516">
        <v>13349.876325445057</v>
      </c>
      <c r="I103" s="510">
        <v>13349.876325445057</v>
      </c>
      <c r="J103" s="613">
        <f t="shared" si="21"/>
        <v>0</v>
      </c>
      <c r="K103" s="514"/>
      <c r="L103" s="518">
        <f t="shared" si="26"/>
        <v>13349.876325445057</v>
      </c>
      <c r="M103" s="519">
        <f t="shared" si="22"/>
        <v>0</v>
      </c>
      <c r="N103" s="518">
        <f t="shared" si="27"/>
        <v>13349.876325445057</v>
      </c>
      <c r="O103" s="514">
        <f t="shared" si="23"/>
        <v>0</v>
      </c>
      <c r="P103" s="514">
        <f t="shared" si="24"/>
        <v>0</v>
      </c>
      <c r="Q103" s="269"/>
      <c r="R103" s="269"/>
      <c r="S103" s="269"/>
      <c r="T103" s="269"/>
      <c r="U103" s="269"/>
      <c r="V103" s="269"/>
      <c r="W103" s="269"/>
    </row>
    <row r="104" spans="1:23" ht="12.5">
      <c r="B104" s="195" t="str">
        <f t="shared" si="25"/>
        <v/>
      </c>
      <c r="C104" s="507">
        <f>IF(D93="","-",+C103+1)</f>
        <v>2012</v>
      </c>
      <c r="D104" s="508">
        <v>74866.057093954398</v>
      </c>
      <c r="E104" s="516">
        <v>1945.2619047619048</v>
      </c>
      <c r="F104" s="515">
        <v>72920.795189192489</v>
      </c>
      <c r="G104" s="515">
        <v>73893.426141573436</v>
      </c>
      <c r="H104" s="516">
        <v>12818.97009538296</v>
      </c>
      <c r="I104" s="510">
        <v>12818.97009538296</v>
      </c>
      <c r="J104" s="613">
        <f t="shared" si="21"/>
        <v>0</v>
      </c>
      <c r="K104" s="514"/>
      <c r="L104" s="518">
        <f t="shared" si="26"/>
        <v>12818.97009538296</v>
      </c>
      <c r="M104" s="519">
        <f t="shared" si="22"/>
        <v>0</v>
      </c>
      <c r="N104" s="518">
        <f t="shared" si="27"/>
        <v>12818.97009538296</v>
      </c>
      <c r="O104" s="514">
        <f t="shared" si="23"/>
        <v>0</v>
      </c>
      <c r="P104" s="514">
        <f t="shared" si="24"/>
        <v>0</v>
      </c>
      <c r="Q104" s="269"/>
      <c r="R104" s="269"/>
      <c r="S104" s="269"/>
      <c r="T104" s="269"/>
      <c r="U104" s="269"/>
      <c r="V104" s="269"/>
      <c r="W104" s="269"/>
    </row>
    <row r="105" spans="1:23" ht="12.5">
      <c r="B105" s="195" t="str">
        <f t="shared" si="25"/>
        <v/>
      </c>
      <c r="C105" s="507">
        <f>IF(D93="","-",+C104+1)</f>
        <v>2013</v>
      </c>
      <c r="D105" s="508">
        <v>72920.795189192489</v>
      </c>
      <c r="E105" s="516">
        <v>1945.2619047619048</v>
      </c>
      <c r="F105" s="515">
        <v>70975.533284430581</v>
      </c>
      <c r="G105" s="515">
        <v>71948.164236811543</v>
      </c>
      <c r="H105" s="516">
        <v>11679.251522399856</v>
      </c>
      <c r="I105" s="510">
        <v>11679.251522399856</v>
      </c>
      <c r="J105" s="613">
        <v>0</v>
      </c>
      <c r="K105" s="514"/>
      <c r="L105" s="518">
        <f t="shared" si="26"/>
        <v>11679.251522399856</v>
      </c>
      <c r="M105" s="519">
        <f t="shared" ref="M105:M110" si="28">IF(L105&lt;&gt;0,+H105-L105,0)</f>
        <v>0</v>
      </c>
      <c r="N105" s="518">
        <f t="shared" si="27"/>
        <v>11679.251522399856</v>
      </c>
      <c r="O105" s="514">
        <f t="shared" ref="O105:O110" si="29">IF(N105&lt;&gt;0,+I105-N105,0)</f>
        <v>0</v>
      </c>
      <c r="P105" s="514">
        <f t="shared" ref="P105:P110" si="30">+O105-M105</f>
        <v>0</v>
      </c>
      <c r="Q105" s="269"/>
      <c r="R105" s="269"/>
      <c r="S105" s="269"/>
      <c r="T105" s="269"/>
      <c r="U105" s="269"/>
      <c r="V105" s="269"/>
      <c r="W105" s="269"/>
    </row>
    <row r="106" spans="1:23" ht="12.5">
      <c r="B106" s="195" t="str">
        <f t="shared" si="25"/>
        <v/>
      </c>
      <c r="C106" s="507">
        <f>IF(D93="","-",+C105+1)</f>
        <v>2014</v>
      </c>
      <c r="D106" s="508">
        <v>70975.533284430581</v>
      </c>
      <c r="E106" s="516">
        <v>1945.2619047619048</v>
      </c>
      <c r="F106" s="515">
        <v>69030.271379668673</v>
      </c>
      <c r="G106" s="515">
        <v>70002.90233204962</v>
      </c>
      <c r="H106" s="516">
        <v>11460.298583288852</v>
      </c>
      <c r="I106" s="510">
        <v>11460.298583288852</v>
      </c>
      <c r="J106" s="514">
        <v>0</v>
      </c>
      <c r="K106" s="514"/>
      <c r="L106" s="518">
        <f t="shared" si="26"/>
        <v>11460.298583288852</v>
      </c>
      <c r="M106" s="519">
        <f t="shared" si="28"/>
        <v>0</v>
      </c>
      <c r="N106" s="518">
        <f t="shared" si="27"/>
        <v>11460.298583288852</v>
      </c>
      <c r="O106" s="514">
        <f t="shared" si="29"/>
        <v>0</v>
      </c>
      <c r="P106" s="514">
        <f t="shared" si="30"/>
        <v>0</v>
      </c>
      <c r="Q106" s="269"/>
      <c r="R106" s="269"/>
      <c r="S106" s="269"/>
      <c r="T106" s="269"/>
      <c r="U106" s="269"/>
      <c r="V106" s="269"/>
      <c r="W106" s="269"/>
    </row>
    <row r="107" spans="1:23" ht="12.5">
      <c r="B107" s="195" t="str">
        <f t="shared" si="25"/>
        <v/>
      </c>
      <c r="C107" s="507">
        <f>IF(D93="","-",+C106+1)</f>
        <v>2015</v>
      </c>
      <c r="D107" s="508">
        <v>69030.271379668673</v>
      </c>
      <c r="E107" s="516">
        <v>1945.2619047619048</v>
      </c>
      <c r="F107" s="515">
        <v>67085.009474906765</v>
      </c>
      <c r="G107" s="515">
        <v>68057.640427287726</v>
      </c>
      <c r="H107" s="516">
        <v>10913.140814685254</v>
      </c>
      <c r="I107" s="510">
        <v>10913.140814685254</v>
      </c>
      <c r="J107" s="514">
        <f t="shared" si="21"/>
        <v>0</v>
      </c>
      <c r="K107" s="514"/>
      <c r="L107" s="518">
        <f>H107</f>
        <v>10913.140814685254</v>
      </c>
      <c r="M107" s="519">
        <f t="shared" si="28"/>
        <v>0</v>
      </c>
      <c r="N107" s="518">
        <f>I107</f>
        <v>10913.140814685254</v>
      </c>
      <c r="O107" s="514">
        <f t="shared" si="29"/>
        <v>0</v>
      </c>
      <c r="P107" s="514">
        <f t="shared" si="30"/>
        <v>0</v>
      </c>
      <c r="Q107" s="269"/>
      <c r="R107" s="269"/>
      <c r="S107" s="269"/>
      <c r="T107" s="269"/>
      <c r="U107" s="269"/>
      <c r="V107" s="269"/>
      <c r="W107" s="269"/>
    </row>
    <row r="108" spans="1:23" ht="12.5">
      <c r="B108" s="195" t="str">
        <f t="shared" si="25"/>
        <v/>
      </c>
      <c r="C108" s="507">
        <f>IF(D93="","-",+C107+1)</f>
        <v>2016</v>
      </c>
      <c r="D108" s="508">
        <v>67085.009474906765</v>
      </c>
      <c r="E108" s="516">
        <v>1900.0232558139535</v>
      </c>
      <c r="F108" s="515">
        <v>65184.986219092811</v>
      </c>
      <c r="G108" s="515">
        <v>66134.997846999788</v>
      </c>
      <c r="H108" s="516">
        <v>10295.860457941419</v>
      </c>
      <c r="I108" s="510">
        <v>10295.860457941419</v>
      </c>
      <c r="J108" s="514">
        <f t="shared" si="21"/>
        <v>0</v>
      </c>
      <c r="K108" s="514"/>
      <c r="L108" s="518">
        <f>H108</f>
        <v>10295.860457941419</v>
      </c>
      <c r="M108" s="519">
        <f t="shared" si="28"/>
        <v>0</v>
      </c>
      <c r="N108" s="518">
        <f>I108</f>
        <v>10295.860457941419</v>
      </c>
      <c r="O108" s="514">
        <f t="shared" si="29"/>
        <v>0</v>
      </c>
      <c r="P108" s="514">
        <f t="shared" si="30"/>
        <v>0</v>
      </c>
      <c r="Q108" s="269"/>
      <c r="R108" s="269"/>
      <c r="S108" s="269"/>
      <c r="T108" s="269"/>
      <c r="U108" s="269"/>
      <c r="V108" s="269"/>
      <c r="W108" s="269"/>
    </row>
    <row r="109" spans="1:23" ht="12.5">
      <c r="B109" s="195" t="str">
        <f t="shared" si="25"/>
        <v/>
      </c>
      <c r="C109" s="507">
        <f>IF(D93="","-",+C108+1)</f>
        <v>2017</v>
      </c>
      <c r="D109" s="508">
        <v>65184.986219092811</v>
      </c>
      <c r="E109" s="516">
        <v>1945.2619047619048</v>
      </c>
      <c r="F109" s="515">
        <v>63239.724314330902</v>
      </c>
      <c r="G109" s="515">
        <v>64212.355266711857</v>
      </c>
      <c r="H109" s="516">
        <v>9745.2303003311172</v>
      </c>
      <c r="I109" s="510">
        <v>9745.2303003311172</v>
      </c>
      <c r="J109" s="514">
        <f t="shared" si="21"/>
        <v>0</v>
      </c>
      <c r="K109" s="514"/>
      <c r="L109" s="518">
        <f>H109</f>
        <v>9745.2303003311172</v>
      </c>
      <c r="M109" s="519">
        <f t="shared" si="28"/>
        <v>0</v>
      </c>
      <c r="N109" s="518">
        <f>I109</f>
        <v>9745.2303003311172</v>
      </c>
      <c r="O109" s="514">
        <f t="shared" si="29"/>
        <v>0</v>
      </c>
      <c r="P109" s="514">
        <f t="shared" si="30"/>
        <v>0</v>
      </c>
      <c r="Q109" s="269"/>
      <c r="R109" s="269"/>
      <c r="S109" s="269"/>
      <c r="T109" s="269"/>
      <c r="U109" s="269"/>
      <c r="V109" s="269"/>
      <c r="W109" s="269"/>
    </row>
    <row r="110" spans="1:23" ht="12.5">
      <c r="B110" s="195" t="str">
        <f t="shared" si="25"/>
        <v/>
      </c>
      <c r="C110" s="507">
        <f>IF(D93="","-",+C109+1)</f>
        <v>2018</v>
      </c>
      <c r="D110" s="508">
        <v>63239.724314330902</v>
      </c>
      <c r="E110" s="516">
        <v>1945.2619047619048</v>
      </c>
      <c r="F110" s="515">
        <v>61294.462409568994</v>
      </c>
      <c r="G110" s="515">
        <v>62267.093361949948</v>
      </c>
      <c r="H110" s="516">
        <v>8520.9525094527817</v>
      </c>
      <c r="I110" s="510">
        <v>8520.9525094527817</v>
      </c>
      <c r="J110" s="514">
        <f t="shared" si="21"/>
        <v>0</v>
      </c>
      <c r="K110" s="514"/>
      <c r="L110" s="518">
        <f>H110</f>
        <v>8520.9525094527817</v>
      </c>
      <c r="M110" s="519">
        <f t="shared" si="28"/>
        <v>0</v>
      </c>
      <c r="N110" s="518">
        <f>I110</f>
        <v>8520.9525094527817</v>
      </c>
      <c r="O110" s="514">
        <f t="shared" si="29"/>
        <v>0</v>
      </c>
      <c r="P110" s="514">
        <f t="shared" si="30"/>
        <v>0</v>
      </c>
      <c r="Q110" s="269"/>
      <c r="R110" s="269"/>
      <c r="S110" s="269"/>
      <c r="T110" s="269"/>
      <c r="U110" s="269"/>
      <c r="V110" s="269"/>
      <c r="W110" s="269"/>
    </row>
    <row r="111" spans="1:23" ht="12.5">
      <c r="B111" s="195" t="str">
        <f t="shared" si="25"/>
        <v/>
      </c>
      <c r="C111" s="507">
        <f>IF(D93="","-",+C110+1)</f>
        <v>2019</v>
      </c>
      <c r="D111" s="508">
        <v>61294.462409568994</v>
      </c>
      <c r="E111" s="516">
        <v>1900.0232558139535</v>
      </c>
      <c r="F111" s="515">
        <v>59394.43915375504</v>
      </c>
      <c r="G111" s="515">
        <v>60344.450781662017</v>
      </c>
      <c r="H111" s="516">
        <v>8359.3262482635964</v>
      </c>
      <c r="I111" s="510">
        <v>8359.3262482635964</v>
      </c>
      <c r="J111" s="514">
        <f t="shared" si="21"/>
        <v>0</v>
      </c>
      <c r="K111" s="514"/>
      <c r="L111" s="518">
        <f>H111</f>
        <v>8359.3262482635964</v>
      </c>
      <c r="M111" s="519">
        <f t="shared" ref="M111" si="31">IF(L111&lt;&gt;0,+H111-L111,0)</f>
        <v>0</v>
      </c>
      <c r="N111" s="518">
        <f>I111</f>
        <v>8359.3262482635964</v>
      </c>
      <c r="O111" s="514">
        <f t="shared" si="23"/>
        <v>0</v>
      </c>
      <c r="P111" s="514">
        <f t="shared" si="24"/>
        <v>0</v>
      </c>
      <c r="Q111" s="269"/>
      <c r="R111" s="269"/>
      <c r="S111" s="269"/>
      <c r="T111" s="269"/>
      <c r="U111" s="269"/>
      <c r="V111" s="269"/>
      <c r="W111" s="269"/>
    </row>
    <row r="112" spans="1:23" ht="12.5">
      <c r="B112" s="195" t="str">
        <f t="shared" si="25"/>
        <v/>
      </c>
      <c r="C112" s="507">
        <f>IF(D93="","-",+C111+1)</f>
        <v>2020</v>
      </c>
      <c r="D112" s="374">
        <f>IF(F111+SUM(E$99:E111)=D$92,F111,D$92-SUM(E$99:E111))</f>
        <v>59394.43915375504</v>
      </c>
      <c r="E112" s="522">
        <f>IF(+J96&lt;F111,J96,D112)</f>
        <v>1945.2619047619048</v>
      </c>
      <c r="F112" s="523">
        <f t="shared" ref="F112:F130" si="32">+D112-E112</f>
        <v>57449.177248993132</v>
      </c>
      <c r="G112" s="523">
        <f t="shared" ref="G112:G130" si="33">+(F112+D112)/2</f>
        <v>58421.808201374086</v>
      </c>
      <c r="H112" s="526">
        <f>+J$94*G112+E112</f>
        <v>8229.9197146067363</v>
      </c>
      <c r="I112" s="577">
        <f>+J$95*G112+E112</f>
        <v>8229.9197146067363</v>
      </c>
      <c r="J112" s="514">
        <f t="shared" si="21"/>
        <v>0</v>
      </c>
      <c r="K112" s="514"/>
      <c r="L112" s="525"/>
      <c r="M112" s="514">
        <f t="shared" si="22"/>
        <v>0</v>
      </c>
      <c r="N112" s="525"/>
      <c r="O112" s="514">
        <f t="shared" si="23"/>
        <v>0</v>
      </c>
      <c r="P112" s="514">
        <f t="shared" si="24"/>
        <v>0</v>
      </c>
      <c r="Q112" s="269"/>
      <c r="R112" s="269"/>
      <c r="S112" s="269"/>
      <c r="T112" s="269"/>
      <c r="U112" s="269"/>
      <c r="V112" s="269"/>
      <c r="W112" s="269"/>
    </row>
    <row r="113" spans="2:23" ht="12.5">
      <c r="B113" s="195" t="str">
        <f t="shared" si="25"/>
        <v/>
      </c>
      <c r="C113" s="507">
        <f>IF(D93="","-",+C112+1)</f>
        <v>2021</v>
      </c>
      <c r="D113" s="374">
        <f>IF(F112+SUM(E$99:E112)=D$92,F112,D$92-SUM(E$99:E112))</f>
        <v>57449.177248993132</v>
      </c>
      <c r="E113" s="522">
        <f>IF(+J96&lt;F112,J96,D113)</f>
        <v>1945.2619047619048</v>
      </c>
      <c r="F113" s="523">
        <f t="shared" si="32"/>
        <v>55503.915344231224</v>
      </c>
      <c r="G113" s="523">
        <f t="shared" si="33"/>
        <v>56476.546296612178</v>
      </c>
      <c r="H113" s="526">
        <f t="shared" ref="H113:H154" si="34">+J$94*G113+E113</f>
        <v>8020.6604362938124</v>
      </c>
      <c r="I113" s="577">
        <f t="shared" ref="I113:I154" si="35">+J$95*G113+E113</f>
        <v>8020.6604362938124</v>
      </c>
      <c r="J113" s="514">
        <f t="shared" si="21"/>
        <v>0</v>
      </c>
      <c r="K113" s="514"/>
      <c r="L113" s="525"/>
      <c r="M113" s="514">
        <f t="shared" si="22"/>
        <v>0</v>
      </c>
      <c r="N113" s="525"/>
      <c r="O113" s="514">
        <f t="shared" si="23"/>
        <v>0</v>
      </c>
      <c r="P113" s="514">
        <f t="shared" si="24"/>
        <v>0</v>
      </c>
      <c r="Q113" s="269"/>
      <c r="R113" s="269"/>
      <c r="S113" s="269"/>
      <c r="T113" s="269"/>
      <c r="U113" s="269"/>
      <c r="V113" s="269"/>
      <c r="W113" s="269"/>
    </row>
    <row r="114" spans="2:23" ht="12.5">
      <c r="B114" s="195" t="str">
        <f t="shared" si="25"/>
        <v/>
      </c>
      <c r="C114" s="507">
        <f>IF(D93="","-",+C113+1)</f>
        <v>2022</v>
      </c>
      <c r="D114" s="374">
        <f>IF(F113+SUM(E$99:E113)=D$92,F113,D$92-SUM(E$99:E113))</f>
        <v>55503.915344231224</v>
      </c>
      <c r="E114" s="522">
        <f>IF(+J96&lt;F113,J96,D114)</f>
        <v>1945.2619047619048</v>
      </c>
      <c r="F114" s="523">
        <f t="shared" si="32"/>
        <v>53558.653439469315</v>
      </c>
      <c r="G114" s="523">
        <f t="shared" si="33"/>
        <v>54531.284391850269</v>
      </c>
      <c r="H114" s="526">
        <f t="shared" si="34"/>
        <v>7811.4011579808894</v>
      </c>
      <c r="I114" s="577">
        <f t="shared" si="35"/>
        <v>7811.4011579808894</v>
      </c>
      <c r="J114" s="514">
        <f t="shared" si="21"/>
        <v>0</v>
      </c>
      <c r="K114" s="514"/>
      <c r="L114" s="525"/>
      <c r="M114" s="514">
        <f t="shared" si="22"/>
        <v>0</v>
      </c>
      <c r="N114" s="525"/>
      <c r="O114" s="514">
        <f t="shared" si="23"/>
        <v>0</v>
      </c>
      <c r="P114" s="514">
        <f t="shared" si="24"/>
        <v>0</v>
      </c>
      <c r="Q114" s="269"/>
      <c r="R114" s="269"/>
      <c r="S114" s="269"/>
      <c r="T114" s="269"/>
      <c r="U114" s="269"/>
      <c r="V114" s="269"/>
      <c r="W114" s="269"/>
    </row>
    <row r="115" spans="2:23" ht="12.5">
      <c r="B115" s="195" t="str">
        <f t="shared" si="25"/>
        <v/>
      </c>
      <c r="C115" s="507">
        <f>IF(D93="","-",+C114+1)</f>
        <v>2023</v>
      </c>
      <c r="D115" s="374">
        <f>IF(F114+SUM(E$99:E114)=D$92,F114,D$92-SUM(E$99:E114))</f>
        <v>53558.653439469315</v>
      </c>
      <c r="E115" s="522">
        <f>IF(+J96&lt;F114,J96,D115)</f>
        <v>1945.2619047619048</v>
      </c>
      <c r="F115" s="523">
        <f t="shared" si="32"/>
        <v>51613.391534707407</v>
      </c>
      <c r="G115" s="523">
        <f t="shared" si="33"/>
        <v>52586.022487088361</v>
      </c>
      <c r="H115" s="526">
        <f t="shared" si="34"/>
        <v>7602.1418796679654</v>
      </c>
      <c r="I115" s="577">
        <f t="shared" si="35"/>
        <v>7602.1418796679654</v>
      </c>
      <c r="J115" s="514">
        <f t="shared" si="21"/>
        <v>0</v>
      </c>
      <c r="K115" s="514"/>
      <c r="L115" s="525"/>
      <c r="M115" s="514">
        <f t="shared" si="22"/>
        <v>0</v>
      </c>
      <c r="N115" s="525"/>
      <c r="O115" s="514">
        <f t="shared" si="23"/>
        <v>0</v>
      </c>
      <c r="P115" s="514">
        <f t="shared" si="24"/>
        <v>0</v>
      </c>
      <c r="Q115" s="269"/>
      <c r="R115" s="269"/>
      <c r="S115" s="269"/>
      <c r="T115" s="269"/>
      <c r="U115" s="269"/>
      <c r="V115" s="269"/>
      <c r="W115" s="269"/>
    </row>
    <row r="116" spans="2:23" ht="12.5">
      <c r="B116" s="195" t="str">
        <f t="shared" si="25"/>
        <v/>
      </c>
      <c r="C116" s="507">
        <f>IF(D93="","-",+C115+1)</f>
        <v>2024</v>
      </c>
      <c r="D116" s="374">
        <f>IF(F115+SUM(E$99:E115)=D$92,F115,D$92-SUM(E$99:E115))</f>
        <v>51613.391534707407</v>
      </c>
      <c r="E116" s="522">
        <f>IF(+J96&lt;F115,J96,D116)</f>
        <v>1945.2619047619048</v>
      </c>
      <c r="F116" s="523">
        <f t="shared" si="32"/>
        <v>49668.129629945499</v>
      </c>
      <c r="G116" s="523">
        <f t="shared" si="33"/>
        <v>50640.760582326453</v>
      </c>
      <c r="H116" s="526">
        <f t="shared" si="34"/>
        <v>7392.8826013550424</v>
      </c>
      <c r="I116" s="577">
        <f t="shared" si="35"/>
        <v>7392.8826013550424</v>
      </c>
      <c r="J116" s="514">
        <f t="shared" si="21"/>
        <v>0</v>
      </c>
      <c r="K116" s="514"/>
      <c r="L116" s="525"/>
      <c r="M116" s="514">
        <f t="shared" si="22"/>
        <v>0</v>
      </c>
      <c r="N116" s="525"/>
      <c r="O116" s="514">
        <f t="shared" si="23"/>
        <v>0</v>
      </c>
      <c r="P116" s="514">
        <f t="shared" si="24"/>
        <v>0</v>
      </c>
      <c r="Q116" s="269"/>
      <c r="R116" s="269"/>
      <c r="S116" s="269"/>
      <c r="T116" s="269"/>
      <c r="U116" s="269"/>
      <c r="V116" s="269"/>
      <c r="W116" s="269"/>
    </row>
    <row r="117" spans="2:23" ht="12.5">
      <c r="B117" s="195" t="str">
        <f t="shared" si="25"/>
        <v/>
      </c>
      <c r="C117" s="507">
        <f>IF(D93="","-",+C116+1)</f>
        <v>2025</v>
      </c>
      <c r="D117" s="374">
        <f>IF(F116+SUM(E$99:E116)=D$92,F116,D$92-SUM(E$99:E116))</f>
        <v>49668.129629945499</v>
      </c>
      <c r="E117" s="522">
        <f>IF(+J96&lt;F116,J96,D117)</f>
        <v>1945.2619047619048</v>
      </c>
      <c r="F117" s="523">
        <f t="shared" si="32"/>
        <v>47722.867725183591</v>
      </c>
      <c r="G117" s="523">
        <f t="shared" si="33"/>
        <v>48695.498677564545</v>
      </c>
      <c r="H117" s="526">
        <f t="shared" si="34"/>
        <v>7183.6233230421194</v>
      </c>
      <c r="I117" s="577">
        <f t="shared" si="35"/>
        <v>7183.6233230421194</v>
      </c>
      <c r="J117" s="514">
        <f t="shared" si="21"/>
        <v>0</v>
      </c>
      <c r="K117" s="514"/>
      <c r="L117" s="525"/>
      <c r="M117" s="514">
        <f t="shared" si="22"/>
        <v>0</v>
      </c>
      <c r="N117" s="525"/>
      <c r="O117" s="514">
        <f t="shared" si="23"/>
        <v>0</v>
      </c>
      <c r="P117" s="514">
        <f t="shared" si="24"/>
        <v>0</v>
      </c>
      <c r="Q117" s="269"/>
      <c r="R117" s="269"/>
      <c r="S117" s="269"/>
      <c r="T117" s="269"/>
      <c r="U117" s="269"/>
      <c r="V117" s="269"/>
      <c r="W117" s="269"/>
    </row>
    <row r="118" spans="2:23" ht="12.5">
      <c r="B118" s="195" t="str">
        <f t="shared" si="25"/>
        <v/>
      </c>
      <c r="C118" s="507">
        <f>IF(D93="","-",+C117+1)</f>
        <v>2026</v>
      </c>
      <c r="D118" s="374">
        <f>IF(F117+SUM(E$99:E117)=D$92,F117,D$92-SUM(E$99:E117))</f>
        <v>47722.867725183591</v>
      </c>
      <c r="E118" s="522">
        <f>IF(+J96&lt;F117,J96,D118)</f>
        <v>1945.2619047619048</v>
      </c>
      <c r="F118" s="523">
        <f t="shared" si="32"/>
        <v>45777.605820421682</v>
      </c>
      <c r="G118" s="523">
        <f t="shared" si="33"/>
        <v>46750.236772802637</v>
      </c>
      <c r="H118" s="526">
        <f t="shared" si="34"/>
        <v>6974.3640447291964</v>
      </c>
      <c r="I118" s="577">
        <f t="shared" si="35"/>
        <v>6974.3640447291964</v>
      </c>
      <c r="J118" s="514">
        <f t="shared" si="21"/>
        <v>0</v>
      </c>
      <c r="K118" s="514"/>
      <c r="L118" s="525"/>
      <c r="M118" s="514">
        <f t="shared" si="22"/>
        <v>0</v>
      </c>
      <c r="N118" s="525"/>
      <c r="O118" s="514">
        <f t="shared" si="23"/>
        <v>0</v>
      </c>
      <c r="P118" s="514">
        <f t="shared" si="24"/>
        <v>0</v>
      </c>
      <c r="Q118" s="269"/>
      <c r="R118" s="269"/>
      <c r="S118" s="269"/>
      <c r="T118" s="269"/>
      <c r="U118" s="269"/>
      <c r="V118" s="269"/>
      <c r="W118" s="269"/>
    </row>
    <row r="119" spans="2:23" ht="12.5">
      <c r="B119" s="195" t="str">
        <f t="shared" si="25"/>
        <v/>
      </c>
      <c r="C119" s="507">
        <f>IF(D93="","-",+C118+1)</f>
        <v>2027</v>
      </c>
      <c r="D119" s="374">
        <f>IF(F118+SUM(E$99:E118)=D$92,F118,D$92-SUM(E$99:E118))</f>
        <v>45777.605820421682</v>
      </c>
      <c r="E119" s="522">
        <f>IF(+J96&lt;F118,J96,D119)</f>
        <v>1945.2619047619048</v>
      </c>
      <c r="F119" s="523">
        <f t="shared" si="32"/>
        <v>43832.343915659774</v>
      </c>
      <c r="G119" s="523">
        <f t="shared" si="33"/>
        <v>44804.974868040728</v>
      </c>
      <c r="H119" s="526">
        <f t="shared" si="34"/>
        <v>6765.1047664162734</v>
      </c>
      <c r="I119" s="577">
        <f t="shared" si="35"/>
        <v>6765.1047664162734</v>
      </c>
      <c r="J119" s="514">
        <f t="shared" si="21"/>
        <v>0</v>
      </c>
      <c r="K119" s="514"/>
      <c r="L119" s="525"/>
      <c r="M119" s="514">
        <f t="shared" si="22"/>
        <v>0</v>
      </c>
      <c r="N119" s="525"/>
      <c r="O119" s="514">
        <f t="shared" si="23"/>
        <v>0</v>
      </c>
      <c r="P119" s="514">
        <f t="shared" si="24"/>
        <v>0</v>
      </c>
      <c r="Q119" s="269"/>
      <c r="R119" s="269"/>
      <c r="S119" s="269"/>
      <c r="T119" s="269"/>
      <c r="U119" s="269"/>
      <c r="V119" s="269"/>
      <c r="W119" s="269"/>
    </row>
    <row r="120" spans="2:23" ht="12.5">
      <c r="B120" s="195" t="str">
        <f t="shared" si="25"/>
        <v/>
      </c>
      <c r="C120" s="507">
        <f>IF(D93="","-",+C119+1)</f>
        <v>2028</v>
      </c>
      <c r="D120" s="374">
        <f>IF(F119+SUM(E$99:E119)=D$92,F119,D$92-SUM(E$99:E119))</f>
        <v>43832.343915659774</v>
      </c>
      <c r="E120" s="522">
        <f>IF(+J96&lt;F119,J96,D120)</f>
        <v>1945.2619047619048</v>
      </c>
      <c r="F120" s="523">
        <f t="shared" si="32"/>
        <v>41887.082010897866</v>
      </c>
      <c r="G120" s="523">
        <f t="shared" si="33"/>
        <v>42859.71296327882</v>
      </c>
      <c r="H120" s="526">
        <f t="shared" si="34"/>
        <v>6555.8454881033504</v>
      </c>
      <c r="I120" s="577">
        <f t="shared" si="35"/>
        <v>6555.8454881033504</v>
      </c>
      <c r="J120" s="514">
        <f t="shared" si="21"/>
        <v>0</v>
      </c>
      <c r="K120" s="514"/>
      <c r="L120" s="525"/>
      <c r="M120" s="514">
        <f t="shared" si="22"/>
        <v>0</v>
      </c>
      <c r="N120" s="525"/>
      <c r="O120" s="514">
        <f t="shared" si="23"/>
        <v>0</v>
      </c>
      <c r="P120" s="514">
        <f t="shared" si="24"/>
        <v>0</v>
      </c>
      <c r="Q120" s="269"/>
      <c r="R120" s="269"/>
      <c r="S120" s="269"/>
      <c r="T120" s="269"/>
      <c r="U120" s="269"/>
      <c r="V120" s="269"/>
      <c r="W120" s="269"/>
    </row>
    <row r="121" spans="2:23" ht="12.5">
      <c r="B121" s="195" t="str">
        <f t="shared" si="25"/>
        <v/>
      </c>
      <c r="C121" s="507">
        <f>IF(D93="","-",+C120+1)</f>
        <v>2029</v>
      </c>
      <c r="D121" s="374">
        <f>IF(F120+SUM(E$99:E120)=D$92,F120,D$92-SUM(E$99:E120))</f>
        <v>41887.082010897866</v>
      </c>
      <c r="E121" s="522">
        <f>IF(+J96&lt;F120,J96,D121)</f>
        <v>1945.2619047619048</v>
      </c>
      <c r="F121" s="523">
        <f t="shared" si="32"/>
        <v>39941.820106135958</v>
      </c>
      <c r="G121" s="523">
        <f t="shared" si="33"/>
        <v>40914.451058516912</v>
      </c>
      <c r="H121" s="526">
        <f t="shared" si="34"/>
        <v>6346.5862097904264</v>
      </c>
      <c r="I121" s="577">
        <f t="shared" si="35"/>
        <v>6346.5862097904264</v>
      </c>
      <c r="J121" s="514">
        <f t="shared" si="21"/>
        <v>0</v>
      </c>
      <c r="K121" s="514"/>
      <c r="L121" s="525"/>
      <c r="M121" s="514">
        <f t="shared" si="22"/>
        <v>0</v>
      </c>
      <c r="N121" s="525"/>
      <c r="O121" s="514">
        <f t="shared" si="23"/>
        <v>0</v>
      </c>
      <c r="P121" s="514">
        <f t="shared" si="24"/>
        <v>0</v>
      </c>
      <c r="Q121" s="269"/>
      <c r="R121" s="269"/>
      <c r="S121" s="269"/>
      <c r="T121" s="269"/>
      <c r="U121" s="269"/>
      <c r="V121" s="269"/>
      <c r="W121" s="269"/>
    </row>
    <row r="122" spans="2:23" ht="12.5">
      <c r="B122" s="195" t="str">
        <f t="shared" si="25"/>
        <v/>
      </c>
      <c r="C122" s="507">
        <f>IF(D93="","-",+C121+1)</f>
        <v>2030</v>
      </c>
      <c r="D122" s="374">
        <f>IF(F121+SUM(E$99:E121)=D$92,F121,D$92-SUM(E$99:E121))</f>
        <v>39941.820106135958</v>
      </c>
      <c r="E122" s="522">
        <f>IF(+J96&lt;F121,J96,D122)</f>
        <v>1945.2619047619048</v>
      </c>
      <c r="F122" s="523">
        <f t="shared" si="32"/>
        <v>37996.55820137405</v>
      </c>
      <c r="G122" s="523">
        <f t="shared" si="33"/>
        <v>38969.189153755004</v>
      </c>
      <c r="H122" s="526">
        <f t="shared" si="34"/>
        <v>6137.3269314775034</v>
      </c>
      <c r="I122" s="577">
        <f t="shared" si="35"/>
        <v>6137.3269314775034</v>
      </c>
      <c r="J122" s="514">
        <f t="shared" si="21"/>
        <v>0</v>
      </c>
      <c r="K122" s="514"/>
      <c r="L122" s="525"/>
      <c r="M122" s="514">
        <f t="shared" si="22"/>
        <v>0</v>
      </c>
      <c r="N122" s="525"/>
      <c r="O122" s="514">
        <f t="shared" si="23"/>
        <v>0</v>
      </c>
      <c r="P122" s="514">
        <f t="shared" si="24"/>
        <v>0</v>
      </c>
      <c r="Q122" s="269"/>
      <c r="R122" s="269"/>
      <c r="S122" s="269"/>
      <c r="T122" s="269"/>
      <c r="U122" s="269"/>
      <c r="V122" s="269"/>
      <c r="W122" s="269"/>
    </row>
    <row r="123" spans="2:23" ht="12.5">
      <c r="B123" s="195" t="str">
        <f t="shared" si="25"/>
        <v/>
      </c>
      <c r="C123" s="507">
        <f>IF(D93="","-",+C122+1)</f>
        <v>2031</v>
      </c>
      <c r="D123" s="374">
        <f>IF(F122+SUM(E$99:E122)=D$92,F122,D$92-SUM(E$99:E122))</f>
        <v>37996.55820137405</v>
      </c>
      <c r="E123" s="522">
        <f>IF(+J96&lt;F122,J96,D123)</f>
        <v>1945.2619047619048</v>
      </c>
      <c r="F123" s="523">
        <f t="shared" si="32"/>
        <v>36051.296296612141</v>
      </c>
      <c r="G123" s="523">
        <f t="shared" si="33"/>
        <v>37023.927248993095</v>
      </c>
      <c r="H123" s="526">
        <f t="shared" si="34"/>
        <v>5928.0676531645804</v>
      </c>
      <c r="I123" s="577">
        <f t="shared" si="35"/>
        <v>5928.0676531645804</v>
      </c>
      <c r="J123" s="514">
        <f t="shared" si="21"/>
        <v>0</v>
      </c>
      <c r="K123" s="514"/>
      <c r="L123" s="525"/>
      <c r="M123" s="514">
        <f t="shared" si="22"/>
        <v>0</v>
      </c>
      <c r="N123" s="525"/>
      <c r="O123" s="514">
        <f t="shared" si="23"/>
        <v>0</v>
      </c>
      <c r="P123" s="514">
        <f t="shared" si="24"/>
        <v>0</v>
      </c>
      <c r="Q123" s="269"/>
      <c r="R123" s="269"/>
      <c r="S123" s="269"/>
      <c r="T123" s="269"/>
      <c r="U123" s="269"/>
      <c r="V123" s="269"/>
      <c r="W123" s="269"/>
    </row>
    <row r="124" spans="2:23" ht="12.5">
      <c r="B124" s="195" t="str">
        <f t="shared" si="25"/>
        <v/>
      </c>
      <c r="C124" s="507">
        <f>IF(D93="","-",+C123+1)</f>
        <v>2032</v>
      </c>
      <c r="D124" s="374">
        <f>IF(F123+SUM(E$99:E123)=D$92,F123,D$92-SUM(E$99:E123))</f>
        <v>36051.296296612141</v>
      </c>
      <c r="E124" s="522">
        <f>IF(+J96&lt;F123,J96,D124)</f>
        <v>1945.2619047619048</v>
      </c>
      <c r="F124" s="523">
        <f t="shared" si="32"/>
        <v>34106.034391850233</v>
      </c>
      <c r="G124" s="523">
        <f t="shared" si="33"/>
        <v>35078.665344231187</v>
      </c>
      <c r="H124" s="526">
        <f t="shared" si="34"/>
        <v>5718.8083748516574</v>
      </c>
      <c r="I124" s="577">
        <f t="shared" si="35"/>
        <v>5718.8083748516574</v>
      </c>
      <c r="J124" s="514">
        <f t="shared" si="21"/>
        <v>0</v>
      </c>
      <c r="K124" s="514"/>
      <c r="L124" s="525"/>
      <c r="M124" s="514">
        <f t="shared" si="22"/>
        <v>0</v>
      </c>
      <c r="N124" s="525"/>
      <c r="O124" s="514">
        <f t="shared" si="23"/>
        <v>0</v>
      </c>
      <c r="P124" s="514">
        <f t="shared" si="24"/>
        <v>0</v>
      </c>
      <c r="Q124" s="269"/>
      <c r="R124" s="269"/>
      <c r="S124" s="269"/>
      <c r="T124" s="269"/>
      <c r="U124" s="269"/>
      <c r="V124" s="269"/>
      <c r="W124" s="269"/>
    </row>
    <row r="125" spans="2:23" ht="12.5">
      <c r="B125" s="195" t="str">
        <f t="shared" si="25"/>
        <v/>
      </c>
      <c r="C125" s="507">
        <f>IF(D93="","-",+C124+1)</f>
        <v>2033</v>
      </c>
      <c r="D125" s="374">
        <f>IF(F124+SUM(E$99:E124)=D$92,F124,D$92-SUM(E$99:E124))</f>
        <v>34106.034391850233</v>
      </c>
      <c r="E125" s="522">
        <f>IF(+J96&lt;F124,J96,D125)</f>
        <v>1945.2619047619048</v>
      </c>
      <c r="F125" s="523">
        <f t="shared" si="32"/>
        <v>32160.772487088328</v>
      </c>
      <c r="G125" s="523">
        <f t="shared" si="33"/>
        <v>33133.403439469279</v>
      </c>
      <c r="H125" s="526">
        <f t="shared" si="34"/>
        <v>5509.5490965387344</v>
      </c>
      <c r="I125" s="577">
        <f t="shared" si="35"/>
        <v>5509.5490965387344</v>
      </c>
      <c r="J125" s="514">
        <f t="shared" si="21"/>
        <v>0</v>
      </c>
      <c r="K125" s="514"/>
      <c r="L125" s="525"/>
      <c r="M125" s="514">
        <f t="shared" si="22"/>
        <v>0</v>
      </c>
      <c r="N125" s="525"/>
      <c r="O125" s="514">
        <f t="shared" si="23"/>
        <v>0</v>
      </c>
      <c r="P125" s="514">
        <f t="shared" si="24"/>
        <v>0</v>
      </c>
      <c r="Q125" s="269"/>
      <c r="R125" s="269"/>
      <c r="S125" s="269"/>
      <c r="T125" s="269"/>
      <c r="U125" s="269"/>
      <c r="V125" s="269"/>
      <c r="W125" s="269"/>
    </row>
    <row r="126" spans="2:23" ht="12.5">
      <c r="B126" s="195" t="str">
        <f t="shared" si="25"/>
        <v/>
      </c>
      <c r="C126" s="507">
        <f>IF(D93="","-",+C125+1)</f>
        <v>2034</v>
      </c>
      <c r="D126" s="374">
        <f>IF(F125+SUM(E$99:E125)=D$92,F125,D$92-SUM(E$99:E125))</f>
        <v>32160.772487088328</v>
      </c>
      <c r="E126" s="522">
        <f>IF(+J96&lt;F125,J96,D126)</f>
        <v>1945.2619047619048</v>
      </c>
      <c r="F126" s="523">
        <f t="shared" si="32"/>
        <v>30215.510582326424</v>
      </c>
      <c r="G126" s="523">
        <f t="shared" si="33"/>
        <v>31188.141534707378</v>
      </c>
      <c r="H126" s="526">
        <f t="shared" si="34"/>
        <v>5300.2898182258123</v>
      </c>
      <c r="I126" s="577">
        <f t="shared" si="35"/>
        <v>5300.2898182258123</v>
      </c>
      <c r="J126" s="514">
        <f t="shared" si="21"/>
        <v>0</v>
      </c>
      <c r="K126" s="514"/>
      <c r="L126" s="525"/>
      <c r="M126" s="514">
        <f t="shared" si="22"/>
        <v>0</v>
      </c>
      <c r="N126" s="525"/>
      <c r="O126" s="514">
        <f t="shared" si="23"/>
        <v>0</v>
      </c>
      <c r="P126" s="514">
        <f t="shared" si="24"/>
        <v>0</v>
      </c>
      <c r="Q126" s="269"/>
      <c r="R126" s="269"/>
      <c r="S126" s="269"/>
      <c r="T126" s="269"/>
      <c r="U126" s="269"/>
      <c r="V126" s="269"/>
      <c r="W126" s="269"/>
    </row>
    <row r="127" spans="2:23" ht="12.5">
      <c r="B127" s="195" t="str">
        <f t="shared" si="25"/>
        <v/>
      </c>
      <c r="C127" s="507">
        <f>IF(D93="","-",+C126+1)</f>
        <v>2035</v>
      </c>
      <c r="D127" s="374">
        <f>IF(F126+SUM(E$99:E126)=D$92,F126,D$92-SUM(E$99:E126))</f>
        <v>30215.510582326424</v>
      </c>
      <c r="E127" s="522">
        <f>IF(+J96&lt;F126,J96,D127)</f>
        <v>1945.2619047619048</v>
      </c>
      <c r="F127" s="523">
        <f t="shared" si="32"/>
        <v>28270.248677564519</v>
      </c>
      <c r="G127" s="523">
        <f t="shared" si="33"/>
        <v>29242.87962994547</v>
      </c>
      <c r="H127" s="526">
        <f t="shared" si="34"/>
        <v>5091.0305399128883</v>
      </c>
      <c r="I127" s="577">
        <f t="shared" si="35"/>
        <v>5091.0305399128883</v>
      </c>
      <c r="J127" s="514">
        <f t="shared" si="21"/>
        <v>0</v>
      </c>
      <c r="K127" s="514"/>
      <c r="L127" s="525"/>
      <c r="M127" s="514">
        <f t="shared" si="22"/>
        <v>0</v>
      </c>
      <c r="N127" s="525"/>
      <c r="O127" s="514">
        <f t="shared" si="23"/>
        <v>0</v>
      </c>
      <c r="P127" s="514">
        <f t="shared" si="24"/>
        <v>0</v>
      </c>
      <c r="Q127" s="269"/>
      <c r="R127" s="269"/>
      <c r="S127" s="269"/>
      <c r="T127" s="269"/>
      <c r="U127" s="269"/>
      <c r="V127" s="269"/>
      <c r="W127" s="269"/>
    </row>
    <row r="128" spans="2:23" ht="12.5">
      <c r="B128" s="195" t="str">
        <f t="shared" si="25"/>
        <v/>
      </c>
      <c r="C128" s="507">
        <f>IF(D93="","-",+C127+1)</f>
        <v>2036</v>
      </c>
      <c r="D128" s="374">
        <f>IF(F127+SUM(E$99:E127)=D$92,F127,D$92-SUM(E$99:E127))</f>
        <v>28270.248677564519</v>
      </c>
      <c r="E128" s="522">
        <f>IF(+J96&lt;F127,J96,D128)</f>
        <v>1945.2619047619048</v>
      </c>
      <c r="F128" s="523">
        <f t="shared" si="32"/>
        <v>26324.986772802615</v>
      </c>
      <c r="G128" s="523">
        <f t="shared" si="33"/>
        <v>27297.617725183569</v>
      </c>
      <c r="H128" s="526">
        <f t="shared" si="34"/>
        <v>4881.7712615999662</v>
      </c>
      <c r="I128" s="577">
        <f t="shared" si="35"/>
        <v>4881.7712615999662</v>
      </c>
      <c r="J128" s="514">
        <f t="shared" si="21"/>
        <v>0</v>
      </c>
      <c r="K128" s="514"/>
      <c r="L128" s="525"/>
      <c r="M128" s="514">
        <f t="shared" si="22"/>
        <v>0</v>
      </c>
      <c r="N128" s="525"/>
      <c r="O128" s="514">
        <f t="shared" si="23"/>
        <v>0</v>
      </c>
      <c r="P128" s="514">
        <f t="shared" si="24"/>
        <v>0</v>
      </c>
      <c r="Q128" s="269"/>
      <c r="R128" s="269"/>
      <c r="S128" s="269"/>
      <c r="T128" s="269"/>
      <c r="U128" s="269"/>
      <c r="V128" s="269"/>
      <c r="W128" s="269"/>
    </row>
    <row r="129" spans="2:23" ht="12.5">
      <c r="B129" s="195" t="str">
        <f t="shared" si="25"/>
        <v/>
      </c>
      <c r="C129" s="507">
        <f>IF(D93="","-",+C128+1)</f>
        <v>2037</v>
      </c>
      <c r="D129" s="374">
        <f>IF(F128+SUM(E$99:E128)=D$92,F128,D$92-SUM(E$99:E128))</f>
        <v>26324.986772802615</v>
      </c>
      <c r="E129" s="522">
        <f>IF(+J96&lt;F128,J96,D129)</f>
        <v>1945.2619047619048</v>
      </c>
      <c r="F129" s="523">
        <f t="shared" si="32"/>
        <v>24379.72486804071</v>
      </c>
      <c r="G129" s="523">
        <f t="shared" si="33"/>
        <v>25352.355820421661</v>
      </c>
      <c r="H129" s="526">
        <f t="shared" si="34"/>
        <v>4672.5119832870432</v>
      </c>
      <c r="I129" s="577">
        <f t="shared" si="35"/>
        <v>4672.5119832870432</v>
      </c>
      <c r="J129" s="514">
        <f t="shared" si="21"/>
        <v>0</v>
      </c>
      <c r="K129" s="514"/>
      <c r="L129" s="525"/>
      <c r="M129" s="514">
        <f t="shared" si="22"/>
        <v>0</v>
      </c>
      <c r="N129" s="525"/>
      <c r="O129" s="514">
        <f t="shared" si="23"/>
        <v>0</v>
      </c>
      <c r="P129" s="514">
        <f t="shared" si="24"/>
        <v>0</v>
      </c>
      <c r="Q129" s="269"/>
      <c r="R129" s="269"/>
      <c r="S129" s="269"/>
      <c r="T129" s="269"/>
      <c r="U129" s="269"/>
      <c r="V129" s="269"/>
      <c r="W129" s="269"/>
    </row>
    <row r="130" spans="2:23" ht="12.5">
      <c r="B130" s="195" t="str">
        <f t="shared" si="25"/>
        <v/>
      </c>
      <c r="C130" s="507">
        <f>IF(D93="","-",+C129+1)</f>
        <v>2038</v>
      </c>
      <c r="D130" s="374">
        <f>IF(F129+SUM(E$99:E129)=D$92,F129,D$92-SUM(E$99:E129))</f>
        <v>24379.72486804071</v>
      </c>
      <c r="E130" s="522">
        <f>IF(+J96&lt;F129,J96,D130)</f>
        <v>1945.2619047619048</v>
      </c>
      <c r="F130" s="523">
        <f t="shared" si="32"/>
        <v>22434.462963278806</v>
      </c>
      <c r="G130" s="523">
        <f t="shared" si="33"/>
        <v>23407.09391565976</v>
      </c>
      <c r="H130" s="526">
        <f t="shared" si="34"/>
        <v>4463.2527049741211</v>
      </c>
      <c r="I130" s="577">
        <f t="shared" si="35"/>
        <v>4463.2527049741211</v>
      </c>
      <c r="J130" s="514">
        <f t="shared" si="21"/>
        <v>0</v>
      </c>
      <c r="K130" s="514"/>
      <c r="L130" s="525"/>
      <c r="M130" s="514">
        <f t="shared" si="22"/>
        <v>0</v>
      </c>
      <c r="N130" s="525"/>
      <c r="O130" s="514">
        <f t="shared" si="23"/>
        <v>0</v>
      </c>
      <c r="P130" s="514">
        <f t="shared" si="24"/>
        <v>0</v>
      </c>
      <c r="Q130" s="269"/>
      <c r="R130" s="269"/>
      <c r="S130" s="269"/>
      <c r="T130" s="269"/>
      <c r="U130" s="269"/>
      <c r="V130" s="269"/>
      <c r="W130" s="269"/>
    </row>
    <row r="131" spans="2:23" ht="12.5">
      <c r="B131" s="195" t="str">
        <f t="shared" si="25"/>
        <v/>
      </c>
      <c r="C131" s="507">
        <f>IF(D93="","-",+C130+1)</f>
        <v>2039</v>
      </c>
      <c r="D131" s="374">
        <f>IF(F130+SUM(E$99:E130)=D$92,F130,D$92-SUM(E$99:E130))</f>
        <v>22434.462963278806</v>
      </c>
      <c r="E131" s="522">
        <f>IF(+J96&lt;F130,J96,D131)</f>
        <v>1945.2619047619048</v>
      </c>
      <c r="F131" s="523">
        <f t="shared" ref="F131:F154" si="36">+D131-E131</f>
        <v>20489.201058516901</v>
      </c>
      <c r="G131" s="523">
        <f t="shared" ref="G131:G154" si="37">+(F131+D131)/2</f>
        <v>21461.832010897851</v>
      </c>
      <c r="H131" s="526">
        <f t="shared" si="34"/>
        <v>4253.9934266611972</v>
      </c>
      <c r="I131" s="577">
        <f t="shared" si="35"/>
        <v>4253.9934266611972</v>
      </c>
      <c r="J131" s="514">
        <f t="shared" ref="J131:J154" si="38">+I131-H131</f>
        <v>0</v>
      </c>
      <c r="K131" s="514"/>
      <c r="L131" s="525"/>
      <c r="M131" s="514">
        <f t="shared" ref="M131:M154" si="39">IF(L131&lt;&gt;0,+H131-L131,0)</f>
        <v>0</v>
      </c>
      <c r="N131" s="525"/>
      <c r="O131" s="514">
        <f t="shared" ref="O131:O154" si="40">IF(N131&lt;&gt;0,+I131-N131,0)</f>
        <v>0</v>
      </c>
      <c r="P131" s="514">
        <f t="shared" ref="P131:P154" si="41">+O131-M131</f>
        <v>0</v>
      </c>
      <c r="Q131" s="269"/>
      <c r="R131" s="269"/>
      <c r="S131" s="269"/>
      <c r="T131" s="269"/>
      <c r="U131" s="269"/>
      <c r="V131" s="269"/>
      <c r="W131" s="269"/>
    </row>
    <row r="132" spans="2:23" ht="12.5">
      <c r="B132" s="195" t="str">
        <f t="shared" si="25"/>
        <v/>
      </c>
      <c r="C132" s="507">
        <f>IF(D93="","-",+C131+1)</f>
        <v>2040</v>
      </c>
      <c r="D132" s="374">
        <f>IF(F131+SUM(E$99:E131)=D$92,F131,D$92-SUM(E$99:E131))</f>
        <v>20489.201058516901</v>
      </c>
      <c r="E132" s="522">
        <f>IF(+J96&lt;F131,J96,D132)</f>
        <v>1945.2619047619048</v>
      </c>
      <c r="F132" s="523">
        <f t="shared" si="36"/>
        <v>18543.939153754996</v>
      </c>
      <c r="G132" s="523">
        <f t="shared" si="37"/>
        <v>19516.57010613595</v>
      </c>
      <c r="H132" s="526">
        <f t="shared" si="34"/>
        <v>4044.7341483482751</v>
      </c>
      <c r="I132" s="577">
        <f t="shared" si="35"/>
        <v>4044.7341483482751</v>
      </c>
      <c r="J132" s="514">
        <f t="shared" si="38"/>
        <v>0</v>
      </c>
      <c r="K132" s="514"/>
      <c r="L132" s="525"/>
      <c r="M132" s="514">
        <f t="shared" si="39"/>
        <v>0</v>
      </c>
      <c r="N132" s="525"/>
      <c r="O132" s="514">
        <f t="shared" si="40"/>
        <v>0</v>
      </c>
      <c r="P132" s="514">
        <f t="shared" si="41"/>
        <v>0</v>
      </c>
      <c r="Q132" s="269"/>
      <c r="R132" s="269"/>
      <c r="S132" s="269"/>
      <c r="T132" s="269"/>
      <c r="U132" s="269"/>
      <c r="V132" s="269"/>
      <c r="W132" s="269"/>
    </row>
    <row r="133" spans="2:23" ht="12.5">
      <c r="B133" s="195" t="str">
        <f t="shared" si="25"/>
        <v/>
      </c>
      <c r="C133" s="507">
        <f>IF(D93="","-",+C132+1)</f>
        <v>2041</v>
      </c>
      <c r="D133" s="374">
        <f>IF(F132+SUM(E$99:E132)=D$92,F132,D$92-SUM(E$99:E132))</f>
        <v>18543.939153754996</v>
      </c>
      <c r="E133" s="522">
        <f>IF(+J96&lt;F132,J96,D133)</f>
        <v>1945.2619047619048</v>
      </c>
      <c r="F133" s="523">
        <f t="shared" si="36"/>
        <v>16598.677248993092</v>
      </c>
      <c r="G133" s="523">
        <f t="shared" si="37"/>
        <v>17571.308201374042</v>
      </c>
      <c r="H133" s="526">
        <f t="shared" si="34"/>
        <v>3835.4748700353521</v>
      </c>
      <c r="I133" s="577">
        <f t="shared" si="35"/>
        <v>3835.4748700353521</v>
      </c>
      <c r="J133" s="514">
        <f t="shared" si="38"/>
        <v>0</v>
      </c>
      <c r="K133" s="514"/>
      <c r="L133" s="525"/>
      <c r="M133" s="514">
        <f t="shared" si="39"/>
        <v>0</v>
      </c>
      <c r="N133" s="525"/>
      <c r="O133" s="514">
        <f t="shared" si="40"/>
        <v>0</v>
      </c>
      <c r="P133" s="514">
        <f t="shared" si="41"/>
        <v>0</v>
      </c>
      <c r="Q133" s="269"/>
      <c r="R133" s="269"/>
      <c r="S133" s="269"/>
      <c r="T133" s="269"/>
      <c r="U133" s="269"/>
      <c r="V133" s="269"/>
      <c r="W133" s="269"/>
    </row>
    <row r="134" spans="2:23" ht="12.5">
      <c r="B134" s="195" t="str">
        <f t="shared" si="25"/>
        <v/>
      </c>
      <c r="C134" s="507">
        <f>IF(D93="","-",+C133+1)</f>
        <v>2042</v>
      </c>
      <c r="D134" s="374">
        <f>IF(F133+SUM(E$99:E133)=D$92,F133,D$92-SUM(E$99:E133))</f>
        <v>16598.677248993092</v>
      </c>
      <c r="E134" s="522">
        <f>IF(+J96&lt;F133,J96,D134)</f>
        <v>1945.2619047619048</v>
      </c>
      <c r="F134" s="523">
        <f t="shared" si="36"/>
        <v>14653.415344231187</v>
      </c>
      <c r="G134" s="523">
        <f t="shared" si="37"/>
        <v>15626.046296612139</v>
      </c>
      <c r="H134" s="526">
        <f t="shared" si="34"/>
        <v>3626.2155917224291</v>
      </c>
      <c r="I134" s="577">
        <f t="shared" si="35"/>
        <v>3626.2155917224291</v>
      </c>
      <c r="J134" s="514">
        <f t="shared" si="38"/>
        <v>0</v>
      </c>
      <c r="K134" s="514"/>
      <c r="L134" s="525"/>
      <c r="M134" s="514">
        <f t="shared" si="39"/>
        <v>0</v>
      </c>
      <c r="N134" s="525"/>
      <c r="O134" s="514">
        <f t="shared" si="40"/>
        <v>0</v>
      </c>
      <c r="P134" s="514">
        <f t="shared" si="41"/>
        <v>0</v>
      </c>
      <c r="Q134" s="269"/>
      <c r="R134" s="269"/>
      <c r="S134" s="269"/>
      <c r="T134" s="269"/>
      <c r="U134" s="269"/>
      <c r="V134" s="269"/>
      <c r="W134" s="269"/>
    </row>
    <row r="135" spans="2:23" ht="12.5">
      <c r="B135" s="195" t="str">
        <f t="shared" si="25"/>
        <v/>
      </c>
      <c r="C135" s="507">
        <f>IF(D93="","-",+C134+1)</f>
        <v>2043</v>
      </c>
      <c r="D135" s="374">
        <f>IF(F134+SUM(E$99:E134)=D$92,F134,D$92-SUM(E$99:E134))</f>
        <v>14653.415344231187</v>
      </c>
      <c r="E135" s="522">
        <f>IF(+J96&lt;F134,J96,D135)</f>
        <v>1945.2619047619048</v>
      </c>
      <c r="F135" s="523">
        <f t="shared" si="36"/>
        <v>12708.153439469283</v>
      </c>
      <c r="G135" s="523">
        <f t="shared" si="37"/>
        <v>13680.784391850235</v>
      </c>
      <c r="H135" s="526">
        <f t="shared" si="34"/>
        <v>3416.9563134095065</v>
      </c>
      <c r="I135" s="577">
        <f t="shared" si="35"/>
        <v>3416.9563134095065</v>
      </c>
      <c r="J135" s="514">
        <f t="shared" si="38"/>
        <v>0</v>
      </c>
      <c r="K135" s="514"/>
      <c r="L135" s="525"/>
      <c r="M135" s="514">
        <f t="shared" si="39"/>
        <v>0</v>
      </c>
      <c r="N135" s="525"/>
      <c r="O135" s="514">
        <f t="shared" si="40"/>
        <v>0</v>
      </c>
      <c r="P135" s="514">
        <f t="shared" si="41"/>
        <v>0</v>
      </c>
      <c r="Q135" s="269"/>
      <c r="R135" s="269"/>
      <c r="S135" s="269"/>
      <c r="T135" s="269"/>
      <c r="U135" s="269"/>
      <c r="V135" s="269"/>
      <c r="W135" s="269"/>
    </row>
    <row r="136" spans="2:23" ht="12.5">
      <c r="B136" s="195" t="str">
        <f t="shared" si="25"/>
        <v/>
      </c>
      <c r="C136" s="507">
        <f>IF(D93="","-",+C135+1)</f>
        <v>2044</v>
      </c>
      <c r="D136" s="374">
        <f>IF(F135+SUM(E$99:E135)=D$92,F135,D$92-SUM(E$99:E135))</f>
        <v>12708.153439469283</v>
      </c>
      <c r="E136" s="522">
        <f>IF(+J96&lt;F135,J96,D136)</f>
        <v>1945.2619047619048</v>
      </c>
      <c r="F136" s="523">
        <f t="shared" si="36"/>
        <v>10762.891534707378</v>
      </c>
      <c r="G136" s="523">
        <f t="shared" si="37"/>
        <v>11735.52248708833</v>
      </c>
      <c r="H136" s="526">
        <f t="shared" si="34"/>
        <v>3207.6970350965839</v>
      </c>
      <c r="I136" s="577">
        <f t="shared" si="35"/>
        <v>3207.6970350965839</v>
      </c>
      <c r="J136" s="514">
        <f t="shared" si="38"/>
        <v>0</v>
      </c>
      <c r="K136" s="514"/>
      <c r="L136" s="525"/>
      <c r="M136" s="514">
        <f t="shared" si="39"/>
        <v>0</v>
      </c>
      <c r="N136" s="525"/>
      <c r="O136" s="514">
        <f t="shared" si="40"/>
        <v>0</v>
      </c>
      <c r="P136" s="514">
        <f t="shared" si="41"/>
        <v>0</v>
      </c>
      <c r="Q136" s="269"/>
      <c r="R136" s="269"/>
      <c r="S136" s="269"/>
      <c r="T136" s="269"/>
      <c r="U136" s="269"/>
      <c r="V136" s="269"/>
      <c r="W136" s="269"/>
    </row>
    <row r="137" spans="2:23" ht="12.5">
      <c r="B137" s="195" t="str">
        <f t="shared" si="25"/>
        <v/>
      </c>
      <c r="C137" s="507">
        <f>IF(D93="","-",+C136+1)</f>
        <v>2045</v>
      </c>
      <c r="D137" s="374">
        <f>IF(F136+SUM(E$99:E136)=D$92,F136,D$92-SUM(E$99:E136))</f>
        <v>10762.891534707378</v>
      </c>
      <c r="E137" s="522">
        <f>IF(+J96&lt;F136,J96,D137)</f>
        <v>1945.2619047619048</v>
      </c>
      <c r="F137" s="523">
        <f t="shared" si="36"/>
        <v>8817.6296299454734</v>
      </c>
      <c r="G137" s="523">
        <f t="shared" si="37"/>
        <v>9790.2605823264257</v>
      </c>
      <c r="H137" s="526">
        <f t="shared" si="34"/>
        <v>2998.4377567836609</v>
      </c>
      <c r="I137" s="577">
        <f t="shared" si="35"/>
        <v>2998.4377567836609</v>
      </c>
      <c r="J137" s="514">
        <f t="shared" si="38"/>
        <v>0</v>
      </c>
      <c r="K137" s="514"/>
      <c r="L137" s="525"/>
      <c r="M137" s="514">
        <f t="shared" si="39"/>
        <v>0</v>
      </c>
      <c r="N137" s="525"/>
      <c r="O137" s="514">
        <f t="shared" si="40"/>
        <v>0</v>
      </c>
      <c r="P137" s="514">
        <f t="shared" si="41"/>
        <v>0</v>
      </c>
      <c r="Q137" s="269"/>
      <c r="R137" s="269"/>
      <c r="S137" s="269"/>
      <c r="T137" s="269"/>
      <c r="U137" s="269"/>
      <c r="V137" s="269"/>
      <c r="W137" s="269"/>
    </row>
    <row r="138" spans="2:23" ht="12.5">
      <c r="B138" s="195" t="str">
        <f t="shared" si="25"/>
        <v/>
      </c>
      <c r="C138" s="507">
        <f>IF(D93="","-",+C137+1)</f>
        <v>2046</v>
      </c>
      <c r="D138" s="374">
        <f>IF(F137+SUM(E$99:E137)=D$92,F137,D$92-SUM(E$99:E137))</f>
        <v>8817.6296299454734</v>
      </c>
      <c r="E138" s="522">
        <f>IF(+J96&lt;F137,J96,D138)</f>
        <v>1945.2619047619048</v>
      </c>
      <c r="F138" s="523">
        <f t="shared" si="36"/>
        <v>6872.3677251835688</v>
      </c>
      <c r="G138" s="523">
        <f t="shared" si="37"/>
        <v>7844.9986775645211</v>
      </c>
      <c r="H138" s="526">
        <f t="shared" si="34"/>
        <v>2789.1784784707379</v>
      </c>
      <c r="I138" s="577">
        <f t="shared" si="35"/>
        <v>2789.1784784707379</v>
      </c>
      <c r="J138" s="514">
        <f t="shared" si="38"/>
        <v>0</v>
      </c>
      <c r="K138" s="514"/>
      <c r="L138" s="525"/>
      <c r="M138" s="514">
        <f t="shared" si="39"/>
        <v>0</v>
      </c>
      <c r="N138" s="525"/>
      <c r="O138" s="514">
        <f t="shared" si="40"/>
        <v>0</v>
      </c>
      <c r="P138" s="514">
        <f t="shared" si="41"/>
        <v>0</v>
      </c>
      <c r="Q138" s="269"/>
      <c r="R138" s="269"/>
      <c r="S138" s="269"/>
      <c r="T138" s="269"/>
      <c r="U138" s="269"/>
      <c r="V138" s="269"/>
      <c r="W138" s="269"/>
    </row>
    <row r="139" spans="2:23" ht="12.5">
      <c r="B139" s="195" t="str">
        <f t="shared" si="25"/>
        <v/>
      </c>
      <c r="C139" s="507">
        <f>IF(D93="","-",+C138+1)</f>
        <v>2047</v>
      </c>
      <c r="D139" s="374">
        <f>IF(F138+SUM(E$99:E138)=D$92,F138,D$92-SUM(E$99:E138))</f>
        <v>6872.3677251835688</v>
      </c>
      <c r="E139" s="522">
        <f>IF(+J96&lt;F138,J96,D139)</f>
        <v>1945.2619047619048</v>
      </c>
      <c r="F139" s="523">
        <f t="shared" si="36"/>
        <v>4927.1058204216642</v>
      </c>
      <c r="G139" s="523">
        <f t="shared" si="37"/>
        <v>5899.7367728026165</v>
      </c>
      <c r="H139" s="526">
        <f t="shared" si="34"/>
        <v>2579.9192001578153</v>
      </c>
      <c r="I139" s="577">
        <f t="shared" si="35"/>
        <v>2579.9192001578153</v>
      </c>
      <c r="J139" s="514">
        <f t="shared" si="38"/>
        <v>0</v>
      </c>
      <c r="K139" s="514"/>
      <c r="L139" s="525"/>
      <c r="M139" s="514">
        <f t="shared" si="39"/>
        <v>0</v>
      </c>
      <c r="N139" s="525"/>
      <c r="O139" s="514">
        <f t="shared" si="40"/>
        <v>0</v>
      </c>
      <c r="P139" s="514">
        <f t="shared" si="41"/>
        <v>0</v>
      </c>
      <c r="Q139" s="269"/>
      <c r="R139" s="269"/>
      <c r="S139" s="269"/>
      <c r="T139" s="269"/>
      <c r="U139" s="269"/>
      <c r="V139" s="269"/>
      <c r="W139" s="269"/>
    </row>
    <row r="140" spans="2:23" ht="12.5">
      <c r="B140" s="195" t="str">
        <f t="shared" si="25"/>
        <v/>
      </c>
      <c r="C140" s="507">
        <f>IF(D93="","-",+C139+1)</f>
        <v>2048</v>
      </c>
      <c r="D140" s="374">
        <f>IF(F139+SUM(E$99:E139)=D$92,F139,D$92-SUM(E$99:E139))</f>
        <v>4927.1058204216642</v>
      </c>
      <c r="E140" s="522">
        <f>IF(+J96&lt;F139,J96,D140)</f>
        <v>1945.2619047619048</v>
      </c>
      <c r="F140" s="523">
        <f t="shared" si="36"/>
        <v>2981.8439156597597</v>
      </c>
      <c r="G140" s="523">
        <f t="shared" si="37"/>
        <v>3954.474868040712</v>
      </c>
      <c r="H140" s="526">
        <f t="shared" si="34"/>
        <v>2370.6599218448928</v>
      </c>
      <c r="I140" s="577">
        <f t="shared" si="35"/>
        <v>2370.6599218448928</v>
      </c>
      <c r="J140" s="514">
        <f t="shared" si="38"/>
        <v>0</v>
      </c>
      <c r="K140" s="514"/>
      <c r="L140" s="525"/>
      <c r="M140" s="514">
        <f t="shared" si="39"/>
        <v>0</v>
      </c>
      <c r="N140" s="525"/>
      <c r="O140" s="514">
        <f t="shared" si="40"/>
        <v>0</v>
      </c>
      <c r="P140" s="514">
        <f t="shared" si="41"/>
        <v>0</v>
      </c>
      <c r="Q140" s="269"/>
      <c r="R140" s="269"/>
      <c r="S140" s="269"/>
      <c r="T140" s="269"/>
      <c r="U140" s="269"/>
      <c r="V140" s="269"/>
      <c r="W140" s="269"/>
    </row>
    <row r="141" spans="2:23" ht="12.5">
      <c r="B141" s="582" t="str">
        <f t="shared" si="25"/>
        <v/>
      </c>
      <c r="C141" s="507">
        <f>IF(D93="","-",+C140+1)</f>
        <v>2049</v>
      </c>
      <c r="D141" s="374">
        <f>IF(F140+SUM(E$99:E140)=D$92,F140,D$92-SUM(E$99:E140))</f>
        <v>2981.8439156597597</v>
      </c>
      <c r="E141" s="522">
        <f>IF(+J96&lt;F140,J96,D141)</f>
        <v>1945.2619047619048</v>
      </c>
      <c r="F141" s="523">
        <f t="shared" si="36"/>
        <v>1036.5820108978548</v>
      </c>
      <c r="G141" s="523">
        <f t="shared" si="37"/>
        <v>2009.2129632788074</v>
      </c>
      <c r="H141" s="526">
        <f t="shared" si="34"/>
        <v>2161.4006435319698</v>
      </c>
      <c r="I141" s="577">
        <f t="shared" si="35"/>
        <v>2161.4006435319698</v>
      </c>
      <c r="J141" s="514">
        <f t="shared" si="38"/>
        <v>0</v>
      </c>
      <c r="K141" s="514"/>
      <c r="L141" s="525"/>
      <c r="M141" s="514">
        <f t="shared" si="39"/>
        <v>0</v>
      </c>
      <c r="N141" s="525"/>
      <c r="O141" s="514">
        <f t="shared" si="40"/>
        <v>0</v>
      </c>
      <c r="P141" s="514">
        <f t="shared" si="41"/>
        <v>0</v>
      </c>
      <c r="Q141" s="269"/>
      <c r="R141" s="269"/>
      <c r="S141" s="269"/>
      <c r="T141" s="269"/>
      <c r="U141" s="269"/>
      <c r="V141" s="269"/>
      <c r="W141" s="269"/>
    </row>
    <row r="142" spans="2:23" ht="12.5">
      <c r="B142" s="195" t="str">
        <f t="shared" si="25"/>
        <v/>
      </c>
      <c r="C142" s="507">
        <f>IF(D93="","-",+C141+1)</f>
        <v>2050</v>
      </c>
      <c r="D142" s="374">
        <f>IF(F141+SUM(E$99:E141)=D$92,F141,D$92-SUM(E$99:E141))</f>
        <v>1036.5820108978548</v>
      </c>
      <c r="E142" s="522">
        <f>IF(+J96&lt;F141,J96,D142)</f>
        <v>1036.5820108978548</v>
      </c>
      <c r="F142" s="523">
        <f t="shared" si="36"/>
        <v>0</v>
      </c>
      <c r="G142" s="523">
        <f t="shared" si="37"/>
        <v>518.29100544892742</v>
      </c>
      <c r="H142" s="526">
        <f t="shared" si="34"/>
        <v>1092.3365607046567</v>
      </c>
      <c r="I142" s="577">
        <f t="shared" si="35"/>
        <v>1092.3365607046567</v>
      </c>
      <c r="J142" s="514">
        <f t="shared" si="38"/>
        <v>0</v>
      </c>
      <c r="K142" s="514"/>
      <c r="L142" s="525"/>
      <c r="M142" s="514">
        <f t="shared" si="39"/>
        <v>0</v>
      </c>
      <c r="N142" s="525"/>
      <c r="O142" s="514">
        <f t="shared" si="40"/>
        <v>0</v>
      </c>
      <c r="P142" s="514">
        <f t="shared" si="41"/>
        <v>0</v>
      </c>
      <c r="Q142" s="269"/>
      <c r="R142" s="269"/>
      <c r="S142" s="269"/>
      <c r="T142" s="269"/>
      <c r="U142" s="269"/>
      <c r="V142" s="269"/>
      <c r="W142" s="269"/>
    </row>
    <row r="143" spans="2:23" ht="12.5">
      <c r="B143" s="195" t="str">
        <f t="shared" si="25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6"/>
        <v>0</v>
      </c>
      <c r="G143" s="523">
        <f t="shared" si="37"/>
        <v>0</v>
      </c>
      <c r="H143" s="526">
        <f t="shared" si="34"/>
        <v>0</v>
      </c>
      <c r="I143" s="577">
        <f t="shared" si="35"/>
        <v>0</v>
      </c>
      <c r="J143" s="514">
        <f t="shared" si="38"/>
        <v>0</v>
      </c>
      <c r="K143" s="514"/>
      <c r="L143" s="525"/>
      <c r="M143" s="514">
        <f t="shared" si="39"/>
        <v>0</v>
      </c>
      <c r="N143" s="525"/>
      <c r="O143" s="514">
        <f t="shared" si="40"/>
        <v>0</v>
      </c>
      <c r="P143" s="514">
        <f t="shared" si="41"/>
        <v>0</v>
      </c>
      <c r="Q143" s="269"/>
      <c r="R143" s="269"/>
      <c r="S143" s="269"/>
      <c r="T143" s="269"/>
      <c r="U143" s="269"/>
      <c r="V143" s="269"/>
      <c r="W143" s="269"/>
    </row>
    <row r="144" spans="2:23" ht="12.5">
      <c r="B144" s="195" t="str">
        <f t="shared" si="25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6"/>
        <v>0</v>
      </c>
      <c r="G144" s="523">
        <f t="shared" si="37"/>
        <v>0</v>
      </c>
      <c r="H144" s="526">
        <f t="shared" si="34"/>
        <v>0</v>
      </c>
      <c r="I144" s="577">
        <f t="shared" si="35"/>
        <v>0</v>
      </c>
      <c r="J144" s="514">
        <f t="shared" si="38"/>
        <v>0</v>
      </c>
      <c r="K144" s="514"/>
      <c r="L144" s="525"/>
      <c r="M144" s="514">
        <f t="shared" si="39"/>
        <v>0</v>
      </c>
      <c r="N144" s="525"/>
      <c r="O144" s="514">
        <f t="shared" si="40"/>
        <v>0</v>
      </c>
      <c r="P144" s="514">
        <f t="shared" si="41"/>
        <v>0</v>
      </c>
      <c r="Q144" s="269"/>
      <c r="R144" s="269"/>
      <c r="S144" s="269"/>
      <c r="T144" s="269"/>
      <c r="U144" s="269"/>
      <c r="V144" s="269"/>
      <c r="W144" s="269"/>
    </row>
    <row r="145" spans="2:23" ht="12.5">
      <c r="B145" s="195" t="str">
        <f t="shared" si="25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6"/>
        <v>0</v>
      </c>
      <c r="G145" s="523">
        <f t="shared" si="37"/>
        <v>0</v>
      </c>
      <c r="H145" s="526">
        <f t="shared" si="34"/>
        <v>0</v>
      </c>
      <c r="I145" s="577">
        <f t="shared" si="35"/>
        <v>0</v>
      </c>
      <c r="J145" s="514">
        <f t="shared" si="38"/>
        <v>0</v>
      </c>
      <c r="K145" s="514"/>
      <c r="L145" s="525"/>
      <c r="M145" s="514">
        <f t="shared" si="39"/>
        <v>0</v>
      </c>
      <c r="N145" s="525"/>
      <c r="O145" s="514">
        <f t="shared" si="40"/>
        <v>0</v>
      </c>
      <c r="P145" s="514">
        <f t="shared" si="41"/>
        <v>0</v>
      </c>
      <c r="Q145" s="269"/>
      <c r="R145" s="269"/>
      <c r="S145" s="269"/>
      <c r="T145" s="269"/>
      <c r="U145" s="269"/>
      <c r="V145" s="269"/>
      <c r="W145" s="269"/>
    </row>
    <row r="146" spans="2:23" ht="12.5">
      <c r="B146" s="195" t="str">
        <f t="shared" si="25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6"/>
        <v>0</v>
      </c>
      <c r="G146" s="523">
        <f t="shared" si="37"/>
        <v>0</v>
      </c>
      <c r="H146" s="526">
        <f t="shared" si="34"/>
        <v>0</v>
      </c>
      <c r="I146" s="577">
        <f t="shared" si="35"/>
        <v>0</v>
      </c>
      <c r="J146" s="514">
        <f t="shared" si="38"/>
        <v>0</v>
      </c>
      <c r="K146" s="514"/>
      <c r="L146" s="525"/>
      <c r="M146" s="514">
        <f t="shared" si="39"/>
        <v>0</v>
      </c>
      <c r="N146" s="525"/>
      <c r="O146" s="514">
        <f t="shared" si="40"/>
        <v>0</v>
      </c>
      <c r="P146" s="514">
        <f t="shared" si="41"/>
        <v>0</v>
      </c>
      <c r="Q146" s="269"/>
      <c r="R146" s="269"/>
      <c r="S146" s="269"/>
      <c r="T146" s="269"/>
      <c r="U146" s="269"/>
      <c r="V146" s="269"/>
      <c r="W146" s="269"/>
    </row>
    <row r="147" spans="2:23" ht="12.5">
      <c r="B147" s="195" t="str">
        <f t="shared" si="25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6"/>
        <v>0</v>
      </c>
      <c r="G147" s="523">
        <f t="shared" si="37"/>
        <v>0</v>
      </c>
      <c r="H147" s="526">
        <f t="shared" si="34"/>
        <v>0</v>
      </c>
      <c r="I147" s="577">
        <f t="shared" si="35"/>
        <v>0</v>
      </c>
      <c r="J147" s="514">
        <f t="shared" si="38"/>
        <v>0</v>
      </c>
      <c r="K147" s="514"/>
      <c r="L147" s="525"/>
      <c r="M147" s="514">
        <f t="shared" si="39"/>
        <v>0</v>
      </c>
      <c r="N147" s="525"/>
      <c r="O147" s="514">
        <f t="shared" si="40"/>
        <v>0</v>
      </c>
      <c r="P147" s="514">
        <f t="shared" si="41"/>
        <v>0</v>
      </c>
      <c r="Q147" s="269"/>
      <c r="R147" s="269"/>
      <c r="S147" s="269"/>
      <c r="T147" s="269"/>
      <c r="U147" s="269"/>
      <c r="V147" s="269"/>
      <c r="W147" s="269"/>
    </row>
    <row r="148" spans="2:23" ht="12.5">
      <c r="B148" s="195" t="str">
        <f t="shared" si="25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6"/>
        <v>0</v>
      </c>
      <c r="G148" s="523">
        <f t="shared" si="37"/>
        <v>0</v>
      </c>
      <c r="H148" s="526">
        <f t="shared" si="34"/>
        <v>0</v>
      </c>
      <c r="I148" s="577">
        <f t="shared" si="35"/>
        <v>0</v>
      </c>
      <c r="J148" s="514">
        <f t="shared" si="38"/>
        <v>0</v>
      </c>
      <c r="K148" s="514"/>
      <c r="L148" s="525"/>
      <c r="M148" s="514">
        <f t="shared" si="39"/>
        <v>0</v>
      </c>
      <c r="N148" s="525"/>
      <c r="O148" s="514">
        <f t="shared" si="40"/>
        <v>0</v>
      </c>
      <c r="P148" s="514">
        <f t="shared" si="41"/>
        <v>0</v>
      </c>
      <c r="Q148" s="269"/>
      <c r="R148" s="269"/>
      <c r="S148" s="269"/>
      <c r="T148" s="269"/>
      <c r="U148" s="269"/>
      <c r="V148" s="269"/>
      <c r="W148" s="269"/>
    </row>
    <row r="149" spans="2:23" ht="12.5">
      <c r="B149" s="195" t="str">
        <f t="shared" si="25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6"/>
        <v>0</v>
      </c>
      <c r="G149" s="523">
        <f t="shared" si="37"/>
        <v>0</v>
      </c>
      <c r="H149" s="526">
        <f t="shared" si="34"/>
        <v>0</v>
      </c>
      <c r="I149" s="577">
        <f t="shared" si="35"/>
        <v>0</v>
      </c>
      <c r="J149" s="514">
        <f t="shared" si="38"/>
        <v>0</v>
      </c>
      <c r="K149" s="514"/>
      <c r="L149" s="525"/>
      <c r="M149" s="514">
        <f t="shared" si="39"/>
        <v>0</v>
      </c>
      <c r="N149" s="525"/>
      <c r="O149" s="514">
        <f t="shared" si="40"/>
        <v>0</v>
      </c>
      <c r="P149" s="514">
        <f t="shared" si="41"/>
        <v>0</v>
      </c>
      <c r="Q149" s="269"/>
      <c r="R149" s="269"/>
      <c r="S149" s="269"/>
      <c r="T149" s="269"/>
      <c r="U149" s="269"/>
      <c r="V149" s="269"/>
      <c r="W149" s="269"/>
    </row>
    <row r="150" spans="2:23" ht="12.5">
      <c r="B150" s="195" t="str">
        <f t="shared" si="25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6"/>
        <v>0</v>
      </c>
      <c r="G150" s="523">
        <f t="shared" si="37"/>
        <v>0</v>
      </c>
      <c r="H150" s="526">
        <f t="shared" si="34"/>
        <v>0</v>
      </c>
      <c r="I150" s="577">
        <f t="shared" si="35"/>
        <v>0</v>
      </c>
      <c r="J150" s="514">
        <f t="shared" si="38"/>
        <v>0</v>
      </c>
      <c r="K150" s="514"/>
      <c r="L150" s="525"/>
      <c r="M150" s="514">
        <f t="shared" si="39"/>
        <v>0</v>
      </c>
      <c r="N150" s="525"/>
      <c r="O150" s="514">
        <f t="shared" si="40"/>
        <v>0</v>
      </c>
      <c r="P150" s="514">
        <f t="shared" si="41"/>
        <v>0</v>
      </c>
      <c r="Q150" s="269"/>
      <c r="R150" s="269"/>
      <c r="S150" s="269"/>
      <c r="T150" s="269"/>
      <c r="U150" s="269"/>
      <c r="V150" s="269"/>
      <c r="W150" s="269"/>
    </row>
    <row r="151" spans="2:23" ht="12.5">
      <c r="B151" s="195" t="str">
        <f t="shared" si="25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6"/>
        <v>0</v>
      </c>
      <c r="G151" s="523">
        <f t="shared" si="37"/>
        <v>0</v>
      </c>
      <c r="H151" s="526">
        <f t="shared" si="34"/>
        <v>0</v>
      </c>
      <c r="I151" s="577">
        <f t="shared" si="35"/>
        <v>0</v>
      </c>
      <c r="J151" s="514">
        <f t="shared" si="38"/>
        <v>0</v>
      </c>
      <c r="K151" s="514"/>
      <c r="L151" s="525"/>
      <c r="M151" s="514">
        <f t="shared" si="39"/>
        <v>0</v>
      </c>
      <c r="N151" s="525"/>
      <c r="O151" s="514">
        <f t="shared" si="40"/>
        <v>0</v>
      </c>
      <c r="P151" s="514">
        <f t="shared" si="41"/>
        <v>0</v>
      </c>
      <c r="Q151" s="269"/>
      <c r="R151" s="269"/>
      <c r="S151" s="269"/>
      <c r="T151" s="269"/>
      <c r="U151" s="269"/>
      <c r="V151" s="269"/>
      <c r="W151" s="269"/>
    </row>
    <row r="152" spans="2:23" ht="12.5">
      <c r="B152" s="195" t="str">
        <f t="shared" si="25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6"/>
        <v>0</v>
      </c>
      <c r="G152" s="523">
        <f t="shared" si="37"/>
        <v>0</v>
      </c>
      <c r="H152" s="526">
        <f t="shared" si="34"/>
        <v>0</v>
      </c>
      <c r="I152" s="577">
        <f t="shared" si="35"/>
        <v>0</v>
      </c>
      <c r="J152" s="514">
        <f t="shared" si="38"/>
        <v>0</v>
      </c>
      <c r="K152" s="514"/>
      <c r="L152" s="525"/>
      <c r="M152" s="514">
        <f t="shared" si="39"/>
        <v>0</v>
      </c>
      <c r="N152" s="525"/>
      <c r="O152" s="514">
        <f t="shared" si="40"/>
        <v>0</v>
      </c>
      <c r="P152" s="514">
        <f t="shared" si="41"/>
        <v>0</v>
      </c>
      <c r="Q152" s="269"/>
      <c r="R152" s="269"/>
      <c r="S152" s="269"/>
      <c r="T152" s="269"/>
      <c r="U152" s="269"/>
      <c r="V152" s="269"/>
      <c r="W152" s="269"/>
    </row>
    <row r="153" spans="2:23" ht="12.5">
      <c r="B153" s="195" t="str">
        <f t="shared" si="25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6"/>
        <v>0</v>
      </c>
      <c r="G153" s="523">
        <f t="shared" si="37"/>
        <v>0</v>
      </c>
      <c r="H153" s="526">
        <f t="shared" si="34"/>
        <v>0</v>
      </c>
      <c r="I153" s="577">
        <f t="shared" si="35"/>
        <v>0</v>
      </c>
      <c r="J153" s="514">
        <f t="shared" si="38"/>
        <v>0</v>
      </c>
      <c r="K153" s="514"/>
      <c r="L153" s="525"/>
      <c r="M153" s="514">
        <f t="shared" si="39"/>
        <v>0</v>
      </c>
      <c r="N153" s="525"/>
      <c r="O153" s="514">
        <f t="shared" si="40"/>
        <v>0</v>
      </c>
      <c r="P153" s="514">
        <f t="shared" si="41"/>
        <v>0</v>
      </c>
      <c r="Q153" s="269"/>
      <c r="R153" s="269"/>
      <c r="S153" s="269"/>
      <c r="T153" s="269"/>
      <c r="U153" s="269"/>
      <c r="V153" s="269"/>
      <c r="W153" s="269"/>
    </row>
    <row r="154" spans="2:23" ht="13" thickBot="1">
      <c r="B154" s="195" t="str">
        <f t="shared" si="25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6"/>
        <v>0</v>
      </c>
      <c r="G154" s="528">
        <f t="shared" si="37"/>
        <v>0</v>
      </c>
      <c r="H154" s="530">
        <f t="shared" si="34"/>
        <v>0</v>
      </c>
      <c r="I154" s="579">
        <f t="shared" si="35"/>
        <v>0</v>
      </c>
      <c r="J154" s="533">
        <f t="shared" si="38"/>
        <v>0</v>
      </c>
      <c r="K154" s="514"/>
      <c r="L154" s="532"/>
      <c r="M154" s="533">
        <f t="shared" si="39"/>
        <v>0</v>
      </c>
      <c r="N154" s="532"/>
      <c r="O154" s="533">
        <f t="shared" si="40"/>
        <v>0</v>
      </c>
      <c r="P154" s="533">
        <f t="shared" si="41"/>
        <v>0</v>
      </c>
      <c r="Q154" s="269"/>
      <c r="R154" s="269"/>
      <c r="S154" s="269"/>
      <c r="T154" s="269"/>
      <c r="U154" s="269"/>
      <c r="V154" s="269"/>
      <c r="W154" s="269"/>
    </row>
    <row r="155" spans="2:23" ht="12.5">
      <c r="C155" s="374" t="s">
        <v>78</v>
      </c>
      <c r="D155" s="375"/>
      <c r="E155" s="375">
        <f>SUM(E99:E154)</f>
        <v>81701.000000000015</v>
      </c>
      <c r="F155" s="375"/>
      <c r="G155" s="375"/>
      <c r="H155" s="375">
        <f>SUM(H99:H154)</f>
        <v>292249.20544456033</v>
      </c>
      <c r="I155" s="375">
        <f>SUM(I99:I154)</f>
        <v>292249.20544456033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  <c r="R155" s="269"/>
      <c r="S155" s="269"/>
      <c r="T155" s="269"/>
      <c r="U155" s="269"/>
      <c r="V155" s="269"/>
      <c r="W155" s="269"/>
    </row>
    <row r="156" spans="2:23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  <c r="R156" s="269"/>
      <c r="S156" s="269"/>
      <c r="T156" s="269"/>
      <c r="U156" s="269"/>
      <c r="V156" s="269"/>
      <c r="W156" s="269"/>
    </row>
    <row r="157" spans="2:23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  <c r="R157" s="269"/>
      <c r="S157" s="269"/>
      <c r="T157" s="269"/>
      <c r="U157" s="269"/>
      <c r="V157" s="269"/>
      <c r="W157" s="269"/>
    </row>
    <row r="158" spans="2:23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  <c r="R158" s="269"/>
      <c r="S158" s="269"/>
      <c r="T158" s="269"/>
      <c r="U158" s="269"/>
      <c r="V158" s="269"/>
      <c r="W158" s="269"/>
    </row>
    <row r="159" spans="2:23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  <c r="R159" s="269"/>
      <c r="S159" s="269"/>
      <c r="T159" s="269"/>
      <c r="U159" s="269"/>
      <c r="V159" s="269"/>
      <c r="W159" s="269"/>
    </row>
    <row r="160" spans="2:23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  <c r="R160" s="269"/>
      <c r="S160" s="269"/>
      <c r="T160" s="269"/>
      <c r="U160" s="269"/>
      <c r="V160" s="269"/>
      <c r="W160" s="269"/>
    </row>
    <row r="161" spans="3:23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  <c r="R161" s="269"/>
      <c r="S161" s="269"/>
      <c r="T161" s="269"/>
      <c r="U161" s="269"/>
      <c r="V161" s="269"/>
      <c r="W161" s="269"/>
    </row>
    <row r="162" spans="3:23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  <c r="R162" s="269"/>
      <c r="S162" s="269"/>
      <c r="T162" s="269"/>
      <c r="U162" s="269"/>
      <c r="V162" s="269"/>
      <c r="W162" s="269"/>
    </row>
  </sheetData>
  <phoneticPr fontId="0" type="noConversion"/>
  <conditionalFormatting sqref="C17:C72">
    <cfRule type="cellIs" dxfId="133" priority="1" stopIfTrue="1" operator="equal">
      <formula>$I$10</formula>
    </cfRule>
  </conditionalFormatting>
  <conditionalFormatting sqref="C99:C154">
    <cfRule type="cellIs" dxfId="13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Q162"/>
  <sheetViews>
    <sheetView view="pageBreakPreview" topLeftCell="A79" zoomScale="75" zoomScaleNormal="100" zoomScaleSheetLayoutView="75" workbookViewId="0">
      <selection activeCell="L111" sqref="L111:N1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15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35078.207860917915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35078.207860917915</v>
      </c>
      <c r="O6" s="269"/>
      <c r="P6" s="269"/>
    </row>
    <row r="7" spans="1:17" ht="13.5" thickBot="1">
      <c r="C7" s="467" t="s">
        <v>48</v>
      </c>
      <c r="D7" s="468" t="s">
        <v>244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153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372149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8860.6904761904771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508">
        <v>367119</v>
      </c>
      <c r="E17" s="509">
        <v>10058</v>
      </c>
      <c r="F17" s="508">
        <v>357061</v>
      </c>
      <c r="G17" s="509">
        <v>37924</v>
      </c>
      <c r="H17" s="510">
        <v>37924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515">
        <v>357061</v>
      </c>
      <c r="E18" s="516">
        <v>10058</v>
      </c>
      <c r="F18" s="515">
        <v>347003</v>
      </c>
      <c r="G18" s="516">
        <v>63360</v>
      </c>
      <c r="H18" s="510">
        <v>63360</v>
      </c>
      <c r="I18" s="596">
        <f t="shared" si="0"/>
        <v>0</v>
      </c>
      <c r="J18" s="511"/>
      <c r="K18" s="518">
        <v>63360</v>
      </c>
      <c r="L18" s="514">
        <f t="shared" si="1"/>
        <v>0</v>
      </c>
      <c r="M18" s="518">
        <v>63360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2009</v>
      </c>
      <c r="D19" s="515">
        <v>238456</v>
      </c>
      <c r="E19" s="516">
        <v>6701</v>
      </c>
      <c r="F19" s="515">
        <v>231755</v>
      </c>
      <c r="G19" s="516">
        <v>42221</v>
      </c>
      <c r="H19" s="510">
        <v>42221</v>
      </c>
      <c r="I19" s="596">
        <f t="shared" si="0"/>
        <v>0</v>
      </c>
      <c r="J19" s="511"/>
      <c r="K19" s="518">
        <v>42221</v>
      </c>
      <c r="L19" s="519">
        <f t="shared" si="1"/>
        <v>0</v>
      </c>
      <c r="M19" s="518">
        <v>42221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4">IF(D20=F19,"","IU")</f>
        <v>IU</v>
      </c>
      <c r="C20" s="507">
        <f>IF(D11="","-",+C19+1)</f>
        <v>2010</v>
      </c>
      <c r="D20" s="515">
        <v>221133</v>
      </c>
      <c r="E20" s="516">
        <v>6525</v>
      </c>
      <c r="F20" s="515">
        <v>214608</v>
      </c>
      <c r="G20" s="516">
        <v>37378.118954636928</v>
      </c>
      <c r="H20" s="510">
        <v>37378.118954636928</v>
      </c>
      <c r="I20" s="517">
        <v>0</v>
      </c>
      <c r="J20" s="511"/>
      <c r="K20" s="518">
        <f t="shared" ref="K20:K25" si="5">G20</f>
        <v>37378.118954636928</v>
      </c>
      <c r="L20" s="519">
        <f t="shared" si="1"/>
        <v>0</v>
      </c>
      <c r="M20" s="518">
        <f t="shared" ref="M20:M25" si="6">H20</f>
        <v>37378.118954636928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4"/>
        <v>IU</v>
      </c>
      <c r="C21" s="507">
        <f>IF(D12="","-",+C20+1)</f>
        <v>2011</v>
      </c>
      <c r="D21" s="515">
        <v>338807</v>
      </c>
      <c r="E21" s="516">
        <v>9076.8048780487807</v>
      </c>
      <c r="F21" s="515">
        <v>329730.19512195123</v>
      </c>
      <c r="G21" s="516">
        <v>60578.084314414227</v>
      </c>
      <c r="H21" s="510">
        <v>60578.084314414227</v>
      </c>
      <c r="I21" s="517">
        <v>0</v>
      </c>
      <c r="J21" s="511"/>
      <c r="K21" s="518">
        <f t="shared" si="5"/>
        <v>60578.084314414227</v>
      </c>
      <c r="L21" s="519">
        <f t="shared" si="1"/>
        <v>0</v>
      </c>
      <c r="M21" s="518">
        <f t="shared" si="6"/>
        <v>60578.084314414227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4"/>
        <v/>
      </c>
      <c r="C22" s="507">
        <f>IF(D11="","-",+C21+1)</f>
        <v>2012</v>
      </c>
      <c r="D22" s="515">
        <v>329730.19512195123</v>
      </c>
      <c r="E22" s="520">
        <v>8860.6904761904771</v>
      </c>
      <c r="F22" s="515">
        <v>320869.50464576075</v>
      </c>
      <c r="G22" s="516">
        <v>56580.448150459459</v>
      </c>
      <c r="H22" s="510">
        <v>56580.448150459459</v>
      </c>
      <c r="I22" s="517">
        <v>0</v>
      </c>
      <c r="J22" s="511"/>
      <c r="K22" s="518">
        <f t="shared" si="5"/>
        <v>56580.448150459459</v>
      </c>
      <c r="L22" s="519">
        <f t="shared" si="1"/>
        <v>0</v>
      </c>
      <c r="M22" s="518">
        <f t="shared" si="6"/>
        <v>56580.448150459459</v>
      </c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4"/>
        <v/>
      </c>
      <c r="C23" s="507">
        <f>IF(D11="","-",+C22+1)</f>
        <v>2013</v>
      </c>
      <c r="D23" s="608">
        <v>320869.50464576075</v>
      </c>
      <c r="E23" s="609">
        <v>8860.6904761904771</v>
      </c>
      <c r="F23" s="608">
        <v>312008.81416957028</v>
      </c>
      <c r="G23" s="609">
        <v>52537.893953719817</v>
      </c>
      <c r="H23" s="610">
        <v>52537.893953719817</v>
      </c>
      <c r="I23" s="596">
        <v>0</v>
      </c>
      <c r="J23" s="511"/>
      <c r="K23" s="518">
        <f t="shared" si="5"/>
        <v>52537.893953719817</v>
      </c>
      <c r="L23" s="519">
        <f t="shared" ref="L23:L28" si="7">IF(K23&lt;&gt;0,+G23-K23,0)</f>
        <v>0</v>
      </c>
      <c r="M23" s="518">
        <f t="shared" si="6"/>
        <v>52537.893953719817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</row>
    <row r="24" spans="2:16" ht="12.5">
      <c r="B24" s="195" t="str">
        <f t="shared" si="4"/>
        <v/>
      </c>
      <c r="C24" s="507">
        <f>IF(D11="","-",+C23+1)</f>
        <v>2014</v>
      </c>
      <c r="D24" s="608">
        <v>312008.81416957028</v>
      </c>
      <c r="E24" s="609">
        <v>8860.6904761904771</v>
      </c>
      <c r="F24" s="608">
        <v>303148.12369337981</v>
      </c>
      <c r="G24" s="609">
        <v>49758.557918696577</v>
      </c>
      <c r="H24" s="610">
        <v>49758.557918696577</v>
      </c>
      <c r="I24" s="596">
        <v>0</v>
      </c>
      <c r="J24" s="511"/>
      <c r="K24" s="518">
        <f t="shared" si="5"/>
        <v>49758.557918696577</v>
      </c>
      <c r="L24" s="519">
        <f t="shared" si="7"/>
        <v>0</v>
      </c>
      <c r="M24" s="518">
        <f t="shared" si="6"/>
        <v>49758.557918696577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4"/>
        <v/>
      </c>
      <c r="C25" s="507">
        <f>IF(D11="","-",+C24+1)</f>
        <v>2015</v>
      </c>
      <c r="D25" s="608">
        <v>303148.12369337981</v>
      </c>
      <c r="E25" s="609">
        <v>8860.6904761904771</v>
      </c>
      <c r="F25" s="608">
        <v>294287.43321718933</v>
      </c>
      <c r="G25" s="609">
        <v>47619.758297536755</v>
      </c>
      <c r="H25" s="610">
        <v>47619.758297536755</v>
      </c>
      <c r="I25" s="511">
        <v>0</v>
      </c>
      <c r="J25" s="511"/>
      <c r="K25" s="518">
        <f t="shared" si="5"/>
        <v>47619.758297536755</v>
      </c>
      <c r="L25" s="519">
        <f t="shared" si="7"/>
        <v>0</v>
      </c>
      <c r="M25" s="518">
        <f t="shared" si="6"/>
        <v>47619.758297536755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4"/>
        <v/>
      </c>
      <c r="C26" s="507">
        <f>IF(D11="","-",+C25+1)</f>
        <v>2016</v>
      </c>
      <c r="D26" s="608">
        <v>294287.43321718933</v>
      </c>
      <c r="E26" s="609">
        <v>8860.6904761904771</v>
      </c>
      <c r="F26" s="608">
        <v>285426.74274099886</v>
      </c>
      <c r="G26" s="609">
        <v>45988.994041670856</v>
      </c>
      <c r="H26" s="610">
        <v>45988.994041670856</v>
      </c>
      <c r="I26" s="511">
        <f t="shared" si="0"/>
        <v>0</v>
      </c>
      <c r="J26" s="511"/>
      <c r="K26" s="518">
        <f>G26</f>
        <v>45988.994041670856</v>
      </c>
      <c r="L26" s="519">
        <f t="shared" si="7"/>
        <v>0</v>
      </c>
      <c r="M26" s="518">
        <f>H26</f>
        <v>45988.994041670856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4"/>
        <v/>
      </c>
      <c r="C27" s="507">
        <f>IF(D11="","-",+C26+1)</f>
        <v>2017</v>
      </c>
      <c r="D27" s="608">
        <v>285426.74274099886</v>
      </c>
      <c r="E27" s="609">
        <v>8654.6279069767443</v>
      </c>
      <c r="F27" s="608">
        <v>276772.11483402213</v>
      </c>
      <c r="G27" s="609">
        <v>43480.748337588419</v>
      </c>
      <c r="H27" s="610">
        <v>43480.748337588419</v>
      </c>
      <c r="I27" s="511">
        <f t="shared" si="0"/>
        <v>0</v>
      </c>
      <c r="J27" s="511"/>
      <c r="K27" s="518">
        <f>G27</f>
        <v>43480.748337588419</v>
      </c>
      <c r="L27" s="519">
        <f t="shared" si="7"/>
        <v>0</v>
      </c>
      <c r="M27" s="518">
        <f>H27</f>
        <v>43480.748337588419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4"/>
        <v/>
      </c>
      <c r="C28" s="507">
        <f>IF(D11="","-",+C27+1)</f>
        <v>2018</v>
      </c>
      <c r="D28" s="608">
        <v>276772.11483402213</v>
      </c>
      <c r="E28" s="609">
        <v>9076.8048780487807</v>
      </c>
      <c r="F28" s="608">
        <v>267695.30995597335</v>
      </c>
      <c r="G28" s="609">
        <v>43676.103252785928</v>
      </c>
      <c r="H28" s="610">
        <v>43676.103252785928</v>
      </c>
      <c r="I28" s="511">
        <f t="shared" si="0"/>
        <v>0</v>
      </c>
      <c r="J28" s="511"/>
      <c r="K28" s="518">
        <f>G28</f>
        <v>43676.103252785928</v>
      </c>
      <c r="L28" s="519">
        <f t="shared" si="7"/>
        <v>0</v>
      </c>
      <c r="M28" s="518">
        <f>H28</f>
        <v>43676.103252785928</v>
      </c>
      <c r="N28" s="514">
        <f t="shared" si="8"/>
        <v>0</v>
      </c>
      <c r="O28" s="514">
        <f t="shared" si="9"/>
        <v>0</v>
      </c>
      <c r="P28" s="272"/>
    </row>
    <row r="29" spans="2:16" ht="12.5">
      <c r="B29" s="195" t="str">
        <f t="shared" si="4"/>
        <v/>
      </c>
      <c r="C29" s="507">
        <f>IF(D11="","-",+C28+1)</f>
        <v>2019</v>
      </c>
      <c r="D29" s="608">
        <v>267695.30995597335</v>
      </c>
      <c r="E29" s="609">
        <v>9076.8048780487807</v>
      </c>
      <c r="F29" s="608">
        <v>258618.50507792458</v>
      </c>
      <c r="G29" s="609">
        <v>42522.494915662697</v>
      </c>
      <c r="H29" s="610">
        <v>42522.494915662697</v>
      </c>
      <c r="I29" s="511">
        <f t="shared" si="0"/>
        <v>0</v>
      </c>
      <c r="J29" s="511"/>
      <c r="K29" s="518">
        <f>G29</f>
        <v>42522.494915662697</v>
      </c>
      <c r="L29" s="519">
        <f t="shared" ref="L29" si="10">IF(K29&lt;&gt;0,+G29-K29,0)</f>
        <v>0</v>
      </c>
      <c r="M29" s="518">
        <f>H29</f>
        <v>42522.494915662697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4"/>
        <v/>
      </c>
      <c r="C30" s="507">
        <f>IF(D11="","-",+C29+1)</f>
        <v>2020</v>
      </c>
      <c r="D30" s="608">
        <v>258618.50507792458</v>
      </c>
      <c r="E30" s="609">
        <v>9076.8048780487807</v>
      </c>
      <c r="F30" s="608">
        <v>249541.70019987581</v>
      </c>
      <c r="G30" s="609">
        <v>35078.207860917915</v>
      </c>
      <c r="H30" s="610">
        <v>35078.207860917915</v>
      </c>
      <c r="I30" s="511">
        <f t="shared" si="0"/>
        <v>0</v>
      </c>
      <c r="J30" s="511"/>
      <c r="K30" s="518">
        <f>G30</f>
        <v>35078.207860917915</v>
      </c>
      <c r="L30" s="519">
        <f t="shared" ref="L30" si="11">IF(K30&lt;&gt;0,+G30-K30,0)</f>
        <v>0</v>
      </c>
      <c r="M30" s="518">
        <f>H30</f>
        <v>35078.207860917915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4"/>
        <v/>
      </c>
      <c r="C31" s="507">
        <f>IF(D11="","-",+C30+1)</f>
        <v>2021</v>
      </c>
      <c r="D31" s="523">
        <f>IF(F30+SUM(E$17:E30)=D$10,F30,D$10-SUM(E$17:E30))</f>
        <v>249541.70019987581</v>
      </c>
      <c r="E31" s="522">
        <f>IF(+I14&lt;F30,I14,D31)</f>
        <v>8860.6904761904771</v>
      </c>
      <c r="F31" s="523">
        <f t="shared" ref="F31:F48" si="12">+D31-E31</f>
        <v>240681.00972368533</v>
      </c>
      <c r="G31" s="524">
        <f t="shared" ref="G31:G72" si="13">+I$12*((D31+F31)/2)+E31</f>
        <v>35042.988758898915</v>
      </c>
      <c r="H31" s="491">
        <f t="shared" ref="H31:H72" si="14">+I$13*((D31+F31)/2)+E31</f>
        <v>35042.988758898915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4"/>
        <v/>
      </c>
      <c r="C32" s="507">
        <f>IF(D11="","-",+C31+1)</f>
        <v>2022</v>
      </c>
      <c r="D32" s="523">
        <f>IF(F31+SUM(E$17:E31)=D$10,F31,D$10-SUM(E$17:E31))</f>
        <v>240681.00972368533</v>
      </c>
      <c r="E32" s="522">
        <f>IF(+I14&lt;F31,I14,D32)</f>
        <v>8860.6904761904771</v>
      </c>
      <c r="F32" s="523">
        <f t="shared" si="12"/>
        <v>231820.31924749486</v>
      </c>
      <c r="G32" s="524">
        <f t="shared" si="13"/>
        <v>34096.507756113278</v>
      </c>
      <c r="H32" s="491">
        <f t="shared" si="14"/>
        <v>34096.507756113278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4"/>
        <v/>
      </c>
      <c r="C33" s="507">
        <f>IF(D11="","-",+C32+1)</f>
        <v>2023</v>
      </c>
      <c r="D33" s="523">
        <f>IF(F32+SUM(E$17:E32)=D$10,F32,D$10-SUM(E$17:E32))</f>
        <v>231820.31924749486</v>
      </c>
      <c r="E33" s="522">
        <f>IF(+I14&lt;F32,I14,D33)</f>
        <v>8860.6904761904771</v>
      </c>
      <c r="F33" s="523">
        <f t="shared" si="12"/>
        <v>222959.62877130439</v>
      </c>
      <c r="G33" s="524">
        <f t="shared" si="13"/>
        <v>33150.026753327635</v>
      </c>
      <c r="H33" s="491">
        <f t="shared" si="14"/>
        <v>33150.026753327635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4"/>
        <v/>
      </c>
      <c r="C34" s="507">
        <f>IF(D11="","-",+C33+1)</f>
        <v>2024</v>
      </c>
      <c r="D34" s="523">
        <f>IF(F33+SUM(E$17:E33)=D$10,F33,D$10-SUM(E$17:E33))</f>
        <v>222959.62877130439</v>
      </c>
      <c r="E34" s="522">
        <f>IF(+I14&lt;F33,I14,D34)</f>
        <v>8860.6904761904771</v>
      </c>
      <c r="F34" s="523">
        <f t="shared" si="12"/>
        <v>214098.93829511391</v>
      </c>
      <c r="G34" s="524">
        <f t="shared" si="13"/>
        <v>32203.545750541998</v>
      </c>
      <c r="H34" s="491">
        <f t="shared" si="14"/>
        <v>32203.545750541998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4"/>
        <v/>
      </c>
      <c r="C35" s="507">
        <f>IF(D11="","-",+C34+1)</f>
        <v>2025</v>
      </c>
      <c r="D35" s="523">
        <f>IF(F34+SUM(E$17:E34)=D$10,F34,D$10-SUM(E$17:E34))</f>
        <v>214098.93829511391</v>
      </c>
      <c r="E35" s="522">
        <f>IF(+I14&lt;F34,I14,D35)</f>
        <v>8860.6904761904771</v>
      </c>
      <c r="F35" s="523">
        <f t="shared" si="12"/>
        <v>205238.24781892344</v>
      </c>
      <c r="G35" s="524">
        <f t="shared" si="13"/>
        <v>31257.064747756358</v>
      </c>
      <c r="H35" s="491">
        <f t="shared" si="14"/>
        <v>31257.064747756358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4"/>
        <v/>
      </c>
      <c r="C36" s="507">
        <f>IF(D11="","-",+C35+1)</f>
        <v>2026</v>
      </c>
      <c r="D36" s="523">
        <f>IF(F35+SUM(E$17:E35)=D$10,F35,D$10-SUM(E$17:E35))</f>
        <v>205238.24781892344</v>
      </c>
      <c r="E36" s="522">
        <f>IF(+I14&lt;F35,I14,D36)</f>
        <v>8860.6904761904771</v>
      </c>
      <c r="F36" s="523">
        <f t="shared" si="12"/>
        <v>196377.55734273297</v>
      </c>
      <c r="G36" s="524">
        <f t="shared" si="13"/>
        <v>30310.583744970718</v>
      </c>
      <c r="H36" s="491">
        <f t="shared" si="14"/>
        <v>30310.583744970718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4"/>
        <v/>
      </c>
      <c r="C37" s="507">
        <f>IF(D11="","-",+C36+1)</f>
        <v>2027</v>
      </c>
      <c r="D37" s="523">
        <f>IF(F36+SUM(E$17:E36)=D$10,F36,D$10-SUM(E$17:E36))</f>
        <v>196377.55734273297</v>
      </c>
      <c r="E37" s="522">
        <f>IF(+I14&lt;F36,I14,D37)</f>
        <v>8860.6904761904771</v>
      </c>
      <c r="F37" s="523">
        <f t="shared" si="12"/>
        <v>187516.86686654249</v>
      </c>
      <c r="G37" s="524">
        <f t="shared" si="13"/>
        <v>29364.102742185078</v>
      </c>
      <c r="H37" s="491">
        <f t="shared" si="14"/>
        <v>29364.102742185078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4"/>
        <v/>
      </c>
      <c r="C38" s="507">
        <f>IF(D11="","-",+C37+1)</f>
        <v>2028</v>
      </c>
      <c r="D38" s="523">
        <f>IF(F37+SUM(E$17:E37)=D$10,F37,D$10-SUM(E$17:E37))</f>
        <v>187516.86686654249</v>
      </c>
      <c r="E38" s="522">
        <f>IF(+I14&lt;F37,I14,D38)</f>
        <v>8860.6904761904771</v>
      </c>
      <c r="F38" s="523">
        <f t="shared" si="12"/>
        <v>178656.17639035202</v>
      </c>
      <c r="G38" s="524">
        <f t="shared" si="13"/>
        <v>28417.621739399441</v>
      </c>
      <c r="H38" s="491">
        <f t="shared" si="14"/>
        <v>28417.621739399441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4"/>
        <v/>
      </c>
      <c r="C39" s="507">
        <f>IF(D11="","-",+C38+1)</f>
        <v>2029</v>
      </c>
      <c r="D39" s="523">
        <f>IF(F38+SUM(E$17:E38)=D$10,F38,D$10-SUM(E$17:E38))</f>
        <v>178656.17639035202</v>
      </c>
      <c r="E39" s="522">
        <f>IF(+I14&lt;F38,I14,D39)</f>
        <v>8860.6904761904771</v>
      </c>
      <c r="F39" s="523">
        <f t="shared" si="12"/>
        <v>169795.48591416155</v>
      </c>
      <c r="G39" s="524">
        <f t="shared" si="13"/>
        <v>27471.140736613801</v>
      </c>
      <c r="H39" s="491">
        <f t="shared" si="14"/>
        <v>27471.140736613801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4"/>
        <v/>
      </c>
      <c r="C40" s="507">
        <f>IF(D11="","-",+C39+1)</f>
        <v>2030</v>
      </c>
      <c r="D40" s="523">
        <f>IF(F39+SUM(E$17:E39)=D$10,F39,D$10-SUM(E$17:E39))</f>
        <v>169795.48591416155</v>
      </c>
      <c r="E40" s="522">
        <f>IF(+I14&lt;F39,I14,D40)</f>
        <v>8860.6904761904771</v>
      </c>
      <c r="F40" s="523">
        <f t="shared" si="12"/>
        <v>160934.79543797107</v>
      </c>
      <c r="G40" s="524">
        <f t="shared" si="13"/>
        <v>26524.659733828161</v>
      </c>
      <c r="H40" s="491">
        <f t="shared" si="14"/>
        <v>26524.659733828161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4"/>
        <v/>
      </c>
      <c r="C41" s="507">
        <f>IF(D11="","-",+C40+1)</f>
        <v>2031</v>
      </c>
      <c r="D41" s="523">
        <f>IF(F40+SUM(E$17:E40)=D$10,F40,D$10-SUM(E$17:E40))</f>
        <v>160934.79543797107</v>
      </c>
      <c r="E41" s="522">
        <f>IF(+I14&lt;F40,I14,D41)</f>
        <v>8860.6904761904771</v>
      </c>
      <c r="F41" s="523">
        <f t="shared" si="12"/>
        <v>152074.1049617806</v>
      </c>
      <c r="G41" s="524">
        <f t="shared" si="13"/>
        <v>25578.178731042521</v>
      </c>
      <c r="H41" s="491">
        <f t="shared" si="14"/>
        <v>25578.178731042521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4"/>
        <v/>
      </c>
      <c r="C42" s="507">
        <f>IF(D11="","-",+C41+1)</f>
        <v>2032</v>
      </c>
      <c r="D42" s="523">
        <f>IF(F41+SUM(E$17:E41)=D$10,F41,D$10-SUM(E$17:E41))</f>
        <v>152074.1049617806</v>
      </c>
      <c r="E42" s="522">
        <f>IF(+I14&lt;F41,I14,D42)</f>
        <v>8860.6904761904771</v>
      </c>
      <c r="F42" s="523">
        <f t="shared" si="12"/>
        <v>143213.41448559012</v>
      </c>
      <c r="G42" s="524">
        <f t="shared" si="13"/>
        <v>24631.697728256884</v>
      </c>
      <c r="H42" s="491">
        <f t="shared" si="14"/>
        <v>24631.697728256884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4"/>
        <v/>
      </c>
      <c r="C43" s="507">
        <f>IF(D11="","-",+C42+1)</f>
        <v>2033</v>
      </c>
      <c r="D43" s="523">
        <f>IF(F42+SUM(E$17:E42)=D$10,F42,D$10-SUM(E$17:E42))</f>
        <v>143213.41448559012</v>
      </c>
      <c r="E43" s="522">
        <f>IF(+I14&lt;F42,I14,D43)</f>
        <v>8860.6904761904771</v>
      </c>
      <c r="F43" s="523">
        <f t="shared" si="12"/>
        <v>134352.72400939965</v>
      </c>
      <c r="G43" s="524">
        <f t="shared" si="13"/>
        <v>23685.216725471244</v>
      </c>
      <c r="H43" s="491">
        <f t="shared" si="14"/>
        <v>23685.216725471244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4"/>
        <v/>
      </c>
      <c r="C44" s="507">
        <f>IF(D11="","-",+C43+1)</f>
        <v>2034</v>
      </c>
      <c r="D44" s="523">
        <f>IF(F43+SUM(E$17:E43)=D$10,F43,D$10-SUM(E$17:E43))</f>
        <v>134352.72400939965</v>
      </c>
      <c r="E44" s="522">
        <f>IF(+I14&lt;F43,I14,D44)</f>
        <v>8860.6904761904771</v>
      </c>
      <c r="F44" s="523">
        <f t="shared" si="12"/>
        <v>125492.03353320918</v>
      </c>
      <c r="G44" s="524">
        <f t="shared" si="13"/>
        <v>22738.735722685604</v>
      </c>
      <c r="H44" s="491">
        <f t="shared" si="14"/>
        <v>22738.735722685604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4"/>
        <v/>
      </c>
      <c r="C45" s="507">
        <f>IF(D11="","-",+C44+1)</f>
        <v>2035</v>
      </c>
      <c r="D45" s="523">
        <f>IF(F44+SUM(E$17:E44)=D$10,F44,D$10-SUM(E$17:E44))</f>
        <v>125492.03353320918</v>
      </c>
      <c r="E45" s="522">
        <f>IF(+I14&lt;F44,I14,D45)</f>
        <v>8860.6904761904771</v>
      </c>
      <c r="F45" s="523">
        <f t="shared" si="12"/>
        <v>116631.3430570187</v>
      </c>
      <c r="G45" s="524">
        <f t="shared" si="13"/>
        <v>21792.254719899967</v>
      </c>
      <c r="H45" s="491">
        <f t="shared" si="14"/>
        <v>21792.254719899967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4"/>
        <v/>
      </c>
      <c r="C46" s="507">
        <f>IF(D11="","-",+C45+1)</f>
        <v>2036</v>
      </c>
      <c r="D46" s="523">
        <f>IF(F45+SUM(E$17:E45)=D$10,F45,D$10-SUM(E$17:E45))</f>
        <v>116631.3430570187</v>
      </c>
      <c r="E46" s="522">
        <f>IF(+I14&lt;F45,I14,D46)</f>
        <v>8860.6904761904771</v>
      </c>
      <c r="F46" s="523">
        <f t="shared" si="12"/>
        <v>107770.65258082823</v>
      </c>
      <c r="G46" s="524">
        <f t="shared" si="13"/>
        <v>20845.773717114324</v>
      </c>
      <c r="H46" s="491">
        <f t="shared" si="14"/>
        <v>20845.773717114324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4"/>
        <v/>
      </c>
      <c r="C47" s="507">
        <f>IF(D11="","-",+C46+1)</f>
        <v>2037</v>
      </c>
      <c r="D47" s="523">
        <f>IF(F46+SUM(E$17:E46)=D$10,F46,D$10-SUM(E$17:E46))</f>
        <v>107770.65258082823</v>
      </c>
      <c r="E47" s="522">
        <f>IF(+I14&lt;F46,I14,D47)</f>
        <v>8860.6904761904771</v>
      </c>
      <c r="F47" s="523">
        <f t="shared" si="12"/>
        <v>98909.962104637758</v>
      </c>
      <c r="G47" s="524">
        <f t="shared" si="13"/>
        <v>19899.292714328687</v>
      </c>
      <c r="H47" s="491">
        <f t="shared" si="14"/>
        <v>19899.292714328687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4"/>
        <v/>
      </c>
      <c r="C48" s="507">
        <f>IF(D11="","-",+C47+1)</f>
        <v>2038</v>
      </c>
      <c r="D48" s="523">
        <f>IF(F47+SUM(E$17:E47)=D$10,F47,D$10-SUM(E$17:E47))</f>
        <v>98909.962104637758</v>
      </c>
      <c r="E48" s="522">
        <f>IF(+I14&lt;F47,I14,D48)</f>
        <v>8860.6904761904771</v>
      </c>
      <c r="F48" s="523">
        <f t="shared" si="12"/>
        <v>90049.271628447284</v>
      </c>
      <c r="G48" s="524">
        <f t="shared" si="13"/>
        <v>18952.811711543047</v>
      </c>
      <c r="H48" s="491">
        <f t="shared" si="14"/>
        <v>18952.811711543047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4"/>
        <v/>
      </c>
      <c r="C49" s="507">
        <f>IF(D11="","-",+C48+1)</f>
        <v>2039</v>
      </c>
      <c r="D49" s="523">
        <f>IF(F48+SUM(E$17:E48)=D$10,F48,D$10-SUM(E$17:E48))</f>
        <v>90049.271628447284</v>
      </c>
      <c r="E49" s="522">
        <f>IF(+I14&lt;F48,I14,D49)</f>
        <v>8860.6904761904771</v>
      </c>
      <c r="F49" s="523">
        <f t="shared" ref="F49:F72" si="15">+D49-E49</f>
        <v>81188.581152256811</v>
      </c>
      <c r="G49" s="524">
        <f t="shared" si="13"/>
        <v>18006.330708757407</v>
      </c>
      <c r="H49" s="491">
        <f t="shared" si="14"/>
        <v>18006.330708757407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4"/>
        <v/>
      </c>
      <c r="C50" s="507">
        <f>IF(D11="","-",+C49+1)</f>
        <v>2040</v>
      </c>
      <c r="D50" s="523">
        <f>IF(F49+SUM(E$17:E49)=D$10,F49,D$10-SUM(E$17:E49))</f>
        <v>81188.581152256811</v>
      </c>
      <c r="E50" s="522">
        <f>IF(+I14&lt;F49,I14,D50)</f>
        <v>8860.6904761904771</v>
      </c>
      <c r="F50" s="523">
        <f t="shared" si="15"/>
        <v>72327.890676066338</v>
      </c>
      <c r="G50" s="524">
        <f t="shared" si="13"/>
        <v>17059.84970597177</v>
      </c>
      <c r="H50" s="491">
        <f t="shared" si="14"/>
        <v>17059.84970597177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4"/>
        <v/>
      </c>
      <c r="C51" s="507">
        <f>IF(D11="","-",+C50+1)</f>
        <v>2041</v>
      </c>
      <c r="D51" s="523">
        <f>IF(F50+SUM(E$17:E50)=D$10,F50,D$10-SUM(E$17:E50))</f>
        <v>72327.890676066338</v>
      </c>
      <c r="E51" s="522">
        <f>IF(+I14&lt;F50,I14,D51)</f>
        <v>8860.6904761904771</v>
      </c>
      <c r="F51" s="523">
        <f t="shared" si="15"/>
        <v>63467.200199875864</v>
      </c>
      <c r="G51" s="524">
        <f t="shared" si="13"/>
        <v>16113.36870318613</v>
      </c>
      <c r="H51" s="491">
        <f t="shared" si="14"/>
        <v>16113.36870318613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4"/>
        <v/>
      </c>
      <c r="C52" s="507">
        <f>IF(D11="","-",+C51+1)</f>
        <v>2042</v>
      </c>
      <c r="D52" s="523">
        <f>IF(F51+SUM(E$17:E51)=D$10,F51,D$10-SUM(E$17:E51))</f>
        <v>63467.200199875864</v>
      </c>
      <c r="E52" s="522">
        <f>IF(+I14&lt;F51,I14,D52)</f>
        <v>8860.6904761904771</v>
      </c>
      <c r="F52" s="523">
        <f t="shared" si="15"/>
        <v>54606.509723685391</v>
      </c>
      <c r="G52" s="524">
        <f t="shared" si="13"/>
        <v>15166.88770040049</v>
      </c>
      <c r="H52" s="491">
        <f t="shared" si="14"/>
        <v>15166.88770040049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4"/>
        <v/>
      </c>
      <c r="C53" s="507">
        <f>IF(D11="","-",+C52+1)</f>
        <v>2043</v>
      </c>
      <c r="D53" s="523">
        <f>IF(F52+SUM(E$17:E52)=D$10,F52,D$10-SUM(E$17:E52))</f>
        <v>54606.509723685391</v>
      </c>
      <c r="E53" s="522">
        <f>IF(+I14&lt;F52,I14,D53)</f>
        <v>8860.6904761904771</v>
      </c>
      <c r="F53" s="523">
        <f t="shared" si="15"/>
        <v>45745.819247494917</v>
      </c>
      <c r="G53" s="524">
        <f t="shared" si="13"/>
        <v>14220.406697614852</v>
      </c>
      <c r="H53" s="491">
        <f t="shared" si="14"/>
        <v>14220.406697614852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4"/>
        <v/>
      </c>
      <c r="C54" s="507">
        <f>IF(D11="","-",+C53+1)</f>
        <v>2044</v>
      </c>
      <c r="D54" s="523">
        <f>IF(F53+SUM(E$17:E53)=D$10,F53,D$10-SUM(E$17:E53))</f>
        <v>45745.819247494917</v>
      </c>
      <c r="E54" s="522">
        <f>IF(+I14&lt;F53,I14,D54)</f>
        <v>8860.6904761904771</v>
      </c>
      <c r="F54" s="523">
        <f t="shared" si="15"/>
        <v>36885.128771304444</v>
      </c>
      <c r="G54" s="524">
        <f t="shared" si="13"/>
        <v>13273.925694829213</v>
      </c>
      <c r="H54" s="491">
        <f t="shared" si="14"/>
        <v>13273.925694829213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4"/>
        <v/>
      </c>
      <c r="C55" s="507">
        <f>IF(D11="","-",+C54+1)</f>
        <v>2045</v>
      </c>
      <c r="D55" s="523">
        <f>IF(F54+SUM(E$17:E54)=D$10,F54,D$10-SUM(E$17:E54))</f>
        <v>36885.128771304444</v>
      </c>
      <c r="E55" s="522">
        <f>IF(+I14&lt;F54,I14,D55)</f>
        <v>8860.6904761904771</v>
      </c>
      <c r="F55" s="523">
        <f t="shared" si="15"/>
        <v>28024.438295113967</v>
      </c>
      <c r="G55" s="524">
        <f t="shared" si="13"/>
        <v>12327.444692043573</v>
      </c>
      <c r="H55" s="491">
        <f t="shared" si="14"/>
        <v>12327.444692043573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4"/>
        <v/>
      </c>
      <c r="C56" s="507">
        <f>IF(D11="","-",+C55+1)</f>
        <v>2046</v>
      </c>
      <c r="D56" s="523">
        <f>IF(F55+SUM(E$17:E55)=D$10,F55,D$10-SUM(E$17:E55))</f>
        <v>28024.438295113967</v>
      </c>
      <c r="E56" s="522">
        <f>IF(+I14&lt;F55,I14,D56)</f>
        <v>8860.6904761904771</v>
      </c>
      <c r="F56" s="523">
        <f t="shared" si="15"/>
        <v>19163.74781892349</v>
      </c>
      <c r="G56" s="524">
        <f t="shared" si="13"/>
        <v>11380.963689257933</v>
      </c>
      <c r="H56" s="491">
        <f t="shared" si="14"/>
        <v>11380.963689257933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4"/>
        <v/>
      </c>
      <c r="C57" s="507">
        <f>IF(D11="","-",+C56+1)</f>
        <v>2047</v>
      </c>
      <c r="D57" s="523">
        <f>IF(F56+SUM(E$17:E56)=D$10,F56,D$10-SUM(E$17:E56))</f>
        <v>19163.74781892349</v>
      </c>
      <c r="E57" s="522">
        <f>IF(+I14&lt;F56,I14,D57)</f>
        <v>8860.6904761904771</v>
      </c>
      <c r="F57" s="523">
        <f t="shared" si="15"/>
        <v>10303.057342733013</v>
      </c>
      <c r="G57" s="524">
        <f t="shared" si="13"/>
        <v>10434.482686472295</v>
      </c>
      <c r="H57" s="491">
        <f t="shared" si="14"/>
        <v>10434.482686472295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4"/>
        <v/>
      </c>
      <c r="C58" s="507">
        <f>IF(D11="","-",+C57+1)</f>
        <v>2048</v>
      </c>
      <c r="D58" s="523">
        <f>IF(F57+SUM(E$17:E57)=D$10,F57,D$10-SUM(E$17:E57))</f>
        <v>10303.057342733013</v>
      </c>
      <c r="E58" s="522">
        <f>IF(+I14&lt;F57,I14,D58)</f>
        <v>8860.6904761904771</v>
      </c>
      <c r="F58" s="523">
        <f t="shared" si="15"/>
        <v>1442.3668665425357</v>
      </c>
      <c r="G58" s="524">
        <f t="shared" si="13"/>
        <v>9488.0016836866544</v>
      </c>
      <c r="H58" s="491">
        <f t="shared" si="14"/>
        <v>9488.0016836866544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4"/>
        <v/>
      </c>
      <c r="C59" s="507">
        <f>IF(D11="","-",+C58+1)</f>
        <v>2049</v>
      </c>
      <c r="D59" s="523">
        <f>IF(F58+SUM(E$17:E58)=D$10,F58,D$10-SUM(E$17:E58))</f>
        <v>1442.3668665425357</v>
      </c>
      <c r="E59" s="522">
        <f>IF(+I14&lt;F58,I14,D59)</f>
        <v>1442.3668665425357</v>
      </c>
      <c r="F59" s="523">
        <f t="shared" si="15"/>
        <v>0</v>
      </c>
      <c r="G59" s="524">
        <f t="shared" si="13"/>
        <v>1519.4022195942143</v>
      </c>
      <c r="H59" s="491">
        <f t="shared" si="14"/>
        <v>1519.4022195942143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4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13"/>
        <v>0</v>
      </c>
      <c r="H60" s="491">
        <f t="shared" si="14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4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13"/>
        <v>0</v>
      </c>
      <c r="H61" s="491">
        <f t="shared" si="14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4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3"/>
        <v>0</v>
      </c>
      <c r="H62" s="491">
        <f t="shared" si="14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4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3"/>
        <v>0</v>
      </c>
      <c r="H63" s="491">
        <f t="shared" si="14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4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3"/>
        <v>0</v>
      </c>
      <c r="H64" s="491">
        <f t="shared" si="14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4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3"/>
        <v>0</v>
      </c>
      <c r="H65" s="491">
        <f t="shared" si="14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4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3"/>
        <v>0</v>
      </c>
      <c r="H66" s="491">
        <f t="shared" si="14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4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3"/>
        <v>0</v>
      </c>
      <c r="H67" s="491">
        <f t="shared" si="14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4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3"/>
        <v>0</v>
      </c>
      <c r="H68" s="491">
        <f t="shared" si="14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4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3"/>
        <v>0</v>
      </c>
      <c r="H69" s="491">
        <f t="shared" si="14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4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3"/>
        <v>0</v>
      </c>
      <c r="H70" s="491">
        <f t="shared" si="14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4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3"/>
        <v>0</v>
      </c>
      <c r="H71" s="491">
        <f t="shared" si="14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4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3"/>
        <v>0</v>
      </c>
      <c r="H72" s="471">
        <f t="shared" si="14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372149.00000000006</v>
      </c>
      <c r="F73" s="375"/>
      <c r="G73" s="375">
        <f>SUM(G17:G72)</f>
        <v>1283657.6784138819</v>
      </c>
      <c r="H73" s="375">
        <f>SUM(H17:H72)</f>
        <v>1283657.6784138819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15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35078.207860917915</v>
      </c>
      <c r="N87" s="546">
        <f>IF(J92&lt;D11,0,VLOOKUP(J92,C17:O72,11))</f>
        <v>35078.207860917915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36050.553881907734</v>
      </c>
      <c r="N88" s="550">
        <f>IF(J92&lt;D11,0,VLOOKUP(J92,C99:P154,7))</f>
        <v>36050.553881907734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Arsenal Hill 138kV Device (Cap. Bank)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972.3460209898185</v>
      </c>
      <c r="N89" s="555">
        <f>+N88-N87</f>
        <v>972.3460209898185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TP2004148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372149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8860.6904761904771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2007</v>
      </c>
      <c r="D99" s="508">
        <v>367119</v>
      </c>
      <c r="E99" s="516">
        <v>10058</v>
      </c>
      <c r="F99" s="515">
        <v>357061</v>
      </c>
      <c r="G99" s="574">
        <v>362090</v>
      </c>
      <c r="H99" s="575">
        <v>69474</v>
      </c>
      <c r="I99" s="576">
        <v>69474</v>
      </c>
      <c r="J99" s="613">
        <f t="shared" ref="J99:J130" si="20">+I99-H99</f>
        <v>0</v>
      </c>
      <c r="K99" s="514"/>
      <c r="L99" s="512">
        <v>0</v>
      </c>
      <c r="M99" s="597">
        <f t="shared" ref="M99:M130" si="21">IF(L99&lt;&gt;0,+H99-L99,0)</f>
        <v>0</v>
      </c>
      <c r="N99" s="512">
        <v>0</v>
      </c>
      <c r="O99" s="513">
        <f t="shared" ref="O99:O130" si="22">IF(N99&lt;&gt;0,+I99-N99,0)</f>
        <v>0</v>
      </c>
      <c r="P99" s="513">
        <f t="shared" ref="P99:P130" si="23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2008</v>
      </c>
      <c r="D100" s="508">
        <v>245158</v>
      </c>
      <c r="E100" s="516">
        <v>6701</v>
      </c>
      <c r="F100" s="515">
        <v>238456</v>
      </c>
      <c r="G100" s="515">
        <v>241807</v>
      </c>
      <c r="H100" s="516">
        <v>45246</v>
      </c>
      <c r="I100" s="510">
        <v>45246</v>
      </c>
      <c r="J100" s="613">
        <f t="shared" si="20"/>
        <v>0</v>
      </c>
      <c r="K100" s="514"/>
      <c r="L100" s="518">
        <v>45246</v>
      </c>
      <c r="M100" s="514">
        <f t="shared" si="21"/>
        <v>0</v>
      </c>
      <c r="N100" s="518">
        <v>45246</v>
      </c>
      <c r="O100" s="514">
        <f t="shared" si="22"/>
        <v>0</v>
      </c>
      <c r="P100" s="514">
        <f t="shared" si="23"/>
        <v>0</v>
      </c>
      <c r="Q100" s="269"/>
    </row>
    <row r="101" spans="1:17" ht="12.5">
      <c r="B101" s="195" t="str">
        <f t="shared" ref="B101:B154" si="24">IF(D101=F100,"","IU")</f>
        <v>IU</v>
      </c>
      <c r="C101" s="507">
        <f>IF(D93="","-",+C100+1)</f>
        <v>2009</v>
      </c>
      <c r="D101" s="508">
        <v>355390</v>
      </c>
      <c r="E101" s="516">
        <v>9793.394736842105</v>
      </c>
      <c r="F101" s="515">
        <v>345596.60526315792</v>
      </c>
      <c r="G101" s="515">
        <v>350493.30263157899</v>
      </c>
      <c r="H101" s="516">
        <v>60522.976408209717</v>
      </c>
      <c r="I101" s="510">
        <v>60522.976408209717</v>
      </c>
      <c r="J101" s="613">
        <f t="shared" si="20"/>
        <v>0</v>
      </c>
      <c r="K101" s="514"/>
      <c r="L101" s="518">
        <f t="shared" ref="L101:L106" si="25">H101</f>
        <v>60522.976408209717</v>
      </c>
      <c r="M101" s="519">
        <f t="shared" si="21"/>
        <v>0</v>
      </c>
      <c r="N101" s="518">
        <f t="shared" ref="N101:N106" si="26">I101</f>
        <v>60522.976408209717</v>
      </c>
      <c r="O101" s="514">
        <f t="shared" si="22"/>
        <v>0</v>
      </c>
      <c r="P101" s="514">
        <f t="shared" si="23"/>
        <v>0</v>
      </c>
      <c r="Q101" s="269"/>
    </row>
    <row r="102" spans="1:17" ht="12.5">
      <c r="B102" s="195" t="str">
        <f t="shared" si="24"/>
        <v/>
      </c>
      <c r="C102" s="507">
        <f>IF(D93="","-",+C101+1)</f>
        <v>2010</v>
      </c>
      <c r="D102" s="508">
        <v>345596.60526315792</v>
      </c>
      <c r="E102" s="516">
        <v>9076.8048780487807</v>
      </c>
      <c r="F102" s="515">
        <v>336519.80038510915</v>
      </c>
      <c r="G102" s="515">
        <v>341058.20282413356</v>
      </c>
      <c r="H102" s="516">
        <v>65380.767354671472</v>
      </c>
      <c r="I102" s="510">
        <v>65380.767354671472</v>
      </c>
      <c r="J102" s="613">
        <f t="shared" si="20"/>
        <v>0</v>
      </c>
      <c r="K102" s="514"/>
      <c r="L102" s="518">
        <f t="shared" si="25"/>
        <v>65380.767354671472</v>
      </c>
      <c r="M102" s="519">
        <f t="shared" si="21"/>
        <v>0</v>
      </c>
      <c r="N102" s="518">
        <f t="shared" si="26"/>
        <v>65380.767354671472</v>
      </c>
      <c r="O102" s="514">
        <f t="shared" si="22"/>
        <v>0</v>
      </c>
      <c r="P102" s="514">
        <f t="shared" si="23"/>
        <v>0</v>
      </c>
      <c r="Q102" s="269"/>
    </row>
    <row r="103" spans="1:17" ht="12.5">
      <c r="B103" s="195" t="str">
        <f t="shared" si="24"/>
        <v/>
      </c>
      <c r="C103" s="507">
        <f>IF(D93="","-",+C102+1)</f>
        <v>2011</v>
      </c>
      <c r="D103" s="508">
        <v>336519.80038510915</v>
      </c>
      <c r="E103" s="520">
        <v>8860.6904761904771</v>
      </c>
      <c r="F103" s="515">
        <v>327659.10990891868</v>
      </c>
      <c r="G103" s="515">
        <v>332089.45514701388</v>
      </c>
      <c r="H103" s="516">
        <v>58800.269953257346</v>
      </c>
      <c r="I103" s="510">
        <v>58800.269953257346</v>
      </c>
      <c r="J103" s="613">
        <f t="shared" si="20"/>
        <v>0</v>
      </c>
      <c r="K103" s="514"/>
      <c r="L103" s="518">
        <f t="shared" si="25"/>
        <v>58800.269953257346</v>
      </c>
      <c r="M103" s="519">
        <f t="shared" si="21"/>
        <v>0</v>
      </c>
      <c r="N103" s="518">
        <f t="shared" si="26"/>
        <v>58800.269953257346</v>
      </c>
      <c r="O103" s="514">
        <f t="shared" si="22"/>
        <v>0</v>
      </c>
      <c r="P103" s="514">
        <f t="shared" si="23"/>
        <v>0</v>
      </c>
      <c r="Q103" s="269"/>
    </row>
    <row r="104" spans="1:17" ht="12.5">
      <c r="B104" s="195" t="str">
        <f t="shared" si="24"/>
        <v/>
      </c>
      <c r="C104" s="507">
        <f>IF(D93="","-",+C103+1)</f>
        <v>2012</v>
      </c>
      <c r="D104" s="508">
        <v>327659.10990891868</v>
      </c>
      <c r="E104" s="516">
        <v>8860.6904761904771</v>
      </c>
      <c r="F104" s="515">
        <v>318798.4194327282</v>
      </c>
      <c r="G104" s="515">
        <v>323228.76467082347</v>
      </c>
      <c r="H104" s="516">
        <v>56425.074067115129</v>
      </c>
      <c r="I104" s="510">
        <v>56425.074067115129</v>
      </c>
      <c r="J104" s="613">
        <f t="shared" si="20"/>
        <v>0</v>
      </c>
      <c r="K104" s="514"/>
      <c r="L104" s="518">
        <f t="shared" si="25"/>
        <v>56425.074067115129</v>
      </c>
      <c r="M104" s="519">
        <f t="shared" si="21"/>
        <v>0</v>
      </c>
      <c r="N104" s="518">
        <f t="shared" si="26"/>
        <v>56425.074067115129</v>
      </c>
      <c r="O104" s="514">
        <f t="shared" si="22"/>
        <v>0</v>
      </c>
      <c r="P104" s="514">
        <f t="shared" si="23"/>
        <v>0</v>
      </c>
      <c r="Q104" s="269"/>
    </row>
    <row r="105" spans="1:17" ht="12.5">
      <c r="B105" s="195" t="str">
        <f t="shared" si="24"/>
        <v/>
      </c>
      <c r="C105" s="507">
        <f>IF(D93="","-",+C104+1)</f>
        <v>2013</v>
      </c>
      <c r="D105" s="508">
        <v>318798.4194327282</v>
      </c>
      <c r="E105" s="516">
        <v>8860.6904761904771</v>
      </c>
      <c r="F105" s="515">
        <v>309937.72895653773</v>
      </c>
      <c r="G105" s="515">
        <v>314368.07419463294</v>
      </c>
      <c r="H105" s="516">
        <v>51392.082385725094</v>
      </c>
      <c r="I105" s="510">
        <v>51392.082385725094</v>
      </c>
      <c r="J105" s="613">
        <v>0</v>
      </c>
      <c r="K105" s="514"/>
      <c r="L105" s="518">
        <f t="shared" si="25"/>
        <v>51392.082385725094</v>
      </c>
      <c r="M105" s="519">
        <f t="shared" ref="M105:M110" si="27">IF(L105&lt;&gt;0,+H105-L105,0)</f>
        <v>0</v>
      </c>
      <c r="N105" s="518">
        <f t="shared" si="26"/>
        <v>51392.082385725094</v>
      </c>
      <c r="O105" s="514">
        <f t="shared" ref="O105:O110" si="28">IF(N105&lt;&gt;0,+I105-N105,0)</f>
        <v>0</v>
      </c>
      <c r="P105" s="514">
        <f t="shared" ref="P105:P110" si="29">+O105-M105</f>
        <v>0</v>
      </c>
      <c r="Q105" s="269"/>
    </row>
    <row r="106" spans="1:17" ht="12.5">
      <c r="B106" s="195" t="str">
        <f t="shared" si="24"/>
        <v/>
      </c>
      <c r="C106" s="507">
        <f>IF(D93="","-",+C105+1)</f>
        <v>2014</v>
      </c>
      <c r="D106" s="508">
        <v>309937.72895653773</v>
      </c>
      <c r="E106" s="516">
        <v>8860.6904761904771</v>
      </c>
      <c r="F106" s="515">
        <v>301077.03848034726</v>
      </c>
      <c r="G106" s="515">
        <v>305507.38371844252</v>
      </c>
      <c r="H106" s="516">
        <v>50386.311054794773</v>
      </c>
      <c r="I106" s="510">
        <v>50386.311054794773</v>
      </c>
      <c r="J106" s="514">
        <v>0</v>
      </c>
      <c r="K106" s="514"/>
      <c r="L106" s="518">
        <f t="shared" si="25"/>
        <v>50386.311054794773</v>
      </c>
      <c r="M106" s="519">
        <f t="shared" si="27"/>
        <v>0</v>
      </c>
      <c r="N106" s="518">
        <f t="shared" si="26"/>
        <v>50386.311054794773</v>
      </c>
      <c r="O106" s="514">
        <f t="shared" si="28"/>
        <v>0</v>
      </c>
      <c r="P106" s="514">
        <f t="shared" si="29"/>
        <v>0</v>
      </c>
      <c r="Q106" s="269"/>
    </row>
    <row r="107" spans="1:17" ht="12.5">
      <c r="B107" s="195" t="str">
        <f t="shared" si="24"/>
        <v/>
      </c>
      <c r="C107" s="507">
        <f>IF(D93="","-",+C106+1)</f>
        <v>2015</v>
      </c>
      <c r="D107" s="508">
        <v>301077.03848034726</v>
      </c>
      <c r="E107" s="516">
        <v>8860.6904761904771</v>
      </c>
      <c r="F107" s="515">
        <v>292216.34800415678</v>
      </c>
      <c r="G107" s="515">
        <v>296646.69324225199</v>
      </c>
      <c r="H107" s="516">
        <v>47949.4923700488</v>
      </c>
      <c r="I107" s="510">
        <v>47949.4923700488</v>
      </c>
      <c r="J107" s="514">
        <f t="shared" si="20"/>
        <v>0</v>
      </c>
      <c r="K107" s="514"/>
      <c r="L107" s="518">
        <f>H107</f>
        <v>47949.4923700488</v>
      </c>
      <c r="M107" s="519">
        <f t="shared" si="27"/>
        <v>0</v>
      </c>
      <c r="N107" s="518">
        <f>I107</f>
        <v>47949.4923700488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4"/>
        <v/>
      </c>
      <c r="C108" s="507">
        <f>IF(D93="","-",+C107+1)</f>
        <v>2016</v>
      </c>
      <c r="D108" s="508">
        <v>292216.34800415678</v>
      </c>
      <c r="E108" s="516">
        <v>8654.6279069767443</v>
      </c>
      <c r="F108" s="515">
        <v>283561.72009718005</v>
      </c>
      <c r="G108" s="515">
        <v>287889.03405066842</v>
      </c>
      <c r="H108" s="516">
        <v>45202.137408056922</v>
      </c>
      <c r="I108" s="510">
        <v>45202.137408056922</v>
      </c>
      <c r="J108" s="514">
        <f t="shared" si="20"/>
        <v>0</v>
      </c>
      <c r="K108" s="514"/>
      <c r="L108" s="518">
        <f>H108</f>
        <v>45202.137408056922</v>
      </c>
      <c r="M108" s="519">
        <f t="shared" si="27"/>
        <v>0</v>
      </c>
      <c r="N108" s="518">
        <f>I108</f>
        <v>45202.137408056922</v>
      </c>
      <c r="O108" s="514">
        <f t="shared" si="28"/>
        <v>0</v>
      </c>
      <c r="P108" s="514">
        <f t="shared" si="29"/>
        <v>0</v>
      </c>
      <c r="Q108" s="269"/>
    </row>
    <row r="109" spans="1:17" ht="12.5">
      <c r="B109" s="195" t="str">
        <f t="shared" si="24"/>
        <v/>
      </c>
      <c r="C109" s="507">
        <f>IF(D93="","-",+C108+1)</f>
        <v>2017</v>
      </c>
      <c r="D109" s="508">
        <v>283561.72009718005</v>
      </c>
      <c r="E109" s="516">
        <v>8860.6904761904771</v>
      </c>
      <c r="F109" s="515">
        <v>274701.02962098958</v>
      </c>
      <c r="G109" s="515">
        <v>279131.37485908484</v>
      </c>
      <c r="H109" s="516">
        <v>42767.185465657531</v>
      </c>
      <c r="I109" s="510">
        <v>42767.185465657531</v>
      </c>
      <c r="J109" s="514">
        <f t="shared" si="20"/>
        <v>0</v>
      </c>
      <c r="K109" s="514"/>
      <c r="L109" s="518">
        <f>H109</f>
        <v>42767.185465657531</v>
      </c>
      <c r="M109" s="519">
        <f t="shared" si="27"/>
        <v>0</v>
      </c>
      <c r="N109" s="518">
        <f>I109</f>
        <v>42767.185465657531</v>
      </c>
      <c r="O109" s="514">
        <f t="shared" si="28"/>
        <v>0</v>
      </c>
      <c r="P109" s="514">
        <f t="shared" si="29"/>
        <v>0</v>
      </c>
      <c r="Q109" s="269"/>
    </row>
    <row r="110" spans="1:17" ht="12.5">
      <c r="B110" s="195" t="str">
        <f t="shared" si="24"/>
        <v/>
      </c>
      <c r="C110" s="507">
        <f>IF(D93="","-",+C109+1)</f>
        <v>2018</v>
      </c>
      <c r="D110" s="508">
        <v>274701.02962098958</v>
      </c>
      <c r="E110" s="516">
        <v>8860.6904761904771</v>
      </c>
      <c r="F110" s="515">
        <v>265840.3391447991</v>
      </c>
      <c r="G110" s="515">
        <v>270270.68438289431</v>
      </c>
      <c r="H110" s="516">
        <v>37402.514159677034</v>
      </c>
      <c r="I110" s="510">
        <v>37402.514159677034</v>
      </c>
      <c r="J110" s="514">
        <f t="shared" si="20"/>
        <v>0</v>
      </c>
      <c r="K110" s="514"/>
      <c r="L110" s="518">
        <f>H110</f>
        <v>37402.514159677034</v>
      </c>
      <c r="M110" s="519">
        <f t="shared" si="27"/>
        <v>0</v>
      </c>
      <c r="N110" s="518">
        <f>I110</f>
        <v>37402.514159677034</v>
      </c>
      <c r="O110" s="514">
        <f t="shared" si="28"/>
        <v>0</v>
      </c>
      <c r="P110" s="514">
        <f t="shared" si="29"/>
        <v>0</v>
      </c>
      <c r="Q110" s="269"/>
    </row>
    <row r="111" spans="1:17" ht="12.5">
      <c r="B111" s="195" t="str">
        <f t="shared" si="24"/>
        <v/>
      </c>
      <c r="C111" s="507">
        <f>IF(D93="","-",+C110+1)</f>
        <v>2019</v>
      </c>
      <c r="D111" s="508">
        <v>265840.3391447991</v>
      </c>
      <c r="E111" s="516">
        <v>8654.6279069767443</v>
      </c>
      <c r="F111" s="515">
        <v>257185.71123782237</v>
      </c>
      <c r="G111" s="515">
        <v>261513.02519131073</v>
      </c>
      <c r="H111" s="516">
        <v>36647.12505132259</v>
      </c>
      <c r="I111" s="510">
        <v>36647.12505132259</v>
      </c>
      <c r="J111" s="514">
        <f t="shared" si="20"/>
        <v>0</v>
      </c>
      <c r="K111" s="514"/>
      <c r="L111" s="518">
        <f>H111</f>
        <v>36647.12505132259</v>
      </c>
      <c r="M111" s="519">
        <f t="shared" ref="M111" si="30">IF(L111&lt;&gt;0,+H111-L111,0)</f>
        <v>0</v>
      </c>
      <c r="N111" s="518">
        <f>I111</f>
        <v>36647.12505132259</v>
      </c>
      <c r="O111" s="514">
        <f t="shared" si="22"/>
        <v>0</v>
      </c>
      <c r="P111" s="514">
        <f t="shared" si="23"/>
        <v>0</v>
      </c>
      <c r="Q111" s="269"/>
    </row>
    <row r="112" spans="1:17" ht="12.5">
      <c r="B112" s="195" t="str">
        <f t="shared" si="24"/>
        <v/>
      </c>
      <c r="C112" s="507">
        <f>IF(D93="","-",+C111+1)</f>
        <v>2020</v>
      </c>
      <c r="D112" s="374">
        <f>IF(F111+SUM(E$99:E111)=D$92,F111,D$92-SUM(E$99:E111))</f>
        <v>257185.71123782237</v>
      </c>
      <c r="E112" s="522">
        <f>IF(+J96&lt;F111,J96,D112)</f>
        <v>8860.6904761904771</v>
      </c>
      <c r="F112" s="523">
        <f t="shared" ref="F112:F130" si="31">+D112-E112</f>
        <v>248325.02076163189</v>
      </c>
      <c r="G112" s="523">
        <f t="shared" ref="G112:G130" si="32">+(F112+D112)/2</f>
        <v>252755.36599972713</v>
      </c>
      <c r="H112" s="526">
        <f>+J$94*G112+E112</f>
        <v>36050.553881907734</v>
      </c>
      <c r="I112" s="577">
        <f>+J$95*G112+E112</f>
        <v>36050.553881907734</v>
      </c>
      <c r="J112" s="514">
        <f t="shared" si="20"/>
        <v>0</v>
      </c>
      <c r="K112" s="514"/>
      <c r="L112" s="525"/>
      <c r="M112" s="514">
        <f t="shared" si="21"/>
        <v>0</v>
      </c>
      <c r="N112" s="525"/>
      <c r="O112" s="514">
        <f t="shared" si="22"/>
        <v>0</v>
      </c>
      <c r="P112" s="514">
        <f t="shared" si="23"/>
        <v>0</v>
      </c>
      <c r="Q112" s="269"/>
    </row>
    <row r="113" spans="2:17" ht="12.5">
      <c r="B113" s="195" t="str">
        <f t="shared" si="24"/>
        <v/>
      </c>
      <c r="C113" s="507">
        <f>IF(D93="","-",+C112+1)</f>
        <v>2021</v>
      </c>
      <c r="D113" s="374">
        <f>IF(F112+SUM(E$99:E112)=D$92,F112,D$92-SUM(E$99:E112))</f>
        <v>248325.02076163189</v>
      </c>
      <c r="E113" s="522">
        <f>IF(+J96&lt;F112,J96,D113)</f>
        <v>8860.6904761904771</v>
      </c>
      <c r="F113" s="523">
        <f t="shared" si="31"/>
        <v>239464.33028544142</v>
      </c>
      <c r="G113" s="523">
        <f t="shared" si="32"/>
        <v>243894.67552353666</v>
      </c>
      <c r="H113" s="526">
        <f t="shared" ref="H113:H154" si="33">+J$94*G113+E113</f>
        <v>35097.375448781138</v>
      </c>
      <c r="I113" s="577">
        <f t="shared" ref="I113:I154" si="34">+J$95*G113+E113</f>
        <v>35097.375448781138</v>
      </c>
      <c r="J113" s="514">
        <f t="shared" si="20"/>
        <v>0</v>
      </c>
      <c r="K113" s="514"/>
      <c r="L113" s="525"/>
      <c r="M113" s="514">
        <f t="shared" si="21"/>
        <v>0</v>
      </c>
      <c r="N113" s="525"/>
      <c r="O113" s="514">
        <f t="shared" si="22"/>
        <v>0</v>
      </c>
      <c r="P113" s="514">
        <f t="shared" si="23"/>
        <v>0</v>
      </c>
      <c r="Q113" s="269"/>
    </row>
    <row r="114" spans="2:17" ht="12.5">
      <c r="B114" s="195" t="str">
        <f t="shared" si="24"/>
        <v/>
      </c>
      <c r="C114" s="507">
        <f>IF(D93="","-",+C113+1)</f>
        <v>2022</v>
      </c>
      <c r="D114" s="374">
        <f>IF(F113+SUM(E$99:E113)=D$92,F113,D$92-SUM(E$99:E113))</f>
        <v>239464.33028544142</v>
      </c>
      <c r="E114" s="522">
        <f>IF(+J96&lt;F113,J96,D114)</f>
        <v>8860.6904761904771</v>
      </c>
      <c r="F114" s="523">
        <f t="shared" si="31"/>
        <v>230603.63980925095</v>
      </c>
      <c r="G114" s="523">
        <f t="shared" si="32"/>
        <v>235033.98504734618</v>
      </c>
      <c r="H114" s="526">
        <f t="shared" si="33"/>
        <v>34144.197015654543</v>
      </c>
      <c r="I114" s="577">
        <f t="shared" si="34"/>
        <v>34144.197015654543</v>
      </c>
      <c r="J114" s="514">
        <f t="shared" si="20"/>
        <v>0</v>
      </c>
      <c r="K114" s="514"/>
      <c r="L114" s="525"/>
      <c r="M114" s="514">
        <f t="shared" si="21"/>
        <v>0</v>
      </c>
      <c r="N114" s="525"/>
      <c r="O114" s="514">
        <f t="shared" si="22"/>
        <v>0</v>
      </c>
      <c r="P114" s="514">
        <f t="shared" si="23"/>
        <v>0</v>
      </c>
      <c r="Q114" s="269"/>
    </row>
    <row r="115" spans="2:17" ht="12.5">
      <c r="B115" s="195" t="str">
        <f t="shared" si="24"/>
        <v/>
      </c>
      <c r="C115" s="507">
        <f>IF(D93="","-",+C114+1)</f>
        <v>2023</v>
      </c>
      <c r="D115" s="374">
        <f>IF(F114+SUM(E$99:E114)=D$92,F114,D$92-SUM(E$99:E114))</f>
        <v>230603.63980925095</v>
      </c>
      <c r="E115" s="522">
        <f>IF(+J96&lt;F114,J96,D115)</f>
        <v>8860.6904761904771</v>
      </c>
      <c r="F115" s="523">
        <f t="shared" si="31"/>
        <v>221742.94933306047</v>
      </c>
      <c r="G115" s="523">
        <f t="shared" si="32"/>
        <v>226173.29457115571</v>
      </c>
      <c r="H115" s="526">
        <f t="shared" si="33"/>
        <v>33191.018582527955</v>
      </c>
      <c r="I115" s="577">
        <f t="shared" si="34"/>
        <v>33191.018582527955</v>
      </c>
      <c r="J115" s="514">
        <f t="shared" si="20"/>
        <v>0</v>
      </c>
      <c r="K115" s="514"/>
      <c r="L115" s="525"/>
      <c r="M115" s="514">
        <f t="shared" si="21"/>
        <v>0</v>
      </c>
      <c r="N115" s="525"/>
      <c r="O115" s="514">
        <f t="shared" si="22"/>
        <v>0</v>
      </c>
      <c r="P115" s="514">
        <f t="shared" si="23"/>
        <v>0</v>
      </c>
      <c r="Q115" s="269"/>
    </row>
    <row r="116" spans="2:17" ht="12.5">
      <c r="B116" s="195" t="str">
        <f t="shared" si="24"/>
        <v/>
      </c>
      <c r="C116" s="507">
        <f>IF(D93="","-",+C115+1)</f>
        <v>2024</v>
      </c>
      <c r="D116" s="374">
        <f>IF(F115+SUM(E$99:E115)=D$92,F115,D$92-SUM(E$99:E115))</f>
        <v>221742.94933306047</v>
      </c>
      <c r="E116" s="522">
        <f>IF(+J96&lt;F115,J96,D116)</f>
        <v>8860.6904761904771</v>
      </c>
      <c r="F116" s="523">
        <f t="shared" si="31"/>
        <v>212882.25885687</v>
      </c>
      <c r="G116" s="523">
        <f t="shared" si="32"/>
        <v>217312.60409496524</v>
      </c>
      <c r="H116" s="526">
        <f t="shared" si="33"/>
        <v>32237.84014940136</v>
      </c>
      <c r="I116" s="577">
        <f t="shared" si="34"/>
        <v>32237.84014940136</v>
      </c>
      <c r="J116" s="514">
        <f t="shared" si="20"/>
        <v>0</v>
      </c>
      <c r="K116" s="514"/>
      <c r="L116" s="525"/>
      <c r="M116" s="514">
        <f t="shared" si="21"/>
        <v>0</v>
      </c>
      <c r="N116" s="525"/>
      <c r="O116" s="514">
        <f t="shared" si="22"/>
        <v>0</v>
      </c>
      <c r="P116" s="514">
        <f t="shared" si="23"/>
        <v>0</v>
      </c>
      <c r="Q116" s="269"/>
    </row>
    <row r="117" spans="2:17" ht="12.5">
      <c r="B117" s="195" t="str">
        <f t="shared" si="24"/>
        <v/>
      </c>
      <c r="C117" s="507">
        <f>IF(D93="","-",+C116+1)</f>
        <v>2025</v>
      </c>
      <c r="D117" s="374">
        <f>IF(F116+SUM(E$99:E116)=D$92,F116,D$92-SUM(E$99:E116))</f>
        <v>212882.25885687</v>
      </c>
      <c r="E117" s="522">
        <f>IF(+J96&lt;F116,J96,D117)</f>
        <v>8860.6904761904771</v>
      </c>
      <c r="F117" s="523">
        <f t="shared" si="31"/>
        <v>204021.56838067953</v>
      </c>
      <c r="G117" s="523">
        <f t="shared" si="32"/>
        <v>208451.91361877476</v>
      </c>
      <c r="H117" s="526">
        <f t="shared" si="33"/>
        <v>31284.661716274764</v>
      </c>
      <c r="I117" s="577">
        <f t="shared" si="34"/>
        <v>31284.661716274764</v>
      </c>
      <c r="J117" s="514">
        <f t="shared" si="20"/>
        <v>0</v>
      </c>
      <c r="K117" s="514"/>
      <c r="L117" s="525"/>
      <c r="M117" s="514">
        <f t="shared" si="21"/>
        <v>0</v>
      </c>
      <c r="N117" s="525"/>
      <c r="O117" s="514">
        <f t="shared" si="22"/>
        <v>0</v>
      </c>
      <c r="P117" s="514">
        <f t="shared" si="23"/>
        <v>0</v>
      </c>
      <c r="Q117" s="269"/>
    </row>
    <row r="118" spans="2:17" ht="12.5">
      <c r="B118" s="195" t="str">
        <f t="shared" si="24"/>
        <v/>
      </c>
      <c r="C118" s="507">
        <f>IF(D93="","-",+C117+1)</f>
        <v>2026</v>
      </c>
      <c r="D118" s="374">
        <f>IF(F117+SUM(E$99:E117)=D$92,F117,D$92-SUM(E$99:E117))</f>
        <v>204021.56838067953</v>
      </c>
      <c r="E118" s="522">
        <f>IF(+J96&lt;F117,J96,D118)</f>
        <v>8860.6904761904771</v>
      </c>
      <c r="F118" s="523">
        <f t="shared" si="31"/>
        <v>195160.87790448905</v>
      </c>
      <c r="G118" s="523">
        <f t="shared" si="32"/>
        <v>199591.22314258429</v>
      </c>
      <c r="H118" s="526">
        <f t="shared" si="33"/>
        <v>30331.483283148169</v>
      </c>
      <c r="I118" s="577">
        <f t="shared" si="34"/>
        <v>30331.483283148169</v>
      </c>
      <c r="J118" s="514">
        <f t="shared" si="20"/>
        <v>0</v>
      </c>
      <c r="K118" s="514"/>
      <c r="L118" s="525"/>
      <c r="M118" s="514">
        <f t="shared" si="21"/>
        <v>0</v>
      </c>
      <c r="N118" s="525"/>
      <c r="O118" s="514">
        <f t="shared" si="22"/>
        <v>0</v>
      </c>
      <c r="P118" s="514">
        <f t="shared" si="23"/>
        <v>0</v>
      </c>
      <c r="Q118" s="269"/>
    </row>
    <row r="119" spans="2:17" ht="12.5">
      <c r="B119" s="195" t="str">
        <f t="shared" si="24"/>
        <v/>
      </c>
      <c r="C119" s="507">
        <f>IF(D93="","-",+C118+1)</f>
        <v>2027</v>
      </c>
      <c r="D119" s="374">
        <f>IF(F118+SUM(E$99:E118)=D$92,F118,D$92-SUM(E$99:E118))</f>
        <v>195160.87790448905</v>
      </c>
      <c r="E119" s="522">
        <f>IF(+J96&lt;F118,J96,D119)</f>
        <v>8860.6904761904771</v>
      </c>
      <c r="F119" s="523">
        <f t="shared" si="31"/>
        <v>186300.18742829858</v>
      </c>
      <c r="G119" s="523">
        <f t="shared" si="32"/>
        <v>190730.53266639382</v>
      </c>
      <c r="H119" s="526">
        <f t="shared" si="33"/>
        <v>29378.304850021577</v>
      </c>
      <c r="I119" s="577">
        <f t="shared" si="34"/>
        <v>29378.304850021577</v>
      </c>
      <c r="J119" s="514">
        <f t="shared" si="20"/>
        <v>0</v>
      </c>
      <c r="K119" s="514"/>
      <c r="L119" s="525"/>
      <c r="M119" s="514">
        <f t="shared" si="21"/>
        <v>0</v>
      </c>
      <c r="N119" s="525"/>
      <c r="O119" s="514">
        <f t="shared" si="22"/>
        <v>0</v>
      </c>
      <c r="P119" s="514">
        <f t="shared" si="23"/>
        <v>0</v>
      </c>
      <c r="Q119" s="269"/>
    </row>
    <row r="120" spans="2:17" ht="12.5">
      <c r="B120" s="195" t="str">
        <f t="shared" si="24"/>
        <v/>
      </c>
      <c r="C120" s="507">
        <f>IF(D93="","-",+C119+1)</f>
        <v>2028</v>
      </c>
      <c r="D120" s="374">
        <f>IF(F119+SUM(E$99:E119)=D$92,F119,D$92-SUM(E$99:E119))</f>
        <v>186300.18742829858</v>
      </c>
      <c r="E120" s="522">
        <f>IF(+J96&lt;F119,J96,D120)</f>
        <v>8860.6904761904771</v>
      </c>
      <c r="F120" s="523">
        <f t="shared" si="31"/>
        <v>177439.49695210811</v>
      </c>
      <c r="G120" s="523">
        <f t="shared" si="32"/>
        <v>181869.84219020334</v>
      </c>
      <c r="H120" s="526">
        <f t="shared" si="33"/>
        <v>28425.126416894982</v>
      </c>
      <c r="I120" s="577">
        <f t="shared" si="34"/>
        <v>28425.126416894982</v>
      </c>
      <c r="J120" s="514">
        <f t="shared" si="20"/>
        <v>0</v>
      </c>
      <c r="K120" s="514"/>
      <c r="L120" s="525"/>
      <c r="M120" s="514">
        <f t="shared" si="21"/>
        <v>0</v>
      </c>
      <c r="N120" s="525"/>
      <c r="O120" s="514">
        <f t="shared" si="22"/>
        <v>0</v>
      </c>
      <c r="P120" s="514">
        <f t="shared" si="23"/>
        <v>0</v>
      </c>
      <c r="Q120" s="269"/>
    </row>
    <row r="121" spans="2:17" ht="12.5">
      <c r="B121" s="195" t="str">
        <f t="shared" si="24"/>
        <v/>
      </c>
      <c r="C121" s="507">
        <f>IF(D93="","-",+C120+1)</f>
        <v>2029</v>
      </c>
      <c r="D121" s="374">
        <f>IF(F120+SUM(E$99:E120)=D$92,F120,D$92-SUM(E$99:E120))</f>
        <v>177439.49695210811</v>
      </c>
      <c r="E121" s="522">
        <f>IF(+J96&lt;F120,J96,D121)</f>
        <v>8860.6904761904771</v>
      </c>
      <c r="F121" s="523">
        <f t="shared" si="31"/>
        <v>168578.80647591763</v>
      </c>
      <c r="G121" s="523">
        <f t="shared" si="32"/>
        <v>173009.15171401287</v>
      </c>
      <c r="H121" s="526">
        <f t="shared" si="33"/>
        <v>27471.947983768387</v>
      </c>
      <c r="I121" s="577">
        <f t="shared" si="34"/>
        <v>27471.947983768387</v>
      </c>
      <c r="J121" s="514">
        <f t="shared" si="20"/>
        <v>0</v>
      </c>
      <c r="K121" s="514"/>
      <c r="L121" s="525"/>
      <c r="M121" s="514">
        <f t="shared" si="21"/>
        <v>0</v>
      </c>
      <c r="N121" s="525"/>
      <c r="O121" s="514">
        <f t="shared" si="22"/>
        <v>0</v>
      </c>
      <c r="P121" s="514">
        <f t="shared" si="23"/>
        <v>0</v>
      </c>
      <c r="Q121" s="269"/>
    </row>
    <row r="122" spans="2:17" ht="12.5">
      <c r="B122" s="195" t="str">
        <f t="shared" si="24"/>
        <v/>
      </c>
      <c r="C122" s="507">
        <f>IF(D93="","-",+C121+1)</f>
        <v>2030</v>
      </c>
      <c r="D122" s="374">
        <f>IF(F121+SUM(E$99:E121)=D$92,F121,D$92-SUM(E$99:E121))</f>
        <v>168578.80647591763</v>
      </c>
      <c r="E122" s="522">
        <f>IF(+J96&lt;F121,J96,D122)</f>
        <v>8860.6904761904771</v>
      </c>
      <c r="F122" s="523">
        <f t="shared" si="31"/>
        <v>159718.11599972716</v>
      </c>
      <c r="G122" s="523">
        <f t="shared" si="32"/>
        <v>164148.4612378224</v>
      </c>
      <c r="H122" s="526">
        <f t="shared" si="33"/>
        <v>26518.769550641791</v>
      </c>
      <c r="I122" s="577">
        <f t="shared" si="34"/>
        <v>26518.769550641791</v>
      </c>
      <c r="J122" s="514">
        <f t="shared" si="20"/>
        <v>0</v>
      </c>
      <c r="K122" s="514"/>
      <c r="L122" s="525"/>
      <c r="M122" s="514">
        <f t="shared" si="21"/>
        <v>0</v>
      </c>
      <c r="N122" s="525"/>
      <c r="O122" s="514">
        <f t="shared" si="22"/>
        <v>0</v>
      </c>
      <c r="P122" s="514">
        <f t="shared" si="23"/>
        <v>0</v>
      </c>
      <c r="Q122" s="269"/>
    </row>
    <row r="123" spans="2:17" ht="12.5">
      <c r="B123" s="195" t="str">
        <f t="shared" si="24"/>
        <v/>
      </c>
      <c r="C123" s="507">
        <f>IF(D93="","-",+C122+1)</f>
        <v>2031</v>
      </c>
      <c r="D123" s="374">
        <f>IF(F122+SUM(E$99:E122)=D$92,F122,D$92-SUM(E$99:E122))</f>
        <v>159718.11599972716</v>
      </c>
      <c r="E123" s="522">
        <f>IF(+J96&lt;F122,J96,D123)</f>
        <v>8860.6904761904771</v>
      </c>
      <c r="F123" s="523">
        <f t="shared" si="31"/>
        <v>150857.42552353669</v>
      </c>
      <c r="G123" s="523">
        <f t="shared" si="32"/>
        <v>155287.77076163192</v>
      </c>
      <c r="H123" s="526">
        <f t="shared" si="33"/>
        <v>25565.5911175152</v>
      </c>
      <c r="I123" s="577">
        <f t="shared" si="34"/>
        <v>25565.5911175152</v>
      </c>
      <c r="J123" s="514">
        <f t="shared" si="20"/>
        <v>0</v>
      </c>
      <c r="K123" s="514"/>
      <c r="L123" s="525"/>
      <c r="M123" s="514">
        <f t="shared" si="21"/>
        <v>0</v>
      </c>
      <c r="N123" s="525"/>
      <c r="O123" s="514">
        <f t="shared" si="22"/>
        <v>0</v>
      </c>
      <c r="P123" s="514">
        <f t="shared" si="23"/>
        <v>0</v>
      </c>
      <c r="Q123" s="269"/>
    </row>
    <row r="124" spans="2:17" ht="12.5">
      <c r="B124" s="195" t="str">
        <f t="shared" si="24"/>
        <v/>
      </c>
      <c r="C124" s="507">
        <f>IF(D93="","-",+C123+1)</f>
        <v>2032</v>
      </c>
      <c r="D124" s="374">
        <f>IF(F123+SUM(E$99:E123)=D$92,F123,D$92-SUM(E$99:E123))</f>
        <v>150857.42552353669</v>
      </c>
      <c r="E124" s="522">
        <f>IF(+J96&lt;F123,J96,D124)</f>
        <v>8860.6904761904771</v>
      </c>
      <c r="F124" s="523">
        <f t="shared" si="31"/>
        <v>141996.73504734621</v>
      </c>
      <c r="G124" s="523">
        <f t="shared" si="32"/>
        <v>146427.08028544145</v>
      </c>
      <c r="H124" s="526">
        <f t="shared" si="33"/>
        <v>24612.412684388604</v>
      </c>
      <c r="I124" s="577">
        <f t="shared" si="34"/>
        <v>24612.412684388604</v>
      </c>
      <c r="J124" s="514">
        <f t="shared" si="20"/>
        <v>0</v>
      </c>
      <c r="K124" s="514"/>
      <c r="L124" s="525"/>
      <c r="M124" s="514">
        <f t="shared" si="21"/>
        <v>0</v>
      </c>
      <c r="N124" s="525"/>
      <c r="O124" s="514">
        <f t="shared" si="22"/>
        <v>0</v>
      </c>
      <c r="P124" s="514">
        <f t="shared" si="23"/>
        <v>0</v>
      </c>
      <c r="Q124" s="269"/>
    </row>
    <row r="125" spans="2:17" ht="12.5">
      <c r="B125" s="195" t="str">
        <f t="shared" si="24"/>
        <v/>
      </c>
      <c r="C125" s="507">
        <f>IF(D93="","-",+C124+1)</f>
        <v>2033</v>
      </c>
      <c r="D125" s="374">
        <f>IF(F124+SUM(E$99:E124)=D$92,F124,D$92-SUM(E$99:E124))</f>
        <v>141996.73504734621</v>
      </c>
      <c r="E125" s="522">
        <f>IF(+J96&lt;F124,J96,D125)</f>
        <v>8860.6904761904771</v>
      </c>
      <c r="F125" s="523">
        <f t="shared" si="31"/>
        <v>133136.04457115574</v>
      </c>
      <c r="G125" s="523">
        <f t="shared" si="32"/>
        <v>137566.38980925098</v>
      </c>
      <c r="H125" s="526">
        <f t="shared" si="33"/>
        <v>23659.234251262009</v>
      </c>
      <c r="I125" s="577">
        <f t="shared" si="34"/>
        <v>23659.234251262009</v>
      </c>
      <c r="J125" s="514">
        <f t="shared" si="20"/>
        <v>0</v>
      </c>
      <c r="K125" s="514"/>
      <c r="L125" s="525"/>
      <c r="M125" s="514">
        <f t="shared" si="21"/>
        <v>0</v>
      </c>
      <c r="N125" s="525"/>
      <c r="O125" s="514">
        <f t="shared" si="22"/>
        <v>0</v>
      </c>
      <c r="P125" s="514">
        <f t="shared" si="23"/>
        <v>0</v>
      </c>
      <c r="Q125" s="269"/>
    </row>
    <row r="126" spans="2:17" ht="12.5">
      <c r="B126" s="195" t="str">
        <f t="shared" si="24"/>
        <v/>
      </c>
      <c r="C126" s="507">
        <f>IF(D93="","-",+C125+1)</f>
        <v>2034</v>
      </c>
      <c r="D126" s="374">
        <f>IF(F125+SUM(E$99:E125)=D$92,F125,D$92-SUM(E$99:E125))</f>
        <v>133136.04457115574</v>
      </c>
      <c r="E126" s="522">
        <f>IF(+J96&lt;F125,J96,D126)</f>
        <v>8860.6904761904771</v>
      </c>
      <c r="F126" s="523">
        <f t="shared" si="31"/>
        <v>124275.35409496527</v>
      </c>
      <c r="G126" s="523">
        <f t="shared" si="32"/>
        <v>128705.6993330605</v>
      </c>
      <c r="H126" s="526">
        <f t="shared" si="33"/>
        <v>22706.055818135414</v>
      </c>
      <c r="I126" s="577">
        <f t="shared" si="34"/>
        <v>22706.055818135414</v>
      </c>
      <c r="J126" s="514">
        <f t="shared" si="20"/>
        <v>0</v>
      </c>
      <c r="K126" s="514"/>
      <c r="L126" s="525"/>
      <c r="M126" s="514">
        <f t="shared" si="21"/>
        <v>0</v>
      </c>
      <c r="N126" s="525"/>
      <c r="O126" s="514">
        <f t="shared" si="22"/>
        <v>0</v>
      </c>
      <c r="P126" s="514">
        <f t="shared" si="23"/>
        <v>0</v>
      </c>
      <c r="Q126" s="269"/>
    </row>
    <row r="127" spans="2:17" ht="12.5">
      <c r="B127" s="195" t="str">
        <f t="shared" si="24"/>
        <v/>
      </c>
      <c r="C127" s="507">
        <f>IF(D93="","-",+C126+1)</f>
        <v>2035</v>
      </c>
      <c r="D127" s="374">
        <f>IF(F126+SUM(E$99:E126)=D$92,F126,D$92-SUM(E$99:E126))</f>
        <v>124275.35409496527</v>
      </c>
      <c r="E127" s="522">
        <f>IF(+J96&lt;F126,J96,D127)</f>
        <v>8860.6904761904771</v>
      </c>
      <c r="F127" s="523">
        <f t="shared" si="31"/>
        <v>115414.66361877479</v>
      </c>
      <c r="G127" s="523">
        <f t="shared" si="32"/>
        <v>119845.00885687003</v>
      </c>
      <c r="H127" s="526">
        <f t="shared" si="33"/>
        <v>21752.877385008822</v>
      </c>
      <c r="I127" s="577">
        <f t="shared" si="34"/>
        <v>21752.877385008822</v>
      </c>
      <c r="J127" s="514">
        <f t="shared" si="20"/>
        <v>0</v>
      </c>
      <c r="K127" s="514"/>
      <c r="L127" s="525"/>
      <c r="M127" s="514">
        <f t="shared" si="21"/>
        <v>0</v>
      </c>
      <c r="N127" s="525"/>
      <c r="O127" s="514">
        <f t="shared" si="22"/>
        <v>0</v>
      </c>
      <c r="P127" s="514">
        <f t="shared" si="23"/>
        <v>0</v>
      </c>
      <c r="Q127" s="269"/>
    </row>
    <row r="128" spans="2:17" ht="12.5">
      <c r="B128" s="195" t="str">
        <f t="shared" si="24"/>
        <v/>
      </c>
      <c r="C128" s="507">
        <f>IF(D93="","-",+C127+1)</f>
        <v>2036</v>
      </c>
      <c r="D128" s="374">
        <f>IF(F127+SUM(E$99:E127)=D$92,F127,D$92-SUM(E$99:E127))</f>
        <v>115414.66361877479</v>
      </c>
      <c r="E128" s="522">
        <f>IF(+J96&lt;F127,J96,D128)</f>
        <v>8860.6904761904771</v>
      </c>
      <c r="F128" s="523">
        <f t="shared" si="31"/>
        <v>106553.97314258432</v>
      </c>
      <c r="G128" s="523">
        <f t="shared" si="32"/>
        <v>110984.31838067956</v>
      </c>
      <c r="H128" s="526">
        <f t="shared" si="33"/>
        <v>20799.698951882227</v>
      </c>
      <c r="I128" s="577">
        <f t="shared" si="34"/>
        <v>20799.698951882227</v>
      </c>
      <c r="J128" s="514">
        <f t="shared" si="20"/>
        <v>0</v>
      </c>
      <c r="K128" s="514"/>
      <c r="L128" s="525"/>
      <c r="M128" s="514">
        <f t="shared" si="21"/>
        <v>0</v>
      </c>
      <c r="N128" s="525"/>
      <c r="O128" s="514">
        <f t="shared" si="22"/>
        <v>0</v>
      </c>
      <c r="P128" s="514">
        <f t="shared" si="23"/>
        <v>0</v>
      </c>
      <c r="Q128" s="269"/>
    </row>
    <row r="129" spans="2:17" ht="12.5">
      <c r="B129" s="195" t="str">
        <f t="shared" si="24"/>
        <v/>
      </c>
      <c r="C129" s="507">
        <f>IF(D93="","-",+C128+1)</f>
        <v>2037</v>
      </c>
      <c r="D129" s="374">
        <f>IF(F128+SUM(E$99:E128)=D$92,F128,D$92-SUM(E$99:E128))</f>
        <v>106553.97314258432</v>
      </c>
      <c r="E129" s="522">
        <f>IF(+J96&lt;F128,J96,D129)</f>
        <v>8860.6904761904771</v>
      </c>
      <c r="F129" s="523">
        <f t="shared" si="31"/>
        <v>97693.282666393847</v>
      </c>
      <c r="G129" s="523">
        <f t="shared" si="32"/>
        <v>102123.62790448908</v>
      </c>
      <c r="H129" s="526">
        <f t="shared" si="33"/>
        <v>19846.520518755635</v>
      </c>
      <c r="I129" s="577">
        <f t="shared" si="34"/>
        <v>19846.520518755635</v>
      </c>
      <c r="J129" s="514">
        <f t="shared" si="20"/>
        <v>0</v>
      </c>
      <c r="K129" s="514"/>
      <c r="L129" s="525"/>
      <c r="M129" s="514">
        <f t="shared" si="21"/>
        <v>0</v>
      </c>
      <c r="N129" s="525"/>
      <c r="O129" s="514">
        <f t="shared" si="22"/>
        <v>0</v>
      </c>
      <c r="P129" s="514">
        <f t="shared" si="23"/>
        <v>0</v>
      </c>
      <c r="Q129" s="269"/>
    </row>
    <row r="130" spans="2:17" ht="12.5">
      <c r="B130" s="195" t="str">
        <f t="shared" si="24"/>
        <v/>
      </c>
      <c r="C130" s="507">
        <f>IF(D93="","-",+C129+1)</f>
        <v>2038</v>
      </c>
      <c r="D130" s="374">
        <f>IF(F129+SUM(E$99:E129)=D$92,F129,D$92-SUM(E$99:E129))</f>
        <v>97693.282666393847</v>
      </c>
      <c r="E130" s="522">
        <f>IF(+J96&lt;F129,J96,D130)</f>
        <v>8860.6904761904771</v>
      </c>
      <c r="F130" s="523">
        <f t="shared" si="31"/>
        <v>88832.592190203373</v>
      </c>
      <c r="G130" s="523">
        <f t="shared" si="32"/>
        <v>93262.93742829861</v>
      </c>
      <c r="H130" s="526">
        <f t="shared" si="33"/>
        <v>18893.34208562904</v>
      </c>
      <c r="I130" s="577">
        <f t="shared" si="34"/>
        <v>18893.34208562904</v>
      </c>
      <c r="J130" s="514">
        <f t="shared" si="20"/>
        <v>0</v>
      </c>
      <c r="K130" s="514"/>
      <c r="L130" s="525"/>
      <c r="M130" s="514">
        <f t="shared" si="21"/>
        <v>0</v>
      </c>
      <c r="N130" s="525"/>
      <c r="O130" s="514">
        <f t="shared" si="22"/>
        <v>0</v>
      </c>
      <c r="P130" s="514">
        <f t="shared" si="23"/>
        <v>0</v>
      </c>
      <c r="Q130" s="269"/>
    </row>
    <row r="131" spans="2:17" ht="12.5">
      <c r="B131" s="195" t="str">
        <f t="shared" si="24"/>
        <v/>
      </c>
      <c r="C131" s="507">
        <f>IF(D93="","-",+C130+1)</f>
        <v>2039</v>
      </c>
      <c r="D131" s="374">
        <f>IF(F130+SUM(E$99:E130)=D$92,F130,D$92-SUM(E$99:E130))</f>
        <v>88832.592190203373</v>
      </c>
      <c r="E131" s="522">
        <f>IF(+J96&lt;F130,J96,D131)</f>
        <v>8860.6904761904771</v>
      </c>
      <c r="F131" s="523">
        <f t="shared" ref="F131:F154" si="35">+D131-E131</f>
        <v>79971.9017140129</v>
      </c>
      <c r="G131" s="523">
        <f t="shared" ref="G131:G154" si="36">+(F131+D131)/2</f>
        <v>84402.246952108137</v>
      </c>
      <c r="H131" s="526">
        <f t="shared" si="33"/>
        <v>17940.163652502444</v>
      </c>
      <c r="I131" s="577">
        <f t="shared" si="34"/>
        <v>17940.163652502444</v>
      </c>
      <c r="J131" s="514">
        <f t="shared" ref="J131:J154" si="37">+I131-H131</f>
        <v>0</v>
      </c>
      <c r="K131" s="514"/>
      <c r="L131" s="525"/>
      <c r="M131" s="514">
        <f t="shared" ref="M131:M154" si="38">IF(L131&lt;&gt;0,+H131-L131,0)</f>
        <v>0</v>
      </c>
      <c r="N131" s="525"/>
      <c r="O131" s="514">
        <f t="shared" ref="O131:O154" si="39">IF(N131&lt;&gt;0,+I131-N131,0)</f>
        <v>0</v>
      </c>
      <c r="P131" s="514">
        <f t="shared" ref="P131:P154" si="40">+O131-M131</f>
        <v>0</v>
      </c>
      <c r="Q131" s="269"/>
    </row>
    <row r="132" spans="2:17" ht="12.5">
      <c r="B132" s="195" t="str">
        <f t="shared" si="24"/>
        <v/>
      </c>
      <c r="C132" s="507">
        <f>IF(D93="","-",+C131+1)</f>
        <v>2040</v>
      </c>
      <c r="D132" s="374">
        <f>IF(F131+SUM(E$99:E131)=D$92,F131,D$92-SUM(E$99:E131))</f>
        <v>79971.9017140129</v>
      </c>
      <c r="E132" s="522">
        <f>IF(+J96&lt;F131,J96,D132)</f>
        <v>8860.6904761904771</v>
      </c>
      <c r="F132" s="523">
        <f t="shared" si="35"/>
        <v>71111.211237822426</v>
      </c>
      <c r="G132" s="523">
        <f t="shared" si="36"/>
        <v>75541.556475917663</v>
      </c>
      <c r="H132" s="526">
        <f t="shared" si="33"/>
        <v>16986.985219375849</v>
      </c>
      <c r="I132" s="577">
        <f t="shared" si="34"/>
        <v>16986.985219375849</v>
      </c>
      <c r="J132" s="514">
        <f t="shared" si="37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  <c r="Q132" s="269"/>
    </row>
    <row r="133" spans="2:17" ht="12.5">
      <c r="B133" s="195" t="str">
        <f t="shared" si="24"/>
        <v/>
      </c>
      <c r="C133" s="507">
        <f>IF(D93="","-",+C132+1)</f>
        <v>2041</v>
      </c>
      <c r="D133" s="374">
        <f>IF(F132+SUM(E$99:E132)=D$92,F132,D$92-SUM(E$99:E132))</f>
        <v>71111.211237822426</v>
      </c>
      <c r="E133" s="522">
        <f>IF(+J96&lt;F132,J96,D133)</f>
        <v>8860.6904761904771</v>
      </c>
      <c r="F133" s="523">
        <f t="shared" si="35"/>
        <v>62250.520761631953</v>
      </c>
      <c r="G133" s="523">
        <f t="shared" si="36"/>
        <v>66680.86599972719</v>
      </c>
      <c r="H133" s="526">
        <f t="shared" si="33"/>
        <v>16033.806786249253</v>
      </c>
      <c r="I133" s="577">
        <f t="shared" si="34"/>
        <v>16033.806786249253</v>
      </c>
      <c r="J133" s="514">
        <f t="shared" si="37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  <c r="Q133" s="269"/>
    </row>
    <row r="134" spans="2:17" ht="12.5">
      <c r="B134" s="195" t="str">
        <f t="shared" si="24"/>
        <v/>
      </c>
      <c r="C134" s="507">
        <f>IF(D93="","-",+C133+1)</f>
        <v>2042</v>
      </c>
      <c r="D134" s="374">
        <f>IF(F133+SUM(E$99:E133)=D$92,F133,D$92-SUM(E$99:E133))</f>
        <v>62250.520761631953</v>
      </c>
      <c r="E134" s="522">
        <f>IF(+J96&lt;F133,J96,D134)</f>
        <v>8860.6904761904771</v>
      </c>
      <c r="F134" s="523">
        <f t="shared" si="35"/>
        <v>53389.83028544148</v>
      </c>
      <c r="G134" s="523">
        <f t="shared" si="36"/>
        <v>57820.175523536716</v>
      </c>
      <c r="H134" s="526">
        <f t="shared" si="33"/>
        <v>15080.628353122662</v>
      </c>
      <c r="I134" s="577">
        <f t="shared" si="34"/>
        <v>15080.628353122662</v>
      </c>
      <c r="J134" s="514">
        <f t="shared" si="37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  <c r="Q134" s="269"/>
    </row>
    <row r="135" spans="2:17" ht="12.5">
      <c r="B135" s="195" t="str">
        <f t="shared" si="24"/>
        <v/>
      </c>
      <c r="C135" s="507">
        <f>IF(D93="","-",+C134+1)</f>
        <v>2043</v>
      </c>
      <c r="D135" s="374">
        <f>IF(F134+SUM(E$99:E134)=D$92,F134,D$92-SUM(E$99:E134))</f>
        <v>53389.83028544148</v>
      </c>
      <c r="E135" s="522">
        <f>IF(+J96&lt;F134,J96,D135)</f>
        <v>8860.6904761904771</v>
      </c>
      <c r="F135" s="523">
        <f t="shared" si="35"/>
        <v>44529.139809251006</v>
      </c>
      <c r="G135" s="523">
        <f t="shared" si="36"/>
        <v>48959.485047346243</v>
      </c>
      <c r="H135" s="526">
        <f t="shared" si="33"/>
        <v>14127.449919996066</v>
      </c>
      <c r="I135" s="577">
        <f t="shared" si="34"/>
        <v>14127.449919996066</v>
      </c>
      <c r="J135" s="514">
        <f t="shared" si="37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  <c r="Q135" s="269"/>
    </row>
    <row r="136" spans="2:17" ht="12.5">
      <c r="B136" s="195" t="str">
        <f t="shared" si="24"/>
        <v/>
      </c>
      <c r="C136" s="507">
        <f>IF(D93="","-",+C135+1)</f>
        <v>2044</v>
      </c>
      <c r="D136" s="374">
        <f>IF(F135+SUM(E$99:E135)=D$92,F135,D$92-SUM(E$99:E135))</f>
        <v>44529.139809251006</v>
      </c>
      <c r="E136" s="522">
        <f>IF(+J96&lt;F135,J96,D136)</f>
        <v>8860.6904761904771</v>
      </c>
      <c r="F136" s="523">
        <f t="shared" si="35"/>
        <v>35668.449333060533</v>
      </c>
      <c r="G136" s="523">
        <f t="shared" si="36"/>
        <v>40098.79457115577</v>
      </c>
      <c r="H136" s="526">
        <f t="shared" si="33"/>
        <v>13174.271486869471</v>
      </c>
      <c r="I136" s="577">
        <f t="shared" si="34"/>
        <v>13174.271486869471</v>
      </c>
      <c r="J136" s="514">
        <f t="shared" si="37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  <c r="Q136" s="269"/>
    </row>
    <row r="137" spans="2:17" ht="12.5">
      <c r="B137" s="195" t="str">
        <f t="shared" si="24"/>
        <v/>
      </c>
      <c r="C137" s="507">
        <f>IF(D93="","-",+C136+1)</f>
        <v>2045</v>
      </c>
      <c r="D137" s="374">
        <f>IF(F136+SUM(E$99:E136)=D$92,F136,D$92-SUM(E$99:E136))</f>
        <v>35668.449333060533</v>
      </c>
      <c r="E137" s="522">
        <f>IF(+J96&lt;F136,J96,D137)</f>
        <v>8860.6904761904771</v>
      </c>
      <c r="F137" s="523">
        <f t="shared" si="35"/>
        <v>26807.758856870056</v>
      </c>
      <c r="G137" s="523">
        <f t="shared" si="36"/>
        <v>31238.104094965296</v>
      </c>
      <c r="H137" s="526">
        <f t="shared" si="33"/>
        <v>12221.093053742878</v>
      </c>
      <c r="I137" s="577">
        <f t="shared" si="34"/>
        <v>12221.093053742878</v>
      </c>
      <c r="J137" s="514">
        <f t="shared" si="37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  <c r="Q137" s="269"/>
    </row>
    <row r="138" spans="2:17" ht="12.5">
      <c r="B138" s="195" t="str">
        <f t="shared" si="24"/>
        <v/>
      </c>
      <c r="C138" s="507">
        <f>IF(D93="","-",+C137+1)</f>
        <v>2046</v>
      </c>
      <c r="D138" s="374">
        <f>IF(F137+SUM(E$99:E137)=D$92,F137,D$92-SUM(E$99:E137))</f>
        <v>26807.758856870056</v>
      </c>
      <c r="E138" s="522">
        <f>IF(+J96&lt;F137,J96,D138)</f>
        <v>8860.6904761904771</v>
      </c>
      <c r="F138" s="523">
        <f t="shared" si="35"/>
        <v>17947.068380679579</v>
      </c>
      <c r="G138" s="523">
        <f t="shared" si="36"/>
        <v>22377.413618774815</v>
      </c>
      <c r="H138" s="526">
        <f t="shared" si="33"/>
        <v>11267.914620616282</v>
      </c>
      <c r="I138" s="577">
        <f t="shared" si="34"/>
        <v>11267.914620616282</v>
      </c>
      <c r="J138" s="514">
        <f t="shared" si="37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  <c r="Q138" s="269"/>
    </row>
    <row r="139" spans="2:17" ht="12.5">
      <c r="B139" s="195" t="str">
        <f t="shared" si="24"/>
        <v/>
      </c>
      <c r="C139" s="507">
        <f>IF(D93="","-",+C138+1)</f>
        <v>2047</v>
      </c>
      <c r="D139" s="374">
        <f>IF(F138+SUM(E$99:E138)=D$92,F138,D$92-SUM(E$99:E138))</f>
        <v>17947.068380679579</v>
      </c>
      <c r="E139" s="522">
        <f>IF(+J96&lt;F138,J96,D139)</f>
        <v>8860.6904761904771</v>
      </c>
      <c r="F139" s="523">
        <f t="shared" si="35"/>
        <v>9086.3779044891016</v>
      </c>
      <c r="G139" s="523">
        <f t="shared" si="36"/>
        <v>13516.72314258434</v>
      </c>
      <c r="H139" s="526">
        <f t="shared" si="33"/>
        <v>10314.736187489687</v>
      </c>
      <c r="I139" s="577">
        <f t="shared" si="34"/>
        <v>10314.736187489687</v>
      </c>
      <c r="J139" s="514">
        <f t="shared" si="37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  <c r="Q139" s="269"/>
    </row>
    <row r="140" spans="2:17" ht="12.5">
      <c r="B140" s="195" t="str">
        <f t="shared" si="24"/>
        <v/>
      </c>
      <c r="C140" s="507">
        <f>IF(D93="","-",+C139+1)</f>
        <v>2048</v>
      </c>
      <c r="D140" s="374">
        <f>IF(F139+SUM(E$99:E139)=D$92,F139,D$92-SUM(E$99:E139))</f>
        <v>9086.3779044891016</v>
      </c>
      <c r="E140" s="522">
        <f>IF(+J96&lt;F139,J96,D140)</f>
        <v>8860.6904761904771</v>
      </c>
      <c r="F140" s="523">
        <f t="shared" si="35"/>
        <v>225.68742829862458</v>
      </c>
      <c r="G140" s="523">
        <f t="shared" si="36"/>
        <v>4656.0326663938631</v>
      </c>
      <c r="H140" s="526">
        <f t="shared" si="33"/>
        <v>9361.5577543630934</v>
      </c>
      <c r="I140" s="577">
        <f t="shared" si="34"/>
        <v>9361.5577543630934</v>
      </c>
      <c r="J140" s="514">
        <f t="shared" si="37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  <c r="Q140" s="269"/>
    </row>
    <row r="141" spans="2:17" ht="12.5">
      <c r="B141" s="195" t="str">
        <f t="shared" si="24"/>
        <v/>
      </c>
      <c r="C141" s="507">
        <f>IF(D93="","-",+C140+1)</f>
        <v>2049</v>
      </c>
      <c r="D141" s="374">
        <f>IF(F140+SUM(E$99:E140)=D$92,F140,D$92-SUM(E$99:E140))</f>
        <v>225.68742829862458</v>
      </c>
      <c r="E141" s="522">
        <f>IF(+J96&lt;F140,J96,D141)</f>
        <v>225.68742829862458</v>
      </c>
      <c r="F141" s="523">
        <f t="shared" si="35"/>
        <v>0</v>
      </c>
      <c r="G141" s="523">
        <f t="shared" si="36"/>
        <v>112.84371414931229</v>
      </c>
      <c r="H141" s="526">
        <f t="shared" si="33"/>
        <v>237.82645910328381</v>
      </c>
      <c r="I141" s="577">
        <f t="shared" si="34"/>
        <v>237.82645910328381</v>
      </c>
      <c r="J141" s="514">
        <f t="shared" si="37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  <c r="Q141" s="269"/>
    </row>
    <row r="142" spans="2:17" ht="12.5">
      <c r="B142" s="195" t="str">
        <f t="shared" si="24"/>
        <v/>
      </c>
      <c r="C142" s="507">
        <f>IF(D93="","-",+C141+1)</f>
        <v>2050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5"/>
        <v>0</v>
      </c>
      <c r="G142" s="523">
        <f t="shared" si="36"/>
        <v>0</v>
      </c>
      <c r="H142" s="526">
        <f t="shared" si="33"/>
        <v>0</v>
      </c>
      <c r="I142" s="577">
        <f t="shared" si="34"/>
        <v>0</v>
      </c>
      <c r="J142" s="514">
        <f t="shared" si="37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  <c r="Q142" s="269"/>
    </row>
    <row r="143" spans="2:17" ht="12.5">
      <c r="B143" s="195" t="str">
        <f t="shared" si="24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5"/>
        <v>0</v>
      </c>
      <c r="G143" s="523">
        <f t="shared" si="36"/>
        <v>0</v>
      </c>
      <c r="H143" s="526">
        <f t="shared" si="33"/>
        <v>0</v>
      </c>
      <c r="I143" s="577">
        <f t="shared" si="34"/>
        <v>0</v>
      </c>
      <c r="J143" s="514">
        <f t="shared" si="37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  <c r="Q143" s="269"/>
    </row>
    <row r="144" spans="2:17" ht="12.5">
      <c r="B144" s="195" t="str">
        <f t="shared" si="24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5"/>
        <v>0</v>
      </c>
      <c r="G144" s="523">
        <f t="shared" si="36"/>
        <v>0</v>
      </c>
      <c r="H144" s="526">
        <f t="shared" si="33"/>
        <v>0</v>
      </c>
      <c r="I144" s="577">
        <f t="shared" si="34"/>
        <v>0</v>
      </c>
      <c r="J144" s="514">
        <f t="shared" si="37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  <c r="Q144" s="269"/>
    </row>
    <row r="145" spans="2:17" ht="12.5">
      <c r="B145" s="195" t="str">
        <f t="shared" si="24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5"/>
        <v>0</v>
      </c>
      <c r="G145" s="523">
        <f t="shared" si="36"/>
        <v>0</v>
      </c>
      <c r="H145" s="526">
        <f t="shared" si="33"/>
        <v>0</v>
      </c>
      <c r="I145" s="577">
        <f t="shared" si="34"/>
        <v>0</v>
      </c>
      <c r="J145" s="514">
        <f t="shared" si="37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  <c r="Q145" s="269"/>
    </row>
    <row r="146" spans="2:17" ht="12.5">
      <c r="B146" s="195" t="str">
        <f t="shared" si="24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5"/>
        <v>0</v>
      </c>
      <c r="G146" s="523">
        <f t="shared" si="36"/>
        <v>0</v>
      </c>
      <c r="H146" s="526">
        <f t="shared" si="33"/>
        <v>0</v>
      </c>
      <c r="I146" s="577">
        <f t="shared" si="34"/>
        <v>0</v>
      </c>
      <c r="J146" s="514">
        <f t="shared" si="37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  <c r="Q146" s="269"/>
    </row>
    <row r="147" spans="2:17" ht="12.5">
      <c r="B147" s="195" t="str">
        <f t="shared" si="24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5"/>
        <v>0</v>
      </c>
      <c r="G147" s="523">
        <f t="shared" si="36"/>
        <v>0</v>
      </c>
      <c r="H147" s="526">
        <f t="shared" si="33"/>
        <v>0</v>
      </c>
      <c r="I147" s="577">
        <f t="shared" si="34"/>
        <v>0</v>
      </c>
      <c r="J147" s="514">
        <f t="shared" si="37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  <c r="Q147" s="269"/>
    </row>
    <row r="148" spans="2:17" ht="12.5">
      <c r="B148" s="195" t="str">
        <f t="shared" si="24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5"/>
        <v>0</v>
      </c>
      <c r="G148" s="523">
        <f t="shared" si="36"/>
        <v>0</v>
      </c>
      <c r="H148" s="526">
        <f t="shared" si="33"/>
        <v>0</v>
      </c>
      <c r="I148" s="577">
        <f t="shared" si="34"/>
        <v>0</v>
      </c>
      <c r="J148" s="514">
        <f t="shared" si="37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  <c r="Q148" s="269"/>
    </row>
    <row r="149" spans="2:17" ht="12.5">
      <c r="B149" s="195" t="str">
        <f t="shared" si="24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5"/>
        <v>0</v>
      </c>
      <c r="G149" s="523">
        <f t="shared" si="36"/>
        <v>0</v>
      </c>
      <c r="H149" s="526">
        <f t="shared" si="33"/>
        <v>0</v>
      </c>
      <c r="I149" s="577">
        <f t="shared" si="34"/>
        <v>0</v>
      </c>
      <c r="J149" s="514">
        <f t="shared" si="37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  <c r="Q149" s="269"/>
    </row>
    <row r="150" spans="2:17" ht="12.5">
      <c r="B150" s="195" t="str">
        <f t="shared" si="24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5"/>
        <v>0</v>
      </c>
      <c r="G150" s="523">
        <f t="shared" si="36"/>
        <v>0</v>
      </c>
      <c r="H150" s="526">
        <f t="shared" si="33"/>
        <v>0</v>
      </c>
      <c r="I150" s="577">
        <f t="shared" si="34"/>
        <v>0</v>
      </c>
      <c r="J150" s="514">
        <f t="shared" si="37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  <c r="Q150" s="269"/>
    </row>
    <row r="151" spans="2:17" ht="12.5">
      <c r="B151" s="195" t="str">
        <f t="shared" si="24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5"/>
        <v>0</v>
      </c>
      <c r="G151" s="523">
        <f t="shared" si="36"/>
        <v>0</v>
      </c>
      <c r="H151" s="526">
        <f t="shared" si="33"/>
        <v>0</v>
      </c>
      <c r="I151" s="577">
        <f t="shared" si="34"/>
        <v>0</v>
      </c>
      <c r="J151" s="514">
        <f t="shared" si="37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  <c r="Q151" s="269"/>
    </row>
    <row r="152" spans="2:17" ht="12.5">
      <c r="B152" s="195" t="str">
        <f t="shared" si="24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5"/>
        <v>0</v>
      </c>
      <c r="G152" s="523">
        <f t="shared" si="36"/>
        <v>0</v>
      </c>
      <c r="H152" s="526">
        <f t="shared" si="33"/>
        <v>0</v>
      </c>
      <c r="I152" s="577">
        <f t="shared" si="34"/>
        <v>0</v>
      </c>
      <c r="J152" s="514">
        <f t="shared" si="37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  <c r="Q152" s="269"/>
    </row>
    <row r="153" spans="2:17" ht="12.5">
      <c r="B153" s="195" t="str">
        <f t="shared" si="24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5"/>
        <v>0</v>
      </c>
      <c r="G153" s="523">
        <f t="shared" si="36"/>
        <v>0</v>
      </c>
      <c r="H153" s="526">
        <f t="shared" si="33"/>
        <v>0</v>
      </c>
      <c r="I153" s="577">
        <f t="shared" si="34"/>
        <v>0</v>
      </c>
      <c r="J153" s="514">
        <f t="shared" si="37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  <c r="Q153" s="269"/>
    </row>
    <row r="154" spans="2:17" ht="13" thickBot="1">
      <c r="B154" s="195" t="str">
        <f t="shared" si="24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5"/>
        <v>0</v>
      </c>
      <c r="G154" s="528">
        <f t="shared" si="36"/>
        <v>0</v>
      </c>
      <c r="H154" s="530">
        <f t="shared" si="33"/>
        <v>0</v>
      </c>
      <c r="I154" s="579">
        <f t="shared" si="34"/>
        <v>0</v>
      </c>
      <c r="J154" s="533">
        <f t="shared" si="37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  <c r="Q154" s="269"/>
    </row>
    <row r="155" spans="2:17" ht="12.5">
      <c r="C155" s="374" t="s">
        <v>78</v>
      </c>
      <c r="D155" s="375"/>
      <c r="E155" s="375">
        <f>SUM(E99:E154)</f>
        <v>372149.00000000012</v>
      </c>
      <c r="F155" s="375"/>
      <c r="G155" s="375"/>
      <c r="H155" s="375">
        <f>SUM(H99:H154)</f>
        <v>1326309.3808635667</v>
      </c>
      <c r="I155" s="375">
        <f>SUM(I99:I154)</f>
        <v>1326309.3808635667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1" priority="1" stopIfTrue="1" operator="equal">
      <formula>$I$10</formula>
    </cfRule>
  </conditionalFormatting>
  <conditionalFormatting sqref="C99:C154">
    <cfRule type="cellIs" dxfId="13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Q162"/>
  <sheetViews>
    <sheetView view="pageBreakPreview" topLeftCell="A73" zoomScale="75" zoomScaleNormal="100" zoomScaleSheetLayoutView="75" workbookViewId="0">
      <selection activeCell="L110" sqref="L110:N11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18" width="9.1796875" style="183" customWidth="1"/>
    <col min="19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16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38593.612729387853</v>
      </c>
      <c r="P5" s="269"/>
    </row>
    <row r="6" spans="1:17" ht="15.5">
      <c r="C6" s="274"/>
      <c r="D6" s="614" t="s">
        <v>272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38593.612729387853</v>
      </c>
      <c r="O6" s="269"/>
      <c r="P6" s="269"/>
    </row>
    <row r="7" spans="1:17" ht="13.5" thickBot="1">
      <c r="C7" s="467" t="s">
        <v>48</v>
      </c>
      <c r="D7" s="468" t="s">
        <v>237</v>
      </c>
      <c r="E7" s="269"/>
      <c r="F7" s="269"/>
      <c r="G7" s="269"/>
      <c r="H7" s="615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162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389326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9269.6666666666661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310667</v>
      </c>
      <c r="E17" s="509">
        <v>0</v>
      </c>
      <c r="F17" s="508">
        <v>310667</v>
      </c>
      <c r="G17" s="509">
        <v>44663</v>
      </c>
      <c r="H17" s="510">
        <v>44663</v>
      </c>
      <c r="I17" s="616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2009</v>
      </c>
      <c r="D18" s="515">
        <v>310667</v>
      </c>
      <c r="E18" s="516">
        <v>8175</v>
      </c>
      <c r="F18" s="515">
        <v>302492</v>
      </c>
      <c r="G18" s="516">
        <v>51663</v>
      </c>
      <c r="H18" s="510">
        <v>51663</v>
      </c>
      <c r="I18" s="61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2010</v>
      </c>
      <c r="D19" s="515">
        <v>302492</v>
      </c>
      <c r="E19" s="516">
        <v>8175.4473684210525</v>
      </c>
      <c r="F19" s="515">
        <v>294316.55263157893</v>
      </c>
      <c r="G19" s="516">
        <v>50487.866330718665</v>
      </c>
      <c r="H19" s="510">
        <v>50487.866330718665</v>
      </c>
      <c r="I19" s="617">
        <v>0</v>
      </c>
      <c r="J19" s="511"/>
      <c r="K19" s="518">
        <f t="shared" ref="K19:K24" si="4">G19</f>
        <v>50487.866330718665</v>
      </c>
      <c r="L19" s="519">
        <f t="shared" si="1"/>
        <v>0</v>
      </c>
      <c r="M19" s="518">
        <f t="shared" ref="M19:M24" si="5">H19</f>
        <v>50487.866330718665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2011</v>
      </c>
      <c r="D20" s="515">
        <v>372975.55263157893</v>
      </c>
      <c r="E20" s="516">
        <v>9495.7560975609758</v>
      </c>
      <c r="F20" s="515">
        <v>363479.79653401795</v>
      </c>
      <c r="G20" s="516">
        <v>66268.459500863828</v>
      </c>
      <c r="H20" s="510">
        <v>66268.459500863828</v>
      </c>
      <c r="I20" s="517">
        <v>0</v>
      </c>
      <c r="J20" s="511"/>
      <c r="K20" s="518">
        <f t="shared" si="4"/>
        <v>66268.459500863828</v>
      </c>
      <c r="L20" s="519">
        <f t="shared" si="1"/>
        <v>0</v>
      </c>
      <c r="M20" s="518">
        <f t="shared" si="5"/>
        <v>66268.459500863828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363479.79653401795</v>
      </c>
      <c r="E21" s="520">
        <v>9269.6666666666661</v>
      </c>
      <c r="F21" s="515">
        <v>354210.12986735126</v>
      </c>
      <c r="G21" s="516">
        <v>61947.846793824669</v>
      </c>
      <c r="H21" s="510">
        <v>61947.846793824669</v>
      </c>
      <c r="I21" s="517">
        <v>0</v>
      </c>
      <c r="J21" s="511"/>
      <c r="K21" s="518">
        <f t="shared" si="4"/>
        <v>61947.846793824669</v>
      </c>
      <c r="L21" s="519">
        <f t="shared" si="1"/>
        <v>0</v>
      </c>
      <c r="M21" s="518">
        <f t="shared" si="5"/>
        <v>61947.846793824669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608">
        <v>354210.12986735126</v>
      </c>
      <c r="E22" s="609">
        <v>9269.6666666666661</v>
      </c>
      <c r="F22" s="608">
        <v>344940.46320068458</v>
      </c>
      <c r="G22" s="609">
        <v>57556.875600006118</v>
      </c>
      <c r="H22" s="610">
        <v>57556.875600006118</v>
      </c>
      <c r="I22" s="596">
        <v>0</v>
      </c>
      <c r="J22" s="511"/>
      <c r="K22" s="518">
        <f t="shared" si="4"/>
        <v>57556.875600006118</v>
      </c>
      <c r="L22" s="519">
        <f t="shared" ref="L22:L27" si="7">IF(K22&lt;&gt;0,+G22-K22,0)</f>
        <v>0</v>
      </c>
      <c r="M22" s="518">
        <f t="shared" si="5"/>
        <v>57556.875600006118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608">
        <v>344940.46320068458</v>
      </c>
      <c r="E23" s="609">
        <v>9269.6666666666661</v>
      </c>
      <c r="F23" s="608">
        <v>335670.79653401789</v>
      </c>
      <c r="G23" s="609">
        <v>54555.18443175155</v>
      </c>
      <c r="H23" s="610">
        <v>54555.18443175155</v>
      </c>
      <c r="I23" s="596">
        <v>0</v>
      </c>
      <c r="J23" s="511"/>
      <c r="K23" s="518">
        <f t="shared" si="4"/>
        <v>54555.18443175155</v>
      </c>
      <c r="L23" s="519">
        <f t="shared" si="7"/>
        <v>0</v>
      </c>
      <c r="M23" s="518">
        <f t="shared" si="5"/>
        <v>54555.18443175155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608">
        <v>335670.79653401789</v>
      </c>
      <c r="E24" s="609">
        <v>9269.6666666666661</v>
      </c>
      <c r="F24" s="608">
        <v>326401.12986735121</v>
      </c>
      <c r="G24" s="609">
        <v>52258.262513897615</v>
      </c>
      <c r="H24" s="610">
        <v>52258.262513897615</v>
      </c>
      <c r="I24" s="511">
        <v>0</v>
      </c>
      <c r="J24" s="511"/>
      <c r="K24" s="518">
        <f t="shared" si="4"/>
        <v>52258.262513897615</v>
      </c>
      <c r="L24" s="519">
        <f t="shared" si="7"/>
        <v>0</v>
      </c>
      <c r="M24" s="518">
        <f t="shared" si="5"/>
        <v>52258.262513897615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2016</v>
      </c>
      <c r="D25" s="608">
        <v>326401.12986735121</v>
      </c>
      <c r="E25" s="609">
        <v>9269.6666666666661</v>
      </c>
      <c r="F25" s="608">
        <v>317131.46320068452</v>
      </c>
      <c r="G25" s="609">
        <v>50522.11947752475</v>
      </c>
      <c r="H25" s="610">
        <v>50522.11947752475</v>
      </c>
      <c r="I25" s="511">
        <f t="shared" si="0"/>
        <v>0</v>
      </c>
      <c r="J25" s="511"/>
      <c r="K25" s="518">
        <f>G25</f>
        <v>50522.11947752475</v>
      </c>
      <c r="L25" s="519">
        <f t="shared" si="7"/>
        <v>0</v>
      </c>
      <c r="M25" s="518">
        <f>H25</f>
        <v>50522.11947752475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608">
        <v>317131.46320068452</v>
      </c>
      <c r="E26" s="609">
        <v>9054.0930232558148</v>
      </c>
      <c r="F26" s="608">
        <v>308077.3701774287</v>
      </c>
      <c r="G26" s="609">
        <v>47783.446226544533</v>
      </c>
      <c r="H26" s="610">
        <v>47783.446226544533</v>
      </c>
      <c r="I26" s="511">
        <f t="shared" si="0"/>
        <v>0</v>
      </c>
      <c r="J26" s="511"/>
      <c r="K26" s="518">
        <f>G26</f>
        <v>47783.446226544533</v>
      </c>
      <c r="L26" s="519">
        <f t="shared" si="7"/>
        <v>0</v>
      </c>
      <c r="M26" s="518">
        <f>H26</f>
        <v>47783.446226544533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608">
        <v>308077.3701774287</v>
      </c>
      <c r="E27" s="609">
        <v>9495.7560975609758</v>
      </c>
      <c r="F27" s="608">
        <v>298581.61407986772</v>
      </c>
      <c r="G27" s="609">
        <v>48047.144578018066</v>
      </c>
      <c r="H27" s="610">
        <v>48047.144578018066</v>
      </c>
      <c r="I27" s="511">
        <f t="shared" si="0"/>
        <v>0</v>
      </c>
      <c r="J27" s="511"/>
      <c r="K27" s="518">
        <f>G27</f>
        <v>48047.144578018066</v>
      </c>
      <c r="L27" s="519">
        <f t="shared" si="7"/>
        <v>0</v>
      </c>
      <c r="M27" s="518">
        <f>H27</f>
        <v>48047.144578018066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608">
        <v>298581.61407986772</v>
      </c>
      <c r="E28" s="609">
        <v>9495.7560975609758</v>
      </c>
      <c r="F28" s="608">
        <v>289085.85798230674</v>
      </c>
      <c r="G28" s="609">
        <v>46840.290013156024</v>
      </c>
      <c r="H28" s="610">
        <v>46840.290013156024</v>
      </c>
      <c r="I28" s="511">
        <f t="shared" si="0"/>
        <v>0</v>
      </c>
      <c r="J28" s="511"/>
      <c r="K28" s="518">
        <f>G28</f>
        <v>46840.290013156024</v>
      </c>
      <c r="L28" s="519">
        <f t="shared" ref="L28" si="10">IF(K28&lt;&gt;0,+G28-K28,0)</f>
        <v>0</v>
      </c>
      <c r="M28" s="518">
        <f>H28</f>
        <v>46840.290013156024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2020</v>
      </c>
      <c r="D29" s="608">
        <v>289085.85798230674</v>
      </c>
      <c r="E29" s="609">
        <v>9495.7560975609758</v>
      </c>
      <c r="F29" s="608">
        <v>279590.10188474576</v>
      </c>
      <c r="G29" s="609">
        <v>38593.612729387853</v>
      </c>
      <c r="H29" s="610">
        <v>38593.612729387853</v>
      </c>
      <c r="I29" s="511">
        <f t="shared" si="0"/>
        <v>0</v>
      </c>
      <c r="J29" s="511"/>
      <c r="K29" s="518">
        <f>G29</f>
        <v>38593.612729387853</v>
      </c>
      <c r="L29" s="519">
        <f t="shared" ref="L29" si="11">IF(K29&lt;&gt;0,+G29-K29,0)</f>
        <v>0</v>
      </c>
      <c r="M29" s="518">
        <f>H29</f>
        <v>38593.612729387853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/>
      </c>
      <c r="C30" s="507">
        <f>IF(D11="","-",+C29+1)</f>
        <v>2021</v>
      </c>
      <c r="D30" s="523">
        <f>IF(F29+SUM(E$17:E29)=D$10,F29,D$10-SUM(E$17:E29))</f>
        <v>279590.10188474576</v>
      </c>
      <c r="E30" s="522">
        <f>IF(+I14&lt;F29,I14,D30)</f>
        <v>9269.6666666666661</v>
      </c>
      <c r="F30" s="523">
        <f t="shared" ref="F30:F48" si="12">+D30-E30</f>
        <v>270320.43521807907</v>
      </c>
      <c r="G30" s="524">
        <f t="shared" ref="G30:G72" si="13">+I$12*((D30+F30)/2)+E30</f>
        <v>38639.831328103071</v>
      </c>
      <c r="H30" s="491">
        <f t="shared" ref="H30:H72" si="14">+I$13*((D30+F30)/2)+E30</f>
        <v>38639.831328103071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2022</v>
      </c>
      <c r="D31" s="523">
        <f>IF(F30+SUM(E$17:E30)=D$10,F30,D$10-SUM(E$17:E30))</f>
        <v>270320.43521807907</v>
      </c>
      <c r="E31" s="522">
        <f>IF(+I14&lt;F30,I14,D31)</f>
        <v>9269.6666666666661</v>
      </c>
      <c r="F31" s="523">
        <f t="shared" si="12"/>
        <v>261050.76855141242</v>
      </c>
      <c r="G31" s="524">
        <f t="shared" si="13"/>
        <v>37649.664317334478</v>
      </c>
      <c r="H31" s="491">
        <f t="shared" si="14"/>
        <v>37649.664317334478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261050.76855141242</v>
      </c>
      <c r="E32" s="522">
        <f>IF(+I14&lt;F31,I14,D32)</f>
        <v>9269.6666666666661</v>
      </c>
      <c r="F32" s="523">
        <f t="shared" si="12"/>
        <v>251781.10188474576</v>
      </c>
      <c r="G32" s="524">
        <f t="shared" si="13"/>
        <v>36659.497306565878</v>
      </c>
      <c r="H32" s="491">
        <f t="shared" si="14"/>
        <v>36659.497306565878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251781.10188474576</v>
      </c>
      <c r="E33" s="522">
        <f>IF(+I14&lt;F32,I14,D33)</f>
        <v>9269.6666666666661</v>
      </c>
      <c r="F33" s="523">
        <f t="shared" si="12"/>
        <v>242511.4352180791</v>
      </c>
      <c r="G33" s="524">
        <f t="shared" si="13"/>
        <v>35669.330295797292</v>
      </c>
      <c r="H33" s="491">
        <f t="shared" si="14"/>
        <v>35669.330295797292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242511.4352180791</v>
      </c>
      <c r="E34" s="522">
        <f>IF(+I14&lt;F33,I14,D34)</f>
        <v>9269.6666666666661</v>
      </c>
      <c r="F34" s="523">
        <f t="shared" si="12"/>
        <v>233241.76855141245</v>
      </c>
      <c r="G34" s="524">
        <f t="shared" si="13"/>
        <v>34679.163285028691</v>
      </c>
      <c r="H34" s="491">
        <f t="shared" si="14"/>
        <v>34679.163285028691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233241.76855141245</v>
      </c>
      <c r="E35" s="522">
        <f>IF(+I14&lt;F34,I14,D35)</f>
        <v>9269.6666666666661</v>
      </c>
      <c r="F35" s="523">
        <f t="shared" si="12"/>
        <v>223972.10188474579</v>
      </c>
      <c r="G35" s="524">
        <f t="shared" si="13"/>
        <v>33688.996274260098</v>
      </c>
      <c r="H35" s="491">
        <f t="shared" si="14"/>
        <v>33688.996274260098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223972.10188474579</v>
      </c>
      <c r="E36" s="522">
        <f>IF(+I14&lt;F35,I14,D36)</f>
        <v>9269.6666666666661</v>
      </c>
      <c r="F36" s="523">
        <f t="shared" si="12"/>
        <v>214702.43521807913</v>
      </c>
      <c r="G36" s="524">
        <f t="shared" si="13"/>
        <v>32698.829263491505</v>
      </c>
      <c r="H36" s="491">
        <f t="shared" si="14"/>
        <v>32698.829263491505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214702.43521807913</v>
      </c>
      <c r="E37" s="522">
        <f>IF(+I14&lt;F36,I14,D37)</f>
        <v>9269.6666666666661</v>
      </c>
      <c r="F37" s="523">
        <f t="shared" si="12"/>
        <v>205432.76855141248</v>
      </c>
      <c r="G37" s="524">
        <f t="shared" si="13"/>
        <v>31708.662252722912</v>
      </c>
      <c r="H37" s="491">
        <f t="shared" si="14"/>
        <v>31708.662252722912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205432.76855141248</v>
      </c>
      <c r="E38" s="522">
        <f>IF(+I14&lt;F37,I14,D38)</f>
        <v>9269.6666666666661</v>
      </c>
      <c r="F38" s="523">
        <f t="shared" si="12"/>
        <v>196163.10188474582</v>
      </c>
      <c r="G38" s="524">
        <f t="shared" si="13"/>
        <v>30718.495241954319</v>
      </c>
      <c r="H38" s="491">
        <f t="shared" si="14"/>
        <v>30718.495241954319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196163.10188474582</v>
      </c>
      <c r="E39" s="522">
        <f>IF(+I14&lt;F38,I14,D39)</f>
        <v>9269.6666666666661</v>
      </c>
      <c r="F39" s="523">
        <f t="shared" si="12"/>
        <v>186893.43521807916</v>
      </c>
      <c r="G39" s="524">
        <f t="shared" si="13"/>
        <v>29728.328231185726</v>
      </c>
      <c r="H39" s="491">
        <f t="shared" si="14"/>
        <v>29728.328231185726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186893.43521807916</v>
      </c>
      <c r="E40" s="522">
        <f>IF(+I14&lt;F39,I14,D40)</f>
        <v>9269.6666666666661</v>
      </c>
      <c r="F40" s="523">
        <f t="shared" si="12"/>
        <v>177623.7685514125</v>
      </c>
      <c r="G40" s="524">
        <f t="shared" si="13"/>
        <v>28738.161220417125</v>
      </c>
      <c r="H40" s="491">
        <f t="shared" si="14"/>
        <v>28738.161220417125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177623.7685514125</v>
      </c>
      <c r="E41" s="522">
        <f>IF(+I14&lt;F40,I14,D41)</f>
        <v>9269.6666666666661</v>
      </c>
      <c r="F41" s="523">
        <f t="shared" si="12"/>
        <v>168354.10188474585</v>
      </c>
      <c r="G41" s="524">
        <f t="shared" si="13"/>
        <v>27747.994209648539</v>
      </c>
      <c r="H41" s="491">
        <f t="shared" si="14"/>
        <v>27747.994209648539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168354.10188474585</v>
      </c>
      <c r="E42" s="522">
        <f>IF(+I14&lt;F41,I14,D42)</f>
        <v>9269.6666666666661</v>
      </c>
      <c r="F42" s="523">
        <f t="shared" si="12"/>
        <v>159084.43521807919</v>
      </c>
      <c r="G42" s="524">
        <f t="shared" si="13"/>
        <v>26757.827198879939</v>
      </c>
      <c r="H42" s="491">
        <f t="shared" si="14"/>
        <v>26757.827198879939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159084.43521807919</v>
      </c>
      <c r="E43" s="522">
        <f>IF(+I14&lt;F42,I14,D43)</f>
        <v>9269.6666666666661</v>
      </c>
      <c r="F43" s="523">
        <f t="shared" si="12"/>
        <v>149814.76855141253</v>
      </c>
      <c r="G43" s="524">
        <f t="shared" si="13"/>
        <v>25767.660188111346</v>
      </c>
      <c r="H43" s="491">
        <f t="shared" si="14"/>
        <v>25767.660188111346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149814.76855141253</v>
      </c>
      <c r="E44" s="522">
        <f>IF(+I14&lt;F43,I14,D44)</f>
        <v>9269.6666666666661</v>
      </c>
      <c r="F44" s="523">
        <f t="shared" si="12"/>
        <v>140545.10188474588</v>
      </c>
      <c r="G44" s="524">
        <f t="shared" si="13"/>
        <v>24777.493177342752</v>
      </c>
      <c r="H44" s="491">
        <f t="shared" si="14"/>
        <v>24777.493177342752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140545.10188474588</v>
      </c>
      <c r="E45" s="522">
        <f>IF(+I14&lt;F44,I14,D45)</f>
        <v>9269.6666666666661</v>
      </c>
      <c r="F45" s="523">
        <f t="shared" si="12"/>
        <v>131275.43521807922</v>
      </c>
      <c r="G45" s="524">
        <f t="shared" si="13"/>
        <v>23787.326166574159</v>
      </c>
      <c r="H45" s="491">
        <f t="shared" si="14"/>
        <v>23787.326166574159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131275.43521807922</v>
      </c>
      <c r="E46" s="522">
        <f>IF(+I14&lt;F45,I14,D46)</f>
        <v>9269.6666666666661</v>
      </c>
      <c r="F46" s="523">
        <f t="shared" si="12"/>
        <v>122005.76855141255</v>
      </c>
      <c r="G46" s="524">
        <f t="shared" si="13"/>
        <v>22797.159155805562</v>
      </c>
      <c r="H46" s="491">
        <f t="shared" si="14"/>
        <v>22797.159155805562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122005.76855141255</v>
      </c>
      <c r="E47" s="522">
        <f>IF(+I14&lt;F46,I14,D47)</f>
        <v>9269.6666666666661</v>
      </c>
      <c r="F47" s="523">
        <f t="shared" si="12"/>
        <v>112736.10188474588</v>
      </c>
      <c r="G47" s="524">
        <f t="shared" si="13"/>
        <v>21806.992145036969</v>
      </c>
      <c r="H47" s="491">
        <f t="shared" si="14"/>
        <v>21806.992145036969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112736.10188474588</v>
      </c>
      <c r="E48" s="522">
        <f>IF(+I14&lt;F47,I14,D48)</f>
        <v>9269.6666666666661</v>
      </c>
      <c r="F48" s="523">
        <f t="shared" si="12"/>
        <v>103466.4352180792</v>
      </c>
      <c r="G48" s="524">
        <f t="shared" si="13"/>
        <v>20816.825134268372</v>
      </c>
      <c r="H48" s="491">
        <f t="shared" si="14"/>
        <v>20816.825134268372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103466.4352180792</v>
      </c>
      <c r="E49" s="522">
        <f>IF(+I14&lt;F48,I14,D49)</f>
        <v>9269.6666666666661</v>
      </c>
      <c r="F49" s="523">
        <f t="shared" ref="F49:F72" si="15">+D49-E49</f>
        <v>94196.768551412533</v>
      </c>
      <c r="G49" s="524">
        <f t="shared" si="13"/>
        <v>19826.658123499779</v>
      </c>
      <c r="H49" s="491">
        <f t="shared" si="14"/>
        <v>19826.658123499779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94196.768551412533</v>
      </c>
      <c r="E50" s="522">
        <f>IF(+I14&lt;F49,I14,D50)</f>
        <v>9269.6666666666661</v>
      </c>
      <c r="F50" s="523">
        <f t="shared" si="15"/>
        <v>84927.101884745862</v>
      </c>
      <c r="G50" s="524">
        <f t="shared" si="13"/>
        <v>18836.491112731179</v>
      </c>
      <c r="H50" s="491">
        <f t="shared" si="14"/>
        <v>18836.491112731179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84927.101884745862</v>
      </c>
      <c r="E51" s="522">
        <f>IF(+I14&lt;F50,I14,D51)</f>
        <v>9269.6666666666661</v>
      </c>
      <c r="F51" s="523">
        <f t="shared" si="15"/>
        <v>75657.43521807919</v>
      </c>
      <c r="G51" s="524">
        <f t="shared" si="13"/>
        <v>17846.324101962586</v>
      </c>
      <c r="H51" s="491">
        <f t="shared" si="14"/>
        <v>17846.324101962586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75657.43521807919</v>
      </c>
      <c r="E52" s="522">
        <f>IF(+I14&lt;F51,I14,D52)</f>
        <v>9269.6666666666661</v>
      </c>
      <c r="F52" s="523">
        <f t="shared" si="15"/>
        <v>66387.768551412519</v>
      </c>
      <c r="G52" s="524">
        <f t="shared" si="13"/>
        <v>16856.157091193989</v>
      </c>
      <c r="H52" s="491">
        <f t="shared" si="14"/>
        <v>16856.157091193989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66387.768551412519</v>
      </c>
      <c r="E53" s="522">
        <f>IF(+I14&lt;F52,I14,D53)</f>
        <v>9269.6666666666661</v>
      </c>
      <c r="F53" s="523">
        <f t="shared" si="15"/>
        <v>57118.101884745854</v>
      </c>
      <c r="G53" s="524">
        <f t="shared" si="13"/>
        <v>15865.990080425396</v>
      </c>
      <c r="H53" s="491">
        <f t="shared" si="14"/>
        <v>15865.990080425396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57118.101884745854</v>
      </c>
      <c r="E54" s="522">
        <f>IF(+I14&lt;F53,I14,D54)</f>
        <v>9269.6666666666661</v>
      </c>
      <c r="F54" s="523">
        <f t="shared" si="15"/>
        <v>47848.43521807919</v>
      </c>
      <c r="G54" s="524">
        <f t="shared" si="13"/>
        <v>14875.823069656799</v>
      </c>
      <c r="H54" s="491">
        <f t="shared" si="14"/>
        <v>14875.823069656799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47848.43521807919</v>
      </c>
      <c r="E55" s="522">
        <f>IF(+I14&lt;F54,I14,D55)</f>
        <v>9269.6666666666661</v>
      </c>
      <c r="F55" s="523">
        <f t="shared" si="15"/>
        <v>38578.768551412526</v>
      </c>
      <c r="G55" s="524">
        <f t="shared" si="13"/>
        <v>13885.656058888206</v>
      </c>
      <c r="H55" s="491">
        <f t="shared" si="14"/>
        <v>13885.656058888206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38578.768551412526</v>
      </c>
      <c r="E56" s="522">
        <f>IF(+I14&lt;F55,I14,D56)</f>
        <v>9269.6666666666661</v>
      </c>
      <c r="F56" s="523">
        <f t="shared" si="15"/>
        <v>29309.101884745862</v>
      </c>
      <c r="G56" s="524">
        <f t="shared" si="13"/>
        <v>12895.489048119611</v>
      </c>
      <c r="H56" s="491">
        <f t="shared" si="14"/>
        <v>12895.489048119611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29309.101884745862</v>
      </c>
      <c r="E57" s="522">
        <f>IF(+I14&lt;F56,I14,D57)</f>
        <v>9269.6666666666661</v>
      </c>
      <c r="F57" s="523">
        <f t="shared" si="15"/>
        <v>20039.435218079198</v>
      </c>
      <c r="G57" s="524">
        <f t="shared" si="13"/>
        <v>11905.322037351016</v>
      </c>
      <c r="H57" s="491">
        <f t="shared" si="14"/>
        <v>11905.322037351016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20039.435218079198</v>
      </c>
      <c r="E58" s="522">
        <f>IF(+I14&lt;F57,I14,D58)</f>
        <v>9269.6666666666661</v>
      </c>
      <c r="F58" s="523">
        <f t="shared" si="15"/>
        <v>10769.768551412531</v>
      </c>
      <c r="G58" s="524">
        <f t="shared" si="13"/>
        <v>10915.155026582421</v>
      </c>
      <c r="H58" s="491">
        <f t="shared" si="14"/>
        <v>10915.155026582421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10769.768551412531</v>
      </c>
      <c r="E59" s="522">
        <f>IF(+I14&lt;F58,I14,D59)</f>
        <v>9269.6666666666661</v>
      </c>
      <c r="F59" s="523">
        <f t="shared" si="15"/>
        <v>1500.1018847458654</v>
      </c>
      <c r="G59" s="524">
        <f t="shared" si="13"/>
        <v>9924.9880158138258</v>
      </c>
      <c r="H59" s="491">
        <f t="shared" si="14"/>
        <v>9924.9880158138258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1500.1018847458654</v>
      </c>
      <c r="E60" s="522">
        <f>IF(+I14&lt;F59,I14,D60)</f>
        <v>1500.1018847458654</v>
      </c>
      <c r="F60" s="523">
        <f t="shared" si="15"/>
        <v>0</v>
      </c>
      <c r="G60" s="524">
        <f t="shared" si="13"/>
        <v>1580.2208066272967</v>
      </c>
      <c r="H60" s="491">
        <f t="shared" si="14"/>
        <v>1580.2208066272967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13"/>
        <v>0</v>
      </c>
      <c r="H61" s="491">
        <f t="shared" si="14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3"/>
        <v>0</v>
      </c>
      <c r="H62" s="491">
        <f t="shared" si="14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3"/>
        <v>0</v>
      </c>
      <c r="H63" s="491">
        <f t="shared" si="14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3"/>
        <v>0</v>
      </c>
      <c r="H64" s="491">
        <f t="shared" si="14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3"/>
        <v>0</v>
      </c>
      <c r="H65" s="491">
        <f t="shared" si="14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3"/>
        <v>0</v>
      </c>
      <c r="H66" s="491">
        <f t="shared" si="14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3"/>
        <v>0</v>
      </c>
      <c r="H67" s="491">
        <f t="shared" si="14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3"/>
        <v>0</v>
      </c>
      <c r="H68" s="491">
        <f t="shared" si="14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3"/>
        <v>0</v>
      </c>
      <c r="H69" s="491">
        <f t="shared" si="14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3"/>
        <v>0</v>
      </c>
      <c r="H70" s="491">
        <f t="shared" si="14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3"/>
        <v>0</v>
      </c>
      <c r="H71" s="491">
        <f t="shared" si="14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3"/>
        <v>0</v>
      </c>
      <c r="H72" s="471">
        <f t="shared" si="14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389326.00000000012</v>
      </c>
      <c r="F73" s="375"/>
      <c r="G73" s="375">
        <f>SUM(G17:G72)</f>
        <v>1401239.6191610745</v>
      </c>
      <c r="H73" s="375">
        <f>SUM(H17:H72)</f>
        <v>1401239.6191610745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16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38593.612729387853</v>
      </c>
      <c r="N87" s="546">
        <f>IF(J92&lt;D11,0,VLOOKUP(J92,C17:O72,11))</f>
        <v>38593.612729387853</v>
      </c>
      <c r="O87" s="547">
        <f>+N87-M87</f>
        <v>0</v>
      </c>
      <c r="P87" s="269"/>
      <c r="Q87" s="269"/>
    </row>
    <row r="88" spans="1:17" ht="15.5">
      <c r="C88" s="274"/>
      <c r="D88" s="614" t="s">
        <v>271</v>
      </c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40622.093922186577</v>
      </c>
      <c r="N88" s="550">
        <f>IF(J92&lt;D11,0,VLOOKUP(J92,C99:P154,7))</f>
        <v>40622.093922186577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Daingerfield - Jenkins REC 69 kV CB Repl**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2028.4811927987248</v>
      </c>
      <c r="N89" s="555">
        <f>+N88-N87</f>
        <v>2028.4811927987248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389326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9269.6666666666661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0</v>
      </c>
      <c r="F99" s="515">
        <v>0</v>
      </c>
      <c r="G99" s="574">
        <v>0</v>
      </c>
      <c r="H99" s="575">
        <v>0</v>
      </c>
      <c r="I99" s="576">
        <v>0</v>
      </c>
      <c r="J99" s="613">
        <f t="shared" ref="J99:J130" si="20">+I99-H99</f>
        <v>0</v>
      </c>
      <c r="K99" s="514"/>
      <c r="L99" s="512">
        <v>0</v>
      </c>
      <c r="M99" s="513">
        <f t="shared" ref="M99:M130" si="21">IF(L99&lt;&gt;0,+H99-L99,0)</f>
        <v>0</v>
      </c>
      <c r="N99" s="512">
        <v>0</v>
      </c>
      <c r="O99" s="513">
        <f t="shared" ref="O99:O130" si="22">IF(N99&lt;&gt;0,+I99-N99,0)</f>
        <v>0</v>
      </c>
      <c r="P99" s="513">
        <f t="shared" ref="P99:P130" si="23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2009</v>
      </c>
      <c r="D100" s="508">
        <v>0</v>
      </c>
      <c r="E100" s="516">
        <v>0</v>
      </c>
      <c r="F100" s="515">
        <v>0</v>
      </c>
      <c r="G100" s="515">
        <v>0</v>
      </c>
      <c r="H100" s="516">
        <v>0</v>
      </c>
      <c r="I100" s="510">
        <v>0</v>
      </c>
      <c r="J100" s="613">
        <f t="shared" si="20"/>
        <v>0</v>
      </c>
      <c r="K100" s="514"/>
      <c r="L100" s="518">
        <f t="shared" ref="L100:L105" si="24">H100</f>
        <v>0</v>
      </c>
      <c r="M100" s="519">
        <f t="shared" si="21"/>
        <v>0</v>
      </c>
      <c r="N100" s="518">
        <f t="shared" ref="N100:N105" si="25">I100</f>
        <v>0</v>
      </c>
      <c r="O100" s="514">
        <f t="shared" si="22"/>
        <v>0</v>
      </c>
      <c r="P100" s="514">
        <f t="shared" si="23"/>
        <v>0</v>
      </c>
      <c r="Q100" s="269"/>
    </row>
    <row r="101" spans="1:17" ht="12.5">
      <c r="B101" s="195" t="str">
        <f t="shared" ref="B101:B154" si="26">IF(D101=F100,"","IU")</f>
        <v>IU</v>
      </c>
      <c r="C101" s="507">
        <f>IF(D93="","-",+C100+1)</f>
        <v>2010</v>
      </c>
      <c r="D101" s="508">
        <v>389326</v>
      </c>
      <c r="E101" s="516">
        <v>10245</v>
      </c>
      <c r="F101" s="515">
        <v>379081</v>
      </c>
      <c r="G101" s="515">
        <v>384203.5</v>
      </c>
      <c r="H101" s="516">
        <v>73671.650548973092</v>
      </c>
      <c r="I101" s="510">
        <v>73671.650548973092</v>
      </c>
      <c r="J101" s="613">
        <f t="shared" si="20"/>
        <v>0</v>
      </c>
      <c r="K101" s="514"/>
      <c r="L101" s="518">
        <f t="shared" si="24"/>
        <v>73671.650548973092</v>
      </c>
      <c r="M101" s="519">
        <f t="shared" si="21"/>
        <v>0</v>
      </c>
      <c r="N101" s="518">
        <f t="shared" si="25"/>
        <v>73671.650548973092</v>
      </c>
      <c r="O101" s="514">
        <f t="shared" si="22"/>
        <v>0</v>
      </c>
      <c r="P101" s="514">
        <f t="shared" si="23"/>
        <v>0</v>
      </c>
      <c r="Q101" s="269"/>
    </row>
    <row r="102" spans="1:17" ht="12.5">
      <c r="B102" s="195" t="str">
        <f t="shared" si="26"/>
        <v/>
      </c>
      <c r="C102" s="507">
        <f>IF(D93="","-",+C101+1)</f>
        <v>2011</v>
      </c>
      <c r="D102" s="508">
        <v>379081</v>
      </c>
      <c r="E102" s="520">
        <v>9269.6666666666661</v>
      </c>
      <c r="F102" s="515">
        <v>369811.33333333331</v>
      </c>
      <c r="G102" s="515">
        <v>374446.16666666663</v>
      </c>
      <c r="H102" s="516">
        <v>65578.844240085236</v>
      </c>
      <c r="I102" s="510">
        <v>65578.844240085236</v>
      </c>
      <c r="J102" s="613">
        <f t="shared" si="20"/>
        <v>0</v>
      </c>
      <c r="K102" s="514"/>
      <c r="L102" s="518">
        <f t="shared" si="24"/>
        <v>65578.844240085236</v>
      </c>
      <c r="M102" s="519">
        <f t="shared" si="21"/>
        <v>0</v>
      </c>
      <c r="N102" s="518">
        <f t="shared" si="25"/>
        <v>65578.844240085236</v>
      </c>
      <c r="O102" s="514">
        <f t="shared" si="22"/>
        <v>0</v>
      </c>
      <c r="P102" s="514">
        <f t="shared" si="23"/>
        <v>0</v>
      </c>
      <c r="Q102" s="269"/>
    </row>
    <row r="103" spans="1:17" ht="12.5">
      <c r="B103" s="195" t="str">
        <f t="shared" si="26"/>
        <v/>
      </c>
      <c r="C103" s="507">
        <f>IF(D93="","-",+C102+1)</f>
        <v>2012</v>
      </c>
      <c r="D103" s="508">
        <v>369811.33333333331</v>
      </c>
      <c r="E103" s="516">
        <v>9269.6666666666661</v>
      </c>
      <c r="F103" s="515">
        <v>360541.66666666663</v>
      </c>
      <c r="G103" s="515">
        <v>365176.5</v>
      </c>
      <c r="H103" s="516">
        <v>63006.82444122398</v>
      </c>
      <c r="I103" s="510">
        <v>63006.82444122398</v>
      </c>
      <c r="J103" s="613">
        <f t="shared" si="20"/>
        <v>0</v>
      </c>
      <c r="K103" s="514"/>
      <c r="L103" s="518">
        <f t="shared" si="24"/>
        <v>63006.82444122398</v>
      </c>
      <c r="M103" s="519">
        <f t="shared" si="21"/>
        <v>0</v>
      </c>
      <c r="N103" s="518">
        <f t="shared" si="25"/>
        <v>63006.82444122398</v>
      </c>
      <c r="O103" s="514">
        <f t="shared" si="22"/>
        <v>0</v>
      </c>
      <c r="P103" s="514">
        <f t="shared" si="23"/>
        <v>0</v>
      </c>
      <c r="Q103" s="269"/>
    </row>
    <row r="104" spans="1:17" ht="12.5">
      <c r="B104" s="195" t="str">
        <f t="shared" si="26"/>
        <v/>
      </c>
      <c r="C104" s="507">
        <f>IF(D93="","-",+C103+1)</f>
        <v>2013</v>
      </c>
      <c r="D104" s="508">
        <v>360541.66666666663</v>
      </c>
      <c r="E104" s="516">
        <v>9269.6666666666661</v>
      </c>
      <c r="F104" s="515">
        <v>351271.99999999994</v>
      </c>
      <c r="G104" s="515">
        <v>355906.83333333326</v>
      </c>
      <c r="H104" s="516">
        <v>57420.908011898166</v>
      </c>
      <c r="I104" s="510">
        <v>57420.908011898166</v>
      </c>
      <c r="J104" s="613">
        <v>0</v>
      </c>
      <c r="K104" s="514"/>
      <c r="L104" s="518">
        <f t="shared" si="24"/>
        <v>57420.908011898166</v>
      </c>
      <c r="M104" s="519">
        <f t="shared" ref="M104:M109" si="27">IF(L104&lt;&gt;0,+H104-L104,0)</f>
        <v>0</v>
      </c>
      <c r="N104" s="518">
        <f t="shared" si="25"/>
        <v>57420.908011898166</v>
      </c>
      <c r="O104" s="514">
        <f t="shared" ref="O104:O109" si="28">IF(N104&lt;&gt;0,+I104-N104,0)</f>
        <v>0</v>
      </c>
      <c r="P104" s="514">
        <f t="shared" ref="P104:P109" si="29">+O104-M104</f>
        <v>0</v>
      </c>
      <c r="Q104" s="269"/>
    </row>
    <row r="105" spans="1:17" ht="12.5">
      <c r="B105" s="195" t="str">
        <f t="shared" si="26"/>
        <v/>
      </c>
      <c r="C105" s="507">
        <f>IF(D93="","-",+C104+1)</f>
        <v>2014</v>
      </c>
      <c r="D105" s="508">
        <v>351271.99999999994</v>
      </c>
      <c r="E105" s="516">
        <v>9269.6666666666661</v>
      </c>
      <c r="F105" s="515">
        <v>342002.33333333326</v>
      </c>
      <c r="G105" s="515">
        <v>346637.16666666663</v>
      </c>
      <c r="H105" s="516">
        <v>56385.789642955569</v>
      </c>
      <c r="I105" s="510">
        <v>56385.789642955569</v>
      </c>
      <c r="J105" s="514">
        <v>0</v>
      </c>
      <c r="K105" s="514"/>
      <c r="L105" s="518">
        <f t="shared" si="24"/>
        <v>56385.789642955569</v>
      </c>
      <c r="M105" s="519">
        <f t="shared" si="27"/>
        <v>0</v>
      </c>
      <c r="N105" s="518">
        <f t="shared" si="25"/>
        <v>56385.789642955569</v>
      </c>
      <c r="O105" s="514">
        <f t="shared" si="28"/>
        <v>0</v>
      </c>
      <c r="P105" s="514">
        <f t="shared" si="29"/>
        <v>0</v>
      </c>
      <c r="Q105" s="269"/>
    </row>
    <row r="106" spans="1:17" ht="12.5">
      <c r="B106" s="195" t="str">
        <f t="shared" si="26"/>
        <v/>
      </c>
      <c r="C106" s="507">
        <f>IF(D93="","-",+C105+1)</f>
        <v>2015</v>
      </c>
      <c r="D106" s="508">
        <v>342002.33333333326</v>
      </c>
      <c r="E106" s="516">
        <v>9269.6666666666661</v>
      </c>
      <c r="F106" s="515">
        <v>332732.66666666657</v>
      </c>
      <c r="G106" s="515">
        <v>337367.49999999988</v>
      </c>
      <c r="H106" s="516">
        <v>53724.203573157785</v>
      </c>
      <c r="I106" s="510">
        <v>53724.203573157785</v>
      </c>
      <c r="J106" s="514">
        <f t="shared" si="20"/>
        <v>0</v>
      </c>
      <c r="K106" s="514"/>
      <c r="L106" s="518">
        <f>H106</f>
        <v>53724.203573157785</v>
      </c>
      <c r="M106" s="519">
        <f t="shared" si="27"/>
        <v>0</v>
      </c>
      <c r="N106" s="518">
        <f>I106</f>
        <v>53724.203573157785</v>
      </c>
      <c r="O106" s="514">
        <f t="shared" si="28"/>
        <v>0</v>
      </c>
      <c r="P106" s="514">
        <f t="shared" si="29"/>
        <v>0</v>
      </c>
      <c r="Q106" s="269"/>
    </row>
    <row r="107" spans="1:17" ht="12.5">
      <c r="B107" s="195" t="str">
        <f t="shared" si="26"/>
        <v/>
      </c>
      <c r="C107" s="507">
        <f>IF(D93="","-",+C106+1)</f>
        <v>2016</v>
      </c>
      <c r="D107" s="508">
        <v>332732.66666666657</v>
      </c>
      <c r="E107" s="516">
        <v>9054.0930232558148</v>
      </c>
      <c r="F107" s="515">
        <v>323678.57364341075</v>
      </c>
      <c r="G107" s="515">
        <v>328205.62015503866</v>
      </c>
      <c r="H107" s="516">
        <v>50719.792658112536</v>
      </c>
      <c r="I107" s="510">
        <v>50719.792658112536</v>
      </c>
      <c r="J107" s="514">
        <f t="shared" si="20"/>
        <v>0</v>
      </c>
      <c r="K107" s="514"/>
      <c r="L107" s="518">
        <f>H107</f>
        <v>50719.792658112536</v>
      </c>
      <c r="M107" s="519">
        <f t="shared" si="27"/>
        <v>0</v>
      </c>
      <c r="N107" s="518">
        <f>I107</f>
        <v>50719.792658112536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6"/>
        <v/>
      </c>
      <c r="C108" s="507">
        <f>IF(D93="","-",+C107+1)</f>
        <v>2017</v>
      </c>
      <c r="D108" s="508">
        <v>323678.57364341075</v>
      </c>
      <c r="E108" s="516">
        <v>9269.6666666666661</v>
      </c>
      <c r="F108" s="515">
        <v>314408.90697674407</v>
      </c>
      <c r="G108" s="515">
        <v>319043.74031007744</v>
      </c>
      <c r="H108" s="516">
        <v>48024.374867081598</v>
      </c>
      <c r="I108" s="510">
        <v>48024.374867081598</v>
      </c>
      <c r="J108" s="514">
        <f t="shared" si="20"/>
        <v>0</v>
      </c>
      <c r="K108" s="514"/>
      <c r="L108" s="518">
        <f>H108</f>
        <v>48024.374867081598</v>
      </c>
      <c r="M108" s="519">
        <f t="shared" si="27"/>
        <v>0</v>
      </c>
      <c r="N108" s="518">
        <f>I108</f>
        <v>48024.374867081598</v>
      </c>
      <c r="O108" s="514">
        <f t="shared" si="28"/>
        <v>0</v>
      </c>
      <c r="P108" s="514">
        <f t="shared" si="29"/>
        <v>0</v>
      </c>
      <c r="Q108" s="269"/>
    </row>
    <row r="109" spans="1:17" ht="12.5">
      <c r="B109" s="195" t="str">
        <f t="shared" si="26"/>
        <v/>
      </c>
      <c r="C109" s="507">
        <f>IF(D93="","-",+C108+1)</f>
        <v>2018</v>
      </c>
      <c r="D109" s="508">
        <v>314408.90697674407</v>
      </c>
      <c r="E109" s="516">
        <v>9269.6666666666661</v>
      </c>
      <c r="F109" s="515">
        <v>305139.24031007738</v>
      </c>
      <c r="G109" s="515">
        <v>309774.07364341069</v>
      </c>
      <c r="H109" s="516">
        <v>41983.22941148797</v>
      </c>
      <c r="I109" s="510">
        <v>41983.22941148797</v>
      </c>
      <c r="J109" s="514">
        <f t="shared" si="20"/>
        <v>0</v>
      </c>
      <c r="K109" s="514"/>
      <c r="L109" s="518">
        <f>H109</f>
        <v>41983.22941148797</v>
      </c>
      <c r="M109" s="519">
        <f t="shared" si="27"/>
        <v>0</v>
      </c>
      <c r="N109" s="518">
        <f>I109</f>
        <v>41983.22941148797</v>
      </c>
      <c r="O109" s="514">
        <f t="shared" si="28"/>
        <v>0</v>
      </c>
      <c r="P109" s="514">
        <f t="shared" si="29"/>
        <v>0</v>
      </c>
      <c r="Q109" s="269"/>
    </row>
    <row r="110" spans="1:17" ht="12.5">
      <c r="B110" s="195" t="str">
        <f t="shared" si="26"/>
        <v/>
      </c>
      <c r="C110" s="507">
        <f>IF(D93="","-",+C109+1)</f>
        <v>2019</v>
      </c>
      <c r="D110" s="508">
        <v>305139.24031007738</v>
      </c>
      <c r="E110" s="516">
        <v>9054.0930232558148</v>
      </c>
      <c r="F110" s="515">
        <v>296085.14728682156</v>
      </c>
      <c r="G110" s="515">
        <v>300612.19379844947</v>
      </c>
      <c r="H110" s="516">
        <v>41231.786544650007</v>
      </c>
      <c r="I110" s="510">
        <v>41231.786544650007</v>
      </c>
      <c r="J110" s="514">
        <f t="shared" si="20"/>
        <v>0</v>
      </c>
      <c r="K110" s="514"/>
      <c r="L110" s="518">
        <f>H110</f>
        <v>41231.786544650007</v>
      </c>
      <c r="M110" s="519">
        <f t="shared" ref="M110" si="30">IF(L110&lt;&gt;0,+H110-L110,0)</f>
        <v>0</v>
      </c>
      <c r="N110" s="518">
        <f>I110</f>
        <v>41231.786544650007</v>
      </c>
      <c r="O110" s="514">
        <f t="shared" si="22"/>
        <v>0</v>
      </c>
      <c r="P110" s="514">
        <f t="shared" si="23"/>
        <v>0</v>
      </c>
      <c r="Q110" s="269"/>
    </row>
    <row r="111" spans="1:17" ht="12.5">
      <c r="B111" s="195" t="str">
        <f t="shared" si="26"/>
        <v/>
      </c>
      <c r="C111" s="507">
        <f>IF(D93="","-",+C110+1)</f>
        <v>2020</v>
      </c>
      <c r="D111" s="374">
        <f>IF(F110+SUM(E$99:E110)=D$92,F110,D$92-SUM(E$99:E110))</f>
        <v>296085.14728682156</v>
      </c>
      <c r="E111" s="522">
        <f>IF(+J96&lt;F110,J96,D111)</f>
        <v>9269.6666666666661</v>
      </c>
      <c r="F111" s="523">
        <f t="shared" ref="F111:F130" si="31">+D111-E111</f>
        <v>286815.48062015488</v>
      </c>
      <c r="G111" s="523">
        <f t="shared" ref="G111:G130" si="32">+(F111+D111)/2</f>
        <v>291450.31395348825</v>
      </c>
      <c r="H111" s="526">
        <f>+J$94*G111+E111</f>
        <v>40622.093922186577</v>
      </c>
      <c r="I111" s="577">
        <f>+J$95*G111+E111</f>
        <v>40622.093922186577</v>
      </c>
      <c r="J111" s="514">
        <f t="shared" si="20"/>
        <v>0</v>
      </c>
      <c r="K111" s="514"/>
      <c r="L111" s="525"/>
      <c r="M111" s="514">
        <f t="shared" si="21"/>
        <v>0</v>
      </c>
      <c r="N111" s="525"/>
      <c r="O111" s="514">
        <f t="shared" si="22"/>
        <v>0</v>
      </c>
      <c r="P111" s="514">
        <f t="shared" si="23"/>
        <v>0</v>
      </c>
      <c r="Q111" s="269"/>
    </row>
    <row r="112" spans="1:17" ht="12.5">
      <c r="B112" s="195" t="str">
        <f t="shared" si="26"/>
        <v/>
      </c>
      <c r="C112" s="507">
        <f>IF(D93="","-",+C111+1)</f>
        <v>2021</v>
      </c>
      <c r="D112" s="374">
        <f>IF(F111+SUM(E$99:E111)=D$92,F111,D$92-SUM(E$99:E111))</f>
        <v>286815.48062015488</v>
      </c>
      <c r="E112" s="522">
        <f>IF(+J96&lt;F111,J96,D112)</f>
        <v>9269.6666666666661</v>
      </c>
      <c r="F112" s="523">
        <f t="shared" si="31"/>
        <v>277545.81395348819</v>
      </c>
      <c r="G112" s="523">
        <f t="shared" si="32"/>
        <v>282180.64728682151</v>
      </c>
      <c r="H112" s="526">
        <f>+J$94*G112+E112</f>
        <v>39624.920352848902</v>
      </c>
      <c r="I112" s="577">
        <f>+J$95*G112+E112</f>
        <v>39624.920352848902</v>
      </c>
      <c r="J112" s="514">
        <f t="shared" si="20"/>
        <v>0</v>
      </c>
      <c r="K112" s="514"/>
      <c r="L112" s="525"/>
      <c r="M112" s="514">
        <f t="shared" si="21"/>
        <v>0</v>
      </c>
      <c r="N112" s="525"/>
      <c r="O112" s="514">
        <f t="shared" si="22"/>
        <v>0</v>
      </c>
      <c r="P112" s="514">
        <f t="shared" si="23"/>
        <v>0</v>
      </c>
      <c r="Q112" s="269"/>
    </row>
    <row r="113" spans="2:17" ht="12.5">
      <c r="B113" s="195" t="str">
        <f t="shared" si="26"/>
        <v/>
      </c>
      <c r="C113" s="507">
        <f>IF(D93="","-",+C112+1)</f>
        <v>2022</v>
      </c>
      <c r="D113" s="374">
        <f>IF(F112+SUM(E$99:E112)=D$92,F112,D$92-SUM(E$99:E112))</f>
        <v>277545.81395348819</v>
      </c>
      <c r="E113" s="522">
        <f>IF(+J96&lt;F112,J96,D113)</f>
        <v>9269.6666666666661</v>
      </c>
      <c r="F113" s="523">
        <f t="shared" si="31"/>
        <v>268276.14728682151</v>
      </c>
      <c r="G113" s="523">
        <f t="shared" si="32"/>
        <v>272910.98062015488</v>
      </c>
      <c r="H113" s="526">
        <f t="shared" ref="H113:H154" si="33">+J$94*G113+E113</f>
        <v>38627.74678351124</v>
      </c>
      <c r="I113" s="577">
        <f t="shared" ref="I113:I154" si="34">+J$95*G113+E113</f>
        <v>38627.74678351124</v>
      </c>
      <c r="J113" s="514">
        <f t="shared" si="20"/>
        <v>0</v>
      </c>
      <c r="K113" s="514"/>
      <c r="L113" s="525"/>
      <c r="M113" s="514">
        <f t="shared" si="21"/>
        <v>0</v>
      </c>
      <c r="N113" s="525"/>
      <c r="O113" s="514">
        <f t="shared" si="22"/>
        <v>0</v>
      </c>
      <c r="P113" s="514">
        <f t="shared" si="23"/>
        <v>0</v>
      </c>
      <c r="Q113" s="269"/>
    </row>
    <row r="114" spans="2:17" ht="12.5">
      <c r="B114" s="195" t="str">
        <f t="shared" si="26"/>
        <v/>
      </c>
      <c r="C114" s="507">
        <f>IF(D93="","-",+C113+1)</f>
        <v>2023</v>
      </c>
      <c r="D114" s="374">
        <f>IF(F113+SUM(E$99:E113)=D$92,F113,D$92-SUM(E$99:E113))</f>
        <v>268276.14728682151</v>
      </c>
      <c r="E114" s="522">
        <f>IF(+J96&lt;F113,J96,D114)</f>
        <v>9269.6666666666661</v>
      </c>
      <c r="F114" s="523">
        <f t="shared" si="31"/>
        <v>259006.48062015485</v>
      </c>
      <c r="G114" s="523">
        <f t="shared" si="32"/>
        <v>263641.31395348819</v>
      </c>
      <c r="H114" s="526">
        <f t="shared" si="33"/>
        <v>37630.573214173564</v>
      </c>
      <c r="I114" s="577">
        <f t="shared" si="34"/>
        <v>37630.573214173564</v>
      </c>
      <c r="J114" s="514">
        <f t="shared" si="20"/>
        <v>0</v>
      </c>
      <c r="K114" s="514"/>
      <c r="L114" s="525"/>
      <c r="M114" s="514">
        <f t="shared" si="21"/>
        <v>0</v>
      </c>
      <c r="N114" s="525"/>
      <c r="O114" s="514">
        <f t="shared" si="22"/>
        <v>0</v>
      </c>
      <c r="P114" s="514">
        <f t="shared" si="23"/>
        <v>0</v>
      </c>
      <c r="Q114" s="269"/>
    </row>
    <row r="115" spans="2:17" ht="12.5">
      <c r="B115" s="195" t="str">
        <f t="shared" si="26"/>
        <v/>
      </c>
      <c r="C115" s="507">
        <f>IF(D93="","-",+C114+1)</f>
        <v>2024</v>
      </c>
      <c r="D115" s="374">
        <f>IF(F114+SUM(E$99:E114)=D$92,F114,D$92-SUM(E$99:E114))</f>
        <v>259006.48062015485</v>
      </c>
      <c r="E115" s="522">
        <f>IF(+J96&lt;F114,J96,D115)</f>
        <v>9269.6666666666661</v>
      </c>
      <c r="F115" s="523">
        <f t="shared" si="31"/>
        <v>249736.81395348819</v>
      </c>
      <c r="G115" s="523">
        <f t="shared" si="32"/>
        <v>254371.64728682151</v>
      </c>
      <c r="H115" s="526">
        <f t="shared" si="33"/>
        <v>36633.399644835896</v>
      </c>
      <c r="I115" s="577">
        <f t="shared" si="34"/>
        <v>36633.399644835896</v>
      </c>
      <c r="J115" s="514">
        <f t="shared" si="20"/>
        <v>0</v>
      </c>
      <c r="K115" s="514"/>
      <c r="L115" s="525"/>
      <c r="M115" s="514">
        <f t="shared" si="21"/>
        <v>0</v>
      </c>
      <c r="N115" s="525"/>
      <c r="O115" s="514">
        <f t="shared" si="22"/>
        <v>0</v>
      </c>
      <c r="P115" s="514">
        <f t="shared" si="23"/>
        <v>0</v>
      </c>
      <c r="Q115" s="269"/>
    </row>
    <row r="116" spans="2:17" ht="12.5">
      <c r="B116" s="195" t="str">
        <f t="shared" si="26"/>
        <v/>
      </c>
      <c r="C116" s="507">
        <f>IF(D93="","-",+C115+1)</f>
        <v>2025</v>
      </c>
      <c r="D116" s="374">
        <f>IF(F115+SUM(E$99:E115)=D$92,F115,D$92-SUM(E$99:E115))</f>
        <v>249736.81395348819</v>
      </c>
      <c r="E116" s="522">
        <f>IF(+J96&lt;F115,J96,D116)</f>
        <v>9269.6666666666661</v>
      </c>
      <c r="F116" s="523">
        <f t="shared" si="31"/>
        <v>240467.14728682154</v>
      </c>
      <c r="G116" s="523">
        <f t="shared" si="32"/>
        <v>245101.98062015488</v>
      </c>
      <c r="H116" s="526">
        <f t="shared" si="33"/>
        <v>35636.226075498227</v>
      </c>
      <c r="I116" s="577">
        <f t="shared" si="34"/>
        <v>35636.226075498227</v>
      </c>
      <c r="J116" s="514">
        <f t="shared" si="20"/>
        <v>0</v>
      </c>
      <c r="K116" s="514"/>
      <c r="L116" s="525"/>
      <c r="M116" s="514">
        <f t="shared" si="21"/>
        <v>0</v>
      </c>
      <c r="N116" s="525"/>
      <c r="O116" s="514">
        <f t="shared" si="22"/>
        <v>0</v>
      </c>
      <c r="P116" s="514">
        <f t="shared" si="23"/>
        <v>0</v>
      </c>
      <c r="Q116" s="269"/>
    </row>
    <row r="117" spans="2:17" ht="12.5">
      <c r="B117" s="195" t="str">
        <f t="shared" si="26"/>
        <v/>
      </c>
      <c r="C117" s="507">
        <f>IF(D93="","-",+C116+1)</f>
        <v>2026</v>
      </c>
      <c r="D117" s="374">
        <f>IF(F116+SUM(E$99:E116)=D$92,F116,D$92-SUM(E$99:E116))</f>
        <v>240467.14728682154</v>
      </c>
      <c r="E117" s="522">
        <f>IF(+J96&lt;F116,J96,D117)</f>
        <v>9269.6666666666661</v>
      </c>
      <c r="F117" s="523">
        <f t="shared" si="31"/>
        <v>231197.48062015488</v>
      </c>
      <c r="G117" s="523">
        <f t="shared" si="32"/>
        <v>235832.31395348819</v>
      </c>
      <c r="H117" s="526">
        <f t="shared" si="33"/>
        <v>34639.052506160551</v>
      </c>
      <c r="I117" s="577">
        <f t="shared" si="34"/>
        <v>34639.052506160551</v>
      </c>
      <c r="J117" s="514">
        <f t="shared" si="20"/>
        <v>0</v>
      </c>
      <c r="K117" s="514"/>
      <c r="L117" s="525"/>
      <c r="M117" s="514">
        <f t="shared" si="21"/>
        <v>0</v>
      </c>
      <c r="N117" s="525"/>
      <c r="O117" s="514">
        <f t="shared" si="22"/>
        <v>0</v>
      </c>
      <c r="P117" s="514">
        <f t="shared" si="23"/>
        <v>0</v>
      </c>
      <c r="Q117" s="269"/>
    </row>
    <row r="118" spans="2:17" ht="12.5">
      <c r="B118" s="195" t="str">
        <f t="shared" si="26"/>
        <v/>
      </c>
      <c r="C118" s="507">
        <f>IF(D93="","-",+C117+1)</f>
        <v>2027</v>
      </c>
      <c r="D118" s="374">
        <f>IF(F117+SUM(E$99:E117)=D$92,F117,D$92-SUM(E$99:E117))</f>
        <v>231197.48062015488</v>
      </c>
      <c r="E118" s="522">
        <f>IF(+J96&lt;F117,J96,D118)</f>
        <v>9269.6666666666661</v>
      </c>
      <c r="F118" s="523">
        <f t="shared" si="31"/>
        <v>221927.81395348822</v>
      </c>
      <c r="G118" s="523">
        <f t="shared" si="32"/>
        <v>226562.64728682156</v>
      </c>
      <c r="H118" s="526">
        <f t="shared" si="33"/>
        <v>33641.87893682289</v>
      </c>
      <c r="I118" s="577">
        <f t="shared" si="34"/>
        <v>33641.87893682289</v>
      </c>
      <c r="J118" s="514">
        <f t="shared" si="20"/>
        <v>0</v>
      </c>
      <c r="K118" s="514"/>
      <c r="L118" s="525"/>
      <c r="M118" s="514">
        <f t="shared" si="21"/>
        <v>0</v>
      </c>
      <c r="N118" s="525"/>
      <c r="O118" s="514">
        <f t="shared" si="22"/>
        <v>0</v>
      </c>
      <c r="P118" s="514">
        <f t="shared" si="23"/>
        <v>0</v>
      </c>
      <c r="Q118" s="269"/>
    </row>
    <row r="119" spans="2:17" ht="12.5">
      <c r="B119" s="195" t="str">
        <f t="shared" si="26"/>
        <v/>
      </c>
      <c r="C119" s="507">
        <f>IF(D93="","-",+C118+1)</f>
        <v>2028</v>
      </c>
      <c r="D119" s="374">
        <f>IF(F118+SUM(E$99:E118)=D$92,F118,D$92-SUM(E$99:E118))</f>
        <v>221927.81395348822</v>
      </c>
      <c r="E119" s="522">
        <f>IF(+J96&lt;F118,J96,D119)</f>
        <v>9269.6666666666661</v>
      </c>
      <c r="F119" s="523">
        <f t="shared" si="31"/>
        <v>212658.14728682156</v>
      </c>
      <c r="G119" s="523">
        <f t="shared" si="32"/>
        <v>217292.98062015488</v>
      </c>
      <c r="H119" s="526">
        <f t="shared" si="33"/>
        <v>32644.705367485214</v>
      </c>
      <c r="I119" s="577">
        <f t="shared" si="34"/>
        <v>32644.705367485214</v>
      </c>
      <c r="J119" s="514">
        <f t="shared" si="20"/>
        <v>0</v>
      </c>
      <c r="K119" s="514"/>
      <c r="L119" s="525"/>
      <c r="M119" s="514">
        <f t="shared" si="21"/>
        <v>0</v>
      </c>
      <c r="N119" s="525"/>
      <c r="O119" s="514">
        <f t="shared" si="22"/>
        <v>0</v>
      </c>
      <c r="P119" s="514">
        <f t="shared" si="23"/>
        <v>0</v>
      </c>
      <c r="Q119" s="269"/>
    </row>
    <row r="120" spans="2:17" ht="12.5">
      <c r="B120" s="195" t="str">
        <f t="shared" si="26"/>
        <v/>
      </c>
      <c r="C120" s="507">
        <f>IF(D93="","-",+C119+1)</f>
        <v>2029</v>
      </c>
      <c r="D120" s="374">
        <f>IF(F119+SUM(E$99:E119)=D$92,F119,D$92-SUM(E$99:E119))</f>
        <v>212658.14728682156</v>
      </c>
      <c r="E120" s="522">
        <f>IF(+J96&lt;F119,J96,D120)</f>
        <v>9269.6666666666661</v>
      </c>
      <c r="F120" s="523">
        <f t="shared" si="31"/>
        <v>203388.48062015491</v>
      </c>
      <c r="G120" s="523">
        <f t="shared" si="32"/>
        <v>208023.31395348825</v>
      </c>
      <c r="H120" s="526">
        <f t="shared" si="33"/>
        <v>31647.531798147553</v>
      </c>
      <c r="I120" s="577">
        <f t="shared" si="34"/>
        <v>31647.531798147553</v>
      </c>
      <c r="J120" s="514">
        <f t="shared" si="20"/>
        <v>0</v>
      </c>
      <c r="K120" s="514"/>
      <c r="L120" s="525"/>
      <c r="M120" s="514">
        <f t="shared" si="21"/>
        <v>0</v>
      </c>
      <c r="N120" s="525"/>
      <c r="O120" s="514">
        <f t="shared" si="22"/>
        <v>0</v>
      </c>
      <c r="P120" s="514">
        <f t="shared" si="23"/>
        <v>0</v>
      </c>
      <c r="Q120" s="269"/>
    </row>
    <row r="121" spans="2:17" ht="12.5">
      <c r="B121" s="195" t="str">
        <f t="shared" si="26"/>
        <v/>
      </c>
      <c r="C121" s="507">
        <f>IF(D93="","-",+C120+1)</f>
        <v>2030</v>
      </c>
      <c r="D121" s="374">
        <f>IF(F120+SUM(E$99:E120)=D$92,F120,D$92-SUM(E$99:E120))</f>
        <v>203388.48062015491</v>
      </c>
      <c r="E121" s="522">
        <f>IF(+J96&lt;F120,J96,D121)</f>
        <v>9269.6666666666661</v>
      </c>
      <c r="F121" s="523">
        <f t="shared" si="31"/>
        <v>194118.81395348825</v>
      </c>
      <c r="G121" s="523">
        <f t="shared" si="32"/>
        <v>198753.64728682156</v>
      </c>
      <c r="H121" s="526">
        <f t="shared" si="33"/>
        <v>30650.358228809877</v>
      </c>
      <c r="I121" s="577">
        <f t="shared" si="34"/>
        <v>30650.358228809877</v>
      </c>
      <c r="J121" s="514">
        <f t="shared" si="20"/>
        <v>0</v>
      </c>
      <c r="K121" s="514"/>
      <c r="L121" s="525"/>
      <c r="M121" s="514">
        <f t="shared" si="21"/>
        <v>0</v>
      </c>
      <c r="N121" s="525"/>
      <c r="O121" s="514">
        <f t="shared" si="22"/>
        <v>0</v>
      </c>
      <c r="P121" s="514">
        <f t="shared" si="23"/>
        <v>0</v>
      </c>
      <c r="Q121" s="269"/>
    </row>
    <row r="122" spans="2:17" ht="12.5">
      <c r="B122" s="195" t="str">
        <f t="shared" si="26"/>
        <v/>
      </c>
      <c r="C122" s="507">
        <f>IF(D93="","-",+C121+1)</f>
        <v>2031</v>
      </c>
      <c r="D122" s="374">
        <f>IF(F121+SUM(E$99:E121)=D$92,F121,D$92-SUM(E$99:E121))</f>
        <v>194118.81395348825</v>
      </c>
      <c r="E122" s="522">
        <f>IF(+J96&lt;F121,J96,D122)</f>
        <v>9269.6666666666661</v>
      </c>
      <c r="F122" s="523">
        <f t="shared" si="31"/>
        <v>184849.14728682159</v>
      </c>
      <c r="G122" s="523">
        <f t="shared" si="32"/>
        <v>189483.98062015494</v>
      </c>
      <c r="H122" s="526">
        <f t="shared" si="33"/>
        <v>29653.184659472208</v>
      </c>
      <c r="I122" s="577">
        <f t="shared" si="34"/>
        <v>29653.184659472208</v>
      </c>
      <c r="J122" s="514">
        <f t="shared" si="20"/>
        <v>0</v>
      </c>
      <c r="K122" s="514"/>
      <c r="L122" s="525"/>
      <c r="M122" s="514">
        <f t="shared" si="21"/>
        <v>0</v>
      </c>
      <c r="N122" s="525"/>
      <c r="O122" s="514">
        <f t="shared" si="22"/>
        <v>0</v>
      </c>
      <c r="P122" s="514">
        <f t="shared" si="23"/>
        <v>0</v>
      </c>
      <c r="Q122" s="269"/>
    </row>
    <row r="123" spans="2:17" ht="12.5">
      <c r="B123" s="195" t="str">
        <f t="shared" si="26"/>
        <v/>
      </c>
      <c r="C123" s="507">
        <f>IF(D93="","-",+C122+1)</f>
        <v>2032</v>
      </c>
      <c r="D123" s="374">
        <f>IF(F122+SUM(E$99:E122)=D$92,F122,D$92-SUM(E$99:E122))</f>
        <v>184849.14728682159</v>
      </c>
      <c r="E123" s="522">
        <f>IF(+J96&lt;F122,J96,D123)</f>
        <v>9269.6666666666661</v>
      </c>
      <c r="F123" s="523">
        <f t="shared" si="31"/>
        <v>175579.48062015494</v>
      </c>
      <c r="G123" s="523">
        <f t="shared" si="32"/>
        <v>180214.31395348825</v>
      </c>
      <c r="H123" s="526">
        <f t="shared" si="33"/>
        <v>28656.01109013454</v>
      </c>
      <c r="I123" s="577">
        <f t="shared" si="34"/>
        <v>28656.01109013454</v>
      </c>
      <c r="J123" s="514">
        <f t="shared" si="20"/>
        <v>0</v>
      </c>
      <c r="K123" s="514"/>
      <c r="L123" s="525"/>
      <c r="M123" s="514">
        <f t="shared" si="21"/>
        <v>0</v>
      </c>
      <c r="N123" s="525"/>
      <c r="O123" s="514">
        <f t="shared" si="22"/>
        <v>0</v>
      </c>
      <c r="P123" s="514">
        <f t="shared" si="23"/>
        <v>0</v>
      </c>
      <c r="Q123" s="269"/>
    </row>
    <row r="124" spans="2:17" ht="12.5">
      <c r="B124" s="195" t="str">
        <f t="shared" si="26"/>
        <v/>
      </c>
      <c r="C124" s="507">
        <f>IF(D93="","-",+C123+1)</f>
        <v>2033</v>
      </c>
      <c r="D124" s="374">
        <f>IF(F123+SUM(E$99:E123)=D$92,F123,D$92-SUM(E$99:E123))</f>
        <v>175579.48062015494</v>
      </c>
      <c r="E124" s="522">
        <f>IF(+J96&lt;F123,J96,D124)</f>
        <v>9269.6666666666661</v>
      </c>
      <c r="F124" s="523">
        <f t="shared" si="31"/>
        <v>166309.81395348828</v>
      </c>
      <c r="G124" s="523">
        <f t="shared" si="32"/>
        <v>170944.64728682162</v>
      </c>
      <c r="H124" s="526">
        <f t="shared" si="33"/>
        <v>27658.837520796871</v>
      </c>
      <c r="I124" s="577">
        <f t="shared" si="34"/>
        <v>27658.837520796871</v>
      </c>
      <c r="J124" s="514">
        <f t="shared" si="20"/>
        <v>0</v>
      </c>
      <c r="K124" s="514"/>
      <c r="L124" s="525"/>
      <c r="M124" s="514">
        <f t="shared" si="21"/>
        <v>0</v>
      </c>
      <c r="N124" s="525"/>
      <c r="O124" s="514">
        <f t="shared" si="22"/>
        <v>0</v>
      </c>
      <c r="P124" s="514">
        <f t="shared" si="23"/>
        <v>0</v>
      </c>
      <c r="Q124" s="269"/>
    </row>
    <row r="125" spans="2:17" ht="12.5">
      <c r="B125" s="195" t="str">
        <f t="shared" si="26"/>
        <v/>
      </c>
      <c r="C125" s="507">
        <f>IF(D93="","-",+C124+1)</f>
        <v>2034</v>
      </c>
      <c r="D125" s="374">
        <f>IF(F124+SUM(E$99:E124)=D$92,F124,D$92-SUM(E$99:E124))</f>
        <v>166309.81395348828</v>
      </c>
      <c r="E125" s="522">
        <f>IF(+J96&lt;F124,J96,D125)</f>
        <v>9269.6666666666661</v>
      </c>
      <c r="F125" s="523">
        <f t="shared" si="31"/>
        <v>157040.14728682162</v>
      </c>
      <c r="G125" s="523">
        <f t="shared" si="32"/>
        <v>161674.98062015494</v>
      </c>
      <c r="H125" s="526">
        <f t="shared" si="33"/>
        <v>26661.663951459203</v>
      </c>
      <c r="I125" s="577">
        <f t="shared" si="34"/>
        <v>26661.663951459203</v>
      </c>
      <c r="J125" s="514">
        <f t="shared" si="20"/>
        <v>0</v>
      </c>
      <c r="K125" s="514"/>
      <c r="L125" s="525"/>
      <c r="M125" s="514">
        <f t="shared" si="21"/>
        <v>0</v>
      </c>
      <c r="N125" s="525"/>
      <c r="O125" s="514">
        <f t="shared" si="22"/>
        <v>0</v>
      </c>
      <c r="P125" s="514">
        <f t="shared" si="23"/>
        <v>0</v>
      </c>
      <c r="Q125" s="269"/>
    </row>
    <row r="126" spans="2:17" ht="12.5">
      <c r="B126" s="195" t="str">
        <f t="shared" si="26"/>
        <v/>
      </c>
      <c r="C126" s="507">
        <f>IF(D93="","-",+C125+1)</f>
        <v>2035</v>
      </c>
      <c r="D126" s="374">
        <f>IF(F125+SUM(E$99:E125)=D$92,F125,D$92-SUM(E$99:E125))</f>
        <v>157040.14728682162</v>
      </c>
      <c r="E126" s="522">
        <f>IF(+J96&lt;F125,J96,D126)</f>
        <v>9269.6666666666661</v>
      </c>
      <c r="F126" s="523">
        <f t="shared" si="31"/>
        <v>147770.48062015497</v>
      </c>
      <c r="G126" s="523">
        <f t="shared" si="32"/>
        <v>152405.31395348831</v>
      </c>
      <c r="H126" s="526">
        <f t="shared" si="33"/>
        <v>25664.490382121534</v>
      </c>
      <c r="I126" s="577">
        <f t="shared" si="34"/>
        <v>25664.490382121534</v>
      </c>
      <c r="J126" s="514">
        <f t="shared" si="20"/>
        <v>0</v>
      </c>
      <c r="K126" s="514"/>
      <c r="L126" s="525"/>
      <c r="M126" s="514">
        <f t="shared" si="21"/>
        <v>0</v>
      </c>
      <c r="N126" s="525"/>
      <c r="O126" s="514">
        <f t="shared" si="22"/>
        <v>0</v>
      </c>
      <c r="P126" s="514">
        <f t="shared" si="23"/>
        <v>0</v>
      </c>
      <c r="Q126" s="269"/>
    </row>
    <row r="127" spans="2:17" ht="12.5">
      <c r="B127" s="195" t="str">
        <f t="shared" si="26"/>
        <v/>
      </c>
      <c r="C127" s="507">
        <f>IF(D93="","-",+C126+1)</f>
        <v>2036</v>
      </c>
      <c r="D127" s="374">
        <f>IF(F126+SUM(E$99:E126)=D$92,F126,D$92-SUM(E$99:E126))</f>
        <v>147770.48062015497</v>
      </c>
      <c r="E127" s="522">
        <f>IF(+J96&lt;F126,J96,D127)</f>
        <v>9269.6666666666661</v>
      </c>
      <c r="F127" s="523">
        <f t="shared" si="31"/>
        <v>138500.81395348831</v>
      </c>
      <c r="G127" s="523">
        <f t="shared" si="32"/>
        <v>143135.64728682162</v>
      </c>
      <c r="H127" s="526">
        <f t="shared" si="33"/>
        <v>24667.316812783865</v>
      </c>
      <c r="I127" s="577">
        <f t="shared" si="34"/>
        <v>24667.316812783865</v>
      </c>
      <c r="J127" s="514">
        <f t="shared" si="20"/>
        <v>0</v>
      </c>
      <c r="K127" s="514"/>
      <c r="L127" s="525"/>
      <c r="M127" s="514">
        <f t="shared" si="21"/>
        <v>0</v>
      </c>
      <c r="N127" s="525"/>
      <c r="O127" s="514">
        <f t="shared" si="22"/>
        <v>0</v>
      </c>
      <c r="P127" s="514">
        <f t="shared" si="23"/>
        <v>0</v>
      </c>
      <c r="Q127" s="269"/>
    </row>
    <row r="128" spans="2:17" ht="12.5">
      <c r="B128" s="195" t="str">
        <f t="shared" si="26"/>
        <v/>
      </c>
      <c r="C128" s="507">
        <f>IF(D93="","-",+C127+1)</f>
        <v>2037</v>
      </c>
      <c r="D128" s="374">
        <f>IF(F127+SUM(E$99:E127)=D$92,F127,D$92-SUM(E$99:E127))</f>
        <v>138500.81395348831</v>
      </c>
      <c r="E128" s="522">
        <f>IF(+J96&lt;F127,J96,D128)</f>
        <v>9269.6666666666661</v>
      </c>
      <c r="F128" s="523">
        <f t="shared" si="31"/>
        <v>129231.14728682164</v>
      </c>
      <c r="G128" s="523">
        <f t="shared" si="32"/>
        <v>133865.98062015497</v>
      </c>
      <c r="H128" s="526">
        <f t="shared" si="33"/>
        <v>23670.143243446197</v>
      </c>
      <c r="I128" s="577">
        <f t="shared" si="34"/>
        <v>23670.143243446197</v>
      </c>
      <c r="J128" s="514">
        <f t="shared" si="20"/>
        <v>0</v>
      </c>
      <c r="K128" s="514"/>
      <c r="L128" s="525"/>
      <c r="M128" s="514">
        <f t="shared" si="21"/>
        <v>0</v>
      </c>
      <c r="N128" s="525"/>
      <c r="O128" s="514">
        <f t="shared" si="22"/>
        <v>0</v>
      </c>
      <c r="P128" s="514">
        <f t="shared" si="23"/>
        <v>0</v>
      </c>
      <c r="Q128" s="269"/>
    </row>
    <row r="129" spans="2:17" ht="12.5">
      <c r="B129" s="195" t="str">
        <f t="shared" si="26"/>
        <v/>
      </c>
      <c r="C129" s="507">
        <f>IF(D93="","-",+C128+1)</f>
        <v>2038</v>
      </c>
      <c r="D129" s="374">
        <f>IF(F128+SUM(E$99:E128)=D$92,F128,D$92-SUM(E$99:E128))</f>
        <v>129231.14728682164</v>
      </c>
      <c r="E129" s="522">
        <f>IF(+J96&lt;F128,J96,D129)</f>
        <v>9269.6666666666661</v>
      </c>
      <c r="F129" s="523">
        <f t="shared" si="31"/>
        <v>119961.48062015497</v>
      </c>
      <c r="G129" s="523">
        <f t="shared" si="32"/>
        <v>124596.31395348831</v>
      </c>
      <c r="H129" s="526">
        <f t="shared" si="33"/>
        <v>22672.969674108524</v>
      </c>
      <c r="I129" s="577">
        <f t="shared" si="34"/>
        <v>22672.969674108524</v>
      </c>
      <c r="J129" s="514">
        <f t="shared" si="20"/>
        <v>0</v>
      </c>
      <c r="K129" s="514"/>
      <c r="L129" s="525"/>
      <c r="M129" s="514">
        <f t="shared" si="21"/>
        <v>0</v>
      </c>
      <c r="N129" s="525"/>
      <c r="O129" s="514">
        <f t="shared" si="22"/>
        <v>0</v>
      </c>
      <c r="P129" s="514">
        <f t="shared" si="23"/>
        <v>0</v>
      </c>
      <c r="Q129" s="269"/>
    </row>
    <row r="130" spans="2:17" ht="12.5">
      <c r="B130" s="195" t="str">
        <f t="shared" si="26"/>
        <v/>
      </c>
      <c r="C130" s="507">
        <f>IF(D93="","-",+C129+1)</f>
        <v>2039</v>
      </c>
      <c r="D130" s="374">
        <f>IF(F129+SUM(E$99:E129)=D$92,F129,D$92-SUM(E$99:E129))</f>
        <v>119961.48062015497</v>
      </c>
      <c r="E130" s="522">
        <f>IF(+J96&lt;F129,J96,D130)</f>
        <v>9269.6666666666661</v>
      </c>
      <c r="F130" s="523">
        <f t="shared" si="31"/>
        <v>110691.81395348829</v>
      </c>
      <c r="G130" s="523">
        <f t="shared" si="32"/>
        <v>115326.64728682162</v>
      </c>
      <c r="H130" s="526">
        <f t="shared" si="33"/>
        <v>21675.796104770852</v>
      </c>
      <c r="I130" s="577">
        <f t="shared" si="34"/>
        <v>21675.796104770852</v>
      </c>
      <c r="J130" s="514">
        <f t="shared" si="20"/>
        <v>0</v>
      </c>
      <c r="K130" s="514"/>
      <c r="L130" s="525"/>
      <c r="M130" s="514">
        <f t="shared" si="21"/>
        <v>0</v>
      </c>
      <c r="N130" s="525"/>
      <c r="O130" s="514">
        <f t="shared" si="22"/>
        <v>0</v>
      </c>
      <c r="P130" s="514">
        <f t="shared" si="23"/>
        <v>0</v>
      </c>
      <c r="Q130" s="269"/>
    </row>
    <row r="131" spans="2:17" ht="12.5">
      <c r="B131" s="195" t="str">
        <f t="shared" si="26"/>
        <v/>
      </c>
      <c r="C131" s="507">
        <f>IF(D93="","-",+C130+1)</f>
        <v>2040</v>
      </c>
      <c r="D131" s="374">
        <f>IF(F130+SUM(E$99:E130)=D$92,F130,D$92-SUM(E$99:E130))</f>
        <v>110691.81395348829</v>
      </c>
      <c r="E131" s="522">
        <f>IF(+J96&lt;F130,J96,D131)</f>
        <v>9269.6666666666661</v>
      </c>
      <c r="F131" s="523">
        <f t="shared" ref="F131:F154" si="35">+D131-E131</f>
        <v>101422.14728682162</v>
      </c>
      <c r="G131" s="523">
        <f t="shared" ref="G131:G154" si="36">+(F131+D131)/2</f>
        <v>106056.98062015497</v>
      </c>
      <c r="H131" s="526">
        <f t="shared" si="33"/>
        <v>20678.622535433184</v>
      </c>
      <c r="I131" s="577">
        <f t="shared" si="34"/>
        <v>20678.622535433184</v>
      </c>
      <c r="J131" s="514">
        <f t="shared" ref="J131:J154" si="37">+I131-H131</f>
        <v>0</v>
      </c>
      <c r="K131" s="514"/>
      <c r="L131" s="525"/>
      <c r="M131" s="514">
        <f t="shared" ref="M131:M154" si="38">IF(L131&lt;&gt;0,+H131-L131,0)</f>
        <v>0</v>
      </c>
      <c r="N131" s="525"/>
      <c r="O131" s="514">
        <f t="shared" ref="O131:O154" si="39">IF(N131&lt;&gt;0,+I131-N131,0)</f>
        <v>0</v>
      </c>
      <c r="P131" s="514">
        <f t="shared" ref="P131:P154" si="40">+O131-M131</f>
        <v>0</v>
      </c>
      <c r="Q131" s="269"/>
    </row>
    <row r="132" spans="2:17" ht="12.5">
      <c r="B132" s="195" t="str">
        <f t="shared" si="26"/>
        <v/>
      </c>
      <c r="C132" s="507">
        <f>IF(D93="","-",+C131+1)</f>
        <v>2041</v>
      </c>
      <c r="D132" s="374">
        <f>IF(F131+SUM(E$99:E131)=D$92,F131,D$92-SUM(E$99:E131))</f>
        <v>101422.14728682162</v>
      </c>
      <c r="E132" s="522">
        <f>IF(+J96&lt;F131,J96,D132)</f>
        <v>9269.6666666666661</v>
      </c>
      <c r="F132" s="523">
        <f t="shared" si="35"/>
        <v>92152.480620154951</v>
      </c>
      <c r="G132" s="523">
        <f t="shared" si="36"/>
        <v>96787.313953488279</v>
      </c>
      <c r="H132" s="526">
        <f t="shared" si="33"/>
        <v>19681.448966095511</v>
      </c>
      <c r="I132" s="577">
        <f t="shared" si="34"/>
        <v>19681.448966095511</v>
      </c>
      <c r="J132" s="514">
        <f t="shared" si="37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  <c r="Q132" s="269"/>
    </row>
    <row r="133" spans="2:17" ht="12.5">
      <c r="B133" s="195" t="str">
        <f t="shared" si="26"/>
        <v/>
      </c>
      <c r="C133" s="507">
        <f>IF(D93="","-",+C132+1)</f>
        <v>2042</v>
      </c>
      <c r="D133" s="374">
        <f>IF(F132+SUM(E$99:E132)=D$92,F132,D$92-SUM(E$99:E132))</f>
        <v>92152.480620154951</v>
      </c>
      <c r="E133" s="522">
        <f>IF(+J96&lt;F132,J96,D133)</f>
        <v>9269.6666666666661</v>
      </c>
      <c r="F133" s="523">
        <f t="shared" si="35"/>
        <v>82882.813953488279</v>
      </c>
      <c r="G133" s="523">
        <f t="shared" si="36"/>
        <v>87517.647286821622</v>
      </c>
      <c r="H133" s="526">
        <f t="shared" si="33"/>
        <v>18684.275396757843</v>
      </c>
      <c r="I133" s="577">
        <f t="shared" si="34"/>
        <v>18684.275396757843</v>
      </c>
      <c r="J133" s="514">
        <f t="shared" si="37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  <c r="Q133" s="269"/>
    </row>
    <row r="134" spans="2:17" ht="12.5">
      <c r="B134" s="195" t="str">
        <f t="shared" si="26"/>
        <v/>
      </c>
      <c r="C134" s="507">
        <f>IF(D93="","-",+C133+1)</f>
        <v>2043</v>
      </c>
      <c r="D134" s="374">
        <f>IF(F133+SUM(E$99:E133)=D$92,F133,D$92-SUM(E$99:E133))</f>
        <v>82882.813953488279</v>
      </c>
      <c r="E134" s="522">
        <f>IF(+J96&lt;F133,J96,D134)</f>
        <v>9269.6666666666661</v>
      </c>
      <c r="F134" s="523">
        <f t="shared" si="35"/>
        <v>73613.147286821608</v>
      </c>
      <c r="G134" s="523">
        <f t="shared" si="36"/>
        <v>78247.980620154936</v>
      </c>
      <c r="H134" s="526">
        <f t="shared" si="33"/>
        <v>17687.101827420171</v>
      </c>
      <c r="I134" s="577">
        <f t="shared" si="34"/>
        <v>17687.101827420171</v>
      </c>
      <c r="J134" s="514">
        <f t="shared" si="37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  <c r="Q134" s="269"/>
    </row>
    <row r="135" spans="2:17" ht="12.5">
      <c r="B135" s="195" t="str">
        <f t="shared" si="26"/>
        <v/>
      </c>
      <c r="C135" s="507">
        <f>IF(D93="","-",+C134+1)</f>
        <v>2044</v>
      </c>
      <c r="D135" s="374">
        <f>IF(F134+SUM(E$99:E134)=D$92,F134,D$92-SUM(E$99:E134))</f>
        <v>73613.147286821608</v>
      </c>
      <c r="E135" s="522">
        <f>IF(+J96&lt;F134,J96,D135)</f>
        <v>9269.6666666666661</v>
      </c>
      <c r="F135" s="523">
        <f t="shared" si="35"/>
        <v>64343.480620154944</v>
      </c>
      <c r="G135" s="523">
        <f t="shared" si="36"/>
        <v>68978.313953488279</v>
      </c>
      <c r="H135" s="526">
        <f t="shared" si="33"/>
        <v>16689.928258082502</v>
      </c>
      <c r="I135" s="577">
        <f t="shared" si="34"/>
        <v>16689.928258082502</v>
      </c>
      <c r="J135" s="514">
        <f t="shared" si="37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  <c r="Q135" s="269"/>
    </row>
    <row r="136" spans="2:17" ht="12.5">
      <c r="B136" s="195" t="str">
        <f t="shared" si="26"/>
        <v/>
      </c>
      <c r="C136" s="507">
        <f>IF(D93="","-",+C135+1)</f>
        <v>2045</v>
      </c>
      <c r="D136" s="374">
        <f>IF(F135+SUM(E$99:E135)=D$92,F135,D$92-SUM(E$99:E135))</f>
        <v>64343.480620154944</v>
      </c>
      <c r="E136" s="522">
        <f>IF(+J96&lt;F135,J96,D136)</f>
        <v>9269.6666666666661</v>
      </c>
      <c r="F136" s="523">
        <f t="shared" si="35"/>
        <v>55073.813953488279</v>
      </c>
      <c r="G136" s="523">
        <f t="shared" si="36"/>
        <v>59708.647286821608</v>
      </c>
      <c r="H136" s="526">
        <f t="shared" si="33"/>
        <v>15692.75468874483</v>
      </c>
      <c r="I136" s="577">
        <f t="shared" si="34"/>
        <v>15692.75468874483</v>
      </c>
      <c r="J136" s="514">
        <f t="shared" si="37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  <c r="Q136" s="269"/>
    </row>
    <row r="137" spans="2:17" ht="12.5">
      <c r="B137" s="195" t="str">
        <f t="shared" si="26"/>
        <v/>
      </c>
      <c r="C137" s="507">
        <f>IF(D93="","-",+C136+1)</f>
        <v>2046</v>
      </c>
      <c r="D137" s="374">
        <f>IF(F136+SUM(E$99:E136)=D$92,F136,D$92-SUM(E$99:E136))</f>
        <v>55073.813953488279</v>
      </c>
      <c r="E137" s="522">
        <f>IF(+J96&lt;F136,J96,D137)</f>
        <v>9269.6666666666661</v>
      </c>
      <c r="F137" s="523">
        <f t="shared" si="35"/>
        <v>45804.147286821615</v>
      </c>
      <c r="G137" s="523">
        <f t="shared" si="36"/>
        <v>50438.980620154951</v>
      </c>
      <c r="H137" s="526">
        <f t="shared" si="33"/>
        <v>14695.581119407161</v>
      </c>
      <c r="I137" s="577">
        <f t="shared" si="34"/>
        <v>14695.581119407161</v>
      </c>
      <c r="J137" s="514">
        <f t="shared" si="37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  <c r="Q137" s="269"/>
    </row>
    <row r="138" spans="2:17" ht="12.5">
      <c r="B138" s="195" t="str">
        <f t="shared" si="26"/>
        <v/>
      </c>
      <c r="C138" s="507">
        <f>IF(D93="","-",+C137+1)</f>
        <v>2047</v>
      </c>
      <c r="D138" s="374">
        <f>IF(F137+SUM(E$99:E137)=D$92,F137,D$92-SUM(E$99:E137))</f>
        <v>45804.147286821615</v>
      </c>
      <c r="E138" s="522">
        <f>IF(+J96&lt;F137,J96,D138)</f>
        <v>9269.6666666666661</v>
      </c>
      <c r="F138" s="523">
        <f t="shared" si="35"/>
        <v>36534.480620154951</v>
      </c>
      <c r="G138" s="523">
        <f t="shared" si="36"/>
        <v>41169.313953488279</v>
      </c>
      <c r="H138" s="526">
        <f t="shared" si="33"/>
        <v>13698.407550069491</v>
      </c>
      <c r="I138" s="577">
        <f t="shared" si="34"/>
        <v>13698.407550069491</v>
      </c>
      <c r="J138" s="514">
        <f t="shared" si="37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  <c r="Q138" s="269"/>
    </row>
    <row r="139" spans="2:17" ht="12.5">
      <c r="B139" s="195" t="str">
        <f t="shared" si="26"/>
        <v/>
      </c>
      <c r="C139" s="507">
        <f>IF(D93="","-",+C138+1)</f>
        <v>2048</v>
      </c>
      <c r="D139" s="374">
        <f>IF(F138+SUM(E$99:E138)=D$92,F138,D$92-SUM(E$99:E138))</f>
        <v>36534.480620154951</v>
      </c>
      <c r="E139" s="522">
        <f>IF(+J96&lt;F138,J96,D139)</f>
        <v>9269.6666666666661</v>
      </c>
      <c r="F139" s="523">
        <f t="shared" si="35"/>
        <v>27264.813953488287</v>
      </c>
      <c r="G139" s="523">
        <f t="shared" si="36"/>
        <v>31899.647286821619</v>
      </c>
      <c r="H139" s="526">
        <f t="shared" si="33"/>
        <v>12701.233980731822</v>
      </c>
      <c r="I139" s="577">
        <f t="shared" si="34"/>
        <v>12701.233980731822</v>
      </c>
      <c r="J139" s="514">
        <f t="shared" si="37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  <c r="Q139" s="269"/>
    </row>
    <row r="140" spans="2:17" ht="12.5">
      <c r="B140" s="195" t="str">
        <f t="shared" si="26"/>
        <v/>
      </c>
      <c r="C140" s="507">
        <f>IF(D93="","-",+C139+1)</f>
        <v>2049</v>
      </c>
      <c r="D140" s="374">
        <f>IF(F139+SUM(E$99:E139)=D$92,F139,D$92-SUM(E$99:E139))</f>
        <v>27264.813953488287</v>
      </c>
      <c r="E140" s="522">
        <f>IF(+J96&lt;F139,J96,D140)</f>
        <v>9269.6666666666661</v>
      </c>
      <c r="F140" s="523">
        <f t="shared" si="35"/>
        <v>17995.147286821622</v>
      </c>
      <c r="G140" s="523">
        <f t="shared" si="36"/>
        <v>22629.980620154955</v>
      </c>
      <c r="H140" s="526">
        <f t="shared" si="33"/>
        <v>11704.060411394152</v>
      </c>
      <c r="I140" s="577">
        <f t="shared" si="34"/>
        <v>11704.060411394152</v>
      </c>
      <c r="J140" s="514">
        <f t="shared" si="37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  <c r="Q140" s="269"/>
    </row>
    <row r="141" spans="2:17" ht="12.5">
      <c r="B141" s="195" t="str">
        <f t="shared" si="26"/>
        <v/>
      </c>
      <c r="C141" s="507">
        <f>IF(D93="","-",+C140+1)</f>
        <v>2050</v>
      </c>
      <c r="D141" s="374">
        <f>IF(F140+SUM(E$99:E140)=D$92,F140,D$92-SUM(E$99:E140))</f>
        <v>17995.147286821622</v>
      </c>
      <c r="E141" s="522">
        <f>IF(+J96&lt;F140,J96,D141)</f>
        <v>9269.6666666666661</v>
      </c>
      <c r="F141" s="523">
        <f t="shared" si="35"/>
        <v>8725.4806201549563</v>
      </c>
      <c r="G141" s="523">
        <f t="shared" si="36"/>
        <v>13360.31395348829</v>
      </c>
      <c r="H141" s="526">
        <f t="shared" si="33"/>
        <v>10706.886842056481</v>
      </c>
      <c r="I141" s="577">
        <f t="shared" si="34"/>
        <v>10706.886842056481</v>
      </c>
      <c r="J141" s="514">
        <f t="shared" si="37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  <c r="Q141" s="269"/>
    </row>
    <row r="142" spans="2:17" ht="12.5">
      <c r="B142" s="195" t="str">
        <f t="shared" si="26"/>
        <v/>
      </c>
      <c r="C142" s="507">
        <f>IF(D93="","-",+C141+1)</f>
        <v>2051</v>
      </c>
      <c r="D142" s="374">
        <f>IF(F141+SUM(E$99:E141)=D$92,F141,D$92-SUM(E$99:E141))</f>
        <v>8725.4806201549563</v>
      </c>
      <c r="E142" s="522">
        <f>IF(+J96&lt;F141,J96,D142)</f>
        <v>8725.4806201549563</v>
      </c>
      <c r="F142" s="523">
        <f t="shared" si="35"/>
        <v>0</v>
      </c>
      <c r="G142" s="523">
        <f t="shared" si="36"/>
        <v>4362.7403100774782</v>
      </c>
      <c r="H142" s="526">
        <f t="shared" si="33"/>
        <v>9194.7973155154468</v>
      </c>
      <c r="I142" s="577">
        <f t="shared" si="34"/>
        <v>9194.7973155154468</v>
      </c>
      <c r="J142" s="514">
        <f t="shared" si="37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  <c r="Q142" s="269"/>
    </row>
    <row r="143" spans="2:17" ht="12.5">
      <c r="B143" s="195" t="str">
        <f t="shared" si="26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5"/>
        <v>0</v>
      </c>
      <c r="G143" s="523">
        <f t="shared" si="36"/>
        <v>0</v>
      </c>
      <c r="H143" s="526">
        <f t="shared" si="33"/>
        <v>0</v>
      </c>
      <c r="I143" s="577">
        <f t="shared" si="34"/>
        <v>0</v>
      </c>
      <c r="J143" s="514">
        <f t="shared" si="37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  <c r="Q143" s="269"/>
    </row>
    <row r="144" spans="2:17" ht="12.5">
      <c r="B144" s="195" t="str">
        <f t="shared" si="26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5"/>
        <v>0</v>
      </c>
      <c r="G144" s="523">
        <f t="shared" si="36"/>
        <v>0</v>
      </c>
      <c r="H144" s="526">
        <f t="shared" si="33"/>
        <v>0</v>
      </c>
      <c r="I144" s="577">
        <f t="shared" si="34"/>
        <v>0</v>
      </c>
      <c r="J144" s="514">
        <f t="shared" si="37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  <c r="Q144" s="269"/>
    </row>
    <row r="145" spans="2:17" ht="12.5">
      <c r="B145" s="195" t="str">
        <f t="shared" si="26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5"/>
        <v>0</v>
      </c>
      <c r="G145" s="523">
        <f t="shared" si="36"/>
        <v>0</v>
      </c>
      <c r="H145" s="526">
        <f t="shared" si="33"/>
        <v>0</v>
      </c>
      <c r="I145" s="577">
        <f t="shared" si="34"/>
        <v>0</v>
      </c>
      <c r="J145" s="514">
        <f t="shared" si="37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  <c r="Q145" s="269"/>
    </row>
    <row r="146" spans="2:17" ht="12.5">
      <c r="B146" s="195" t="str">
        <f t="shared" si="26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5"/>
        <v>0</v>
      </c>
      <c r="G146" s="523">
        <f t="shared" si="36"/>
        <v>0</v>
      </c>
      <c r="H146" s="526">
        <f t="shared" si="33"/>
        <v>0</v>
      </c>
      <c r="I146" s="577">
        <f t="shared" si="34"/>
        <v>0</v>
      </c>
      <c r="J146" s="514">
        <f t="shared" si="37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  <c r="Q146" s="269"/>
    </row>
    <row r="147" spans="2:17" ht="12.5">
      <c r="B147" s="195" t="str">
        <f t="shared" si="26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5"/>
        <v>0</v>
      </c>
      <c r="G147" s="523">
        <f t="shared" si="36"/>
        <v>0</v>
      </c>
      <c r="H147" s="526">
        <f t="shared" si="33"/>
        <v>0</v>
      </c>
      <c r="I147" s="577">
        <f t="shared" si="34"/>
        <v>0</v>
      </c>
      <c r="J147" s="514">
        <f t="shared" si="37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  <c r="Q147" s="269"/>
    </row>
    <row r="148" spans="2:17" ht="12.5">
      <c r="B148" s="195" t="str">
        <f t="shared" si="26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5"/>
        <v>0</v>
      </c>
      <c r="G148" s="523">
        <f t="shared" si="36"/>
        <v>0</v>
      </c>
      <c r="H148" s="526">
        <f t="shared" si="33"/>
        <v>0</v>
      </c>
      <c r="I148" s="577">
        <f t="shared" si="34"/>
        <v>0</v>
      </c>
      <c r="J148" s="514">
        <f t="shared" si="37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  <c r="Q148" s="269"/>
    </row>
    <row r="149" spans="2:17" ht="12.5">
      <c r="B149" s="195" t="str">
        <f t="shared" si="26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5"/>
        <v>0</v>
      </c>
      <c r="G149" s="523">
        <f t="shared" si="36"/>
        <v>0</v>
      </c>
      <c r="H149" s="526">
        <f t="shared" si="33"/>
        <v>0</v>
      </c>
      <c r="I149" s="577">
        <f t="shared" si="34"/>
        <v>0</v>
      </c>
      <c r="J149" s="514">
        <f t="shared" si="37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  <c r="Q149" s="269"/>
    </row>
    <row r="150" spans="2:17" ht="12.5">
      <c r="B150" s="195" t="str">
        <f t="shared" si="26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5"/>
        <v>0</v>
      </c>
      <c r="G150" s="523">
        <f t="shared" si="36"/>
        <v>0</v>
      </c>
      <c r="H150" s="526">
        <f t="shared" si="33"/>
        <v>0</v>
      </c>
      <c r="I150" s="577">
        <f t="shared" si="34"/>
        <v>0</v>
      </c>
      <c r="J150" s="514">
        <f t="shared" si="37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  <c r="Q150" s="269"/>
    </row>
    <row r="151" spans="2:17" ht="12.5">
      <c r="B151" s="195" t="str">
        <f t="shared" si="26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5"/>
        <v>0</v>
      </c>
      <c r="G151" s="523">
        <f t="shared" si="36"/>
        <v>0</v>
      </c>
      <c r="H151" s="526">
        <f t="shared" si="33"/>
        <v>0</v>
      </c>
      <c r="I151" s="577">
        <f t="shared" si="34"/>
        <v>0</v>
      </c>
      <c r="J151" s="514">
        <f t="shared" si="37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  <c r="Q151" s="269"/>
    </row>
    <row r="152" spans="2:17" ht="12.5">
      <c r="B152" s="195" t="str">
        <f t="shared" si="26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5"/>
        <v>0</v>
      </c>
      <c r="G152" s="523">
        <f t="shared" si="36"/>
        <v>0</v>
      </c>
      <c r="H152" s="526">
        <f t="shared" si="33"/>
        <v>0</v>
      </c>
      <c r="I152" s="577">
        <f t="shared" si="34"/>
        <v>0</v>
      </c>
      <c r="J152" s="514">
        <f t="shared" si="37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  <c r="Q152" s="269"/>
    </row>
    <row r="153" spans="2:17" ht="12.5">
      <c r="B153" s="195" t="str">
        <f t="shared" si="26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5"/>
        <v>0</v>
      </c>
      <c r="G153" s="523">
        <f t="shared" si="36"/>
        <v>0</v>
      </c>
      <c r="H153" s="526">
        <f t="shared" si="33"/>
        <v>0</v>
      </c>
      <c r="I153" s="577">
        <f t="shared" si="34"/>
        <v>0</v>
      </c>
      <c r="J153" s="514">
        <f t="shared" si="37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  <c r="Q153" s="269"/>
    </row>
    <row r="154" spans="2:17" ht="13" thickBot="1">
      <c r="B154" s="195" t="str">
        <f t="shared" si="26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5"/>
        <v>0</v>
      </c>
      <c r="G154" s="528">
        <f t="shared" si="36"/>
        <v>0</v>
      </c>
      <c r="H154" s="530">
        <f t="shared" si="33"/>
        <v>0</v>
      </c>
      <c r="I154" s="579">
        <f t="shared" si="34"/>
        <v>0</v>
      </c>
      <c r="J154" s="533">
        <f t="shared" si="37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  <c r="Q154" s="269"/>
    </row>
    <row r="155" spans="2:17" ht="12.5">
      <c r="C155" s="374" t="s">
        <v>78</v>
      </c>
      <c r="D155" s="375"/>
      <c r="E155" s="375">
        <f>SUM(E99:E154)</f>
        <v>389326</v>
      </c>
      <c r="F155" s="375"/>
      <c r="G155" s="375"/>
      <c r="H155" s="375">
        <f>SUM(H99:H154)</f>
        <v>1356541.4031009087</v>
      </c>
      <c r="I155" s="375">
        <f>SUM(I99:I154)</f>
        <v>1356541.4031009087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9" priority="1" stopIfTrue="1" operator="equal">
      <formula>$I$10</formula>
    </cfRule>
  </conditionalFormatting>
  <conditionalFormatting sqref="C99:C154">
    <cfRule type="cellIs" dxfId="12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/>
  <dimension ref="A1:S137"/>
  <sheetViews>
    <sheetView topLeftCell="G91" zoomScale="70" zoomScaleNormal="70" zoomScaleSheetLayoutView="70" workbookViewId="0">
      <selection activeCell="R120" sqref="R12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16.1796875" style="183" customWidth="1"/>
    <col min="10" max="10" width="2.179687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3.54296875" style="183" bestFit="1" customWidth="1"/>
    <col min="17" max="17" width="4.7265625" style="183" customWidth="1"/>
    <col min="18" max="18" width="15.453125" style="183" customWidth="1"/>
    <col min="19" max="19" width="81.81640625" style="183" bestFit="1" customWidth="1"/>
    <col min="20" max="22" width="8.7265625" style="183"/>
    <col min="23" max="23" width="9.1796875" style="183" customWidth="1"/>
    <col min="24" max="16384" width="8.7265625" style="183"/>
  </cols>
  <sheetData>
    <row r="1" spans="1:18" ht="17.5">
      <c r="A1" s="677" t="s">
        <v>110</v>
      </c>
      <c r="B1" s="678"/>
      <c r="C1" s="678"/>
      <c r="D1" s="678"/>
      <c r="E1" s="678"/>
      <c r="F1" s="678"/>
      <c r="G1" s="678"/>
      <c r="H1" s="678"/>
      <c r="I1" s="678"/>
      <c r="J1" s="678"/>
    </row>
    <row r="2" spans="1:18" ht="17.5">
      <c r="A2" s="679" t="str">
        <f>L19&amp;" Cost of Service Formula Rate Projected on "&amp;L19&amp;" FF1 Balances"</f>
        <v>2020 Cost of Service Formula Rate Projected on 2020 FF1 Balances</v>
      </c>
      <c r="B2" s="679"/>
      <c r="C2" s="679"/>
      <c r="D2" s="679"/>
      <c r="E2" s="679"/>
      <c r="F2" s="679"/>
      <c r="G2" s="679"/>
      <c r="H2" s="679"/>
      <c r="I2" s="679"/>
      <c r="J2" s="679"/>
    </row>
    <row r="3" spans="1:18" ht="18">
      <c r="A3" s="680" t="s">
        <v>125</v>
      </c>
      <c r="B3" s="679"/>
      <c r="C3" s="679"/>
      <c r="D3" s="679"/>
      <c r="E3" s="679"/>
      <c r="F3" s="679"/>
      <c r="G3" s="679"/>
      <c r="H3" s="679"/>
      <c r="I3" s="679"/>
      <c r="J3" s="679"/>
      <c r="Q3" s="267" t="s">
        <v>111</v>
      </c>
    </row>
    <row r="4" spans="1:18" ht="17.5">
      <c r="A4" s="679" t="str">
        <f>"Based on a Carrying Charge Derived from ""Historic"" "&amp;L19&amp;" Data"</f>
        <v>Based on a Carrying Charge Derived from "Historic" 2020 Data</v>
      </c>
      <c r="B4" s="679"/>
      <c r="C4" s="679"/>
      <c r="D4" s="679"/>
      <c r="E4" s="679"/>
      <c r="F4" s="679"/>
      <c r="G4" s="679"/>
      <c r="H4" s="679"/>
      <c r="I4" s="679"/>
      <c r="J4" s="679"/>
    </row>
    <row r="5" spans="1:18" ht="18">
      <c r="A5" s="681" t="s">
        <v>135</v>
      </c>
      <c r="B5" s="682"/>
      <c r="C5" s="682"/>
      <c r="D5" s="682"/>
      <c r="E5" s="682"/>
      <c r="F5" s="682"/>
      <c r="G5" s="682"/>
      <c r="H5" s="682"/>
      <c r="I5" s="682"/>
      <c r="J5" s="682"/>
      <c r="R5" s="268"/>
    </row>
    <row r="6" spans="1:18" ht="12.5">
      <c r="A6" s="269"/>
      <c r="B6" s="269"/>
      <c r="C6" s="269"/>
      <c r="D6" s="270"/>
      <c r="E6" s="269"/>
      <c r="F6" s="269"/>
      <c r="G6" s="269"/>
      <c r="H6" s="271"/>
      <c r="I6" s="269"/>
      <c r="J6" s="272"/>
    </row>
    <row r="7" spans="1:18" ht="12.5">
      <c r="D7" s="195"/>
      <c r="H7" s="247"/>
      <c r="J7" s="233"/>
    </row>
    <row r="8" spans="1:18" ht="17.5">
      <c r="B8" s="273" t="s">
        <v>0</v>
      </c>
      <c r="C8" s="674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75"/>
      <c r="E8" s="675"/>
      <c r="F8" s="675"/>
      <c r="G8" s="675"/>
      <c r="H8" s="675"/>
      <c r="J8" s="233"/>
    </row>
    <row r="9" spans="1:18" ht="12.5">
      <c r="D9" s="195"/>
      <c r="H9" s="247"/>
      <c r="J9" s="233"/>
    </row>
    <row r="10" spans="1:18" ht="15.5">
      <c r="C10" s="274" t="str">
        <f>"A.   Determine 'R' with hypothetical "&amp;F13&amp;" basis point increase in ROE for Identified Projects"</f>
        <v>A.   Determine 'R' with hypothetical 0 basis point increase in ROE for Identified Projects</v>
      </c>
      <c r="D10" s="195"/>
      <c r="H10" s="247"/>
      <c r="J10" s="233"/>
      <c r="K10" s="275"/>
      <c r="L10" s="276"/>
    </row>
    <row r="11" spans="1:18" ht="12.5">
      <c r="D11" s="195"/>
      <c r="H11" s="247"/>
      <c r="J11" s="233"/>
    </row>
    <row r="12" spans="1:18" ht="12.5">
      <c r="C12" s="277" t="str">
        <f>S105</f>
        <v xml:space="preserve">   ROE w/o incentives  (Projected TCOS, ln 148)</v>
      </c>
      <c r="D12" s="195"/>
      <c r="E12" s="278"/>
      <c r="F12" s="279">
        <f>+R105</f>
        <v>0.105</v>
      </c>
      <c r="G12" s="280"/>
      <c r="H12" s="281"/>
      <c r="I12" s="282"/>
      <c r="J12" s="283"/>
      <c r="K12" s="282"/>
      <c r="L12" s="282"/>
      <c r="M12" s="282"/>
      <c r="N12" s="282"/>
      <c r="O12" s="278"/>
      <c r="P12" s="282"/>
      <c r="Q12" s="269"/>
    </row>
    <row r="13" spans="1:18" ht="12.5">
      <c r="C13" s="277" t="s">
        <v>1</v>
      </c>
      <c r="D13" s="195"/>
      <c r="E13" s="278"/>
      <c r="F13" s="284">
        <f>+R106</f>
        <v>0</v>
      </c>
      <c r="G13" s="183" t="s">
        <v>155</v>
      </c>
      <c r="K13" s="282"/>
      <c r="L13" s="282"/>
      <c r="M13" s="282"/>
      <c r="N13" s="282"/>
      <c r="O13" s="278"/>
      <c r="P13" s="282"/>
      <c r="Q13" s="269"/>
    </row>
    <row r="14" spans="1:18" ht="13.5" thickBot="1">
      <c r="C14" s="277" t="str">
        <f>"   ROE with additional "&amp;F13&amp;" basis point incentive"</f>
        <v xml:space="preserve">   ROE with additional 0 basis point incentive</v>
      </c>
      <c r="D14" s="278"/>
      <c r="E14" s="278"/>
      <c r="F14" s="285">
        <f>IF((F12+(F13/10000)&gt;0.1245),"ERROR",F12+(F13/10000))</f>
        <v>0.105</v>
      </c>
      <c r="G14" s="286" t="s">
        <v>2</v>
      </c>
      <c r="H14" s="282"/>
      <c r="I14" s="282"/>
      <c r="J14" s="283"/>
      <c r="K14" s="282"/>
      <c r="L14" s="282"/>
      <c r="M14" s="282"/>
      <c r="N14" s="282"/>
      <c r="O14" s="278"/>
      <c r="P14" s="282"/>
      <c r="Q14" s="269"/>
    </row>
    <row r="15" spans="1:18" ht="12.5">
      <c r="C15" s="277" t="s">
        <v>3</v>
      </c>
      <c r="D15" s="195"/>
      <c r="E15" s="278"/>
      <c r="F15" s="285"/>
      <c r="G15" s="278"/>
      <c r="H15" s="282"/>
      <c r="I15" s="282"/>
      <c r="J15" s="283"/>
      <c r="K15" s="668" t="s">
        <v>4</v>
      </c>
      <c r="L15" s="669"/>
      <c r="M15" s="669"/>
      <c r="N15" s="669"/>
      <c r="O15" s="670"/>
      <c r="P15" s="282"/>
      <c r="Q15" s="269"/>
    </row>
    <row r="16" spans="1:18" ht="12.5">
      <c r="C16" s="283"/>
      <c r="D16" s="287" t="s">
        <v>5</v>
      </c>
      <c r="E16" s="287" t="s">
        <v>6</v>
      </c>
      <c r="F16" s="288" t="s">
        <v>7</v>
      </c>
      <c r="G16" s="278"/>
      <c r="H16" s="282"/>
      <c r="I16" s="282"/>
      <c r="J16" s="283"/>
      <c r="K16" s="671"/>
      <c r="L16" s="672"/>
      <c r="M16" s="672"/>
      <c r="N16" s="672"/>
      <c r="O16" s="673"/>
      <c r="P16" s="282"/>
      <c r="Q16" s="269"/>
    </row>
    <row r="17" spans="3:17" ht="12.5">
      <c r="C17" s="289" t="s">
        <v>8</v>
      </c>
      <c r="D17" s="290">
        <f>+R107</f>
        <v>0.50670946853051035</v>
      </c>
      <c r="E17" s="291">
        <f>+R108</f>
        <v>4.1467141232114368E-2</v>
      </c>
      <c r="F17" s="292">
        <f>E17*D17</f>
        <v>2.1011793095204283E-2</v>
      </c>
      <c r="G17" s="278"/>
      <c r="H17" s="282"/>
      <c r="I17" s="293"/>
      <c r="J17" s="294"/>
      <c r="K17" s="295"/>
      <c r="L17" s="296"/>
      <c r="M17" s="283" t="s">
        <v>9</v>
      </c>
      <c r="N17" s="283" t="s">
        <v>10</v>
      </c>
      <c r="O17" s="297" t="s">
        <v>11</v>
      </c>
      <c r="P17" s="282"/>
      <c r="Q17" s="269"/>
    </row>
    <row r="18" spans="3:17" ht="12.5">
      <c r="C18" s="289" t="s">
        <v>12</v>
      </c>
      <c r="D18" s="290">
        <f>+R109</f>
        <v>0</v>
      </c>
      <c r="E18" s="291">
        <f>+R110</f>
        <v>0</v>
      </c>
      <c r="F18" s="292">
        <f>E18*D18</f>
        <v>0</v>
      </c>
      <c r="G18" s="298"/>
      <c r="H18" s="298"/>
      <c r="I18" s="299"/>
      <c r="J18" s="300"/>
      <c r="K18" s="301"/>
      <c r="L18" s="233"/>
      <c r="M18" s="233"/>
      <c r="N18" s="233"/>
      <c r="O18" s="302"/>
      <c r="P18" s="298"/>
      <c r="Q18" s="269"/>
    </row>
    <row r="19" spans="3:17" ht="13" thickBot="1">
      <c r="C19" s="303" t="s">
        <v>13</v>
      </c>
      <c r="D19" s="290">
        <f>+R111</f>
        <v>0.4932905314694897</v>
      </c>
      <c r="E19" s="291">
        <f>+F14</f>
        <v>0.105</v>
      </c>
      <c r="F19" s="304">
        <f>E19*D19</f>
        <v>5.179550580429642E-2</v>
      </c>
      <c r="G19" s="298"/>
      <c r="H19" s="298"/>
      <c r="I19" s="285"/>
      <c r="J19" s="300"/>
      <c r="K19" s="305" t="s">
        <v>14</v>
      </c>
      <c r="L19" s="306">
        <f>R104</f>
        <v>2020</v>
      </c>
      <c r="M19" s="307">
        <f>SUM('S.001:S.xyz - blank'!N5)</f>
        <v>79416494.826505467</v>
      </c>
      <c r="N19" s="307">
        <f>SUM('S.001:S.xyz - blank'!N6)</f>
        <v>79416494.826505467</v>
      </c>
      <c r="O19" s="308">
        <f>+N19-M19</f>
        <v>0</v>
      </c>
      <c r="P19" s="299"/>
      <c r="Q19" s="269"/>
    </row>
    <row r="20" spans="3:17" ht="12.5">
      <c r="C20" s="277"/>
      <c r="D20" s="278"/>
      <c r="E20" s="309" t="s">
        <v>15</v>
      </c>
      <c r="F20" s="292">
        <f>SUM(F17:F19)</f>
        <v>7.2807298899500703E-2</v>
      </c>
      <c r="G20" s="298"/>
      <c r="H20" s="298"/>
      <c r="I20" s="299"/>
      <c r="J20" s="300"/>
      <c r="M20" s="310" t="str">
        <f>IF(M19=SUM('S.001:S.xyz - blank'!N5),"","ERROR")</f>
        <v/>
      </c>
      <c r="N20" s="310" t="str">
        <f>IF(N19=SUM('S.001:S.xyz - blank'!N6),"","ERROR")</f>
        <v/>
      </c>
      <c r="O20" s="310" t="str">
        <f>IF(O19=SUM('S.001:S.xyz - blank'!N7),"","ERROR")</f>
        <v/>
      </c>
      <c r="P20" s="298"/>
      <c r="Q20" s="269"/>
    </row>
    <row r="21" spans="3:17" ht="13">
      <c r="D21" s="311"/>
      <c r="E21" s="311"/>
      <c r="F21" s="298"/>
      <c r="G21" s="298"/>
      <c r="H21" s="298"/>
      <c r="I21" s="298"/>
      <c r="J21" s="312"/>
      <c r="K21" s="212" t="s">
        <v>16</v>
      </c>
      <c r="P21" s="298"/>
      <c r="Q21" s="269"/>
    </row>
    <row r="22" spans="3:17" ht="15.5">
      <c r="C22" s="274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311"/>
      <c r="E22" s="311"/>
      <c r="F22" s="313"/>
      <c r="G22" s="298"/>
      <c r="H22" s="278"/>
      <c r="I22" s="298"/>
      <c r="J22" s="312"/>
      <c r="K22" s="183" t="s">
        <v>17</v>
      </c>
      <c r="P22" s="298"/>
      <c r="Q22" s="269"/>
    </row>
    <row r="23" spans="3:17" ht="12.5">
      <c r="C23" s="283"/>
      <c r="D23" s="311"/>
      <c r="E23" s="311"/>
      <c r="F23" s="312"/>
      <c r="G23" s="312"/>
      <c r="H23" s="312"/>
      <c r="I23" s="312"/>
      <c r="J23" s="312"/>
      <c r="K23" s="299"/>
      <c r="L23" s="314"/>
      <c r="M23" s="249"/>
      <c r="N23" s="299"/>
      <c r="O23" s="298"/>
      <c r="P23" s="312"/>
      <c r="Q23" s="272"/>
    </row>
    <row r="24" spans="3:17" ht="12.5">
      <c r="C24" s="277" t="str">
        <f>+S112</f>
        <v xml:space="preserve">   Rate Base  (TCOS, ln 62)</v>
      </c>
      <c r="D24" s="278"/>
      <c r="E24" s="315">
        <f>+R112</f>
        <v>1195477759.3250892</v>
      </c>
      <c r="F24" s="316"/>
      <c r="G24" s="312"/>
      <c r="H24" s="312"/>
      <c r="I24" s="312"/>
      <c r="J24" s="312"/>
      <c r="K24" s="312"/>
      <c r="L24" s="312"/>
      <c r="M24" s="312"/>
      <c r="N24" s="312"/>
      <c r="O24" s="312"/>
      <c r="P24" s="316"/>
      <c r="Q24" s="272"/>
    </row>
    <row r="25" spans="3:17" ht="12.5">
      <c r="C25" s="283" t="s">
        <v>18</v>
      </c>
      <c r="D25" s="280"/>
      <c r="E25" s="317">
        <f>F20</f>
        <v>7.2807298899500703E-2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272"/>
    </row>
    <row r="26" spans="3:17" ht="12.5">
      <c r="C26" s="318" t="s">
        <v>19</v>
      </c>
      <c r="D26" s="318"/>
      <c r="E26" s="299">
        <f>E24*E25</f>
        <v>87039506.550887138</v>
      </c>
      <c r="F26" s="312"/>
      <c r="G26" s="312"/>
      <c r="H26" s="312"/>
      <c r="I26" s="300"/>
      <c r="J26" s="300"/>
      <c r="K26" s="300"/>
      <c r="L26" s="300"/>
      <c r="M26" s="300"/>
      <c r="N26" s="300"/>
      <c r="O26" s="312"/>
      <c r="P26" s="312"/>
      <c r="Q26" s="272"/>
    </row>
    <row r="27" spans="3:17" ht="12.5">
      <c r="C27" s="319"/>
      <c r="D27" s="282"/>
      <c r="E27" s="282"/>
      <c r="F27" s="312"/>
      <c r="G27" s="312"/>
      <c r="H27" s="312"/>
      <c r="I27" s="300"/>
      <c r="J27" s="300"/>
      <c r="K27" s="300"/>
      <c r="L27" s="300"/>
      <c r="M27" s="300"/>
      <c r="N27" s="300"/>
      <c r="O27" s="312"/>
      <c r="P27" s="312"/>
      <c r="Q27" s="272"/>
    </row>
    <row r="28" spans="3:17" ht="15.5">
      <c r="C28" s="274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320"/>
      <c r="E28" s="320"/>
      <c r="F28" s="321"/>
      <c r="G28" s="321"/>
      <c r="H28" s="321"/>
      <c r="I28" s="322"/>
      <c r="J28" s="322"/>
      <c r="K28" s="322"/>
      <c r="L28" s="322"/>
      <c r="M28" s="322"/>
      <c r="N28" s="322"/>
      <c r="O28" s="321"/>
      <c r="P28" s="321"/>
      <c r="Q28" s="272"/>
    </row>
    <row r="29" spans="3:17" ht="12.5">
      <c r="C29" s="277"/>
      <c r="D29" s="282"/>
      <c r="E29" s="282"/>
      <c r="F29" s="312"/>
      <c r="G29" s="312"/>
      <c r="H29" s="312"/>
      <c r="I29" s="300"/>
      <c r="J29" s="300"/>
      <c r="K29" s="300"/>
      <c r="L29" s="300"/>
      <c r="M29" s="300"/>
      <c r="N29" s="300"/>
      <c r="O29" s="312"/>
      <c r="P29" s="312"/>
      <c r="Q29" s="272"/>
    </row>
    <row r="30" spans="3:17" ht="12.5">
      <c r="C30" s="283" t="s">
        <v>20</v>
      </c>
      <c r="D30" s="309"/>
      <c r="E30" s="323">
        <f>E26</f>
        <v>87039506.550887138</v>
      </c>
      <c r="F30" s="312"/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272"/>
    </row>
    <row r="31" spans="3:17" ht="12.5">
      <c r="C31" s="277" t="str">
        <f>+S113</f>
        <v xml:space="preserve">   Tax Rate  (TCOS, ln 97)</v>
      </c>
      <c r="D31" s="309"/>
      <c r="E31" s="324">
        <f>+R113</f>
        <v>0.249421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272"/>
    </row>
    <row r="32" spans="3:17" ht="12.5">
      <c r="C32" s="283" t="s">
        <v>21</v>
      </c>
      <c r="D32" s="270"/>
      <c r="E32" s="285">
        <f>IF(F17&gt;0,($E31/(1-$E31))*(1-$F17/$F20),0)</f>
        <v>0.23640342586882657</v>
      </c>
      <c r="F32" s="269"/>
      <c r="G32" s="285"/>
      <c r="H32" s="271"/>
      <c r="I32" s="269"/>
      <c r="J32" s="272"/>
      <c r="K32" s="269"/>
      <c r="L32" s="269"/>
      <c r="M32" s="269"/>
      <c r="N32" s="269"/>
      <c r="O32" s="269"/>
      <c r="P32" s="269"/>
      <c r="Q32" s="269"/>
    </row>
    <row r="33" spans="2:19" ht="12.5">
      <c r="C33" s="318" t="s">
        <v>22</v>
      </c>
      <c r="D33" s="325"/>
      <c r="E33" s="326">
        <f>E30*E32</f>
        <v>20576437.534561891</v>
      </c>
      <c r="F33" s="326"/>
      <c r="G33" s="269"/>
      <c r="H33" s="271"/>
      <c r="I33" s="269"/>
      <c r="J33" s="272"/>
      <c r="K33" s="269"/>
      <c r="L33" s="269"/>
      <c r="M33" s="269"/>
      <c r="N33" s="269"/>
      <c r="O33" s="269"/>
      <c r="P33" s="269"/>
      <c r="Q33" s="269"/>
    </row>
    <row r="34" spans="2:19" ht="15.5">
      <c r="C34" s="277" t="str">
        <f>+S114</f>
        <v xml:space="preserve">   ITC Adjustment  (TCOS, ln 106)</v>
      </c>
      <c r="D34" s="327"/>
      <c r="E34" s="328">
        <f>+R114</f>
        <v>-361613.38372186676</v>
      </c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9"/>
      <c r="Q34" s="327"/>
    </row>
    <row r="35" spans="2:19" ht="15.5">
      <c r="C35" s="277" t="str">
        <f>+S115</f>
        <v xml:space="preserve">   Excess DFIT Adjustment  (TCOS, ln 107)</v>
      </c>
      <c r="D35" s="327"/>
      <c r="E35" s="328">
        <f>+R115</f>
        <v>-3813733.3178785983</v>
      </c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9"/>
      <c r="Q35" s="327"/>
    </row>
    <row r="36" spans="2:19" ht="15.5">
      <c r="C36" s="277" t="str">
        <f>+S116</f>
        <v xml:space="preserve">   Tax Effect of Permanent and Flow Through Differences  (TCOS, ln 108)</v>
      </c>
      <c r="D36" s="327"/>
      <c r="E36" s="328">
        <f>+R116</f>
        <v>334922.16009240871</v>
      </c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9"/>
      <c r="Q36" s="327"/>
    </row>
    <row r="37" spans="2:19" ht="15.5">
      <c r="C37" s="319" t="s">
        <v>23</v>
      </c>
      <c r="D37" s="327"/>
      <c r="E37" s="328">
        <f>E33+E34+E35+E36</f>
        <v>16736012.993053835</v>
      </c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30"/>
      <c r="Q37" s="327"/>
    </row>
    <row r="38" spans="2:19" ht="12.75" customHeight="1">
      <c r="C38" s="331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30"/>
      <c r="Q38" s="327"/>
      <c r="R38" s="269"/>
      <c r="S38" s="269"/>
    </row>
    <row r="39" spans="2:19" ht="18">
      <c r="B39" s="273" t="s">
        <v>24</v>
      </c>
      <c r="C39" s="33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30"/>
      <c r="Q39" s="327"/>
      <c r="R39" s="269"/>
      <c r="S39" s="269"/>
    </row>
    <row r="40" spans="2:19" ht="15.75" customHeight="1">
      <c r="B40" s="273"/>
      <c r="C40" s="332" t="str">
        <f>"ROE increase."</f>
        <v>ROE increase.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30"/>
      <c r="Q40" s="327"/>
      <c r="R40" s="269"/>
      <c r="S40" s="269"/>
    </row>
    <row r="41" spans="2:19" ht="12.75" customHeight="1">
      <c r="C41" s="331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30"/>
      <c r="Q41" s="327"/>
      <c r="R41" s="269"/>
      <c r="S41" s="269"/>
    </row>
    <row r="42" spans="2:19" ht="15.5">
      <c r="C42" s="274" t="s">
        <v>25</v>
      </c>
      <c r="D42" s="327"/>
      <c r="E42" s="327"/>
      <c r="F42" s="333"/>
      <c r="G42" s="327"/>
      <c r="H42" s="327"/>
      <c r="I42" s="327"/>
      <c r="J42" s="327"/>
      <c r="K42" s="327"/>
      <c r="L42" s="327"/>
      <c r="M42" s="327"/>
      <c r="N42" s="327"/>
      <c r="O42" s="327"/>
      <c r="P42" s="330"/>
      <c r="Q42" s="327"/>
      <c r="R42" s="269"/>
      <c r="S42" s="269"/>
    </row>
    <row r="43" spans="2:19" ht="12.5">
      <c r="B43" s="269"/>
      <c r="C43" s="33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28"/>
      <c r="Q43" s="335"/>
      <c r="R43" s="269"/>
      <c r="S43" s="269"/>
    </row>
    <row r="44" spans="2:19" ht="12.75" customHeight="1">
      <c r="B44" s="269"/>
      <c r="C44" s="277" t="str">
        <f>+S117</f>
        <v xml:space="preserve">   Net Revenue Requirement  (TCOS, ln 115)</v>
      </c>
      <c r="D44" s="335"/>
      <c r="E44" s="335"/>
      <c r="F44" s="328">
        <f>+R117</f>
        <v>204272909.63596568</v>
      </c>
      <c r="G44" s="335"/>
      <c r="H44" s="335"/>
      <c r="I44" s="335"/>
      <c r="J44" s="335"/>
      <c r="K44" s="335"/>
      <c r="L44" s="335"/>
      <c r="M44" s="335"/>
      <c r="N44" s="335"/>
      <c r="O44" s="335"/>
      <c r="P44" s="328"/>
      <c r="Q44" s="335"/>
      <c r="R44" s="269"/>
      <c r="S44" s="269"/>
    </row>
    <row r="45" spans="2:19" ht="12.5">
      <c r="B45" s="269"/>
      <c r="C45" s="277" t="str">
        <f>+S118</f>
        <v xml:space="preserve">   Return  (TCOS, ln 110)</v>
      </c>
      <c r="D45" s="335"/>
      <c r="E45" s="335"/>
      <c r="F45" s="336">
        <f>+R118</f>
        <v>87039506.550887138</v>
      </c>
      <c r="G45" s="337"/>
      <c r="H45" s="337"/>
      <c r="I45" s="337"/>
      <c r="J45" s="337"/>
      <c r="K45" s="337"/>
      <c r="L45" s="337"/>
      <c r="M45" s="337"/>
      <c r="N45" s="337"/>
      <c r="O45" s="337"/>
      <c r="P45" s="328"/>
      <c r="Q45" s="335"/>
      <c r="R45" s="269"/>
      <c r="S45" s="269"/>
    </row>
    <row r="46" spans="2:19" ht="12.5">
      <c r="B46" s="269"/>
      <c r="C46" s="277" t="str">
        <f>+S119</f>
        <v xml:space="preserve">   Income Taxes  (TCOS, ln 109)</v>
      </c>
      <c r="D46" s="335"/>
      <c r="E46" s="335"/>
      <c r="F46" s="328">
        <f>+R119</f>
        <v>16736012.993053835</v>
      </c>
      <c r="G46" s="335"/>
      <c r="H46" s="335"/>
      <c r="I46" s="338"/>
      <c r="J46" s="338"/>
      <c r="K46" s="338"/>
      <c r="L46" s="338"/>
      <c r="M46" s="338"/>
      <c r="N46" s="338"/>
      <c r="O46" s="335"/>
      <c r="P46" s="335"/>
      <c r="Q46" s="335"/>
      <c r="R46" s="269"/>
      <c r="S46" s="269"/>
    </row>
    <row r="47" spans="2:19" ht="12.5">
      <c r="B47" s="269"/>
      <c r="C47" s="334" t="str">
        <f>+S120</f>
        <v xml:space="preserve">  Gross Margin Taxes  (TCOS, ln 114)</v>
      </c>
      <c r="D47" s="335"/>
      <c r="E47" s="335"/>
      <c r="F47" s="339">
        <f>+R120</f>
        <v>82570.755999953792</v>
      </c>
      <c r="G47" s="335"/>
      <c r="H47" s="335"/>
      <c r="I47" s="338"/>
      <c r="J47" s="338"/>
      <c r="K47" s="338"/>
      <c r="L47" s="338"/>
      <c r="M47" s="338"/>
      <c r="N47" s="338"/>
      <c r="O47" s="335"/>
      <c r="P47" s="335"/>
      <c r="Q47" s="335"/>
      <c r="R47" s="269"/>
      <c r="S47" s="269"/>
    </row>
    <row r="48" spans="2:19" ht="12.5">
      <c r="B48" s="269"/>
      <c r="C48" s="340" t="s">
        <v>26</v>
      </c>
      <c r="D48" s="335"/>
      <c r="E48" s="335"/>
      <c r="F48" s="336">
        <f>F44-F45-F46-F47</f>
        <v>100414819.33602475</v>
      </c>
      <c r="G48" s="341"/>
      <c r="H48" s="335"/>
      <c r="I48" s="341"/>
      <c r="J48" s="341"/>
      <c r="K48" s="341"/>
      <c r="L48" s="341"/>
      <c r="M48" s="341"/>
      <c r="N48" s="341"/>
      <c r="O48" s="335"/>
      <c r="P48" s="341"/>
      <c r="Q48" s="335"/>
      <c r="R48" s="269"/>
      <c r="S48" s="269"/>
    </row>
    <row r="49" spans="2:19" ht="12.5">
      <c r="B49" s="269"/>
      <c r="C49" s="334"/>
      <c r="D49" s="335"/>
      <c r="E49" s="335"/>
      <c r="F49" s="328"/>
      <c r="G49" s="342"/>
      <c r="H49" s="343"/>
      <c r="I49" s="343"/>
      <c r="J49" s="343"/>
      <c r="K49" s="343"/>
      <c r="L49" s="343"/>
      <c r="M49" s="343"/>
      <c r="N49" s="343"/>
      <c r="O49" s="344"/>
      <c r="P49" s="343"/>
      <c r="Q49" s="345"/>
      <c r="R49" s="269"/>
      <c r="S49" s="269"/>
    </row>
    <row r="50" spans="2:19" ht="15.5">
      <c r="B50" s="269"/>
      <c r="C50" s="274" t="str">
        <f>"B.   Determine Net Revenue Requirement with hypothetical "&amp;F13&amp;" basis point increase in ROE."</f>
        <v>B.   Determine Net Revenue Requirement with hypothetical 0 basis point increase in ROE.</v>
      </c>
      <c r="D50" s="344"/>
      <c r="E50" s="344"/>
      <c r="F50" s="328"/>
      <c r="G50" s="342"/>
      <c r="H50" s="343"/>
      <c r="I50" s="343"/>
      <c r="J50" s="343"/>
      <c r="K50" s="343"/>
      <c r="L50" s="343"/>
      <c r="M50" s="343"/>
      <c r="N50" s="343"/>
      <c r="O50" s="344"/>
      <c r="P50" s="343"/>
      <c r="Q50" s="335"/>
    </row>
    <row r="51" spans="2:19" ht="12.5">
      <c r="B51" s="269"/>
      <c r="C51" s="334"/>
      <c r="D51" s="344"/>
      <c r="E51" s="344"/>
      <c r="F51" s="328"/>
      <c r="G51" s="342"/>
      <c r="H51" s="343"/>
      <c r="I51" s="343"/>
      <c r="J51" s="343"/>
      <c r="K51" s="343"/>
      <c r="L51" s="343"/>
      <c r="M51" s="343"/>
      <c r="N51" s="343"/>
      <c r="O51" s="344"/>
      <c r="P51" s="343"/>
      <c r="Q51" s="335"/>
    </row>
    <row r="52" spans="2:19" ht="13">
      <c r="B52" s="269"/>
      <c r="C52" s="334" t="str">
        <f>C48</f>
        <v xml:space="preserve">   Net Revenue Requirement, Less Return and Taxes</v>
      </c>
      <c r="D52" s="344"/>
      <c r="E52" s="344"/>
      <c r="F52" s="328">
        <f>F48</f>
        <v>100414819.33602475</v>
      </c>
      <c r="G52" s="335"/>
      <c r="H52" s="335"/>
      <c r="I52" s="335"/>
      <c r="J52" s="335"/>
      <c r="K52" s="335"/>
      <c r="L52" s="335"/>
      <c r="M52" s="335"/>
      <c r="N52" s="335"/>
      <c r="O52" s="346"/>
      <c r="P52" s="347"/>
      <c r="Q52" s="348"/>
    </row>
    <row r="53" spans="2:19" ht="13">
      <c r="B53" s="269"/>
      <c r="C53" s="283" t="s">
        <v>93</v>
      </c>
      <c r="D53" s="349"/>
      <c r="E53" s="340"/>
      <c r="F53" s="350">
        <f>E26</f>
        <v>87039506.550887138</v>
      </c>
      <c r="G53" s="340"/>
      <c r="H53" s="351"/>
      <c r="I53" s="340"/>
      <c r="J53" s="340"/>
      <c r="K53" s="340"/>
      <c r="L53" s="340"/>
      <c r="M53" s="340"/>
      <c r="N53" s="340"/>
      <c r="O53" s="340"/>
      <c r="P53" s="340"/>
      <c r="Q53" s="340"/>
    </row>
    <row r="54" spans="2:19" ht="12.75" customHeight="1">
      <c r="B54" s="269"/>
      <c r="C54" s="277" t="s">
        <v>27</v>
      </c>
      <c r="D54" s="335"/>
      <c r="E54" s="335"/>
      <c r="F54" s="352">
        <f>E37</f>
        <v>16736012.993053835</v>
      </c>
      <c r="G54" s="269"/>
      <c r="H54" s="271"/>
      <c r="I54" s="269"/>
      <c r="J54" s="272"/>
      <c r="K54" s="269"/>
      <c r="L54" s="269"/>
      <c r="M54" s="269"/>
      <c r="N54" s="269"/>
      <c r="O54" s="269"/>
      <c r="P54" s="269"/>
      <c r="Q54" s="269"/>
    </row>
    <row r="55" spans="2:19" ht="12.5">
      <c r="B55" s="269"/>
      <c r="C55" s="340" t="str">
        <f>"   Net Revenue Requirement, with "&amp;F13&amp;" Basis Point ROE increase"</f>
        <v xml:space="preserve">   Net Revenue Requirement, with 0 Basis Point ROE increase</v>
      </c>
      <c r="D55" s="270"/>
      <c r="E55" s="269"/>
      <c r="F55" s="326">
        <f>SUM(F52:F54)</f>
        <v>204190338.87996569</v>
      </c>
      <c r="G55" s="269"/>
      <c r="H55" s="271"/>
      <c r="I55" s="269"/>
      <c r="J55" s="272"/>
      <c r="K55" s="269"/>
      <c r="L55" s="269"/>
      <c r="M55" s="269"/>
      <c r="N55" s="269"/>
      <c r="O55" s="269"/>
      <c r="P55" s="269"/>
      <c r="Q55" s="269"/>
      <c r="R55" s="269"/>
      <c r="S55" s="269"/>
    </row>
    <row r="56" spans="2:19" ht="12.5">
      <c r="B56" s="269"/>
      <c r="C56" s="353" t="str">
        <f>"   Gross Margin Tax with "&amp;F13&amp;" Basis Point ROE Increase (II C. below)"</f>
        <v xml:space="preserve">   Gross Margin Tax with 0 Basis Point ROE Increase (II C. below)</v>
      </c>
      <c r="D56" s="227"/>
      <c r="E56" s="227"/>
      <c r="F56" s="354">
        <f>+F71</f>
        <v>178204.70653984975</v>
      </c>
      <c r="G56" s="269"/>
      <c r="H56" s="271"/>
      <c r="I56" s="269"/>
      <c r="J56" s="272"/>
      <c r="K56" s="269"/>
      <c r="L56" s="269"/>
      <c r="M56" s="269"/>
      <c r="N56" s="269"/>
      <c r="O56" s="269"/>
      <c r="P56" s="269"/>
      <c r="Q56" s="269"/>
      <c r="R56" s="269"/>
      <c r="S56" s="269"/>
    </row>
    <row r="57" spans="2:19" ht="12.5">
      <c r="B57" s="269"/>
      <c r="C57" s="340" t="s">
        <v>28</v>
      </c>
      <c r="D57" s="270"/>
      <c r="E57" s="269"/>
      <c r="F57" s="355">
        <f>+F55+F56</f>
        <v>204368543.58650553</v>
      </c>
      <c r="G57" s="269"/>
      <c r="H57" s="271"/>
      <c r="I57" s="269"/>
      <c r="J57" s="272"/>
      <c r="K57" s="269"/>
      <c r="L57" s="269"/>
      <c r="M57" s="269"/>
      <c r="N57" s="269"/>
      <c r="O57" s="269"/>
      <c r="P57" s="269"/>
      <c r="Q57" s="269"/>
      <c r="R57" s="269"/>
      <c r="S57" s="269"/>
    </row>
    <row r="58" spans="2:19" ht="12.5">
      <c r="B58" s="269"/>
      <c r="C58" s="277" t="str">
        <f>+S121</f>
        <v xml:space="preserve">   Less: Depreciation  (TCOS, ln 84)</v>
      </c>
      <c r="D58" s="270"/>
      <c r="E58" s="269"/>
      <c r="F58" s="356">
        <f>+R121</f>
        <v>47362741.187169746</v>
      </c>
      <c r="G58" s="269"/>
      <c r="H58" s="271"/>
      <c r="I58" s="269"/>
      <c r="J58" s="272"/>
      <c r="K58" s="269"/>
      <c r="L58" s="269"/>
      <c r="M58" s="269"/>
      <c r="N58" s="269"/>
      <c r="O58" s="269"/>
      <c r="P58" s="269"/>
      <c r="Q58" s="269"/>
      <c r="R58" s="269"/>
      <c r="S58" s="269"/>
    </row>
    <row r="59" spans="2:19" ht="12.5">
      <c r="B59" s="269"/>
      <c r="C59" s="340" t="str">
        <f>"   Net Rev. Req, w/"&amp;F13&amp;" Basis Point ROE increase, less Depreciation"</f>
        <v xml:space="preserve">   Net Rev. Req, w/0 Basis Point ROE increase, less Depreciation</v>
      </c>
      <c r="D59" s="270"/>
      <c r="E59" s="269"/>
      <c r="F59" s="326">
        <f>F57-F58</f>
        <v>157005802.3993358</v>
      </c>
      <c r="G59" s="269"/>
      <c r="H59" s="271"/>
      <c r="I59" s="269"/>
      <c r="J59" s="272"/>
      <c r="K59" s="269"/>
      <c r="L59" s="269"/>
      <c r="M59" s="269"/>
      <c r="N59" s="269"/>
      <c r="O59" s="269"/>
      <c r="P59" s="269"/>
      <c r="Q59" s="269"/>
      <c r="R59" s="269"/>
      <c r="S59" s="269"/>
    </row>
    <row r="60" spans="2:19" ht="12.5">
      <c r="B60" s="269"/>
      <c r="C60" s="269"/>
      <c r="D60" s="270"/>
      <c r="E60" s="269"/>
      <c r="F60" s="269"/>
      <c r="G60" s="269"/>
      <c r="H60" s="271"/>
      <c r="I60" s="269"/>
      <c r="J60" s="272"/>
      <c r="K60" s="269"/>
      <c r="L60" s="269"/>
      <c r="M60" s="269"/>
      <c r="N60" s="269"/>
      <c r="O60" s="269"/>
      <c r="P60" s="269"/>
      <c r="Q60" s="269" t="str">
        <f>IF(ROUND(Q59,0)=ROUND(SUM(Q18:Q58),0),"","Error -- check allocations above).")</f>
        <v/>
      </c>
      <c r="R60" s="269"/>
      <c r="S60" s="269"/>
    </row>
    <row r="61" spans="2:19" ht="15.5">
      <c r="B61" s="357"/>
      <c r="C61" s="358" t="str">
        <f>"C.   Determine Gross Margin Tax with hypothetical "&amp;F13&amp;" basis point increase in ROE."</f>
        <v>C.   Determine Gross Margin Tax with hypothetical 0 basis point increase in ROE.</v>
      </c>
      <c r="D61" s="359"/>
      <c r="E61" s="359"/>
      <c r="F61" s="360"/>
      <c r="G61" s="357"/>
      <c r="H61" s="361"/>
      <c r="I61" s="357"/>
      <c r="J61" s="272"/>
      <c r="K61" s="269"/>
      <c r="L61" s="269"/>
      <c r="M61" s="269"/>
      <c r="N61" s="269"/>
      <c r="O61" s="269"/>
      <c r="P61" s="269"/>
      <c r="Q61" s="269"/>
      <c r="R61" s="269"/>
      <c r="S61" s="269"/>
    </row>
    <row r="62" spans="2:19" ht="12.5">
      <c r="B62" s="357"/>
      <c r="C62" s="353" t="str">
        <f>"   Net Revenue Requirement before Gross Margin Taxes, with "&amp;F13&amp;" "</f>
        <v xml:space="preserve">   Net Revenue Requirement before Gross Margin Taxes, with 0 </v>
      </c>
      <c r="D62" s="359"/>
      <c r="E62" s="359"/>
      <c r="F62" s="360">
        <f>+F55</f>
        <v>204190338.87996569</v>
      </c>
      <c r="G62" s="357"/>
      <c r="H62" s="361"/>
      <c r="I62" s="357"/>
      <c r="J62" s="272"/>
      <c r="K62" s="269"/>
      <c r="L62" s="269"/>
      <c r="M62" s="269"/>
      <c r="N62" s="269"/>
      <c r="O62" s="269"/>
      <c r="P62" s="269"/>
      <c r="Q62" s="269"/>
      <c r="R62" s="269"/>
      <c r="S62" s="269"/>
    </row>
    <row r="63" spans="2:19" ht="12.5">
      <c r="B63" s="357"/>
      <c r="C63" s="353" t="s">
        <v>29</v>
      </c>
      <c r="D63" s="359"/>
      <c r="E63" s="359"/>
      <c r="F63" s="360"/>
      <c r="G63" s="357"/>
      <c r="H63" s="361"/>
      <c r="I63" s="357"/>
      <c r="J63" s="272"/>
      <c r="K63" s="269"/>
      <c r="L63" s="269"/>
      <c r="M63" s="269"/>
      <c r="N63" s="269"/>
      <c r="O63" s="269"/>
      <c r="P63" s="269"/>
      <c r="Q63" s="269"/>
      <c r="R63" s="269"/>
      <c r="S63" s="269"/>
    </row>
    <row r="64" spans="2:19" ht="12.5">
      <c r="B64" s="357"/>
      <c r="C64" s="340" t="str">
        <f>+S122</f>
        <v xml:space="preserve">       Apportionment Factor to Texas (Worksheet K, ln 12)</v>
      </c>
      <c r="D64" s="325"/>
      <c r="E64" s="357"/>
      <c r="F64" s="362">
        <f>+R122</f>
        <v>0.39634968110566327</v>
      </c>
      <c r="G64" s="357"/>
      <c r="H64" s="361"/>
      <c r="I64" s="357"/>
      <c r="J64" s="272"/>
      <c r="K64" s="269"/>
      <c r="L64" s="269"/>
      <c r="M64" s="269"/>
      <c r="N64" s="269"/>
      <c r="O64" s="269"/>
      <c r="P64" s="269"/>
      <c r="Q64" s="269"/>
      <c r="R64" s="269"/>
      <c r="S64" s="269"/>
    </row>
    <row r="65" spans="2:19" ht="12.5">
      <c r="B65" s="357"/>
      <c r="C65" s="340" t="s">
        <v>30</v>
      </c>
      <c r="D65" s="325"/>
      <c r="E65" s="357"/>
      <c r="F65" s="360">
        <f>+F62*F64</f>
        <v>80930775.699931711</v>
      </c>
      <c r="G65" s="357"/>
      <c r="H65" s="361"/>
      <c r="I65" s="357"/>
      <c r="J65" s="272"/>
      <c r="K65" s="269"/>
      <c r="L65" s="269"/>
      <c r="M65" s="269"/>
      <c r="N65" s="269"/>
      <c r="O65" s="269"/>
      <c r="P65" s="269"/>
      <c r="Q65" s="269"/>
      <c r="R65" s="269"/>
      <c r="S65" s="269"/>
    </row>
    <row r="66" spans="2:19" ht="12.5">
      <c r="B66" s="357"/>
      <c r="C66" s="340" t="s">
        <v>397</v>
      </c>
      <c r="D66" s="325"/>
      <c r="E66" s="357"/>
      <c r="F66" s="363">
        <v>0.22</v>
      </c>
      <c r="G66" s="357"/>
      <c r="H66" s="361"/>
      <c r="I66" s="357"/>
      <c r="J66" s="272"/>
      <c r="K66" s="269"/>
      <c r="L66" s="269"/>
      <c r="M66" s="269"/>
      <c r="N66" s="269"/>
      <c r="O66" s="269"/>
      <c r="P66" s="269"/>
      <c r="Q66" s="269"/>
      <c r="R66" s="269"/>
      <c r="S66" s="269"/>
    </row>
    <row r="67" spans="2:19" ht="12.5">
      <c r="B67" s="357"/>
      <c r="C67" s="340" t="s">
        <v>31</v>
      </c>
      <c r="D67" s="325"/>
      <c r="E67" s="357"/>
      <c r="F67" s="360">
        <f>+F65*F66</f>
        <v>17804770.653984975</v>
      </c>
      <c r="G67" s="357"/>
      <c r="H67" s="361"/>
      <c r="I67" s="357"/>
      <c r="J67" s="272"/>
      <c r="K67" s="269"/>
      <c r="L67" s="269"/>
      <c r="M67" s="269"/>
      <c r="N67" s="269"/>
      <c r="O67" s="269"/>
      <c r="P67" s="269"/>
      <c r="Q67" s="269"/>
      <c r="R67" s="269"/>
      <c r="S67" s="269"/>
    </row>
    <row r="68" spans="2:19" ht="12.5">
      <c r="B68" s="357"/>
      <c r="C68" s="340" t="s">
        <v>32</v>
      </c>
      <c r="D68" s="325"/>
      <c r="E68" s="357"/>
      <c r="F68" s="363">
        <v>0.01</v>
      </c>
      <c r="G68" s="357"/>
      <c r="H68" s="361"/>
      <c r="I68" s="357"/>
      <c r="J68" s="272"/>
      <c r="K68" s="269"/>
      <c r="L68" s="269"/>
      <c r="M68" s="269"/>
      <c r="N68" s="269"/>
      <c r="O68" s="269"/>
      <c r="P68" s="269"/>
      <c r="Q68" s="269"/>
      <c r="R68" s="269"/>
      <c r="S68" s="269"/>
    </row>
    <row r="69" spans="2:19" ht="12.5">
      <c r="B69" s="357"/>
      <c r="C69" s="340" t="s">
        <v>33</v>
      </c>
      <c r="D69" s="325"/>
      <c r="E69" s="357"/>
      <c r="F69" s="360">
        <f>+F67*F68</f>
        <v>178047.70653984975</v>
      </c>
      <c r="G69" s="357"/>
      <c r="H69" s="361"/>
      <c r="I69" s="357"/>
      <c r="J69" s="272"/>
      <c r="K69" s="269"/>
      <c r="L69" s="269"/>
      <c r="M69" s="269"/>
      <c r="N69" s="269"/>
      <c r="O69" s="269"/>
      <c r="P69" s="269"/>
      <c r="Q69" s="269"/>
      <c r="R69" s="269"/>
      <c r="S69" s="269"/>
    </row>
    <row r="70" spans="2:19" ht="12.5">
      <c r="B70" s="357"/>
      <c r="C70" s="340" t="s">
        <v>34</v>
      </c>
      <c r="D70" s="325"/>
      <c r="E70" s="357"/>
      <c r="F70" s="364">
        <f>+ROUND((F69*F66*F64)/(1-F68)*F68,0)</f>
        <v>157</v>
      </c>
      <c r="G70" s="357"/>
      <c r="H70" s="361"/>
      <c r="I70" s="357"/>
      <c r="J70" s="272"/>
      <c r="K70" s="269"/>
      <c r="L70" s="269"/>
      <c r="M70" s="269"/>
      <c r="N70" s="269"/>
      <c r="O70" s="269"/>
      <c r="P70" s="269"/>
      <c r="Q70" s="269"/>
      <c r="R70" s="269"/>
      <c r="S70" s="269"/>
    </row>
    <row r="71" spans="2:19" ht="12.5">
      <c r="B71" s="357"/>
      <c r="C71" s="340" t="s">
        <v>35</v>
      </c>
      <c r="D71" s="325"/>
      <c r="E71" s="357"/>
      <c r="F71" s="360">
        <f>+F69+F70</f>
        <v>178204.70653984975</v>
      </c>
      <c r="G71" s="357"/>
      <c r="H71" s="361"/>
      <c r="I71" s="357"/>
      <c r="J71" s="272"/>
      <c r="K71" s="269"/>
      <c r="L71" s="269"/>
      <c r="M71" s="269"/>
      <c r="N71" s="269"/>
      <c r="O71" s="269"/>
      <c r="P71" s="269"/>
      <c r="Q71" s="269"/>
      <c r="R71" s="269"/>
      <c r="S71" s="269"/>
    </row>
    <row r="72" spans="2:19" ht="12.5">
      <c r="B72" s="269"/>
      <c r="C72" s="269"/>
      <c r="D72" s="270"/>
      <c r="E72" s="269"/>
      <c r="F72" s="269"/>
      <c r="G72" s="269"/>
      <c r="H72" s="271"/>
      <c r="I72" s="269"/>
      <c r="J72" s="272"/>
      <c r="K72" s="269"/>
      <c r="L72" s="269"/>
      <c r="M72" s="269"/>
      <c r="N72" s="269"/>
      <c r="O72" s="269"/>
      <c r="P72" s="269"/>
      <c r="Q72" s="269"/>
      <c r="R72" s="269"/>
      <c r="S72" s="269"/>
    </row>
    <row r="73" spans="2:19" ht="15.5">
      <c r="B73" s="269"/>
      <c r="C73" s="274" t="str">
        <f>"D.   Determine FCR with hypothetical "&amp;F13&amp;" basis point ROE increase."</f>
        <v>D.   Determine FCR with hypothetical 0 basis point ROE increase.</v>
      </c>
      <c r="D73" s="270"/>
      <c r="E73" s="269"/>
      <c r="F73" s="269"/>
      <c r="G73" s="269"/>
      <c r="H73" s="271"/>
      <c r="I73" s="269"/>
      <c r="J73" s="272"/>
      <c r="K73" s="269"/>
      <c r="L73" s="269"/>
      <c r="M73" s="269"/>
      <c r="N73" s="269"/>
      <c r="O73" s="269"/>
      <c r="P73" s="269"/>
      <c r="Q73" s="269"/>
      <c r="R73" s="269"/>
      <c r="S73" s="269"/>
    </row>
    <row r="74" spans="2:19" ht="12.5">
      <c r="B74" s="269"/>
      <c r="C74" s="269"/>
      <c r="D74" s="270"/>
      <c r="E74" s="269"/>
      <c r="F74" s="269"/>
      <c r="G74" s="269"/>
      <c r="H74" s="271"/>
      <c r="I74" s="269"/>
      <c r="J74" s="272"/>
      <c r="K74" s="269"/>
      <c r="L74" s="269"/>
      <c r="M74" s="269"/>
      <c r="N74" s="269"/>
      <c r="O74" s="269"/>
      <c r="P74" s="269"/>
      <c r="Q74" s="269"/>
      <c r="R74" s="269"/>
      <c r="S74" s="269"/>
    </row>
    <row r="75" spans="2:19" ht="12.5">
      <c r="B75" s="269"/>
      <c r="C75" s="277" t="str">
        <f>+S123</f>
        <v xml:space="preserve">   Net Transmission Plant  (TCOS, ln 37)</v>
      </c>
      <c r="D75" s="270"/>
      <c r="E75" s="269"/>
      <c r="F75" s="326">
        <f>+R123</f>
        <v>1468949118.9994586</v>
      </c>
      <c r="G75" s="275"/>
      <c r="H75" s="247"/>
      <c r="J75" s="233"/>
      <c r="P75" s="269"/>
      <c r="Q75" s="269"/>
      <c r="R75" s="269"/>
      <c r="S75" s="269"/>
    </row>
    <row r="76" spans="2:19" ht="12.5">
      <c r="B76" s="269"/>
      <c r="C76" s="340" t="str">
        <f>"   Net Revenue Requirement, with "&amp;F13&amp;" Basis Point ROE increase"</f>
        <v xml:space="preserve">   Net Revenue Requirement, with 0 Basis Point ROE increase</v>
      </c>
      <c r="D76" s="270"/>
      <c r="E76" s="269"/>
      <c r="F76" s="365">
        <f>F55</f>
        <v>204190338.87996569</v>
      </c>
      <c r="H76" s="247"/>
      <c r="J76" s="233"/>
      <c r="P76" s="269"/>
      <c r="Q76" s="269"/>
      <c r="R76" s="269"/>
      <c r="S76" s="269"/>
    </row>
    <row r="77" spans="2:19" ht="12.5">
      <c r="B77" s="269"/>
      <c r="C77" s="340" t="str">
        <f>"   FCR with "&amp;F13&amp;" Basis Point increase in ROE"</f>
        <v xml:space="preserve">   FCR with 0 Basis Point increase in ROE</v>
      </c>
      <c r="D77" s="270"/>
      <c r="E77" s="269"/>
      <c r="F77" s="366">
        <f>IF(F75=0,0,F76/F75)</f>
        <v>0.13900436457529947</v>
      </c>
      <c r="H77" s="247"/>
      <c r="J77" s="233"/>
      <c r="P77" s="269"/>
      <c r="Q77" s="269"/>
      <c r="R77" s="269"/>
      <c r="S77" s="269"/>
    </row>
    <row r="78" spans="2:19" ht="12.5">
      <c r="B78" s="269"/>
      <c r="D78" s="270"/>
      <c r="E78" s="269"/>
      <c r="F78" s="357"/>
      <c r="H78" s="247"/>
      <c r="J78" s="233"/>
      <c r="P78" s="269"/>
      <c r="Q78" s="269"/>
      <c r="R78" s="269"/>
      <c r="S78" s="269"/>
    </row>
    <row r="79" spans="2:19" ht="12.5">
      <c r="B79" s="269"/>
      <c r="C79" s="340" t="str">
        <f>"   Net Rev. Req, w / "&amp;F13&amp;" Basis Point ROE increase, less Dep."</f>
        <v xml:space="preserve">   Net Rev. Req, w / 0 Basis Point ROE increase, less Dep.</v>
      </c>
      <c r="D79" s="270"/>
      <c r="E79" s="269"/>
      <c r="F79" s="326">
        <f>F59</f>
        <v>157005802.3993358</v>
      </c>
      <c r="G79" s="275"/>
      <c r="H79" s="247"/>
      <c r="J79" s="233"/>
      <c r="P79" s="269"/>
      <c r="Q79" s="269"/>
      <c r="R79" s="269"/>
      <c r="S79" s="269"/>
    </row>
    <row r="80" spans="2:19" ht="12.5">
      <c r="B80" s="269"/>
      <c r="C80" s="340" t="str">
        <f>"   FCR with "&amp;F13&amp;" Basis Point ROE increase, less Depreciation"</f>
        <v xml:space="preserve">   FCR with 0 Basis Point ROE increase, less Depreciation</v>
      </c>
      <c r="D80" s="270"/>
      <c r="E80" s="269"/>
      <c r="F80" s="366">
        <f>IF(F75=0,0,F79/F75)</f>
        <v>0.10688307741133794</v>
      </c>
      <c r="G80" s="366"/>
      <c r="H80" s="247"/>
      <c r="J80" s="233"/>
      <c r="P80" s="269"/>
      <c r="Q80" s="269"/>
      <c r="R80" s="269"/>
      <c r="S80" s="269"/>
    </row>
    <row r="81" spans="2:19" ht="12.5">
      <c r="B81" s="269"/>
      <c r="C81" s="277" t="str">
        <f>+S124</f>
        <v xml:space="preserve">   FCR less Depreciation  (TCOS, ln 10)</v>
      </c>
      <c r="D81" s="270"/>
      <c r="E81" s="269"/>
      <c r="F81" s="367">
        <f>+R124</f>
        <v>0.10681797376050146</v>
      </c>
      <c r="H81" s="247"/>
      <c r="J81" s="233"/>
      <c r="P81" s="269"/>
      <c r="Q81" s="269"/>
      <c r="R81" s="269"/>
      <c r="S81" s="269"/>
    </row>
    <row r="82" spans="2:19" ht="12.5">
      <c r="B82" s="269"/>
      <c r="C82" s="676" t="str">
        <f>"   Incremental FCR with "&amp;F13&amp;" Basis Point ROE increase, less Depreciation"</f>
        <v xml:space="preserve">   Incremental FCR with 0 Basis Point ROE increase, less Depreciation</v>
      </c>
      <c r="D82" s="675"/>
      <c r="E82" s="675"/>
      <c r="F82" s="366">
        <f>F80-F81</f>
        <v>6.5103650836478844E-5</v>
      </c>
      <c r="H82" s="247"/>
      <c r="J82" s="233"/>
      <c r="P82" s="269"/>
      <c r="Q82" s="269"/>
      <c r="R82" s="269"/>
      <c r="S82" s="269"/>
    </row>
    <row r="83" spans="2:19" ht="12.5">
      <c r="B83" s="269"/>
      <c r="C83" s="675"/>
      <c r="D83" s="675"/>
      <c r="E83" s="675"/>
      <c r="F83" s="366"/>
      <c r="G83" s="269"/>
      <c r="H83" s="271"/>
      <c r="I83" s="269"/>
      <c r="J83" s="272"/>
      <c r="K83" s="269"/>
      <c r="L83" s="269"/>
      <c r="M83" s="269"/>
      <c r="N83" s="269"/>
      <c r="O83" s="269"/>
      <c r="P83" s="269"/>
      <c r="Q83" s="269"/>
      <c r="R83" s="269"/>
      <c r="S83" s="269"/>
    </row>
    <row r="84" spans="2:19" ht="18">
      <c r="B84" s="273" t="s">
        <v>36</v>
      </c>
      <c r="C84" s="332" t="s">
        <v>37</v>
      </c>
      <c r="D84" s="270"/>
      <c r="E84" s="269"/>
      <c r="F84" s="366"/>
      <c r="G84" s="269"/>
      <c r="H84" s="271"/>
      <c r="I84" s="269"/>
      <c r="J84" s="272"/>
      <c r="K84" s="269"/>
      <c r="L84" s="269"/>
      <c r="M84" s="269"/>
      <c r="N84" s="269"/>
      <c r="O84" s="269"/>
      <c r="P84" s="269"/>
      <c r="Q84" s="269"/>
      <c r="R84" s="269"/>
      <c r="S84" s="269"/>
    </row>
    <row r="85" spans="2:19" ht="12.75" customHeight="1">
      <c r="B85" s="273"/>
      <c r="C85" s="332"/>
      <c r="D85" s="270"/>
      <c r="E85" s="269"/>
      <c r="F85" s="366"/>
      <c r="G85" s="269"/>
      <c r="H85" s="271"/>
      <c r="I85" s="269"/>
      <c r="J85" s="272"/>
      <c r="K85" s="269"/>
      <c r="L85" s="269"/>
      <c r="M85" s="269"/>
      <c r="N85" s="269"/>
      <c r="O85" s="269"/>
      <c r="P85" s="269"/>
      <c r="Q85" s="269"/>
      <c r="R85" s="269"/>
      <c r="S85" s="269"/>
    </row>
    <row r="86" spans="2:19" ht="12.75" customHeight="1">
      <c r="B86" s="273"/>
      <c r="C86" s="340" t="s">
        <v>38</v>
      </c>
      <c r="D86" s="270"/>
      <c r="F86" s="361">
        <f>+R125</f>
        <v>2061458796</v>
      </c>
      <c r="G86" s="269" t="s">
        <v>39</v>
      </c>
      <c r="H86" s="271"/>
      <c r="I86" s="269"/>
      <c r="J86" s="272"/>
      <c r="K86" s="269"/>
      <c r="L86" s="269"/>
      <c r="M86" s="269"/>
      <c r="N86" s="269"/>
      <c r="O86" s="269"/>
      <c r="P86" s="269"/>
      <c r="Q86" s="269"/>
      <c r="R86" s="269"/>
      <c r="S86" s="269"/>
    </row>
    <row r="87" spans="2:19" ht="12.75" customHeight="1">
      <c r="B87" s="273"/>
      <c r="C87" s="340" t="s">
        <v>40</v>
      </c>
      <c r="D87" s="270"/>
      <c r="F87" s="368">
        <f>R126</f>
        <v>2172102538</v>
      </c>
      <c r="G87" s="269" t="s">
        <v>39</v>
      </c>
      <c r="H87" s="271"/>
      <c r="I87" s="269"/>
      <c r="J87" s="272"/>
      <c r="K87" s="269"/>
      <c r="L87" s="269"/>
      <c r="M87" s="269"/>
      <c r="N87" s="269"/>
      <c r="O87" s="269"/>
      <c r="P87" s="269"/>
      <c r="Q87" s="269"/>
      <c r="R87" s="269"/>
      <c r="S87" s="269"/>
    </row>
    <row r="88" spans="2:19" ht="12.5">
      <c r="B88" s="269"/>
      <c r="C88" s="340"/>
      <c r="D88" s="270"/>
      <c r="F88" s="271">
        <f>+F87+F86</f>
        <v>4233561334</v>
      </c>
      <c r="G88" s="326"/>
      <c r="H88" s="271"/>
      <c r="I88" s="269"/>
      <c r="J88" s="272"/>
      <c r="K88" s="269"/>
      <c r="L88" s="269"/>
      <c r="M88" s="269"/>
      <c r="N88" s="269"/>
      <c r="O88" s="269"/>
      <c r="P88" s="269"/>
      <c r="Q88" s="269"/>
      <c r="R88" s="269"/>
      <c r="S88" s="269"/>
    </row>
    <row r="89" spans="2:19" ht="12.5">
      <c r="B89" s="269"/>
      <c r="C89" s="340" t="str">
        <f>S127</f>
        <v xml:space="preserve">Transmission Plant Average Balance for 2017 </v>
      </c>
      <c r="D89" s="325"/>
      <c r="E89" s="191"/>
      <c r="F89" s="351">
        <f>+F88/2</f>
        <v>2116780667</v>
      </c>
      <c r="G89" s="369"/>
      <c r="H89" s="271"/>
      <c r="I89" s="269"/>
      <c r="J89" s="272"/>
      <c r="K89" s="269"/>
      <c r="L89" s="269"/>
      <c r="M89" s="269"/>
      <c r="N89" s="269"/>
      <c r="O89" s="269"/>
      <c r="P89" s="269"/>
      <c r="Q89" s="269"/>
      <c r="R89" s="269"/>
      <c r="S89" s="269"/>
    </row>
    <row r="90" spans="2:19" ht="12.5">
      <c r="B90" s="269"/>
      <c r="C90" s="277" t="str">
        <f>S128</f>
        <v>Annual Depreciation Expense  (Historic TCOS, ln 244)</v>
      </c>
      <c r="D90" s="325"/>
      <c r="E90" s="357"/>
      <c r="F90" s="351">
        <f>R128</f>
        <v>49850982</v>
      </c>
      <c r="G90" s="269"/>
      <c r="H90" s="271"/>
      <c r="I90" s="269"/>
      <c r="J90" s="272"/>
      <c r="K90" s="269"/>
      <c r="L90" s="269"/>
      <c r="M90" s="269"/>
      <c r="N90" s="269"/>
      <c r="O90" s="269"/>
      <c r="P90" s="269"/>
      <c r="Q90" s="269"/>
      <c r="R90" s="269"/>
      <c r="S90" s="269"/>
    </row>
    <row r="91" spans="2:19" ht="12.5">
      <c r="B91" s="269"/>
      <c r="C91" s="340" t="s">
        <v>41</v>
      </c>
      <c r="D91" s="270"/>
      <c r="E91" s="269"/>
      <c r="F91" s="366">
        <f>IF(F89=0,0,F90/F89)</f>
        <v>2.3550376653170748E-2</v>
      </c>
      <c r="G91" s="269"/>
      <c r="H91" s="370"/>
      <c r="I91" s="269"/>
      <c r="J91" s="272"/>
      <c r="K91" s="269"/>
      <c r="L91" s="269"/>
      <c r="M91" s="269"/>
      <c r="N91" s="269"/>
      <c r="O91" s="269"/>
      <c r="P91" s="269"/>
      <c r="Q91" s="269"/>
      <c r="R91" s="269"/>
      <c r="S91" s="269"/>
    </row>
    <row r="92" spans="2:19" ht="12.5">
      <c r="B92" s="269"/>
      <c r="C92" s="340" t="s">
        <v>42</v>
      </c>
      <c r="D92" s="270"/>
      <c r="E92" s="269"/>
      <c r="F92" s="371">
        <f>IF(F91=0,0,1/F91)</f>
        <v>42.462165880704212</v>
      </c>
      <c r="H92" s="271"/>
      <c r="I92" s="269"/>
      <c r="J92" s="272"/>
      <c r="K92" s="269"/>
      <c r="L92" s="269"/>
      <c r="M92" s="269"/>
      <c r="N92" s="269"/>
      <c r="O92" s="269"/>
      <c r="P92" s="269"/>
      <c r="Q92" s="269"/>
      <c r="R92" s="269"/>
      <c r="S92" s="269"/>
    </row>
    <row r="93" spans="2:19" ht="12.5">
      <c r="B93" s="269"/>
      <c r="C93" s="340" t="s">
        <v>43</v>
      </c>
      <c r="D93" s="270"/>
      <c r="E93" s="269"/>
      <c r="F93" s="372">
        <f>ROUND(F92,0)</f>
        <v>42</v>
      </c>
      <c r="G93" s="269"/>
      <c r="H93" s="271"/>
      <c r="I93" s="269"/>
      <c r="J93" s="272"/>
      <c r="K93" s="269"/>
      <c r="L93" s="269"/>
      <c r="M93" s="269"/>
      <c r="N93" s="269"/>
      <c r="O93" s="269"/>
      <c r="P93" s="269"/>
      <c r="Q93" s="269"/>
      <c r="R93" s="269"/>
      <c r="S93" s="269"/>
    </row>
    <row r="94" spans="2:19" ht="12.5">
      <c r="C94" s="373"/>
      <c r="D94" s="374"/>
      <c r="E94" s="374"/>
      <c r="F94" s="374"/>
      <c r="G94" s="375"/>
      <c r="H94" s="375"/>
      <c r="I94" s="376"/>
      <c r="J94" s="376"/>
      <c r="K94" s="376"/>
      <c r="L94" s="376"/>
      <c r="M94" s="376"/>
      <c r="N94" s="376"/>
      <c r="O94" s="272"/>
      <c r="P94" s="272"/>
      <c r="Q94" s="269"/>
      <c r="R94" s="269"/>
      <c r="S94" s="269"/>
    </row>
    <row r="95" spans="2:19" ht="12.5">
      <c r="C95" s="373"/>
      <c r="D95" s="374"/>
      <c r="E95" s="374"/>
      <c r="F95" s="374"/>
      <c r="G95" s="375"/>
      <c r="H95" s="375"/>
      <c r="I95" s="376"/>
      <c r="J95" s="376"/>
      <c r="K95" s="376"/>
      <c r="L95" s="376"/>
      <c r="M95" s="376"/>
      <c r="N95" s="376"/>
      <c r="O95" s="272"/>
      <c r="P95" s="272"/>
      <c r="Q95" s="269"/>
      <c r="R95" s="269"/>
      <c r="S95" s="269"/>
    </row>
    <row r="96" spans="2:19" ht="12.5">
      <c r="J96" s="233"/>
      <c r="P96" s="269"/>
      <c r="Q96" s="269"/>
      <c r="R96" s="269"/>
      <c r="S96" s="269"/>
    </row>
    <row r="97" spans="3:19" ht="13">
      <c r="J97" s="233"/>
      <c r="P97" s="269"/>
      <c r="Q97" s="269"/>
      <c r="R97" s="377" t="s">
        <v>112</v>
      </c>
      <c r="S97" s="183" t="s">
        <v>113</v>
      </c>
    </row>
    <row r="98" spans="3:19" ht="12.5">
      <c r="J98" s="233"/>
      <c r="P98" s="269"/>
      <c r="Q98" s="269"/>
    </row>
    <row r="99" spans="3:19" ht="13">
      <c r="C99" s="267" t="s">
        <v>109</v>
      </c>
      <c r="J99" s="233"/>
      <c r="L99" s="267" t="s">
        <v>108</v>
      </c>
      <c r="P99" s="269"/>
      <c r="Q99" s="269"/>
    </row>
    <row r="100" spans="3:19" ht="12.5">
      <c r="J100" s="233"/>
      <c r="P100" s="269"/>
      <c r="Q100" s="269"/>
      <c r="S100" s="262" t="s">
        <v>106</v>
      </c>
    </row>
    <row r="101" spans="3:19" ht="13">
      <c r="J101" s="233"/>
      <c r="P101" s="269"/>
      <c r="Q101" s="269"/>
      <c r="R101" s="377" t="s">
        <v>103</v>
      </c>
      <c r="S101" s="236" t="s">
        <v>107</v>
      </c>
    </row>
    <row r="102" spans="3:19" ht="13.5" thickBot="1">
      <c r="J102" s="233"/>
      <c r="P102" s="269"/>
      <c r="Q102" s="269"/>
      <c r="R102" s="378" t="s">
        <v>137</v>
      </c>
    </row>
    <row r="103" spans="3:19" ht="12.5">
      <c r="J103" s="233"/>
      <c r="P103" s="269"/>
      <c r="Q103" s="269"/>
      <c r="R103" s="379" t="s">
        <v>398</v>
      </c>
      <c r="S103" s="380" t="s">
        <v>127</v>
      </c>
    </row>
    <row r="104" spans="3:19" ht="12.5">
      <c r="J104" s="233"/>
      <c r="P104" s="269"/>
      <c r="Q104" s="269"/>
      <c r="R104" s="381">
        <v>2020</v>
      </c>
      <c r="S104" s="382" t="s">
        <v>14</v>
      </c>
    </row>
    <row r="105" spans="3:19" ht="12.5">
      <c r="J105" s="233"/>
      <c r="P105" s="269"/>
      <c r="Q105" s="269"/>
      <c r="R105" s="383">
        <v>0.105</v>
      </c>
      <c r="S105" s="382" t="s">
        <v>439</v>
      </c>
    </row>
    <row r="106" spans="3:19" ht="12.5">
      <c r="J106" s="233"/>
      <c r="P106" s="269"/>
      <c r="Q106" s="269"/>
      <c r="R106" s="384">
        <v>0</v>
      </c>
      <c r="S106" s="382" t="s">
        <v>1</v>
      </c>
    </row>
    <row r="107" spans="3:19" ht="12.5">
      <c r="J107" s="233"/>
      <c r="P107" s="269"/>
      <c r="Q107" s="269"/>
      <c r="R107" s="383">
        <v>0.50670946853051035</v>
      </c>
      <c r="S107" s="385" t="s">
        <v>98</v>
      </c>
    </row>
    <row r="108" spans="3:19" ht="12.5">
      <c r="J108" s="233"/>
      <c r="P108" s="269"/>
      <c r="Q108" s="269"/>
      <c r="R108" s="386">
        <v>4.1467141232114368E-2</v>
      </c>
      <c r="S108" s="385" t="s">
        <v>99</v>
      </c>
    </row>
    <row r="109" spans="3:19" ht="12.5">
      <c r="J109" s="233"/>
      <c r="P109" s="269"/>
      <c r="Q109" s="269"/>
      <c r="R109" s="383">
        <v>0</v>
      </c>
      <c r="S109" s="385" t="s">
        <v>100</v>
      </c>
    </row>
    <row r="110" spans="3:19" ht="12.5">
      <c r="J110" s="233"/>
      <c r="P110" s="269"/>
      <c r="Q110" s="269"/>
      <c r="R110" s="386">
        <v>0</v>
      </c>
      <c r="S110" s="385" t="s">
        <v>101</v>
      </c>
    </row>
    <row r="111" spans="3:19" ht="12.5">
      <c r="J111" s="233"/>
      <c r="P111" s="269"/>
      <c r="Q111" s="269"/>
      <c r="R111" s="383">
        <v>0.4932905314694897</v>
      </c>
      <c r="S111" s="387" t="s">
        <v>102</v>
      </c>
    </row>
    <row r="112" spans="3:19" ht="12.5">
      <c r="J112" s="233"/>
      <c r="P112" s="269"/>
      <c r="Q112" s="269"/>
      <c r="R112" s="388">
        <v>1195477759.3250892</v>
      </c>
      <c r="S112" s="389" t="s">
        <v>445</v>
      </c>
    </row>
    <row r="113" spans="3:19" ht="12.5">
      <c r="J113" s="233"/>
      <c r="P113" s="269"/>
      <c r="Q113" s="269"/>
      <c r="R113" s="390">
        <v>0.249421</v>
      </c>
      <c r="S113" s="391" t="s">
        <v>446</v>
      </c>
    </row>
    <row r="114" spans="3:19" ht="12.5">
      <c r="J114" s="233"/>
      <c r="P114" s="269"/>
      <c r="Q114" s="269"/>
      <c r="R114" s="392">
        <v>-361613.38372186676</v>
      </c>
      <c r="S114" s="391" t="s">
        <v>447</v>
      </c>
    </row>
    <row r="115" spans="3:19" ht="12.5">
      <c r="J115" s="233"/>
      <c r="P115" s="269"/>
      <c r="Q115" s="269"/>
      <c r="R115" s="392">
        <v>-3813733.3178785983</v>
      </c>
      <c r="S115" s="391" t="s">
        <v>448</v>
      </c>
    </row>
    <row r="116" spans="3:19" ht="12.5">
      <c r="J116" s="233"/>
      <c r="P116" s="269"/>
      <c r="Q116" s="269"/>
      <c r="R116" s="392">
        <v>334922.16009240871</v>
      </c>
      <c r="S116" s="391" t="s">
        <v>449</v>
      </c>
    </row>
    <row r="117" spans="3:19" ht="12.5">
      <c r="C117" s="269"/>
      <c r="D117" s="270"/>
      <c r="E117" s="269"/>
      <c r="F117" s="269"/>
      <c r="G117" s="269"/>
      <c r="H117" s="271"/>
      <c r="I117" s="269"/>
      <c r="J117" s="272"/>
      <c r="K117" s="269"/>
      <c r="L117" s="269"/>
      <c r="M117" s="269"/>
      <c r="N117" s="269"/>
      <c r="P117" s="269"/>
      <c r="Q117" s="269"/>
      <c r="R117" s="392">
        <v>204272909.63596568</v>
      </c>
      <c r="S117" s="391" t="s">
        <v>450</v>
      </c>
    </row>
    <row r="118" spans="3:19" ht="12.5">
      <c r="C118" s="269"/>
      <c r="D118" s="270"/>
      <c r="E118" s="269"/>
      <c r="F118" s="269"/>
      <c r="G118" s="269"/>
      <c r="H118" s="271"/>
      <c r="I118" s="269"/>
      <c r="J118" s="272"/>
      <c r="K118" s="269"/>
      <c r="L118" s="269"/>
      <c r="M118" s="269"/>
      <c r="N118" s="269"/>
      <c r="P118" s="269"/>
      <c r="Q118" s="269"/>
      <c r="R118" s="392">
        <v>87039506.550887138</v>
      </c>
      <c r="S118" s="391" t="s">
        <v>451</v>
      </c>
    </row>
    <row r="119" spans="3:19" ht="12.5">
      <c r="C119" s="269"/>
      <c r="D119" s="270"/>
      <c r="E119" s="269"/>
      <c r="F119" s="269"/>
      <c r="G119" s="269"/>
      <c r="H119" s="271"/>
      <c r="I119" s="269"/>
      <c r="J119" s="272"/>
      <c r="K119" s="269"/>
      <c r="L119" s="269"/>
      <c r="M119" s="269"/>
      <c r="N119" s="269"/>
      <c r="P119" s="269"/>
      <c r="Q119" s="269"/>
      <c r="R119" s="392">
        <v>16736012.993053835</v>
      </c>
      <c r="S119" s="391" t="s">
        <v>452</v>
      </c>
    </row>
    <row r="120" spans="3:19" ht="12.5">
      <c r="C120" s="269"/>
      <c r="D120" s="270"/>
      <c r="E120" s="269"/>
      <c r="F120" s="269"/>
      <c r="G120" s="269"/>
      <c r="H120" s="271"/>
      <c r="I120" s="269"/>
      <c r="J120" s="272"/>
      <c r="K120" s="269"/>
      <c r="L120" s="269"/>
      <c r="M120" s="269"/>
      <c r="N120" s="269"/>
      <c r="P120" s="269"/>
      <c r="Q120" s="269"/>
      <c r="R120" s="392">
        <v>82570.755999953792</v>
      </c>
      <c r="S120" s="391" t="s">
        <v>453</v>
      </c>
    </row>
    <row r="121" spans="3:19" ht="12.5">
      <c r="C121" s="269"/>
      <c r="D121" s="270"/>
      <c r="E121" s="269"/>
      <c r="F121" s="269"/>
      <c r="G121" s="269"/>
      <c r="H121" s="271"/>
      <c r="I121" s="269"/>
      <c r="J121" s="272"/>
      <c r="K121" s="269"/>
      <c r="L121" s="269"/>
      <c r="M121" s="269"/>
      <c r="N121" s="269"/>
      <c r="P121" s="269"/>
      <c r="Q121" s="269"/>
      <c r="R121" s="392">
        <v>47362741.187169746</v>
      </c>
      <c r="S121" s="391" t="s">
        <v>454</v>
      </c>
    </row>
    <row r="122" spans="3:19" ht="12.5">
      <c r="C122" s="269"/>
      <c r="D122" s="270"/>
      <c r="E122" s="269"/>
      <c r="F122" s="269"/>
      <c r="G122" s="269"/>
      <c r="H122" s="271"/>
      <c r="I122" s="269"/>
      <c r="J122" s="272"/>
      <c r="K122" s="269"/>
      <c r="L122" s="269"/>
      <c r="M122" s="269"/>
      <c r="N122" s="269"/>
      <c r="P122" s="269"/>
      <c r="Q122" s="269"/>
      <c r="R122" s="390">
        <v>0.39634968110566327</v>
      </c>
      <c r="S122" s="391" t="s">
        <v>105</v>
      </c>
    </row>
    <row r="123" spans="3:19" ht="12.5">
      <c r="C123" s="269"/>
      <c r="D123" s="270"/>
      <c r="E123" s="269"/>
      <c r="F123" s="269"/>
      <c r="G123" s="269"/>
      <c r="H123" s="271"/>
      <c r="I123" s="269"/>
      <c r="J123" s="272"/>
      <c r="K123" s="269"/>
      <c r="L123" s="269"/>
      <c r="M123" s="269"/>
      <c r="N123" s="269"/>
      <c r="P123" s="269"/>
      <c r="Q123" s="269"/>
      <c r="R123" s="392">
        <v>1468949118.9994586</v>
      </c>
      <c r="S123" s="391" t="s">
        <v>455</v>
      </c>
    </row>
    <row r="124" spans="3:19" ht="12.5">
      <c r="C124" s="269"/>
      <c r="D124" s="270"/>
      <c r="E124" s="269"/>
      <c r="F124" s="269"/>
      <c r="G124" s="269"/>
      <c r="H124" s="271"/>
      <c r="I124" s="269"/>
      <c r="J124" s="272"/>
      <c r="K124" s="269"/>
      <c r="L124" s="269"/>
      <c r="M124" s="269"/>
      <c r="N124" s="269"/>
      <c r="P124" s="269"/>
      <c r="Q124" s="269"/>
      <c r="R124" s="665">
        <v>0.10681797376050146</v>
      </c>
      <c r="S124" s="393" t="s">
        <v>456</v>
      </c>
    </row>
    <row r="125" spans="3:19" ht="12.5">
      <c r="C125" s="269"/>
      <c r="D125" s="270"/>
      <c r="E125" s="269"/>
      <c r="F125" s="269"/>
      <c r="G125" s="269"/>
      <c r="H125" s="271"/>
      <c r="I125" s="269"/>
      <c r="J125" s="272"/>
      <c r="K125" s="269"/>
      <c r="L125" s="269"/>
      <c r="M125" s="269"/>
      <c r="N125" s="269"/>
      <c r="P125" s="269"/>
      <c r="Q125" s="269"/>
      <c r="R125" s="394">
        <v>2061458796</v>
      </c>
      <c r="S125" s="385" t="s">
        <v>38</v>
      </c>
    </row>
    <row r="126" spans="3:19" ht="12.5">
      <c r="C126" s="269"/>
      <c r="D126" s="270"/>
      <c r="E126" s="269"/>
      <c r="F126" s="269"/>
      <c r="G126" s="269"/>
      <c r="H126" s="271"/>
      <c r="I126" s="269"/>
      <c r="J126" s="272"/>
      <c r="K126" s="269"/>
      <c r="L126" s="269"/>
      <c r="M126" s="269"/>
      <c r="N126" s="269"/>
      <c r="P126" s="269"/>
      <c r="Q126" s="269"/>
      <c r="R126" s="394">
        <v>2172102538</v>
      </c>
      <c r="S126" s="387" t="s">
        <v>40</v>
      </c>
    </row>
    <row r="127" spans="3:19" ht="12.5">
      <c r="C127" s="269"/>
      <c r="D127" s="270"/>
      <c r="E127" s="269"/>
      <c r="F127" s="269"/>
      <c r="G127" s="269"/>
      <c r="H127" s="271"/>
      <c r="I127" s="269"/>
      <c r="J127" s="272"/>
      <c r="K127" s="269"/>
      <c r="L127" s="269"/>
      <c r="M127" s="269"/>
      <c r="N127" s="269"/>
      <c r="P127" s="269"/>
      <c r="Q127" s="269"/>
      <c r="R127" s="394">
        <v>2101872773.1538463</v>
      </c>
      <c r="S127" s="395" t="s">
        <v>438</v>
      </c>
    </row>
    <row r="128" spans="3:19" ht="13" thickBot="1">
      <c r="C128" s="269"/>
      <c r="D128" s="270"/>
      <c r="E128" s="269"/>
      <c r="F128" s="269"/>
      <c r="G128" s="269"/>
      <c r="H128" s="271"/>
      <c r="I128" s="269"/>
      <c r="J128" s="272"/>
      <c r="K128" s="269"/>
      <c r="L128" s="269"/>
      <c r="M128" s="269"/>
      <c r="N128" s="269"/>
      <c r="P128" s="269"/>
      <c r="Q128" s="269"/>
      <c r="R128" s="396">
        <v>49850982</v>
      </c>
      <c r="S128" s="397" t="s">
        <v>440</v>
      </c>
    </row>
    <row r="129" spans="3:19" ht="12.5">
      <c r="C129" s="269"/>
      <c r="D129" s="270"/>
      <c r="E129" s="269"/>
      <c r="F129" s="269"/>
      <c r="G129" s="269"/>
      <c r="H129" s="271"/>
      <c r="I129" s="269"/>
      <c r="J129" s="272"/>
      <c r="K129" s="269"/>
      <c r="L129" s="269"/>
      <c r="M129" s="269"/>
      <c r="N129" s="269"/>
      <c r="P129" s="269"/>
      <c r="Q129" s="269"/>
      <c r="R129" s="269"/>
      <c r="S129" s="269"/>
    </row>
    <row r="130" spans="3:19" ht="13">
      <c r="C130" s="269"/>
      <c r="D130" s="270"/>
      <c r="E130" s="269"/>
      <c r="F130" s="269"/>
      <c r="G130" s="269"/>
      <c r="H130" s="271"/>
      <c r="I130" s="269"/>
      <c r="J130" s="272"/>
      <c r="K130" s="269"/>
      <c r="L130" s="269"/>
      <c r="M130" s="269"/>
      <c r="N130" s="269"/>
      <c r="P130" s="269"/>
      <c r="Q130" s="269"/>
      <c r="R130" s="377" t="s">
        <v>104</v>
      </c>
      <c r="S130" s="269" t="s">
        <v>116</v>
      </c>
    </row>
    <row r="131" spans="3:19" ht="13.5" thickBot="1">
      <c r="C131" s="340"/>
      <c r="D131" s="349"/>
      <c r="E131" s="340"/>
      <c r="F131" s="340"/>
      <c r="G131" s="340"/>
      <c r="H131" s="351"/>
      <c r="I131" s="269"/>
      <c r="J131" s="272"/>
      <c r="K131" s="269"/>
      <c r="L131" s="269"/>
      <c r="M131" s="269"/>
      <c r="N131" s="269"/>
      <c r="P131" s="269"/>
      <c r="Q131" s="269"/>
      <c r="R131" s="378" t="s">
        <v>136</v>
      </c>
      <c r="S131" s="269"/>
    </row>
    <row r="132" spans="3:19" ht="12.5">
      <c r="C132" s="340"/>
      <c r="D132" s="349"/>
      <c r="E132" s="340"/>
      <c r="F132" s="340"/>
      <c r="G132" s="340"/>
      <c r="H132" s="351"/>
      <c r="I132" s="269"/>
      <c r="J132" s="272"/>
      <c r="K132" s="269"/>
      <c r="L132" s="269"/>
      <c r="M132" s="269"/>
      <c r="N132" s="269"/>
      <c r="P132" s="269"/>
      <c r="Q132" s="269"/>
      <c r="R132" s="398">
        <f>+M19</f>
        <v>79416494.826505467</v>
      </c>
      <c r="S132" s="269" t="str">
        <f>+K19&amp;" "&amp;M17</f>
        <v>PROJECTED YEAR Rev Require</v>
      </c>
    </row>
    <row r="133" spans="3:19" ht="12.5">
      <c r="C133" s="340"/>
      <c r="D133" s="349"/>
      <c r="E133" s="340"/>
      <c r="F133" s="340"/>
      <c r="G133" s="340"/>
      <c r="H133" s="351"/>
      <c r="I133" s="269"/>
      <c r="J133" s="272"/>
      <c r="K133" s="269"/>
      <c r="L133" s="269"/>
      <c r="M133" s="269"/>
      <c r="N133" s="269"/>
      <c r="O133" s="269"/>
      <c r="P133" s="269"/>
      <c r="Q133" s="269"/>
      <c r="R133" s="399">
        <f>+N19</f>
        <v>79416494.826505467</v>
      </c>
      <c r="S133" s="269" t="str">
        <f>K19&amp;" "&amp;N17</f>
        <v>PROJECTED YEAR  W Incentives</v>
      </c>
    </row>
    <row r="134" spans="3:19" ht="13" thickBot="1">
      <c r="C134" s="340"/>
      <c r="D134" s="349"/>
      <c r="E134" s="340"/>
      <c r="F134" s="340"/>
      <c r="G134" s="340"/>
      <c r="H134" s="351"/>
      <c r="I134" s="269"/>
      <c r="J134" s="272"/>
      <c r="K134" s="269"/>
      <c r="L134" s="269"/>
      <c r="M134" s="269"/>
      <c r="N134" s="269"/>
      <c r="O134" s="269"/>
      <c r="P134" s="269"/>
      <c r="Q134" s="269"/>
      <c r="R134" s="400">
        <f>+O19</f>
        <v>0</v>
      </c>
      <c r="S134" s="269" t="str">
        <f>K19&amp;" "&amp;O17</f>
        <v>PROJECTED YEAR Incentive Amounts</v>
      </c>
    </row>
    <row r="135" spans="3:19" ht="12.5">
      <c r="C135" s="340"/>
      <c r="D135" s="349"/>
      <c r="E135" s="340"/>
      <c r="F135" s="340"/>
      <c r="G135" s="340"/>
      <c r="H135" s="351"/>
      <c r="I135" s="269"/>
      <c r="J135" s="272"/>
      <c r="K135" s="269"/>
      <c r="L135" s="269"/>
      <c r="M135" s="269"/>
      <c r="N135" s="269"/>
      <c r="O135" s="269"/>
      <c r="P135" s="269"/>
      <c r="Q135" s="269"/>
      <c r="R135" s="269"/>
      <c r="S135" s="269"/>
    </row>
    <row r="136" spans="3:19" ht="12.75" customHeight="1">
      <c r="R136" s="269"/>
      <c r="S136" s="269"/>
    </row>
    <row r="137" spans="3:19" ht="12.75" customHeight="1">
      <c r="R137" s="377" t="s">
        <v>114</v>
      </c>
      <c r="S137" s="262" t="s">
        <v>115</v>
      </c>
    </row>
  </sheetData>
  <mergeCells count="8">
    <mergeCell ref="K15:O16"/>
    <mergeCell ref="C8:H8"/>
    <mergeCell ref="C82:E83"/>
    <mergeCell ref="A1:J1"/>
    <mergeCell ref="A2:J2"/>
    <mergeCell ref="A3:J3"/>
    <mergeCell ref="A5:J5"/>
    <mergeCell ref="A4:J4"/>
  </mergeCells>
  <phoneticPr fontId="0" type="noConversion"/>
  <printOptions horizontalCentered="1"/>
  <pageMargins left="0.25" right="0.25" top="0.75" bottom="0.25" header="0.25" footer="0.5"/>
  <pageSetup scale="41" fitToHeight="2" orientation="landscape" horizontalDpi="1200" verticalDpi="1200" r:id="rId1"/>
  <headerFooter alignWithMargins="0">
    <oddHeader xml:space="preserve">&amp;R&amp;16AEP - SPP Formula Rate
SWEPCO TCOS - WS F
Page: &amp;P of &amp;N
</oddHeader>
    <oddFooter>&amp;L&amp;A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/>
  <dimension ref="A1:Q162"/>
  <sheetViews>
    <sheetView view="pageBreakPreview" topLeftCell="A79" zoomScale="75" zoomScaleNormal="100" zoomScaleSheetLayoutView="75" workbookViewId="0">
      <selection activeCell="L110" sqref="L110:N11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17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191019.8486624895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191019.8486624895</v>
      </c>
      <c r="O6" s="269"/>
      <c r="P6" s="269"/>
    </row>
    <row r="7" spans="1:17" ht="13.5" thickBot="1">
      <c r="C7" s="467" t="s">
        <v>48</v>
      </c>
      <c r="D7" s="468" t="s">
        <v>238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163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1949836.51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46424.678809523808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1300389</v>
      </c>
      <c r="E17" s="509">
        <v>17573</v>
      </c>
      <c r="F17" s="508">
        <v>1282816</v>
      </c>
      <c r="G17" s="509">
        <v>132261</v>
      </c>
      <c r="H17" s="510">
        <v>132261</v>
      </c>
      <c r="I17" s="511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2009</v>
      </c>
      <c r="D18" s="515">
        <v>1282816</v>
      </c>
      <c r="E18" s="516">
        <v>35146</v>
      </c>
      <c r="F18" s="515">
        <v>1247671</v>
      </c>
      <c r="G18" s="516">
        <v>226367</v>
      </c>
      <c r="H18" s="510">
        <v>226367</v>
      </c>
      <c r="I18" s="511">
        <f t="shared" si="0"/>
        <v>0</v>
      </c>
      <c r="J18" s="511"/>
      <c r="K18" s="518">
        <v>226367</v>
      </c>
      <c r="L18" s="514">
        <f t="shared" si="1"/>
        <v>0</v>
      </c>
      <c r="M18" s="518">
        <v>226367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2010</v>
      </c>
      <c r="D19" s="515">
        <v>1897117.51</v>
      </c>
      <c r="E19" s="516">
        <v>51311.487105263157</v>
      </c>
      <c r="F19" s="515">
        <v>1845806.0228947368</v>
      </c>
      <c r="G19" s="516">
        <v>316673.78856446606</v>
      </c>
      <c r="H19" s="510">
        <v>316673.78856446606</v>
      </c>
      <c r="I19" s="517">
        <v>0</v>
      </c>
      <c r="J19" s="511"/>
      <c r="K19" s="518">
        <f t="shared" ref="K19:K24" si="4">G19</f>
        <v>316673.78856446606</v>
      </c>
      <c r="L19" s="519">
        <f t="shared" si="1"/>
        <v>0</v>
      </c>
      <c r="M19" s="518">
        <f t="shared" ref="M19:M24" si="5">H19</f>
        <v>316673.78856446606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2011</v>
      </c>
      <c r="D20" s="515">
        <v>1845806.0228947368</v>
      </c>
      <c r="E20" s="516">
        <v>47556.988048780491</v>
      </c>
      <c r="F20" s="515">
        <v>1798249.0348459564</v>
      </c>
      <c r="G20" s="516">
        <v>328429.43288363499</v>
      </c>
      <c r="H20" s="510">
        <v>328429.43288363499</v>
      </c>
      <c r="I20" s="517">
        <v>0</v>
      </c>
      <c r="J20" s="511"/>
      <c r="K20" s="518">
        <f t="shared" si="4"/>
        <v>328429.43288363499</v>
      </c>
      <c r="L20" s="519">
        <f t="shared" si="1"/>
        <v>0</v>
      </c>
      <c r="M20" s="518">
        <f t="shared" si="5"/>
        <v>328429.43288363499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1798249.0348459564</v>
      </c>
      <c r="E21" s="520">
        <v>46424.678809523808</v>
      </c>
      <c r="F21" s="515">
        <v>1751824.3560364326</v>
      </c>
      <c r="G21" s="516">
        <v>306956.24241271312</v>
      </c>
      <c r="H21" s="510">
        <v>306956.24241271312</v>
      </c>
      <c r="I21" s="517">
        <v>0</v>
      </c>
      <c r="J21" s="511"/>
      <c r="K21" s="518">
        <f t="shared" si="4"/>
        <v>306956.24241271312</v>
      </c>
      <c r="L21" s="519">
        <f t="shared" si="1"/>
        <v>0</v>
      </c>
      <c r="M21" s="518">
        <f t="shared" si="5"/>
        <v>306956.24241271312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608">
        <v>1751824.3560364326</v>
      </c>
      <c r="E22" s="609">
        <v>46424.678809523808</v>
      </c>
      <c r="F22" s="608">
        <v>1705399.6772269087</v>
      </c>
      <c r="G22" s="609">
        <v>285158.60339753365</v>
      </c>
      <c r="H22" s="610">
        <v>285158.60339753365</v>
      </c>
      <c r="I22" s="596">
        <v>0</v>
      </c>
      <c r="J22" s="511"/>
      <c r="K22" s="518">
        <f t="shared" si="4"/>
        <v>285158.60339753365</v>
      </c>
      <c r="L22" s="519">
        <f t="shared" ref="L22:L27" si="7">IF(K22&lt;&gt;0,+G22-K22,0)</f>
        <v>0</v>
      </c>
      <c r="M22" s="518">
        <f t="shared" si="5"/>
        <v>285158.60339753365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608">
        <v>1705399.6772269087</v>
      </c>
      <c r="E23" s="609">
        <v>46424.678809523808</v>
      </c>
      <c r="F23" s="608">
        <v>1658974.9984173849</v>
      </c>
      <c r="G23" s="609">
        <v>270237.83902004722</v>
      </c>
      <c r="H23" s="610">
        <v>270237.83902004722</v>
      </c>
      <c r="I23" s="596">
        <v>0</v>
      </c>
      <c r="J23" s="511"/>
      <c r="K23" s="518">
        <f t="shared" si="4"/>
        <v>270237.83902004722</v>
      </c>
      <c r="L23" s="519">
        <f t="shared" si="7"/>
        <v>0</v>
      </c>
      <c r="M23" s="518">
        <f t="shared" si="5"/>
        <v>270237.83902004722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608">
        <v>1658974.9984173849</v>
      </c>
      <c r="E24" s="609">
        <v>46424.678809523808</v>
      </c>
      <c r="F24" s="608">
        <v>1612550.3196078611</v>
      </c>
      <c r="G24" s="609">
        <v>258805.29771582928</v>
      </c>
      <c r="H24" s="610">
        <v>258805.29771582928</v>
      </c>
      <c r="I24" s="511">
        <v>0</v>
      </c>
      <c r="J24" s="511"/>
      <c r="K24" s="518">
        <f t="shared" si="4"/>
        <v>258805.29771582928</v>
      </c>
      <c r="L24" s="519">
        <f t="shared" si="7"/>
        <v>0</v>
      </c>
      <c r="M24" s="518">
        <f t="shared" si="5"/>
        <v>258805.29771582928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2016</v>
      </c>
      <c r="D25" s="608">
        <v>1612550.3196078611</v>
      </c>
      <c r="E25" s="609">
        <v>46424.678809523808</v>
      </c>
      <c r="F25" s="608">
        <v>1566125.6407983373</v>
      </c>
      <c r="G25" s="609">
        <v>250146.26304105911</v>
      </c>
      <c r="H25" s="610">
        <v>250146.26304105911</v>
      </c>
      <c r="I25" s="511">
        <f t="shared" si="0"/>
        <v>0</v>
      </c>
      <c r="J25" s="511"/>
      <c r="K25" s="518">
        <f>G25</f>
        <v>250146.26304105911</v>
      </c>
      <c r="L25" s="519">
        <f t="shared" si="7"/>
        <v>0</v>
      </c>
      <c r="M25" s="518">
        <f>H25</f>
        <v>250146.26304105911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608">
        <v>1566125.6407983373</v>
      </c>
      <c r="E26" s="609">
        <v>45345.035116279068</v>
      </c>
      <c r="F26" s="608">
        <v>1520780.6056820583</v>
      </c>
      <c r="G26" s="609">
        <v>236567.35307267582</v>
      </c>
      <c r="H26" s="610">
        <v>236567.35307267582</v>
      </c>
      <c r="I26" s="511">
        <f t="shared" si="0"/>
        <v>0</v>
      </c>
      <c r="J26" s="511"/>
      <c r="K26" s="518">
        <f>G26</f>
        <v>236567.35307267582</v>
      </c>
      <c r="L26" s="519">
        <f t="shared" si="7"/>
        <v>0</v>
      </c>
      <c r="M26" s="518">
        <f>H26</f>
        <v>236567.35307267582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608">
        <v>1520780.6056820583</v>
      </c>
      <c r="E27" s="609">
        <v>47556.988048780491</v>
      </c>
      <c r="F27" s="608">
        <v>1473223.6176332778</v>
      </c>
      <c r="G27" s="609">
        <v>237817.12252361333</v>
      </c>
      <c r="H27" s="610">
        <v>237817.12252361333</v>
      </c>
      <c r="I27" s="511">
        <f t="shared" si="0"/>
        <v>0</v>
      </c>
      <c r="J27" s="511"/>
      <c r="K27" s="518">
        <f>G27</f>
        <v>237817.12252361333</v>
      </c>
      <c r="L27" s="519">
        <f t="shared" si="7"/>
        <v>0</v>
      </c>
      <c r="M27" s="518">
        <f>H27</f>
        <v>237817.12252361333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608">
        <v>1473223.6176332778</v>
      </c>
      <c r="E28" s="609">
        <v>47556.988048780491</v>
      </c>
      <c r="F28" s="608">
        <v>1425666.6295844973</v>
      </c>
      <c r="G28" s="609">
        <v>231772.90997981158</v>
      </c>
      <c r="H28" s="610">
        <v>231772.90997981158</v>
      </c>
      <c r="I28" s="511">
        <f t="shared" si="0"/>
        <v>0</v>
      </c>
      <c r="J28" s="511"/>
      <c r="K28" s="518">
        <f>G28</f>
        <v>231772.90997981158</v>
      </c>
      <c r="L28" s="519">
        <f t="shared" ref="L28" si="10">IF(K28&lt;&gt;0,+G28-K28,0)</f>
        <v>0</v>
      </c>
      <c r="M28" s="518">
        <f>H28</f>
        <v>231772.90997981158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2020</v>
      </c>
      <c r="D29" s="608">
        <v>1425666.6295844973</v>
      </c>
      <c r="E29" s="609">
        <v>47556.988048780491</v>
      </c>
      <c r="F29" s="608">
        <v>1378109.6415357168</v>
      </c>
      <c r="G29" s="609">
        <v>191019.8486624895</v>
      </c>
      <c r="H29" s="610">
        <v>191019.8486624895</v>
      </c>
      <c r="I29" s="511">
        <f t="shared" si="0"/>
        <v>0</v>
      </c>
      <c r="J29" s="511"/>
      <c r="K29" s="518">
        <f>G29</f>
        <v>191019.8486624895</v>
      </c>
      <c r="L29" s="519">
        <f t="shared" ref="L29" si="11">IF(K29&lt;&gt;0,+G29-K29,0)</f>
        <v>0</v>
      </c>
      <c r="M29" s="518">
        <f>H29</f>
        <v>191019.8486624895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/>
      </c>
      <c r="C30" s="507">
        <f>IF(D11="","-",+C29+1)</f>
        <v>2021</v>
      </c>
      <c r="D30" s="523">
        <f>IF(F29+SUM(E$17:E29)=D$10,F29,D$10-SUM(E$17:E29))</f>
        <v>1378109.6415357168</v>
      </c>
      <c r="E30" s="522">
        <f>IF(+I14&lt;F29,I14,D30)</f>
        <v>46424.678809523808</v>
      </c>
      <c r="F30" s="523">
        <f t="shared" ref="F30:F48" si="12">+D30-E30</f>
        <v>1331684.962726193</v>
      </c>
      <c r="G30" s="524">
        <f t="shared" ref="G30:G72" si="13">+I$12*((D30+F30)/2)+E30</f>
        <v>191152.06327672236</v>
      </c>
      <c r="H30" s="491">
        <f t="shared" ref="H30:H72" si="14">+I$13*((D30+F30)/2)+E30</f>
        <v>191152.06327672236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2022</v>
      </c>
      <c r="D31" s="523">
        <f>IF(F30+SUM(E$17:E30)=D$10,F30,D$10-SUM(E$17:E30))</f>
        <v>1331684.962726193</v>
      </c>
      <c r="E31" s="522">
        <f>IF(+I14&lt;F30,I14,D31)</f>
        <v>46424.678809523808</v>
      </c>
      <c r="F31" s="523">
        <f t="shared" si="12"/>
        <v>1285260.2839166692</v>
      </c>
      <c r="G31" s="524">
        <f t="shared" si="13"/>
        <v>186193.07315380697</v>
      </c>
      <c r="H31" s="491">
        <f t="shared" si="14"/>
        <v>186193.07315380697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1285260.2839166692</v>
      </c>
      <c r="E32" s="522">
        <f>IF(+I14&lt;F31,I14,D32)</f>
        <v>46424.678809523808</v>
      </c>
      <c r="F32" s="523">
        <f t="shared" si="12"/>
        <v>1238835.6051071454</v>
      </c>
      <c r="G32" s="524">
        <f t="shared" si="13"/>
        <v>181234.08303089152</v>
      </c>
      <c r="H32" s="491">
        <f t="shared" si="14"/>
        <v>181234.08303089152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1238835.6051071454</v>
      </c>
      <c r="E33" s="522">
        <f>IF(+I14&lt;F32,I14,D33)</f>
        <v>46424.678809523808</v>
      </c>
      <c r="F33" s="523">
        <f t="shared" si="12"/>
        <v>1192410.9262976216</v>
      </c>
      <c r="G33" s="524">
        <f t="shared" si="13"/>
        <v>176275.09290797613</v>
      </c>
      <c r="H33" s="491">
        <f t="shared" si="14"/>
        <v>176275.09290797613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1192410.9262976216</v>
      </c>
      <c r="E34" s="522">
        <f>IF(+I14&lt;F33,I14,D34)</f>
        <v>46424.678809523808</v>
      </c>
      <c r="F34" s="523">
        <f t="shared" si="12"/>
        <v>1145986.2474880978</v>
      </c>
      <c r="G34" s="524">
        <f t="shared" si="13"/>
        <v>171316.10278506068</v>
      </c>
      <c r="H34" s="491">
        <f t="shared" si="14"/>
        <v>171316.10278506068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1145986.2474880978</v>
      </c>
      <c r="E35" s="522">
        <f>IF(+I14&lt;F34,I14,D35)</f>
        <v>46424.678809523808</v>
      </c>
      <c r="F35" s="523">
        <f t="shared" si="12"/>
        <v>1099561.5686785739</v>
      </c>
      <c r="G35" s="524">
        <f t="shared" si="13"/>
        <v>166357.11266214529</v>
      </c>
      <c r="H35" s="491">
        <f t="shared" si="14"/>
        <v>166357.11266214529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1099561.5686785739</v>
      </c>
      <c r="E36" s="522">
        <f>IF(+I14&lt;F35,I14,D36)</f>
        <v>46424.678809523808</v>
      </c>
      <c r="F36" s="523">
        <f t="shared" si="12"/>
        <v>1053136.8898690501</v>
      </c>
      <c r="G36" s="524">
        <f t="shared" si="13"/>
        <v>161398.12253922984</v>
      </c>
      <c r="H36" s="491">
        <f t="shared" si="14"/>
        <v>161398.12253922984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1053136.8898690501</v>
      </c>
      <c r="E37" s="522">
        <f>IF(+I14&lt;F36,I14,D37)</f>
        <v>46424.678809523808</v>
      </c>
      <c r="F37" s="523">
        <f t="shared" si="12"/>
        <v>1006712.2110595263</v>
      </c>
      <c r="G37" s="524">
        <f t="shared" si="13"/>
        <v>156439.13241631442</v>
      </c>
      <c r="H37" s="491">
        <f t="shared" si="14"/>
        <v>156439.13241631442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1006712.2110595263</v>
      </c>
      <c r="E38" s="522">
        <f>IF(+I14&lt;F37,I14,D38)</f>
        <v>46424.678809523808</v>
      </c>
      <c r="F38" s="523">
        <f t="shared" si="12"/>
        <v>960287.53225000249</v>
      </c>
      <c r="G38" s="524">
        <f t="shared" si="13"/>
        <v>151480.142293399</v>
      </c>
      <c r="H38" s="491">
        <f t="shared" si="14"/>
        <v>151480.142293399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960287.53225000249</v>
      </c>
      <c r="E39" s="522">
        <f>IF(+I14&lt;F38,I14,D39)</f>
        <v>46424.678809523808</v>
      </c>
      <c r="F39" s="523">
        <f t="shared" si="12"/>
        <v>913862.85344047868</v>
      </c>
      <c r="G39" s="524">
        <f t="shared" si="13"/>
        <v>146521.15217048358</v>
      </c>
      <c r="H39" s="491">
        <f t="shared" si="14"/>
        <v>146521.15217048358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913862.85344047868</v>
      </c>
      <c r="E40" s="522">
        <f>IF(+I14&lt;F39,I14,D40)</f>
        <v>46424.678809523808</v>
      </c>
      <c r="F40" s="523">
        <f t="shared" si="12"/>
        <v>867438.17463095486</v>
      </c>
      <c r="G40" s="524">
        <f t="shared" si="13"/>
        <v>141562.16204756816</v>
      </c>
      <c r="H40" s="491">
        <f t="shared" si="14"/>
        <v>141562.16204756816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867438.17463095486</v>
      </c>
      <c r="E41" s="522">
        <f>IF(+I14&lt;F40,I14,D41)</f>
        <v>46424.678809523808</v>
      </c>
      <c r="F41" s="523">
        <f t="shared" si="12"/>
        <v>821013.49582143105</v>
      </c>
      <c r="G41" s="524">
        <f t="shared" si="13"/>
        <v>136603.17192465271</v>
      </c>
      <c r="H41" s="491">
        <f t="shared" si="14"/>
        <v>136603.17192465271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821013.49582143105</v>
      </c>
      <c r="E42" s="522">
        <f>IF(+I14&lt;F41,I14,D42)</f>
        <v>46424.678809523808</v>
      </c>
      <c r="F42" s="523">
        <f t="shared" si="12"/>
        <v>774588.81701190723</v>
      </c>
      <c r="G42" s="524">
        <f t="shared" si="13"/>
        <v>131644.18180173729</v>
      </c>
      <c r="H42" s="491">
        <f t="shared" si="14"/>
        <v>131644.18180173729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774588.81701190723</v>
      </c>
      <c r="E43" s="522">
        <f>IF(+I14&lt;F42,I14,D43)</f>
        <v>46424.678809523808</v>
      </c>
      <c r="F43" s="523">
        <f t="shared" si="12"/>
        <v>728164.13820238342</v>
      </c>
      <c r="G43" s="524">
        <f t="shared" si="13"/>
        <v>126685.19167882187</v>
      </c>
      <c r="H43" s="491">
        <f t="shared" si="14"/>
        <v>126685.19167882187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728164.13820238342</v>
      </c>
      <c r="E44" s="522">
        <f>IF(+I14&lt;F43,I14,D44)</f>
        <v>46424.678809523808</v>
      </c>
      <c r="F44" s="523">
        <f t="shared" si="12"/>
        <v>681739.4593928596</v>
      </c>
      <c r="G44" s="524">
        <f t="shared" si="13"/>
        <v>121726.20155590645</v>
      </c>
      <c r="H44" s="491">
        <f t="shared" si="14"/>
        <v>121726.20155590645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681739.4593928596</v>
      </c>
      <c r="E45" s="522">
        <f>IF(+I14&lt;F44,I14,D45)</f>
        <v>46424.678809523808</v>
      </c>
      <c r="F45" s="523">
        <f t="shared" si="12"/>
        <v>635314.78058333579</v>
      </c>
      <c r="G45" s="524">
        <f t="shared" si="13"/>
        <v>116767.21143299103</v>
      </c>
      <c r="H45" s="491">
        <f t="shared" si="14"/>
        <v>116767.21143299103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635314.78058333579</v>
      </c>
      <c r="E46" s="522">
        <f>IF(+I14&lt;F45,I14,D46)</f>
        <v>46424.678809523808</v>
      </c>
      <c r="F46" s="523">
        <f t="shared" si="12"/>
        <v>588890.10177381197</v>
      </c>
      <c r="G46" s="524">
        <f t="shared" si="13"/>
        <v>111808.22131007561</v>
      </c>
      <c r="H46" s="491">
        <f t="shared" si="14"/>
        <v>111808.22131007561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588890.10177381197</v>
      </c>
      <c r="E47" s="522">
        <f>IF(+I14&lt;F46,I14,D47)</f>
        <v>46424.678809523808</v>
      </c>
      <c r="F47" s="523">
        <f t="shared" si="12"/>
        <v>542465.42296428815</v>
      </c>
      <c r="G47" s="524">
        <f t="shared" si="13"/>
        <v>106849.23118716019</v>
      </c>
      <c r="H47" s="491">
        <f t="shared" si="14"/>
        <v>106849.23118716019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542465.42296428815</v>
      </c>
      <c r="E48" s="522">
        <f>IF(+I14&lt;F47,I14,D48)</f>
        <v>46424.678809523808</v>
      </c>
      <c r="F48" s="523">
        <f t="shared" si="12"/>
        <v>496040.74415476434</v>
      </c>
      <c r="G48" s="524">
        <f t="shared" si="13"/>
        <v>101890.24106424476</v>
      </c>
      <c r="H48" s="491">
        <f t="shared" si="14"/>
        <v>101890.24106424476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496040.74415476434</v>
      </c>
      <c r="E49" s="522">
        <f>IF(+I14&lt;F48,I14,D49)</f>
        <v>46424.678809523808</v>
      </c>
      <c r="F49" s="523">
        <f t="shared" ref="F49:F72" si="15">+D49-E49</f>
        <v>449616.06534524052</v>
      </c>
      <c r="G49" s="524">
        <f t="shared" si="13"/>
        <v>96931.25094132933</v>
      </c>
      <c r="H49" s="491">
        <f t="shared" si="14"/>
        <v>96931.25094132933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449616.06534524052</v>
      </c>
      <c r="E50" s="522">
        <f>IF(+I14&lt;F49,I14,D50)</f>
        <v>46424.678809523808</v>
      </c>
      <c r="F50" s="523">
        <f t="shared" si="15"/>
        <v>403191.38653571671</v>
      </c>
      <c r="G50" s="524">
        <f t="shared" si="13"/>
        <v>91972.26081841391</v>
      </c>
      <c r="H50" s="491">
        <f t="shared" si="14"/>
        <v>91972.26081841391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403191.38653571671</v>
      </c>
      <c r="E51" s="522">
        <f>IF(+I14&lt;F50,I14,D51)</f>
        <v>46424.678809523808</v>
      </c>
      <c r="F51" s="523">
        <f t="shared" si="15"/>
        <v>356766.70772619289</v>
      </c>
      <c r="G51" s="524">
        <f t="shared" si="13"/>
        <v>87013.27069549849</v>
      </c>
      <c r="H51" s="491">
        <f t="shared" si="14"/>
        <v>87013.27069549849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356766.70772619289</v>
      </c>
      <c r="E52" s="522">
        <f>IF(+I14&lt;F51,I14,D52)</f>
        <v>46424.678809523808</v>
      </c>
      <c r="F52" s="523">
        <f t="shared" si="15"/>
        <v>310342.02891666908</v>
      </c>
      <c r="G52" s="524">
        <f t="shared" si="13"/>
        <v>82054.280572583055</v>
      </c>
      <c r="H52" s="491">
        <f t="shared" si="14"/>
        <v>82054.280572583055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310342.02891666908</v>
      </c>
      <c r="E53" s="522">
        <f>IF(+I14&lt;F52,I14,D53)</f>
        <v>46424.678809523808</v>
      </c>
      <c r="F53" s="523">
        <f t="shared" si="15"/>
        <v>263917.35010714526</v>
      </c>
      <c r="G53" s="524">
        <f t="shared" si="13"/>
        <v>77095.290449667635</v>
      </c>
      <c r="H53" s="491">
        <f t="shared" si="14"/>
        <v>77095.290449667635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263917.35010714526</v>
      </c>
      <c r="E54" s="522">
        <f>IF(+I14&lt;F53,I14,D54)</f>
        <v>46424.678809523808</v>
      </c>
      <c r="F54" s="523">
        <f t="shared" si="15"/>
        <v>217492.67129762145</v>
      </c>
      <c r="G54" s="524">
        <f t="shared" si="13"/>
        <v>72136.300326752214</v>
      </c>
      <c r="H54" s="491">
        <f t="shared" si="14"/>
        <v>72136.300326752214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217492.67129762145</v>
      </c>
      <c r="E55" s="522">
        <f>IF(+I14&lt;F54,I14,D55)</f>
        <v>46424.678809523808</v>
      </c>
      <c r="F55" s="523">
        <f t="shared" si="15"/>
        <v>171067.99248809763</v>
      </c>
      <c r="G55" s="524">
        <f t="shared" si="13"/>
        <v>67177.310203836794</v>
      </c>
      <c r="H55" s="491">
        <f t="shared" si="14"/>
        <v>67177.310203836794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171067.99248809763</v>
      </c>
      <c r="E56" s="522">
        <f>IF(+I14&lt;F55,I14,D56)</f>
        <v>46424.678809523808</v>
      </c>
      <c r="F56" s="523">
        <f t="shared" si="15"/>
        <v>124643.31367857382</v>
      </c>
      <c r="G56" s="524">
        <f t="shared" si="13"/>
        <v>62218.320080921374</v>
      </c>
      <c r="H56" s="491">
        <f t="shared" si="14"/>
        <v>62218.320080921374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124643.31367857382</v>
      </c>
      <c r="E57" s="522">
        <f>IF(+I14&lt;F56,I14,D57)</f>
        <v>46424.678809523808</v>
      </c>
      <c r="F57" s="523">
        <f t="shared" si="15"/>
        <v>78218.634869050002</v>
      </c>
      <c r="G57" s="524">
        <f t="shared" si="13"/>
        <v>57259.329958005947</v>
      </c>
      <c r="H57" s="491">
        <f t="shared" si="14"/>
        <v>57259.329958005947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78218.634869050002</v>
      </c>
      <c r="E58" s="522">
        <f>IF(+I14&lt;F57,I14,D58)</f>
        <v>46424.678809523808</v>
      </c>
      <c r="F58" s="523">
        <f t="shared" si="15"/>
        <v>31793.956059526194</v>
      </c>
      <c r="G58" s="524">
        <f t="shared" si="13"/>
        <v>52300.339835090526</v>
      </c>
      <c r="H58" s="491">
        <f t="shared" si="14"/>
        <v>52300.339835090526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31793.956059526194</v>
      </c>
      <c r="E59" s="522">
        <f>IF(+I14&lt;F58,I14,D59)</f>
        <v>31793.956059526194</v>
      </c>
      <c r="F59" s="523">
        <f t="shared" si="15"/>
        <v>0</v>
      </c>
      <c r="G59" s="524">
        <f t="shared" si="13"/>
        <v>33492.039041580698</v>
      </c>
      <c r="H59" s="491">
        <f t="shared" si="14"/>
        <v>33492.039041580698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13"/>
        <v>0</v>
      </c>
      <c r="H60" s="491">
        <f t="shared" si="14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13"/>
        <v>0</v>
      </c>
      <c r="H61" s="491">
        <f t="shared" si="14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3"/>
        <v>0</v>
      </c>
      <c r="H62" s="491">
        <f t="shared" si="14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3"/>
        <v>0</v>
      </c>
      <c r="H63" s="491">
        <f t="shared" si="14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3"/>
        <v>0</v>
      </c>
      <c r="H64" s="491">
        <f t="shared" si="14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3"/>
        <v>0</v>
      </c>
      <c r="H65" s="491">
        <f t="shared" si="14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3"/>
        <v>0</v>
      </c>
      <c r="H66" s="491">
        <f t="shared" si="14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3"/>
        <v>0</v>
      </c>
      <c r="H67" s="491">
        <f t="shared" si="14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3"/>
        <v>0</v>
      </c>
      <c r="H68" s="491">
        <f t="shared" si="14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3"/>
        <v>0</v>
      </c>
      <c r="H69" s="491">
        <f t="shared" si="14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3"/>
        <v>0</v>
      </c>
      <c r="H70" s="491">
        <f t="shared" si="14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3"/>
        <v>0</v>
      </c>
      <c r="H71" s="491">
        <f t="shared" si="14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3"/>
        <v>0</v>
      </c>
      <c r="H72" s="471">
        <f t="shared" si="14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1949836.51</v>
      </c>
      <c r="F73" s="375"/>
      <c r="G73" s="375">
        <f>SUM(G17:G72)</f>
        <v>6835764.5854367409</v>
      </c>
      <c r="H73" s="375">
        <f>SUM(H17:H72)</f>
        <v>6835764.5854367409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17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191019.8486624895</v>
      </c>
      <c r="N87" s="546">
        <f>IF(J92&lt;D11,0,VLOOKUP(J92,C17:O72,11))</f>
        <v>191019.8486624895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196438.52610487738</v>
      </c>
      <c r="N88" s="550">
        <f>IF(J92&lt;D11,0,VLOOKUP(J92,C99:P154,7))</f>
        <v>196438.52610487738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Linwood-McWillie 138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5418.6774423878815</v>
      </c>
      <c r="N89" s="555">
        <f>+N88-N87</f>
        <v>5418.6774423878815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TP2007019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1949836.51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46424.678809523808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17573</v>
      </c>
      <c r="F99" s="515">
        <v>1282816</v>
      </c>
      <c r="G99" s="574">
        <v>641408</v>
      </c>
      <c r="H99" s="575">
        <v>119814</v>
      </c>
      <c r="I99" s="576">
        <v>119814</v>
      </c>
      <c r="J99" s="613">
        <f t="shared" ref="J99:J130" si="20">+I99-H99</f>
        <v>0</v>
      </c>
      <c r="K99" s="514"/>
      <c r="L99" s="512">
        <v>119814</v>
      </c>
      <c r="M99" s="513">
        <f t="shared" ref="M99:M130" si="21">IF(L99&lt;&gt;0,+H99-L99,0)</f>
        <v>0</v>
      </c>
      <c r="N99" s="512">
        <v>119814</v>
      </c>
      <c r="O99" s="513">
        <f t="shared" ref="O99:O130" si="22">IF(N99&lt;&gt;0,+I99-N99,0)</f>
        <v>0</v>
      </c>
      <c r="P99" s="513">
        <f t="shared" ref="P99:P130" si="23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2009</v>
      </c>
      <c r="D100" s="508">
        <v>1932263.51</v>
      </c>
      <c r="E100" s="516">
        <v>51311.487105263157</v>
      </c>
      <c r="F100" s="515">
        <v>1880952.0228947368</v>
      </c>
      <c r="G100" s="515">
        <v>1906607.7664473685</v>
      </c>
      <c r="H100" s="516">
        <v>327269.44030165928</v>
      </c>
      <c r="I100" s="510">
        <v>327269.44030165928</v>
      </c>
      <c r="J100" s="613">
        <f t="shared" si="20"/>
        <v>0</v>
      </c>
      <c r="K100" s="514"/>
      <c r="L100" s="518">
        <f t="shared" ref="L100:L105" si="24">H100</f>
        <v>327269.44030165928</v>
      </c>
      <c r="M100" s="519">
        <f t="shared" si="21"/>
        <v>0</v>
      </c>
      <c r="N100" s="518">
        <f t="shared" ref="N100:N105" si="25">I100</f>
        <v>327269.44030165928</v>
      </c>
      <c r="O100" s="514">
        <f t="shared" si="22"/>
        <v>0</v>
      </c>
      <c r="P100" s="514">
        <f t="shared" si="23"/>
        <v>0</v>
      </c>
      <c r="Q100" s="269"/>
    </row>
    <row r="101" spans="1:17" ht="12.5">
      <c r="B101" s="195" t="str">
        <f t="shared" ref="B101:B154" si="26">IF(D101=F100,"","IU")</f>
        <v/>
      </c>
      <c r="C101" s="507">
        <f>IF(D93="","-",+C100+1)</f>
        <v>2010</v>
      </c>
      <c r="D101" s="508">
        <v>1880952.0228947368</v>
      </c>
      <c r="E101" s="516">
        <v>47556.988048780491</v>
      </c>
      <c r="F101" s="515">
        <v>1833395.0348459564</v>
      </c>
      <c r="G101" s="515">
        <v>1857173.5288703465</v>
      </c>
      <c r="H101" s="516">
        <v>354150.48973333737</v>
      </c>
      <c r="I101" s="510">
        <v>354150.48973333737</v>
      </c>
      <c r="J101" s="613">
        <f t="shared" si="20"/>
        <v>0</v>
      </c>
      <c r="K101" s="514"/>
      <c r="L101" s="518">
        <f t="shared" si="24"/>
        <v>354150.48973333737</v>
      </c>
      <c r="M101" s="519">
        <f t="shared" si="21"/>
        <v>0</v>
      </c>
      <c r="N101" s="518">
        <f t="shared" si="25"/>
        <v>354150.48973333737</v>
      </c>
      <c r="O101" s="514">
        <f t="shared" si="22"/>
        <v>0</v>
      </c>
      <c r="P101" s="514">
        <f t="shared" si="23"/>
        <v>0</v>
      </c>
      <c r="Q101" s="269"/>
    </row>
    <row r="102" spans="1:17" ht="12.5">
      <c r="B102" s="195" t="str">
        <f t="shared" si="26"/>
        <v/>
      </c>
      <c r="C102" s="507">
        <f>IF(D93="","-",+C101+1)</f>
        <v>2011</v>
      </c>
      <c r="D102" s="508">
        <v>1833395.0348459564</v>
      </c>
      <c r="E102" s="520">
        <v>46424.678809523808</v>
      </c>
      <c r="F102" s="515">
        <v>1786970.3560364326</v>
      </c>
      <c r="G102" s="515">
        <v>1810182.6954411943</v>
      </c>
      <c r="H102" s="516">
        <v>318639.77382654941</v>
      </c>
      <c r="I102" s="510">
        <v>318639.77382654941</v>
      </c>
      <c r="J102" s="613">
        <f t="shared" si="20"/>
        <v>0</v>
      </c>
      <c r="K102" s="514"/>
      <c r="L102" s="518">
        <f t="shared" si="24"/>
        <v>318639.77382654941</v>
      </c>
      <c r="M102" s="519">
        <f t="shared" si="21"/>
        <v>0</v>
      </c>
      <c r="N102" s="518">
        <f t="shared" si="25"/>
        <v>318639.77382654941</v>
      </c>
      <c r="O102" s="514">
        <f t="shared" si="22"/>
        <v>0</v>
      </c>
      <c r="P102" s="514">
        <f t="shared" si="23"/>
        <v>0</v>
      </c>
      <c r="Q102" s="269"/>
    </row>
    <row r="103" spans="1:17" ht="12.5">
      <c r="B103" s="195" t="str">
        <f t="shared" si="26"/>
        <v/>
      </c>
      <c r="C103" s="507">
        <f>IF(D93="","-",+C102+1)</f>
        <v>2012</v>
      </c>
      <c r="D103" s="508">
        <v>1786970.3560364326</v>
      </c>
      <c r="E103" s="516">
        <v>46424.678809523808</v>
      </c>
      <c r="F103" s="515">
        <v>1740545.6772269087</v>
      </c>
      <c r="G103" s="515">
        <v>1763758.0166316708</v>
      </c>
      <c r="H103" s="516">
        <v>305968.60569385614</v>
      </c>
      <c r="I103" s="510">
        <v>305968.60569385614</v>
      </c>
      <c r="J103" s="613">
        <f t="shared" si="20"/>
        <v>0</v>
      </c>
      <c r="K103" s="514"/>
      <c r="L103" s="518">
        <f t="shared" si="24"/>
        <v>305968.60569385614</v>
      </c>
      <c r="M103" s="519">
        <f t="shared" si="21"/>
        <v>0</v>
      </c>
      <c r="N103" s="518">
        <f t="shared" si="25"/>
        <v>305968.60569385614</v>
      </c>
      <c r="O103" s="514">
        <f t="shared" si="22"/>
        <v>0</v>
      </c>
      <c r="P103" s="514">
        <f t="shared" si="23"/>
        <v>0</v>
      </c>
      <c r="Q103" s="269"/>
    </row>
    <row r="104" spans="1:17" ht="12.5">
      <c r="B104" s="195" t="str">
        <f t="shared" si="26"/>
        <v/>
      </c>
      <c r="C104" s="507">
        <f>IF(D93="","-",+C103+1)</f>
        <v>2013</v>
      </c>
      <c r="D104" s="508">
        <v>1740545.6772269087</v>
      </c>
      <c r="E104" s="516">
        <v>46424.678809523808</v>
      </c>
      <c r="F104" s="515">
        <v>1694120.9984173849</v>
      </c>
      <c r="G104" s="515">
        <v>1717333.3378221467</v>
      </c>
      <c r="H104" s="516">
        <v>278765.62951624766</v>
      </c>
      <c r="I104" s="510">
        <v>278765.62951624766</v>
      </c>
      <c r="J104" s="613">
        <v>0</v>
      </c>
      <c r="K104" s="514"/>
      <c r="L104" s="518">
        <f t="shared" si="24"/>
        <v>278765.62951624766</v>
      </c>
      <c r="M104" s="519">
        <f t="shared" ref="M104:M109" si="27">IF(L104&lt;&gt;0,+H104-L104,0)</f>
        <v>0</v>
      </c>
      <c r="N104" s="518">
        <f t="shared" si="25"/>
        <v>278765.62951624766</v>
      </c>
      <c r="O104" s="514">
        <f t="shared" ref="O104:O109" si="28">IF(N104&lt;&gt;0,+I104-N104,0)</f>
        <v>0</v>
      </c>
      <c r="P104" s="514">
        <f t="shared" ref="P104:P109" si="29">+O104-M104</f>
        <v>0</v>
      </c>
      <c r="Q104" s="269"/>
    </row>
    <row r="105" spans="1:17" ht="12.5">
      <c r="B105" s="195" t="str">
        <f t="shared" si="26"/>
        <v/>
      </c>
      <c r="C105" s="507">
        <f>IF(D93="","-",+C104+1)</f>
        <v>2014</v>
      </c>
      <c r="D105" s="508">
        <v>1694120.9984173849</v>
      </c>
      <c r="E105" s="516">
        <v>46424.678809523808</v>
      </c>
      <c r="F105" s="515">
        <v>1647696.3196078611</v>
      </c>
      <c r="G105" s="515">
        <v>1670908.6590126231</v>
      </c>
      <c r="H105" s="516">
        <v>273540.36469294201</v>
      </c>
      <c r="I105" s="510">
        <v>273540.36469294201</v>
      </c>
      <c r="J105" s="514">
        <v>0</v>
      </c>
      <c r="K105" s="514"/>
      <c r="L105" s="518">
        <f t="shared" si="24"/>
        <v>273540.36469294201</v>
      </c>
      <c r="M105" s="519">
        <f t="shared" si="27"/>
        <v>0</v>
      </c>
      <c r="N105" s="518">
        <f t="shared" si="25"/>
        <v>273540.36469294201</v>
      </c>
      <c r="O105" s="514">
        <f t="shared" si="28"/>
        <v>0</v>
      </c>
      <c r="P105" s="514">
        <f t="shared" si="29"/>
        <v>0</v>
      </c>
      <c r="Q105" s="269"/>
    </row>
    <row r="106" spans="1:17" ht="12.5">
      <c r="B106" s="195" t="str">
        <f t="shared" si="26"/>
        <v/>
      </c>
      <c r="C106" s="507">
        <f>IF(D93="","-",+C105+1)</f>
        <v>2015</v>
      </c>
      <c r="D106" s="508">
        <v>1647696.3196078611</v>
      </c>
      <c r="E106" s="516">
        <v>46424.678809523808</v>
      </c>
      <c r="F106" s="515">
        <v>1601271.6407983373</v>
      </c>
      <c r="G106" s="515">
        <v>1624483.9802030991</v>
      </c>
      <c r="H106" s="516">
        <v>260481.11000678584</v>
      </c>
      <c r="I106" s="510">
        <v>260481.11000678584</v>
      </c>
      <c r="J106" s="514">
        <f t="shared" si="20"/>
        <v>0</v>
      </c>
      <c r="K106" s="514"/>
      <c r="L106" s="518">
        <f>H106</f>
        <v>260481.11000678584</v>
      </c>
      <c r="M106" s="519">
        <f t="shared" si="27"/>
        <v>0</v>
      </c>
      <c r="N106" s="518">
        <f>I106</f>
        <v>260481.11000678584</v>
      </c>
      <c r="O106" s="514">
        <f t="shared" si="28"/>
        <v>0</v>
      </c>
      <c r="P106" s="514">
        <f t="shared" si="29"/>
        <v>0</v>
      </c>
      <c r="Q106" s="269"/>
    </row>
    <row r="107" spans="1:17" ht="12.5">
      <c r="B107" s="195" t="str">
        <f t="shared" si="26"/>
        <v/>
      </c>
      <c r="C107" s="507">
        <f>IF(D93="","-",+C106+1)</f>
        <v>2016</v>
      </c>
      <c r="D107" s="508">
        <v>1601271.6407983373</v>
      </c>
      <c r="E107" s="516">
        <v>45345.035116279068</v>
      </c>
      <c r="F107" s="515">
        <v>1555926.6056820583</v>
      </c>
      <c r="G107" s="515">
        <v>1578599.1232401978</v>
      </c>
      <c r="H107" s="516">
        <v>245748.17532364058</v>
      </c>
      <c r="I107" s="510">
        <v>245748.17532364058</v>
      </c>
      <c r="J107" s="514">
        <f t="shared" si="20"/>
        <v>0</v>
      </c>
      <c r="K107" s="514"/>
      <c r="L107" s="518">
        <f>H107</f>
        <v>245748.17532364058</v>
      </c>
      <c r="M107" s="519">
        <f t="shared" si="27"/>
        <v>0</v>
      </c>
      <c r="N107" s="518">
        <f>I107</f>
        <v>245748.17532364058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6"/>
        <v/>
      </c>
      <c r="C108" s="507">
        <f>IF(D93="","-",+C107+1)</f>
        <v>2017</v>
      </c>
      <c r="D108" s="508">
        <v>1555926.6056820583</v>
      </c>
      <c r="E108" s="516">
        <v>46424.678809523808</v>
      </c>
      <c r="F108" s="515">
        <v>1509501.9268725344</v>
      </c>
      <c r="G108" s="515">
        <v>1532714.2662772965</v>
      </c>
      <c r="H108" s="516">
        <v>232605.71494726205</v>
      </c>
      <c r="I108" s="510">
        <v>232605.71494726205</v>
      </c>
      <c r="J108" s="514">
        <f t="shared" si="20"/>
        <v>0</v>
      </c>
      <c r="K108" s="514"/>
      <c r="L108" s="518">
        <f>H108</f>
        <v>232605.71494726205</v>
      </c>
      <c r="M108" s="519">
        <f t="shared" si="27"/>
        <v>0</v>
      </c>
      <c r="N108" s="518">
        <f>I108</f>
        <v>232605.71494726205</v>
      </c>
      <c r="O108" s="514">
        <f t="shared" si="28"/>
        <v>0</v>
      </c>
      <c r="P108" s="514">
        <f t="shared" si="29"/>
        <v>0</v>
      </c>
      <c r="Q108" s="269"/>
    </row>
    <row r="109" spans="1:17" ht="12.5">
      <c r="B109" s="195" t="str">
        <f t="shared" si="26"/>
        <v/>
      </c>
      <c r="C109" s="507">
        <f>IF(D93="","-",+C108+1)</f>
        <v>2018</v>
      </c>
      <c r="D109" s="508">
        <v>1509501.9268725344</v>
      </c>
      <c r="E109" s="516">
        <v>46424.678809523808</v>
      </c>
      <c r="F109" s="515">
        <v>1463077.2480630106</v>
      </c>
      <c r="G109" s="515">
        <v>1486289.5874677724</v>
      </c>
      <c r="H109" s="516">
        <v>203383.67510232344</v>
      </c>
      <c r="I109" s="510">
        <v>203383.67510232344</v>
      </c>
      <c r="J109" s="514">
        <f t="shared" si="20"/>
        <v>0</v>
      </c>
      <c r="K109" s="514"/>
      <c r="L109" s="518">
        <f>H109</f>
        <v>203383.67510232344</v>
      </c>
      <c r="M109" s="519">
        <f t="shared" si="27"/>
        <v>0</v>
      </c>
      <c r="N109" s="518">
        <f>I109</f>
        <v>203383.67510232344</v>
      </c>
      <c r="O109" s="514">
        <f t="shared" si="28"/>
        <v>0</v>
      </c>
      <c r="P109" s="514">
        <f t="shared" si="29"/>
        <v>0</v>
      </c>
      <c r="Q109" s="269"/>
    </row>
    <row r="110" spans="1:17" ht="12.5">
      <c r="B110" s="195" t="str">
        <f t="shared" si="26"/>
        <v/>
      </c>
      <c r="C110" s="507">
        <f>IF(D93="","-",+C109+1)</f>
        <v>2019</v>
      </c>
      <c r="D110" s="508">
        <v>1463077.2480630106</v>
      </c>
      <c r="E110" s="516">
        <v>45345.035116279068</v>
      </c>
      <c r="F110" s="515">
        <v>1417732.2129467316</v>
      </c>
      <c r="G110" s="515">
        <v>1440404.7305048711</v>
      </c>
      <c r="H110" s="516">
        <v>199526.74471129151</v>
      </c>
      <c r="I110" s="510">
        <v>199526.74471129151</v>
      </c>
      <c r="J110" s="514">
        <f t="shared" si="20"/>
        <v>0</v>
      </c>
      <c r="K110" s="514"/>
      <c r="L110" s="518">
        <f>H110</f>
        <v>199526.74471129151</v>
      </c>
      <c r="M110" s="519">
        <f t="shared" ref="M110" si="30">IF(L110&lt;&gt;0,+H110-L110,0)</f>
        <v>0</v>
      </c>
      <c r="N110" s="518">
        <f>I110</f>
        <v>199526.74471129151</v>
      </c>
      <c r="O110" s="514">
        <f t="shared" si="22"/>
        <v>0</v>
      </c>
      <c r="P110" s="514">
        <f t="shared" si="23"/>
        <v>0</v>
      </c>
      <c r="Q110" s="269"/>
    </row>
    <row r="111" spans="1:17" ht="12.5">
      <c r="B111" s="195" t="str">
        <f t="shared" si="26"/>
        <v/>
      </c>
      <c r="C111" s="507">
        <f>IF(D93="","-",+C110+1)</f>
        <v>2020</v>
      </c>
      <c r="D111" s="374">
        <f>IF(F110+SUM(E$99:E110)=D$92,F110,D$92-SUM(E$99:E110))</f>
        <v>1417732.2129467316</v>
      </c>
      <c r="E111" s="522">
        <f>IF(+J96&lt;F110,J96,D111)</f>
        <v>46424.678809523808</v>
      </c>
      <c r="F111" s="523">
        <f t="shared" ref="F111:F130" si="31">+D111-E111</f>
        <v>1371307.5341372078</v>
      </c>
      <c r="G111" s="523">
        <f t="shared" ref="G111:G130" si="32">+(F111+D111)/2</f>
        <v>1394519.8735419698</v>
      </c>
      <c r="H111" s="526">
        <f>+J$94*G111+E111</f>
        <v>196438.52610487738</v>
      </c>
      <c r="I111" s="577">
        <f>+J$95*G111+E111</f>
        <v>196438.52610487738</v>
      </c>
      <c r="J111" s="514">
        <f t="shared" si="20"/>
        <v>0</v>
      </c>
      <c r="K111" s="514"/>
      <c r="L111" s="525"/>
      <c r="M111" s="514">
        <f t="shared" si="21"/>
        <v>0</v>
      </c>
      <c r="N111" s="525"/>
      <c r="O111" s="514">
        <f t="shared" si="22"/>
        <v>0</v>
      </c>
      <c r="P111" s="514">
        <f t="shared" si="23"/>
        <v>0</v>
      </c>
      <c r="Q111" s="269"/>
    </row>
    <row r="112" spans="1:17" ht="12.5">
      <c r="B112" s="195" t="str">
        <f t="shared" si="26"/>
        <v/>
      </c>
      <c r="C112" s="507">
        <f>IF(D93="","-",+C111+1)</f>
        <v>2021</v>
      </c>
      <c r="D112" s="374">
        <f>IF(F111+SUM(E$99:E111)=D$92,F111,D$92-SUM(E$99:E111))</f>
        <v>1371307.5341372078</v>
      </c>
      <c r="E112" s="522">
        <f>IF(+J96&lt;F111,J96,D112)</f>
        <v>46424.678809523808</v>
      </c>
      <c r="F112" s="523">
        <f t="shared" si="31"/>
        <v>1324882.855327684</v>
      </c>
      <c r="G112" s="523">
        <f t="shared" si="32"/>
        <v>1348095.1947324458</v>
      </c>
      <c r="H112" s="526">
        <f>+J$94*G112+E112</f>
        <v>191444.44548272109</v>
      </c>
      <c r="I112" s="577">
        <f>+J$95*G112+E112</f>
        <v>191444.44548272109</v>
      </c>
      <c r="J112" s="514">
        <f t="shared" si="20"/>
        <v>0</v>
      </c>
      <c r="K112" s="514"/>
      <c r="L112" s="525"/>
      <c r="M112" s="514">
        <f t="shared" si="21"/>
        <v>0</v>
      </c>
      <c r="N112" s="525"/>
      <c r="O112" s="514">
        <f t="shared" si="22"/>
        <v>0</v>
      </c>
      <c r="P112" s="514">
        <f t="shared" si="23"/>
        <v>0</v>
      </c>
      <c r="Q112" s="269"/>
    </row>
    <row r="113" spans="2:17" ht="12.5">
      <c r="B113" s="195" t="str">
        <f t="shared" si="26"/>
        <v/>
      </c>
      <c r="C113" s="507">
        <f>IF(D93="","-",+C112+1)</f>
        <v>2022</v>
      </c>
      <c r="D113" s="374">
        <f>IF(F112+SUM(E$99:E112)=D$92,F112,D$92-SUM(E$99:E112))</f>
        <v>1324882.855327684</v>
      </c>
      <c r="E113" s="522">
        <f>IF(+J96&lt;F112,J96,D113)</f>
        <v>46424.678809523808</v>
      </c>
      <c r="F113" s="523">
        <f t="shared" si="31"/>
        <v>1278458.1765181602</v>
      </c>
      <c r="G113" s="523">
        <f t="shared" si="32"/>
        <v>1301670.5159229222</v>
      </c>
      <c r="H113" s="526">
        <f t="shared" ref="H113:H154" si="33">+J$94*G113+E113</f>
        <v>186450.36486056488</v>
      </c>
      <c r="I113" s="577">
        <f t="shared" ref="I113:I154" si="34">+J$95*G113+E113</f>
        <v>186450.36486056488</v>
      </c>
      <c r="J113" s="514">
        <f t="shared" si="20"/>
        <v>0</v>
      </c>
      <c r="K113" s="514"/>
      <c r="L113" s="525"/>
      <c r="M113" s="514">
        <f t="shared" si="21"/>
        <v>0</v>
      </c>
      <c r="N113" s="525"/>
      <c r="O113" s="514">
        <f t="shared" si="22"/>
        <v>0</v>
      </c>
      <c r="P113" s="514">
        <f t="shared" si="23"/>
        <v>0</v>
      </c>
      <c r="Q113" s="269"/>
    </row>
    <row r="114" spans="2:17" ht="12.5">
      <c r="B114" s="195" t="str">
        <f t="shared" si="26"/>
        <v/>
      </c>
      <c r="C114" s="507">
        <f>IF(D93="","-",+C113+1)</f>
        <v>2023</v>
      </c>
      <c r="D114" s="374">
        <f>IF(F113+SUM(E$99:E113)=D$92,F113,D$92-SUM(E$99:E113))</f>
        <v>1278458.1765181602</v>
      </c>
      <c r="E114" s="522">
        <f>IF(+J96&lt;F113,J96,D114)</f>
        <v>46424.678809523808</v>
      </c>
      <c r="F114" s="523">
        <f t="shared" si="31"/>
        <v>1232033.4977086363</v>
      </c>
      <c r="G114" s="523">
        <f t="shared" si="32"/>
        <v>1255245.8371133981</v>
      </c>
      <c r="H114" s="526">
        <f t="shared" si="33"/>
        <v>181456.28423840858</v>
      </c>
      <c r="I114" s="577">
        <f t="shared" si="34"/>
        <v>181456.28423840858</v>
      </c>
      <c r="J114" s="514">
        <f t="shared" si="20"/>
        <v>0</v>
      </c>
      <c r="K114" s="514"/>
      <c r="L114" s="525"/>
      <c r="M114" s="514">
        <f t="shared" si="21"/>
        <v>0</v>
      </c>
      <c r="N114" s="525"/>
      <c r="O114" s="514">
        <f t="shared" si="22"/>
        <v>0</v>
      </c>
      <c r="P114" s="514">
        <f t="shared" si="23"/>
        <v>0</v>
      </c>
      <c r="Q114" s="269"/>
    </row>
    <row r="115" spans="2:17" ht="12.5">
      <c r="B115" s="195" t="str">
        <f t="shared" si="26"/>
        <v/>
      </c>
      <c r="C115" s="507">
        <f>IF(D93="","-",+C114+1)</f>
        <v>2024</v>
      </c>
      <c r="D115" s="374">
        <f>IF(F114+SUM(E$99:E114)=D$92,F114,D$92-SUM(E$99:E114))</f>
        <v>1232033.4977086363</v>
      </c>
      <c r="E115" s="522">
        <f>IF(+J96&lt;F114,J96,D115)</f>
        <v>46424.678809523808</v>
      </c>
      <c r="F115" s="523">
        <f t="shared" si="31"/>
        <v>1185608.8188991125</v>
      </c>
      <c r="G115" s="523">
        <f t="shared" si="32"/>
        <v>1208821.1583038745</v>
      </c>
      <c r="H115" s="526">
        <f t="shared" si="33"/>
        <v>176462.20361625234</v>
      </c>
      <c r="I115" s="577">
        <f t="shared" si="34"/>
        <v>176462.20361625234</v>
      </c>
      <c r="J115" s="514">
        <f t="shared" si="20"/>
        <v>0</v>
      </c>
      <c r="K115" s="514"/>
      <c r="L115" s="525"/>
      <c r="M115" s="514">
        <f t="shared" si="21"/>
        <v>0</v>
      </c>
      <c r="N115" s="525"/>
      <c r="O115" s="514">
        <f t="shared" si="22"/>
        <v>0</v>
      </c>
      <c r="P115" s="514">
        <f t="shared" si="23"/>
        <v>0</v>
      </c>
      <c r="Q115" s="269"/>
    </row>
    <row r="116" spans="2:17" ht="12.5">
      <c r="B116" s="195" t="str">
        <f t="shared" si="26"/>
        <v/>
      </c>
      <c r="C116" s="507">
        <f>IF(D93="","-",+C115+1)</f>
        <v>2025</v>
      </c>
      <c r="D116" s="374">
        <f>IF(F115+SUM(E$99:E115)=D$92,F115,D$92-SUM(E$99:E115))</f>
        <v>1185608.8188991125</v>
      </c>
      <c r="E116" s="522">
        <f>IF(+J96&lt;F115,J96,D116)</f>
        <v>46424.678809523808</v>
      </c>
      <c r="F116" s="523">
        <f t="shared" si="31"/>
        <v>1139184.1400895887</v>
      </c>
      <c r="G116" s="523">
        <f t="shared" si="32"/>
        <v>1162396.4794943505</v>
      </c>
      <c r="H116" s="526">
        <f t="shared" si="33"/>
        <v>171468.12299409608</v>
      </c>
      <c r="I116" s="577">
        <f t="shared" si="34"/>
        <v>171468.12299409608</v>
      </c>
      <c r="J116" s="514">
        <f t="shared" si="20"/>
        <v>0</v>
      </c>
      <c r="K116" s="514"/>
      <c r="L116" s="525"/>
      <c r="M116" s="514">
        <f t="shared" si="21"/>
        <v>0</v>
      </c>
      <c r="N116" s="525"/>
      <c r="O116" s="514">
        <f t="shared" si="22"/>
        <v>0</v>
      </c>
      <c r="P116" s="514">
        <f t="shared" si="23"/>
        <v>0</v>
      </c>
      <c r="Q116" s="269"/>
    </row>
    <row r="117" spans="2:17" ht="12.5">
      <c r="B117" s="195" t="str">
        <f t="shared" si="26"/>
        <v/>
      </c>
      <c r="C117" s="507">
        <f>IF(D93="","-",+C116+1)</f>
        <v>2026</v>
      </c>
      <c r="D117" s="374">
        <f>IF(F116+SUM(E$99:E116)=D$92,F116,D$92-SUM(E$99:E116))</f>
        <v>1139184.1400895887</v>
      </c>
      <c r="E117" s="522">
        <f>IF(+J96&lt;F116,J96,D117)</f>
        <v>46424.678809523808</v>
      </c>
      <c r="F117" s="523">
        <f t="shared" si="31"/>
        <v>1092759.4612800649</v>
      </c>
      <c r="G117" s="523">
        <f t="shared" si="32"/>
        <v>1115971.8006848269</v>
      </c>
      <c r="H117" s="526">
        <f t="shared" si="33"/>
        <v>166474.04237193984</v>
      </c>
      <c r="I117" s="577">
        <f t="shared" si="34"/>
        <v>166474.04237193984</v>
      </c>
      <c r="J117" s="514">
        <f t="shared" si="20"/>
        <v>0</v>
      </c>
      <c r="K117" s="514"/>
      <c r="L117" s="525"/>
      <c r="M117" s="514">
        <f t="shared" si="21"/>
        <v>0</v>
      </c>
      <c r="N117" s="525"/>
      <c r="O117" s="514">
        <f t="shared" si="22"/>
        <v>0</v>
      </c>
      <c r="P117" s="514">
        <f t="shared" si="23"/>
        <v>0</v>
      </c>
      <c r="Q117" s="269"/>
    </row>
    <row r="118" spans="2:17" ht="12.5">
      <c r="B118" s="195" t="str">
        <f t="shared" si="26"/>
        <v/>
      </c>
      <c r="C118" s="507">
        <f>IF(D93="","-",+C117+1)</f>
        <v>2027</v>
      </c>
      <c r="D118" s="374">
        <f>IF(F117+SUM(E$99:E117)=D$92,F117,D$92-SUM(E$99:E117))</f>
        <v>1092759.4612800649</v>
      </c>
      <c r="E118" s="522">
        <f>IF(+J96&lt;F117,J96,D118)</f>
        <v>46424.678809523808</v>
      </c>
      <c r="F118" s="523">
        <f t="shared" si="31"/>
        <v>1046334.7824705411</v>
      </c>
      <c r="G118" s="523">
        <f t="shared" si="32"/>
        <v>1069547.1218753029</v>
      </c>
      <c r="H118" s="526">
        <f t="shared" si="33"/>
        <v>161479.96174978357</v>
      </c>
      <c r="I118" s="577">
        <f t="shared" si="34"/>
        <v>161479.96174978357</v>
      </c>
      <c r="J118" s="514">
        <f t="shared" si="20"/>
        <v>0</v>
      </c>
      <c r="K118" s="514"/>
      <c r="L118" s="525"/>
      <c r="M118" s="514">
        <f t="shared" si="21"/>
        <v>0</v>
      </c>
      <c r="N118" s="525"/>
      <c r="O118" s="514">
        <f t="shared" si="22"/>
        <v>0</v>
      </c>
      <c r="P118" s="514">
        <f t="shared" si="23"/>
        <v>0</v>
      </c>
      <c r="Q118" s="269"/>
    </row>
    <row r="119" spans="2:17" ht="12.5">
      <c r="B119" s="195" t="str">
        <f t="shared" si="26"/>
        <v/>
      </c>
      <c r="C119" s="507">
        <f>IF(D93="","-",+C118+1)</f>
        <v>2028</v>
      </c>
      <c r="D119" s="374">
        <f>IF(F118+SUM(E$99:E118)=D$92,F118,D$92-SUM(E$99:E118))</f>
        <v>1046334.7824705411</v>
      </c>
      <c r="E119" s="522">
        <f>IF(+J96&lt;F118,J96,D119)</f>
        <v>46424.678809523808</v>
      </c>
      <c r="F119" s="523">
        <f t="shared" si="31"/>
        <v>999910.10366101726</v>
      </c>
      <c r="G119" s="523">
        <f t="shared" si="32"/>
        <v>1023122.4430657792</v>
      </c>
      <c r="H119" s="526">
        <f t="shared" si="33"/>
        <v>156485.88112762733</v>
      </c>
      <c r="I119" s="577">
        <f t="shared" si="34"/>
        <v>156485.88112762733</v>
      </c>
      <c r="J119" s="514">
        <f t="shared" si="20"/>
        <v>0</v>
      </c>
      <c r="K119" s="514"/>
      <c r="L119" s="525"/>
      <c r="M119" s="514">
        <f t="shared" si="21"/>
        <v>0</v>
      </c>
      <c r="N119" s="525"/>
      <c r="O119" s="514">
        <f t="shared" si="22"/>
        <v>0</v>
      </c>
      <c r="P119" s="514">
        <f t="shared" si="23"/>
        <v>0</v>
      </c>
      <c r="Q119" s="269"/>
    </row>
    <row r="120" spans="2:17" ht="12.5">
      <c r="B120" s="195" t="str">
        <f t="shared" si="26"/>
        <v/>
      </c>
      <c r="C120" s="507">
        <f>IF(D93="","-",+C119+1)</f>
        <v>2029</v>
      </c>
      <c r="D120" s="374">
        <f>IF(F119+SUM(E$99:E119)=D$92,F119,D$92-SUM(E$99:E119))</f>
        <v>999910.10366101726</v>
      </c>
      <c r="E120" s="522">
        <f>IF(+J96&lt;F119,J96,D120)</f>
        <v>46424.678809523808</v>
      </c>
      <c r="F120" s="523">
        <f t="shared" si="31"/>
        <v>953485.42485149344</v>
      </c>
      <c r="G120" s="523">
        <f t="shared" si="32"/>
        <v>976697.76425625535</v>
      </c>
      <c r="H120" s="526">
        <f t="shared" si="33"/>
        <v>151491.80050547107</v>
      </c>
      <c r="I120" s="577">
        <f t="shared" si="34"/>
        <v>151491.80050547107</v>
      </c>
      <c r="J120" s="514">
        <f t="shared" si="20"/>
        <v>0</v>
      </c>
      <c r="K120" s="514"/>
      <c r="L120" s="525"/>
      <c r="M120" s="514">
        <f t="shared" si="21"/>
        <v>0</v>
      </c>
      <c r="N120" s="525"/>
      <c r="O120" s="514">
        <f t="shared" si="22"/>
        <v>0</v>
      </c>
      <c r="P120" s="514">
        <f t="shared" si="23"/>
        <v>0</v>
      </c>
      <c r="Q120" s="269"/>
    </row>
    <row r="121" spans="2:17" ht="12.5">
      <c r="B121" s="195" t="str">
        <f t="shared" si="26"/>
        <v/>
      </c>
      <c r="C121" s="507">
        <f>IF(D93="","-",+C120+1)</f>
        <v>2030</v>
      </c>
      <c r="D121" s="374">
        <f>IF(F120+SUM(E$99:E120)=D$92,F120,D$92-SUM(E$99:E120))</f>
        <v>953485.42485149344</v>
      </c>
      <c r="E121" s="522">
        <f>IF(+J96&lt;F120,J96,D121)</f>
        <v>46424.678809523808</v>
      </c>
      <c r="F121" s="523">
        <f t="shared" si="31"/>
        <v>907060.74604196963</v>
      </c>
      <c r="G121" s="523">
        <f t="shared" si="32"/>
        <v>930273.08544673154</v>
      </c>
      <c r="H121" s="526">
        <f t="shared" si="33"/>
        <v>146497.7198833148</v>
      </c>
      <c r="I121" s="577">
        <f t="shared" si="34"/>
        <v>146497.7198833148</v>
      </c>
      <c r="J121" s="514">
        <f t="shared" si="20"/>
        <v>0</v>
      </c>
      <c r="K121" s="514"/>
      <c r="L121" s="525"/>
      <c r="M121" s="514">
        <f t="shared" si="21"/>
        <v>0</v>
      </c>
      <c r="N121" s="525"/>
      <c r="O121" s="514">
        <f t="shared" si="22"/>
        <v>0</v>
      </c>
      <c r="P121" s="514">
        <f t="shared" si="23"/>
        <v>0</v>
      </c>
      <c r="Q121" s="269"/>
    </row>
    <row r="122" spans="2:17" ht="12.5">
      <c r="B122" s="195" t="str">
        <f t="shared" si="26"/>
        <v/>
      </c>
      <c r="C122" s="507">
        <f>IF(D93="","-",+C121+1)</f>
        <v>2031</v>
      </c>
      <c r="D122" s="374">
        <f>IF(F121+SUM(E$99:E121)=D$92,F121,D$92-SUM(E$99:E121))</f>
        <v>907060.74604196963</v>
      </c>
      <c r="E122" s="522">
        <f>IF(+J96&lt;F121,J96,D122)</f>
        <v>46424.678809523808</v>
      </c>
      <c r="F122" s="523">
        <f t="shared" si="31"/>
        <v>860636.06723244581</v>
      </c>
      <c r="G122" s="523">
        <f t="shared" si="32"/>
        <v>883848.40663720772</v>
      </c>
      <c r="H122" s="526">
        <f t="shared" si="33"/>
        <v>141503.63926115856</v>
      </c>
      <c r="I122" s="577">
        <f t="shared" si="34"/>
        <v>141503.63926115856</v>
      </c>
      <c r="J122" s="514">
        <f t="shared" si="20"/>
        <v>0</v>
      </c>
      <c r="K122" s="514"/>
      <c r="L122" s="525"/>
      <c r="M122" s="514">
        <f t="shared" si="21"/>
        <v>0</v>
      </c>
      <c r="N122" s="525"/>
      <c r="O122" s="514">
        <f t="shared" si="22"/>
        <v>0</v>
      </c>
      <c r="P122" s="514">
        <f t="shared" si="23"/>
        <v>0</v>
      </c>
      <c r="Q122" s="269"/>
    </row>
    <row r="123" spans="2:17" ht="12.5">
      <c r="B123" s="195" t="str">
        <f t="shared" si="26"/>
        <v/>
      </c>
      <c r="C123" s="507">
        <f>IF(D93="","-",+C122+1)</f>
        <v>2032</v>
      </c>
      <c r="D123" s="374">
        <f>IF(F122+SUM(E$99:E122)=D$92,F122,D$92-SUM(E$99:E122))</f>
        <v>860636.06723244581</v>
      </c>
      <c r="E123" s="522">
        <f>IF(+J96&lt;F122,J96,D123)</f>
        <v>46424.678809523808</v>
      </c>
      <c r="F123" s="523">
        <f t="shared" si="31"/>
        <v>814211.388422922</v>
      </c>
      <c r="G123" s="523">
        <f t="shared" si="32"/>
        <v>837423.72782768391</v>
      </c>
      <c r="H123" s="526">
        <f t="shared" si="33"/>
        <v>136509.55863900229</v>
      </c>
      <c r="I123" s="577">
        <f t="shared" si="34"/>
        <v>136509.55863900229</v>
      </c>
      <c r="J123" s="514">
        <f t="shared" si="20"/>
        <v>0</v>
      </c>
      <c r="K123" s="514"/>
      <c r="L123" s="525"/>
      <c r="M123" s="514">
        <f t="shared" si="21"/>
        <v>0</v>
      </c>
      <c r="N123" s="525"/>
      <c r="O123" s="514">
        <f t="shared" si="22"/>
        <v>0</v>
      </c>
      <c r="P123" s="514">
        <f t="shared" si="23"/>
        <v>0</v>
      </c>
      <c r="Q123" s="269"/>
    </row>
    <row r="124" spans="2:17" ht="12.5">
      <c r="B124" s="195" t="str">
        <f t="shared" si="26"/>
        <v/>
      </c>
      <c r="C124" s="507">
        <f>IF(D93="","-",+C123+1)</f>
        <v>2033</v>
      </c>
      <c r="D124" s="374">
        <f>IF(F123+SUM(E$99:E123)=D$92,F123,D$92-SUM(E$99:E123))</f>
        <v>814211.388422922</v>
      </c>
      <c r="E124" s="522">
        <f>IF(+J96&lt;F123,J96,D124)</f>
        <v>46424.678809523808</v>
      </c>
      <c r="F124" s="523">
        <f t="shared" si="31"/>
        <v>767786.70961339818</v>
      </c>
      <c r="G124" s="523">
        <f t="shared" si="32"/>
        <v>790999.04901816009</v>
      </c>
      <c r="H124" s="526">
        <f t="shared" si="33"/>
        <v>131515.47801684606</v>
      </c>
      <c r="I124" s="577">
        <f t="shared" si="34"/>
        <v>131515.47801684606</v>
      </c>
      <c r="J124" s="514">
        <f t="shared" si="20"/>
        <v>0</v>
      </c>
      <c r="K124" s="514"/>
      <c r="L124" s="525"/>
      <c r="M124" s="514">
        <f t="shared" si="21"/>
        <v>0</v>
      </c>
      <c r="N124" s="525"/>
      <c r="O124" s="514">
        <f t="shared" si="22"/>
        <v>0</v>
      </c>
      <c r="P124" s="514">
        <f t="shared" si="23"/>
        <v>0</v>
      </c>
      <c r="Q124" s="269"/>
    </row>
    <row r="125" spans="2:17" ht="12.5">
      <c r="B125" s="195" t="str">
        <f t="shared" si="26"/>
        <v/>
      </c>
      <c r="C125" s="507">
        <f>IF(D93="","-",+C124+1)</f>
        <v>2034</v>
      </c>
      <c r="D125" s="374">
        <f>IF(F124+SUM(E$99:E124)=D$92,F124,D$92-SUM(E$99:E124))</f>
        <v>767786.70961339818</v>
      </c>
      <c r="E125" s="522">
        <f>IF(+J96&lt;F124,J96,D125)</f>
        <v>46424.678809523808</v>
      </c>
      <c r="F125" s="523">
        <f t="shared" si="31"/>
        <v>721362.03080387437</v>
      </c>
      <c r="G125" s="523">
        <f t="shared" si="32"/>
        <v>744574.37020863628</v>
      </c>
      <c r="H125" s="526">
        <f t="shared" si="33"/>
        <v>126521.39739468979</v>
      </c>
      <c r="I125" s="577">
        <f t="shared" si="34"/>
        <v>126521.39739468979</v>
      </c>
      <c r="J125" s="514">
        <f t="shared" si="20"/>
        <v>0</v>
      </c>
      <c r="K125" s="514"/>
      <c r="L125" s="525"/>
      <c r="M125" s="514">
        <f t="shared" si="21"/>
        <v>0</v>
      </c>
      <c r="N125" s="525"/>
      <c r="O125" s="514">
        <f t="shared" si="22"/>
        <v>0</v>
      </c>
      <c r="P125" s="514">
        <f t="shared" si="23"/>
        <v>0</v>
      </c>
      <c r="Q125" s="269"/>
    </row>
    <row r="126" spans="2:17" ht="12.5">
      <c r="B126" s="195" t="str">
        <f t="shared" si="26"/>
        <v/>
      </c>
      <c r="C126" s="507">
        <f>IF(D93="","-",+C125+1)</f>
        <v>2035</v>
      </c>
      <c r="D126" s="374">
        <f>IF(F125+SUM(E$99:E125)=D$92,F125,D$92-SUM(E$99:E125))</f>
        <v>721362.03080387437</v>
      </c>
      <c r="E126" s="522">
        <f>IF(+J96&lt;F125,J96,D126)</f>
        <v>46424.678809523808</v>
      </c>
      <c r="F126" s="523">
        <f t="shared" si="31"/>
        <v>674937.35199435055</v>
      </c>
      <c r="G126" s="523">
        <f t="shared" si="32"/>
        <v>698149.69139911246</v>
      </c>
      <c r="H126" s="526">
        <f t="shared" si="33"/>
        <v>121527.31677253355</v>
      </c>
      <c r="I126" s="577">
        <f t="shared" si="34"/>
        <v>121527.31677253355</v>
      </c>
      <c r="J126" s="514">
        <f t="shared" si="20"/>
        <v>0</v>
      </c>
      <c r="K126" s="514"/>
      <c r="L126" s="525"/>
      <c r="M126" s="514">
        <f t="shared" si="21"/>
        <v>0</v>
      </c>
      <c r="N126" s="525"/>
      <c r="O126" s="514">
        <f t="shared" si="22"/>
        <v>0</v>
      </c>
      <c r="P126" s="514">
        <f t="shared" si="23"/>
        <v>0</v>
      </c>
      <c r="Q126" s="269"/>
    </row>
    <row r="127" spans="2:17" ht="12.5">
      <c r="B127" s="195" t="str">
        <f t="shared" si="26"/>
        <v/>
      </c>
      <c r="C127" s="507">
        <f>IF(D93="","-",+C126+1)</f>
        <v>2036</v>
      </c>
      <c r="D127" s="374">
        <f>IF(F126+SUM(E$99:E126)=D$92,F126,D$92-SUM(E$99:E126))</f>
        <v>674937.35199435055</v>
      </c>
      <c r="E127" s="522">
        <f>IF(+J96&lt;F126,J96,D127)</f>
        <v>46424.678809523808</v>
      </c>
      <c r="F127" s="523">
        <f t="shared" si="31"/>
        <v>628512.67318482674</v>
      </c>
      <c r="G127" s="523">
        <f t="shared" si="32"/>
        <v>651725.01258958864</v>
      </c>
      <c r="H127" s="526">
        <f t="shared" si="33"/>
        <v>116533.23615037728</v>
      </c>
      <c r="I127" s="577">
        <f t="shared" si="34"/>
        <v>116533.23615037728</v>
      </c>
      <c r="J127" s="514">
        <f t="shared" si="20"/>
        <v>0</v>
      </c>
      <c r="K127" s="514"/>
      <c r="L127" s="525"/>
      <c r="M127" s="514">
        <f t="shared" si="21"/>
        <v>0</v>
      </c>
      <c r="N127" s="525"/>
      <c r="O127" s="514">
        <f t="shared" si="22"/>
        <v>0</v>
      </c>
      <c r="P127" s="514">
        <f t="shared" si="23"/>
        <v>0</v>
      </c>
      <c r="Q127" s="269"/>
    </row>
    <row r="128" spans="2:17" ht="12.5">
      <c r="B128" s="195" t="str">
        <f t="shared" si="26"/>
        <v/>
      </c>
      <c r="C128" s="507">
        <f>IF(D93="","-",+C127+1)</f>
        <v>2037</v>
      </c>
      <c r="D128" s="374">
        <f>IF(F127+SUM(E$99:E127)=D$92,F127,D$92-SUM(E$99:E127))</f>
        <v>628512.67318482674</v>
      </c>
      <c r="E128" s="522">
        <f>IF(+J96&lt;F127,J96,D128)</f>
        <v>46424.678809523808</v>
      </c>
      <c r="F128" s="523">
        <f t="shared" si="31"/>
        <v>582087.99437530292</v>
      </c>
      <c r="G128" s="523">
        <f t="shared" si="32"/>
        <v>605300.33378006483</v>
      </c>
      <c r="H128" s="526">
        <f t="shared" si="33"/>
        <v>111539.15552822103</v>
      </c>
      <c r="I128" s="577">
        <f t="shared" si="34"/>
        <v>111539.15552822103</v>
      </c>
      <c r="J128" s="514">
        <f t="shared" si="20"/>
        <v>0</v>
      </c>
      <c r="K128" s="514"/>
      <c r="L128" s="525"/>
      <c r="M128" s="514">
        <f t="shared" si="21"/>
        <v>0</v>
      </c>
      <c r="N128" s="525"/>
      <c r="O128" s="514">
        <f t="shared" si="22"/>
        <v>0</v>
      </c>
      <c r="P128" s="514">
        <f t="shared" si="23"/>
        <v>0</v>
      </c>
      <c r="Q128" s="269"/>
    </row>
    <row r="129" spans="2:17" ht="12.5">
      <c r="B129" s="195" t="str">
        <f t="shared" si="26"/>
        <v/>
      </c>
      <c r="C129" s="507">
        <f>IF(D93="","-",+C128+1)</f>
        <v>2038</v>
      </c>
      <c r="D129" s="374">
        <f>IF(F128+SUM(E$99:E128)=D$92,F128,D$92-SUM(E$99:E128))</f>
        <v>582087.99437530292</v>
      </c>
      <c r="E129" s="522">
        <f>IF(+J96&lt;F128,J96,D129)</f>
        <v>46424.678809523808</v>
      </c>
      <c r="F129" s="523">
        <f t="shared" si="31"/>
        <v>535663.31556577911</v>
      </c>
      <c r="G129" s="523">
        <f t="shared" si="32"/>
        <v>558875.65497054101</v>
      </c>
      <c r="H129" s="526">
        <f t="shared" si="33"/>
        <v>106545.07490606478</v>
      </c>
      <c r="I129" s="577">
        <f t="shared" si="34"/>
        <v>106545.07490606478</v>
      </c>
      <c r="J129" s="514">
        <f t="shared" si="20"/>
        <v>0</v>
      </c>
      <c r="K129" s="514"/>
      <c r="L129" s="525"/>
      <c r="M129" s="514">
        <f t="shared" si="21"/>
        <v>0</v>
      </c>
      <c r="N129" s="525"/>
      <c r="O129" s="514">
        <f t="shared" si="22"/>
        <v>0</v>
      </c>
      <c r="P129" s="514">
        <f t="shared" si="23"/>
        <v>0</v>
      </c>
      <c r="Q129" s="269"/>
    </row>
    <row r="130" spans="2:17" ht="12.5">
      <c r="B130" s="195" t="str">
        <f t="shared" si="26"/>
        <v/>
      </c>
      <c r="C130" s="507">
        <f>IF(D93="","-",+C129+1)</f>
        <v>2039</v>
      </c>
      <c r="D130" s="374">
        <f>IF(F129+SUM(E$99:E129)=D$92,F129,D$92-SUM(E$99:E129))</f>
        <v>535663.31556577911</v>
      </c>
      <c r="E130" s="522">
        <f>IF(+J96&lt;F129,J96,D130)</f>
        <v>46424.678809523808</v>
      </c>
      <c r="F130" s="523">
        <f t="shared" si="31"/>
        <v>489238.63675625529</v>
      </c>
      <c r="G130" s="523">
        <f t="shared" si="32"/>
        <v>512450.9761610172</v>
      </c>
      <c r="H130" s="526">
        <f t="shared" si="33"/>
        <v>101550.99428390851</v>
      </c>
      <c r="I130" s="577">
        <f t="shared" si="34"/>
        <v>101550.99428390851</v>
      </c>
      <c r="J130" s="514">
        <f t="shared" si="20"/>
        <v>0</v>
      </c>
      <c r="K130" s="514"/>
      <c r="L130" s="525"/>
      <c r="M130" s="514">
        <f t="shared" si="21"/>
        <v>0</v>
      </c>
      <c r="N130" s="525"/>
      <c r="O130" s="514">
        <f t="shared" si="22"/>
        <v>0</v>
      </c>
      <c r="P130" s="514">
        <f t="shared" si="23"/>
        <v>0</v>
      </c>
      <c r="Q130" s="269"/>
    </row>
    <row r="131" spans="2:17" ht="12.5">
      <c r="B131" s="195" t="str">
        <f t="shared" si="26"/>
        <v/>
      </c>
      <c r="C131" s="507">
        <f>IF(D93="","-",+C130+1)</f>
        <v>2040</v>
      </c>
      <c r="D131" s="374">
        <f>IF(F130+SUM(E$99:E130)=D$92,F130,D$92-SUM(E$99:E130))</f>
        <v>489238.63675625529</v>
      </c>
      <c r="E131" s="522">
        <f>IF(+J96&lt;F130,J96,D131)</f>
        <v>46424.678809523808</v>
      </c>
      <c r="F131" s="523">
        <f t="shared" ref="F131:F154" si="35">+D131-E131</f>
        <v>442813.95794673148</v>
      </c>
      <c r="G131" s="523">
        <f t="shared" ref="G131:G154" si="36">+(F131+D131)/2</f>
        <v>466026.29735149338</v>
      </c>
      <c r="H131" s="526">
        <f t="shared" si="33"/>
        <v>96556.913661752274</v>
      </c>
      <c r="I131" s="577">
        <f t="shared" si="34"/>
        <v>96556.913661752274</v>
      </c>
      <c r="J131" s="514">
        <f t="shared" ref="J131:J154" si="37">+I131-H131</f>
        <v>0</v>
      </c>
      <c r="K131" s="514"/>
      <c r="L131" s="525"/>
      <c r="M131" s="514">
        <f t="shared" ref="M131:M154" si="38">IF(L131&lt;&gt;0,+H131-L131,0)</f>
        <v>0</v>
      </c>
      <c r="N131" s="525"/>
      <c r="O131" s="514">
        <f t="shared" ref="O131:O154" si="39">IF(N131&lt;&gt;0,+I131-N131,0)</f>
        <v>0</v>
      </c>
      <c r="P131" s="514">
        <f t="shared" ref="P131:P154" si="40">+O131-M131</f>
        <v>0</v>
      </c>
      <c r="Q131" s="269"/>
    </row>
    <row r="132" spans="2:17" ht="12.5">
      <c r="B132" s="195" t="str">
        <f t="shared" si="26"/>
        <v/>
      </c>
      <c r="C132" s="507">
        <f>IF(D93="","-",+C131+1)</f>
        <v>2041</v>
      </c>
      <c r="D132" s="374">
        <f>IF(F131+SUM(E$99:E131)=D$92,F131,D$92-SUM(E$99:E131))</f>
        <v>442813.95794673148</v>
      </c>
      <c r="E132" s="522">
        <f>IF(+J96&lt;F131,J96,D132)</f>
        <v>46424.678809523808</v>
      </c>
      <c r="F132" s="523">
        <f t="shared" si="35"/>
        <v>396389.27913720766</v>
      </c>
      <c r="G132" s="523">
        <f t="shared" si="36"/>
        <v>419601.61854196957</v>
      </c>
      <c r="H132" s="526">
        <f t="shared" si="33"/>
        <v>91562.833039596007</v>
      </c>
      <c r="I132" s="577">
        <f t="shared" si="34"/>
        <v>91562.833039596007</v>
      </c>
      <c r="J132" s="514">
        <f t="shared" si="37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  <c r="Q132" s="269"/>
    </row>
    <row r="133" spans="2:17" ht="12.5">
      <c r="B133" s="195" t="str">
        <f t="shared" si="26"/>
        <v/>
      </c>
      <c r="C133" s="507">
        <f>IF(D93="","-",+C132+1)</f>
        <v>2042</v>
      </c>
      <c r="D133" s="374">
        <f>IF(F132+SUM(E$99:E132)=D$92,F132,D$92-SUM(E$99:E132))</f>
        <v>396389.27913720766</v>
      </c>
      <c r="E133" s="522">
        <f>IF(+J96&lt;F132,J96,D133)</f>
        <v>46424.678809523808</v>
      </c>
      <c r="F133" s="523">
        <f t="shared" si="35"/>
        <v>349964.60032768385</v>
      </c>
      <c r="G133" s="523">
        <f t="shared" si="36"/>
        <v>373176.93973244575</v>
      </c>
      <c r="H133" s="526">
        <f t="shared" si="33"/>
        <v>86568.752417439755</v>
      </c>
      <c r="I133" s="577">
        <f t="shared" si="34"/>
        <v>86568.752417439755</v>
      </c>
      <c r="J133" s="514">
        <f t="shared" si="37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  <c r="Q133" s="269"/>
    </row>
    <row r="134" spans="2:17" ht="12.5">
      <c r="B134" s="195" t="str">
        <f t="shared" si="26"/>
        <v/>
      </c>
      <c r="C134" s="507">
        <f>IF(D93="","-",+C133+1)</f>
        <v>2043</v>
      </c>
      <c r="D134" s="374">
        <f>IF(F133+SUM(E$99:E133)=D$92,F133,D$92-SUM(E$99:E133))</f>
        <v>349964.60032768385</v>
      </c>
      <c r="E134" s="522">
        <f>IF(+J96&lt;F133,J96,D134)</f>
        <v>46424.678809523808</v>
      </c>
      <c r="F134" s="523">
        <f t="shared" si="35"/>
        <v>303539.92151816003</v>
      </c>
      <c r="G134" s="523">
        <f t="shared" si="36"/>
        <v>326752.26092292194</v>
      </c>
      <c r="H134" s="526">
        <f t="shared" si="33"/>
        <v>81574.671795283502</v>
      </c>
      <c r="I134" s="577">
        <f t="shared" si="34"/>
        <v>81574.671795283502</v>
      </c>
      <c r="J134" s="514">
        <f t="shared" si="37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  <c r="Q134" s="269"/>
    </row>
    <row r="135" spans="2:17" ht="12.5">
      <c r="B135" s="195" t="str">
        <f t="shared" si="26"/>
        <v/>
      </c>
      <c r="C135" s="507">
        <f>IF(D93="","-",+C134+1)</f>
        <v>2044</v>
      </c>
      <c r="D135" s="374">
        <f>IF(F134+SUM(E$99:E134)=D$92,F134,D$92-SUM(E$99:E134))</f>
        <v>303539.92151816003</v>
      </c>
      <c r="E135" s="522">
        <f>IF(+J96&lt;F134,J96,D135)</f>
        <v>46424.678809523808</v>
      </c>
      <c r="F135" s="523">
        <f t="shared" si="35"/>
        <v>257115.24270863621</v>
      </c>
      <c r="G135" s="523">
        <f t="shared" si="36"/>
        <v>280327.58211339812</v>
      </c>
      <c r="H135" s="526">
        <f t="shared" si="33"/>
        <v>76580.59117312725</v>
      </c>
      <c r="I135" s="577">
        <f t="shared" si="34"/>
        <v>76580.59117312725</v>
      </c>
      <c r="J135" s="514">
        <f t="shared" si="37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  <c r="Q135" s="269"/>
    </row>
    <row r="136" spans="2:17" ht="12.5">
      <c r="B136" s="195" t="str">
        <f t="shared" si="26"/>
        <v/>
      </c>
      <c r="C136" s="507">
        <f>IF(D93="","-",+C135+1)</f>
        <v>2045</v>
      </c>
      <c r="D136" s="374">
        <f>IF(F135+SUM(E$99:E135)=D$92,F135,D$92-SUM(E$99:E135))</f>
        <v>257115.24270863621</v>
      </c>
      <c r="E136" s="522">
        <f>IF(+J96&lt;F135,J96,D136)</f>
        <v>46424.678809523808</v>
      </c>
      <c r="F136" s="523">
        <f t="shared" si="35"/>
        <v>210690.5638991124</v>
      </c>
      <c r="G136" s="523">
        <f t="shared" si="36"/>
        <v>233902.90330387431</v>
      </c>
      <c r="H136" s="526">
        <f t="shared" si="33"/>
        <v>71586.510550970997</v>
      </c>
      <c r="I136" s="577">
        <f t="shared" si="34"/>
        <v>71586.510550970997</v>
      </c>
      <c r="J136" s="514">
        <f t="shared" si="37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  <c r="Q136" s="269"/>
    </row>
    <row r="137" spans="2:17" ht="12.5">
      <c r="B137" s="195" t="str">
        <f t="shared" si="26"/>
        <v/>
      </c>
      <c r="C137" s="507">
        <f>IF(D93="","-",+C136+1)</f>
        <v>2046</v>
      </c>
      <c r="D137" s="374">
        <f>IF(F136+SUM(E$99:E136)=D$92,F136,D$92-SUM(E$99:E136))</f>
        <v>210690.5638991124</v>
      </c>
      <c r="E137" s="522">
        <f>IF(+J96&lt;F136,J96,D137)</f>
        <v>46424.678809523808</v>
      </c>
      <c r="F137" s="523">
        <f t="shared" si="35"/>
        <v>164265.88508958858</v>
      </c>
      <c r="G137" s="523">
        <f t="shared" si="36"/>
        <v>187478.22449435049</v>
      </c>
      <c r="H137" s="526">
        <f t="shared" si="33"/>
        <v>66592.42992881473</v>
      </c>
      <c r="I137" s="577">
        <f t="shared" si="34"/>
        <v>66592.42992881473</v>
      </c>
      <c r="J137" s="514">
        <f t="shared" si="37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  <c r="Q137" s="269"/>
    </row>
    <row r="138" spans="2:17" ht="12.5">
      <c r="B138" s="195" t="str">
        <f t="shared" si="26"/>
        <v/>
      </c>
      <c r="C138" s="507">
        <f>IF(D93="","-",+C137+1)</f>
        <v>2047</v>
      </c>
      <c r="D138" s="374">
        <f>IF(F137+SUM(E$99:E137)=D$92,F137,D$92-SUM(E$99:E137))</f>
        <v>164265.88508958858</v>
      </c>
      <c r="E138" s="522">
        <f>IF(+J96&lt;F137,J96,D138)</f>
        <v>46424.678809523808</v>
      </c>
      <c r="F138" s="523">
        <f t="shared" si="35"/>
        <v>117841.20628006477</v>
      </c>
      <c r="G138" s="523">
        <f t="shared" si="36"/>
        <v>141053.54568482668</v>
      </c>
      <c r="H138" s="526">
        <f t="shared" si="33"/>
        <v>61598.349306658485</v>
      </c>
      <c r="I138" s="577">
        <f t="shared" si="34"/>
        <v>61598.349306658485</v>
      </c>
      <c r="J138" s="514">
        <f t="shared" si="37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  <c r="Q138" s="269"/>
    </row>
    <row r="139" spans="2:17" ht="12.5">
      <c r="B139" s="195" t="str">
        <f t="shared" si="26"/>
        <v/>
      </c>
      <c r="C139" s="507">
        <f>IF(D93="","-",+C138+1)</f>
        <v>2048</v>
      </c>
      <c r="D139" s="374">
        <f>IF(F138+SUM(E$99:E138)=D$92,F138,D$92-SUM(E$99:E138))</f>
        <v>117841.20628006477</v>
      </c>
      <c r="E139" s="522">
        <f>IF(+J96&lt;F138,J96,D139)</f>
        <v>46424.678809523808</v>
      </c>
      <c r="F139" s="523">
        <f t="shared" si="35"/>
        <v>71416.527470540954</v>
      </c>
      <c r="G139" s="523">
        <f t="shared" si="36"/>
        <v>94628.866875302861</v>
      </c>
      <c r="H139" s="526">
        <f t="shared" si="33"/>
        <v>56604.268684502225</v>
      </c>
      <c r="I139" s="577">
        <f t="shared" si="34"/>
        <v>56604.268684502225</v>
      </c>
      <c r="J139" s="514">
        <f t="shared" si="37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  <c r="Q139" s="269"/>
    </row>
    <row r="140" spans="2:17" ht="12.5">
      <c r="B140" s="195" t="str">
        <f t="shared" si="26"/>
        <v/>
      </c>
      <c r="C140" s="507">
        <f>IF(D93="","-",+C139+1)</f>
        <v>2049</v>
      </c>
      <c r="D140" s="374">
        <f>IF(F139+SUM(E$99:E139)=D$92,F139,D$92-SUM(E$99:E139))</f>
        <v>71416.527470540954</v>
      </c>
      <c r="E140" s="522">
        <f>IF(+J96&lt;F139,J96,D140)</f>
        <v>46424.678809523808</v>
      </c>
      <c r="F140" s="523">
        <f t="shared" si="35"/>
        <v>24991.848661017146</v>
      </c>
      <c r="G140" s="523">
        <f t="shared" si="36"/>
        <v>48204.188065779046</v>
      </c>
      <c r="H140" s="526">
        <f t="shared" si="33"/>
        <v>51610.188062345973</v>
      </c>
      <c r="I140" s="577">
        <f t="shared" si="34"/>
        <v>51610.188062345973</v>
      </c>
      <c r="J140" s="514">
        <f t="shared" si="37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  <c r="Q140" s="269"/>
    </row>
    <row r="141" spans="2:17" ht="12.5">
      <c r="B141" s="195" t="str">
        <f t="shared" si="26"/>
        <v/>
      </c>
      <c r="C141" s="507">
        <f>IF(D93="","-",+C140+1)</f>
        <v>2050</v>
      </c>
      <c r="D141" s="374">
        <f>IF(F140+SUM(E$99:E140)=D$92,F140,D$92-SUM(E$99:E140))</f>
        <v>24991.848661017146</v>
      </c>
      <c r="E141" s="522">
        <f>IF(+J96&lt;F140,J96,D141)</f>
        <v>24991.848661017146</v>
      </c>
      <c r="F141" s="523">
        <f t="shared" si="35"/>
        <v>0</v>
      </c>
      <c r="G141" s="523">
        <f t="shared" si="36"/>
        <v>12495.924330508573</v>
      </c>
      <c r="H141" s="526">
        <f t="shared" si="33"/>
        <v>26336.083131889165</v>
      </c>
      <c r="I141" s="577">
        <f t="shared" si="34"/>
        <v>26336.083131889165</v>
      </c>
      <c r="J141" s="514">
        <f t="shared" si="37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  <c r="Q141" s="269"/>
    </row>
    <row r="142" spans="2:17" ht="12.5">
      <c r="B142" s="195" t="str">
        <f t="shared" si="26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5"/>
        <v>0</v>
      </c>
      <c r="G142" s="523">
        <f t="shared" si="36"/>
        <v>0</v>
      </c>
      <c r="H142" s="526">
        <f t="shared" si="33"/>
        <v>0</v>
      </c>
      <c r="I142" s="577">
        <f t="shared" si="34"/>
        <v>0</v>
      </c>
      <c r="J142" s="514">
        <f t="shared" si="37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  <c r="Q142" s="269"/>
    </row>
    <row r="143" spans="2:17" ht="12.5">
      <c r="B143" s="195" t="str">
        <f t="shared" si="26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5"/>
        <v>0</v>
      </c>
      <c r="G143" s="523">
        <f t="shared" si="36"/>
        <v>0</v>
      </c>
      <c r="H143" s="526">
        <f t="shared" si="33"/>
        <v>0</v>
      </c>
      <c r="I143" s="577">
        <f t="shared" si="34"/>
        <v>0</v>
      </c>
      <c r="J143" s="514">
        <f t="shared" si="37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  <c r="Q143" s="269"/>
    </row>
    <row r="144" spans="2:17" ht="12.5">
      <c r="B144" s="195" t="str">
        <f t="shared" si="26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5"/>
        <v>0</v>
      </c>
      <c r="G144" s="523">
        <f t="shared" si="36"/>
        <v>0</v>
      </c>
      <c r="H144" s="526">
        <f t="shared" si="33"/>
        <v>0</v>
      </c>
      <c r="I144" s="577">
        <f t="shared" si="34"/>
        <v>0</v>
      </c>
      <c r="J144" s="514">
        <f t="shared" si="37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  <c r="Q144" s="269"/>
    </row>
    <row r="145" spans="2:17" ht="12.5">
      <c r="B145" s="195" t="str">
        <f t="shared" si="26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5"/>
        <v>0</v>
      </c>
      <c r="G145" s="523">
        <f t="shared" si="36"/>
        <v>0</v>
      </c>
      <c r="H145" s="526">
        <f t="shared" si="33"/>
        <v>0</v>
      </c>
      <c r="I145" s="577">
        <f t="shared" si="34"/>
        <v>0</v>
      </c>
      <c r="J145" s="514">
        <f t="shared" si="37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  <c r="Q145" s="269"/>
    </row>
    <row r="146" spans="2:17" ht="12.5">
      <c r="B146" s="195" t="str">
        <f t="shared" si="26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5"/>
        <v>0</v>
      </c>
      <c r="G146" s="523">
        <f t="shared" si="36"/>
        <v>0</v>
      </c>
      <c r="H146" s="526">
        <f t="shared" si="33"/>
        <v>0</v>
      </c>
      <c r="I146" s="577">
        <f t="shared" si="34"/>
        <v>0</v>
      </c>
      <c r="J146" s="514">
        <f t="shared" si="37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  <c r="Q146" s="269"/>
    </row>
    <row r="147" spans="2:17" ht="12.5">
      <c r="B147" s="195" t="str">
        <f t="shared" si="26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5"/>
        <v>0</v>
      </c>
      <c r="G147" s="523">
        <f t="shared" si="36"/>
        <v>0</v>
      </c>
      <c r="H147" s="526">
        <f t="shared" si="33"/>
        <v>0</v>
      </c>
      <c r="I147" s="577">
        <f t="shared" si="34"/>
        <v>0</v>
      </c>
      <c r="J147" s="514">
        <f t="shared" si="37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  <c r="Q147" s="269"/>
    </row>
    <row r="148" spans="2:17" ht="12.5">
      <c r="B148" s="195" t="str">
        <f t="shared" si="26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5"/>
        <v>0</v>
      </c>
      <c r="G148" s="523">
        <f t="shared" si="36"/>
        <v>0</v>
      </c>
      <c r="H148" s="526">
        <f t="shared" si="33"/>
        <v>0</v>
      </c>
      <c r="I148" s="577">
        <f t="shared" si="34"/>
        <v>0</v>
      </c>
      <c r="J148" s="514">
        <f t="shared" si="37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  <c r="Q148" s="269"/>
    </row>
    <row r="149" spans="2:17" ht="12.5">
      <c r="B149" s="195" t="str">
        <f t="shared" si="26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5"/>
        <v>0</v>
      </c>
      <c r="G149" s="523">
        <f t="shared" si="36"/>
        <v>0</v>
      </c>
      <c r="H149" s="526">
        <f t="shared" si="33"/>
        <v>0</v>
      </c>
      <c r="I149" s="577">
        <f t="shared" si="34"/>
        <v>0</v>
      </c>
      <c r="J149" s="514">
        <f t="shared" si="37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  <c r="Q149" s="269"/>
    </row>
    <row r="150" spans="2:17" ht="12.5">
      <c r="B150" s="195" t="str">
        <f t="shared" si="26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5"/>
        <v>0</v>
      </c>
      <c r="G150" s="523">
        <f t="shared" si="36"/>
        <v>0</v>
      </c>
      <c r="H150" s="526">
        <f t="shared" si="33"/>
        <v>0</v>
      </c>
      <c r="I150" s="577">
        <f t="shared" si="34"/>
        <v>0</v>
      </c>
      <c r="J150" s="514">
        <f t="shared" si="37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  <c r="Q150" s="269"/>
    </row>
    <row r="151" spans="2:17" ht="12.5">
      <c r="B151" s="195" t="str">
        <f t="shared" si="26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5"/>
        <v>0</v>
      </c>
      <c r="G151" s="523">
        <f t="shared" si="36"/>
        <v>0</v>
      </c>
      <c r="H151" s="526">
        <f t="shared" si="33"/>
        <v>0</v>
      </c>
      <c r="I151" s="577">
        <f t="shared" si="34"/>
        <v>0</v>
      </c>
      <c r="J151" s="514">
        <f t="shared" si="37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  <c r="Q151" s="269"/>
    </row>
    <row r="152" spans="2:17" ht="12.5">
      <c r="B152" s="195" t="str">
        <f t="shared" si="26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5"/>
        <v>0</v>
      </c>
      <c r="G152" s="523">
        <f t="shared" si="36"/>
        <v>0</v>
      </c>
      <c r="H152" s="526">
        <f t="shared" si="33"/>
        <v>0</v>
      </c>
      <c r="I152" s="577">
        <f t="shared" si="34"/>
        <v>0</v>
      </c>
      <c r="J152" s="514">
        <f t="shared" si="37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  <c r="Q152" s="269"/>
    </row>
    <row r="153" spans="2:17" ht="12.5">
      <c r="B153" s="195" t="str">
        <f t="shared" si="26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5"/>
        <v>0</v>
      </c>
      <c r="G153" s="523">
        <f t="shared" si="36"/>
        <v>0</v>
      </c>
      <c r="H153" s="526">
        <f t="shared" si="33"/>
        <v>0</v>
      </c>
      <c r="I153" s="577">
        <f t="shared" si="34"/>
        <v>0</v>
      </c>
      <c r="J153" s="514">
        <f t="shared" si="37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  <c r="Q153" s="269"/>
    </row>
    <row r="154" spans="2:17" ht="13" thickBot="1">
      <c r="B154" s="195" t="str">
        <f t="shared" si="26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5"/>
        <v>0</v>
      </c>
      <c r="G154" s="528">
        <f t="shared" si="36"/>
        <v>0</v>
      </c>
      <c r="H154" s="530">
        <f t="shared" si="33"/>
        <v>0</v>
      </c>
      <c r="I154" s="579">
        <f t="shared" si="34"/>
        <v>0</v>
      </c>
      <c r="J154" s="533">
        <f t="shared" si="37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  <c r="Q154" s="269"/>
    </row>
    <row r="155" spans="2:17" ht="12.5">
      <c r="C155" s="374" t="s">
        <v>78</v>
      </c>
      <c r="D155" s="375"/>
      <c r="E155" s="375">
        <f>SUM(E99:E154)</f>
        <v>1949836.51</v>
      </c>
      <c r="F155" s="375"/>
      <c r="G155" s="375"/>
      <c r="H155" s="375">
        <f>SUM(H99:H154)</f>
        <v>6866960.5194961354</v>
      </c>
      <c r="I155" s="375">
        <f>SUM(I99:I154)</f>
        <v>6866960.5194961354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7" priority="1" stopIfTrue="1" operator="equal">
      <formula>$I$10</formula>
    </cfRule>
  </conditionalFormatting>
  <conditionalFormatting sqref="C99:C154">
    <cfRule type="cellIs" dxfId="12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indexed="8"/>
  </sheetPr>
  <dimension ref="A1:Q162"/>
  <sheetViews>
    <sheetView view="pageBreakPreview" zoomScale="72" zoomScaleNormal="100" zoomScaleSheetLayoutView="72" workbookViewId="0">
      <selection activeCell="E25" sqref="E25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18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5">
      <c r="C6" s="274"/>
      <c r="D6" s="618" t="s">
        <v>270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265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145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601">
        <f t="shared" ref="G17:G48" si="1">+I$12*((D17+F17)/2)+E17</f>
        <v>0</v>
      </c>
      <c r="H17" s="491">
        <f t="shared" ref="H17:H48" si="2">+I$13*((D17+F17)/2)+E17</f>
        <v>0</v>
      </c>
      <c r="I17" s="511">
        <f t="shared" ref="I17:I48" si="3">H17-G17</f>
        <v>0</v>
      </c>
      <c r="J17" s="511"/>
      <c r="K17" s="512">
        <v>0</v>
      </c>
      <c r="L17" s="597">
        <f t="shared" ref="L17:L48" si="4">IF(K17&lt;&gt;0,+G17-K17,0)</f>
        <v>0</v>
      </c>
      <c r="M17" s="512">
        <v>0</v>
      </c>
      <c r="N17" s="513">
        <f t="shared" ref="N17:N48" si="5">IF(M17&lt;&gt;0,+H17-M17,0)</f>
        <v>0</v>
      </c>
      <c r="O17" s="514">
        <f t="shared" ref="O17:O48" si="6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2010</v>
      </c>
      <c r="D18" s="523">
        <f t="shared" ref="D18:D24" si="7">F17</f>
        <v>0</v>
      </c>
      <c r="E18" s="522">
        <f>IF(+I14&lt;F17,I14,D18)</f>
        <v>0</v>
      </c>
      <c r="F18" s="523">
        <f t="shared" si="0"/>
        <v>0</v>
      </c>
      <c r="G18" s="524">
        <f t="shared" si="1"/>
        <v>0</v>
      </c>
      <c r="H18" s="491">
        <f t="shared" si="2"/>
        <v>0</v>
      </c>
      <c r="I18" s="511">
        <f t="shared" si="3"/>
        <v>0</v>
      </c>
      <c r="J18" s="511"/>
      <c r="K18" s="525"/>
      <c r="L18" s="514">
        <f t="shared" si="4"/>
        <v>0</v>
      </c>
      <c r="M18" s="525"/>
      <c r="N18" s="514">
        <f t="shared" si="5"/>
        <v>0</v>
      </c>
      <c r="O18" s="514">
        <f t="shared" si="6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2011</v>
      </c>
      <c r="D19" s="523">
        <f t="shared" si="7"/>
        <v>0</v>
      </c>
      <c r="E19" s="522">
        <f>IF(+I14&lt;F18,I14,D19)</f>
        <v>0</v>
      </c>
      <c r="F19" s="523">
        <f t="shared" si="0"/>
        <v>0</v>
      </c>
      <c r="G19" s="524">
        <f t="shared" si="1"/>
        <v>0</v>
      </c>
      <c r="H19" s="491">
        <f t="shared" si="2"/>
        <v>0</v>
      </c>
      <c r="I19" s="511">
        <f t="shared" si="3"/>
        <v>0</v>
      </c>
      <c r="J19" s="511"/>
      <c r="K19" s="525"/>
      <c r="L19" s="514">
        <f t="shared" si="4"/>
        <v>0</v>
      </c>
      <c r="M19" s="525"/>
      <c r="N19" s="514">
        <f t="shared" si="5"/>
        <v>0</v>
      </c>
      <c r="O19" s="514">
        <f t="shared" si="6"/>
        <v>0</v>
      </c>
      <c r="P19" s="272"/>
    </row>
    <row r="20" spans="2:16" ht="12.5">
      <c r="B20" s="195" t="str">
        <f t="shared" ref="B20:B72" si="8">IF(D20=F19,"","IU")</f>
        <v/>
      </c>
      <c r="C20" s="507">
        <f>IF(D11="","-",+C19+1)</f>
        <v>2012</v>
      </c>
      <c r="D20" s="523">
        <f t="shared" si="7"/>
        <v>0</v>
      </c>
      <c r="E20" s="522">
        <f>IF(+I14&lt;F19,I14,D20)</f>
        <v>0</v>
      </c>
      <c r="F20" s="523">
        <f t="shared" si="0"/>
        <v>0</v>
      </c>
      <c r="G20" s="524">
        <f t="shared" si="1"/>
        <v>0</v>
      </c>
      <c r="H20" s="491">
        <f t="shared" si="2"/>
        <v>0</v>
      </c>
      <c r="I20" s="511">
        <f t="shared" si="3"/>
        <v>0</v>
      </c>
      <c r="J20" s="511"/>
      <c r="K20" s="525"/>
      <c r="L20" s="514">
        <f t="shared" si="4"/>
        <v>0</v>
      </c>
      <c r="M20" s="525"/>
      <c r="N20" s="514">
        <f t="shared" si="5"/>
        <v>0</v>
      </c>
      <c r="O20" s="514">
        <f t="shared" si="6"/>
        <v>0</v>
      </c>
      <c r="P20" s="272"/>
    </row>
    <row r="21" spans="2:16" ht="12.5">
      <c r="B21" s="195" t="str">
        <f t="shared" si="8"/>
        <v/>
      </c>
      <c r="C21" s="507">
        <f>IF(D12="","-",+C20+1)</f>
        <v>2013</v>
      </c>
      <c r="D21" s="523">
        <f t="shared" si="7"/>
        <v>0</v>
      </c>
      <c r="E21" s="522">
        <f>IF(+I14&lt;F20,I14,D21)</f>
        <v>0</v>
      </c>
      <c r="F21" s="523">
        <f t="shared" si="0"/>
        <v>0</v>
      </c>
      <c r="G21" s="524">
        <f t="shared" si="1"/>
        <v>0</v>
      </c>
      <c r="H21" s="491">
        <f t="shared" si="2"/>
        <v>0</v>
      </c>
      <c r="I21" s="511">
        <f t="shared" si="3"/>
        <v>0</v>
      </c>
      <c r="J21" s="511"/>
      <c r="K21" s="525"/>
      <c r="L21" s="514">
        <f t="shared" si="4"/>
        <v>0</v>
      </c>
      <c r="M21" s="525"/>
      <c r="N21" s="514">
        <f t="shared" si="5"/>
        <v>0</v>
      </c>
      <c r="O21" s="514">
        <f t="shared" si="6"/>
        <v>0</v>
      </c>
      <c r="P21" s="272"/>
    </row>
    <row r="22" spans="2:16" ht="12.5">
      <c r="B22" s="195" t="str">
        <f t="shared" si="8"/>
        <v/>
      </c>
      <c r="C22" s="507">
        <f>IF(D11="","-",+C21+1)</f>
        <v>2014</v>
      </c>
      <c r="D22" s="523">
        <f t="shared" si="7"/>
        <v>0</v>
      </c>
      <c r="E22" s="522">
        <f>IF(+I14&lt;F21,I14,D22)</f>
        <v>0</v>
      </c>
      <c r="F22" s="523">
        <f t="shared" si="0"/>
        <v>0</v>
      </c>
      <c r="G22" s="524">
        <f t="shared" si="1"/>
        <v>0</v>
      </c>
      <c r="H22" s="491">
        <f t="shared" si="2"/>
        <v>0</v>
      </c>
      <c r="I22" s="511">
        <f t="shared" si="3"/>
        <v>0</v>
      </c>
      <c r="J22" s="511"/>
      <c r="K22" s="525"/>
      <c r="L22" s="514">
        <f t="shared" si="4"/>
        <v>0</v>
      </c>
      <c r="M22" s="525"/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8"/>
        <v/>
      </c>
      <c r="C23" s="507">
        <f>IF(D11="","-",+C22+1)</f>
        <v>2015</v>
      </c>
      <c r="D23" s="523">
        <f t="shared" si="7"/>
        <v>0</v>
      </c>
      <c r="E23" s="522">
        <f>IF(+I14&lt;F22,I14,D23)</f>
        <v>0</v>
      </c>
      <c r="F23" s="523">
        <f t="shared" si="0"/>
        <v>0</v>
      </c>
      <c r="G23" s="524">
        <f t="shared" si="1"/>
        <v>0</v>
      </c>
      <c r="H23" s="491">
        <f t="shared" si="2"/>
        <v>0</v>
      </c>
      <c r="I23" s="511">
        <f t="shared" si="3"/>
        <v>0</v>
      </c>
      <c r="J23" s="511"/>
      <c r="K23" s="525"/>
      <c r="L23" s="514">
        <f t="shared" si="4"/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8"/>
        <v/>
      </c>
      <c r="C24" s="507">
        <f>IF(D11="","-",+C23+1)</f>
        <v>2016</v>
      </c>
      <c r="D24" s="523">
        <f t="shared" si="7"/>
        <v>0</v>
      </c>
      <c r="E24" s="522">
        <f>IF(+I14&lt;F23,I14,D24)</f>
        <v>0</v>
      </c>
      <c r="F24" s="523">
        <f t="shared" si="0"/>
        <v>0</v>
      </c>
      <c r="G24" s="524">
        <f t="shared" si="1"/>
        <v>0</v>
      </c>
      <c r="H24" s="491">
        <f t="shared" si="2"/>
        <v>0</v>
      </c>
      <c r="I24" s="511">
        <f t="shared" si="3"/>
        <v>0</v>
      </c>
      <c r="J24" s="511"/>
      <c r="K24" s="525"/>
      <c r="L24" s="514">
        <f t="shared" si="4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8"/>
        <v/>
      </c>
      <c r="C25" s="507">
        <f>IF(D11="","-",+C24+1)</f>
        <v>2017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1"/>
        <v>0</v>
      </c>
      <c r="H25" s="491">
        <f t="shared" si="2"/>
        <v>0</v>
      </c>
      <c r="I25" s="511">
        <f t="shared" si="3"/>
        <v>0</v>
      </c>
      <c r="J25" s="511"/>
      <c r="K25" s="525"/>
      <c r="L25" s="514">
        <f t="shared" si="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8"/>
        <v/>
      </c>
      <c r="C26" s="507">
        <f>IF(D11="","-",+C25+1)</f>
        <v>2018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1"/>
        <v>0</v>
      </c>
      <c r="H26" s="491">
        <f t="shared" si="2"/>
        <v>0</v>
      </c>
      <c r="I26" s="511">
        <f t="shared" si="3"/>
        <v>0</v>
      </c>
      <c r="J26" s="511"/>
      <c r="K26" s="525"/>
      <c r="L26" s="514">
        <f t="shared" si="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8"/>
        <v/>
      </c>
      <c r="C27" s="507">
        <f>IF(D11="","-",+C26+1)</f>
        <v>2019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1"/>
        <v>0</v>
      </c>
      <c r="H27" s="491">
        <f t="shared" si="2"/>
        <v>0</v>
      </c>
      <c r="I27" s="511">
        <f t="shared" si="3"/>
        <v>0</v>
      </c>
      <c r="J27" s="511"/>
      <c r="K27" s="525"/>
      <c r="L27" s="514">
        <f t="shared" si="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8"/>
        <v/>
      </c>
      <c r="C28" s="507">
        <f>IF(D11="","-",+C27+1)</f>
        <v>2020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1"/>
        <v>0</v>
      </c>
      <c r="H28" s="491">
        <f t="shared" si="2"/>
        <v>0</v>
      </c>
      <c r="I28" s="511">
        <f t="shared" si="3"/>
        <v>0</v>
      </c>
      <c r="J28" s="511"/>
      <c r="K28" s="525"/>
      <c r="L28" s="514">
        <f t="shared" si="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8"/>
        <v/>
      </c>
      <c r="C29" s="507">
        <f>IF(D11="","-",+C28+1)</f>
        <v>2021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1"/>
        <v>0</v>
      </c>
      <c r="H29" s="491">
        <f t="shared" si="2"/>
        <v>0</v>
      </c>
      <c r="I29" s="511">
        <f t="shared" si="3"/>
        <v>0</v>
      </c>
      <c r="J29" s="511"/>
      <c r="K29" s="525"/>
      <c r="L29" s="514">
        <f t="shared" si="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8"/>
        <v/>
      </c>
      <c r="C30" s="507">
        <f>IF(D11="","-",+C29+1)</f>
        <v>2022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1"/>
        <v>0</v>
      </c>
      <c r="H30" s="491">
        <f t="shared" si="2"/>
        <v>0</v>
      </c>
      <c r="I30" s="511">
        <f t="shared" si="3"/>
        <v>0</v>
      </c>
      <c r="J30" s="511"/>
      <c r="K30" s="525"/>
      <c r="L30" s="514">
        <f t="shared" si="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8"/>
        <v/>
      </c>
      <c r="C31" s="507">
        <f>IF(D11="","-",+C30+1)</f>
        <v>2023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1"/>
        <v>0</v>
      </c>
      <c r="H31" s="491">
        <f t="shared" si="2"/>
        <v>0</v>
      </c>
      <c r="I31" s="511">
        <f t="shared" si="3"/>
        <v>0</v>
      </c>
      <c r="J31" s="511"/>
      <c r="K31" s="525"/>
      <c r="L31" s="514">
        <f t="shared" si="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8"/>
        <v/>
      </c>
      <c r="C32" s="507">
        <f>IF(D11="","-",+C31+1)</f>
        <v>2024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1"/>
        <v>0</v>
      </c>
      <c r="H32" s="491">
        <f t="shared" si="2"/>
        <v>0</v>
      </c>
      <c r="I32" s="511">
        <f t="shared" si="3"/>
        <v>0</v>
      </c>
      <c r="J32" s="511"/>
      <c r="K32" s="525"/>
      <c r="L32" s="514">
        <f t="shared" si="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8"/>
        <v/>
      </c>
      <c r="C33" s="507">
        <f>IF(D11="","-",+C32+1)</f>
        <v>2025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1"/>
        <v>0</v>
      </c>
      <c r="H33" s="491">
        <f t="shared" si="2"/>
        <v>0</v>
      </c>
      <c r="I33" s="511">
        <f t="shared" si="3"/>
        <v>0</v>
      </c>
      <c r="J33" s="511"/>
      <c r="K33" s="525"/>
      <c r="L33" s="514">
        <f t="shared" si="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8"/>
        <v/>
      </c>
      <c r="C34" s="507">
        <f>IF(D11="","-",+C33+1)</f>
        <v>2026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1"/>
        <v>0</v>
      </c>
      <c r="H34" s="491">
        <f t="shared" si="2"/>
        <v>0</v>
      </c>
      <c r="I34" s="511">
        <f t="shared" si="3"/>
        <v>0</v>
      </c>
      <c r="J34" s="511"/>
      <c r="K34" s="525"/>
      <c r="L34" s="514">
        <f t="shared" si="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8"/>
        <v/>
      </c>
      <c r="C35" s="507">
        <f>IF(D11="","-",+C34+1)</f>
        <v>2027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1"/>
        <v>0</v>
      </c>
      <c r="H35" s="491">
        <f t="shared" si="2"/>
        <v>0</v>
      </c>
      <c r="I35" s="511">
        <f t="shared" si="3"/>
        <v>0</v>
      </c>
      <c r="J35" s="511"/>
      <c r="K35" s="525"/>
      <c r="L35" s="514">
        <f t="shared" si="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8"/>
        <v/>
      </c>
      <c r="C36" s="507">
        <f>IF(D11="","-",+C35+1)</f>
        <v>2028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1"/>
        <v>0</v>
      </c>
      <c r="H36" s="491">
        <f t="shared" si="2"/>
        <v>0</v>
      </c>
      <c r="I36" s="511">
        <f t="shared" si="3"/>
        <v>0</v>
      </c>
      <c r="J36" s="511"/>
      <c r="K36" s="525"/>
      <c r="L36" s="514">
        <f t="shared" si="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8"/>
        <v/>
      </c>
      <c r="C37" s="507">
        <f>IF(D11="","-",+C36+1)</f>
        <v>2029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1"/>
        <v>0</v>
      </c>
      <c r="H37" s="491">
        <f t="shared" si="2"/>
        <v>0</v>
      </c>
      <c r="I37" s="511">
        <f t="shared" si="3"/>
        <v>0</v>
      </c>
      <c r="J37" s="511"/>
      <c r="K37" s="525"/>
      <c r="L37" s="514">
        <f t="shared" si="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8"/>
        <v/>
      </c>
      <c r="C38" s="507">
        <f>IF(D11="","-",+C37+1)</f>
        <v>2030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1"/>
        <v>0</v>
      </c>
      <c r="H38" s="491">
        <f t="shared" si="2"/>
        <v>0</v>
      </c>
      <c r="I38" s="511">
        <f t="shared" si="3"/>
        <v>0</v>
      </c>
      <c r="J38" s="511"/>
      <c r="K38" s="525"/>
      <c r="L38" s="514">
        <f t="shared" si="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8"/>
        <v/>
      </c>
      <c r="C39" s="507">
        <f>IF(D11="","-",+C38+1)</f>
        <v>2031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1"/>
        <v>0</v>
      </c>
      <c r="H39" s="491">
        <f t="shared" si="2"/>
        <v>0</v>
      </c>
      <c r="I39" s="511">
        <f t="shared" si="3"/>
        <v>0</v>
      </c>
      <c r="J39" s="511"/>
      <c r="K39" s="525"/>
      <c r="L39" s="514">
        <f t="shared" si="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8"/>
        <v/>
      </c>
      <c r="C40" s="507">
        <f>IF(D11="","-",+C39+1)</f>
        <v>2032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1"/>
        <v>0</v>
      </c>
      <c r="H40" s="491">
        <f t="shared" si="2"/>
        <v>0</v>
      </c>
      <c r="I40" s="511">
        <f t="shared" si="3"/>
        <v>0</v>
      </c>
      <c r="J40" s="511"/>
      <c r="K40" s="525"/>
      <c r="L40" s="514">
        <f t="shared" si="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8"/>
        <v/>
      </c>
      <c r="C41" s="507">
        <f>IF(D11="","-",+C40+1)</f>
        <v>2033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1"/>
        <v>0</v>
      </c>
      <c r="H41" s="491">
        <f t="shared" si="2"/>
        <v>0</v>
      </c>
      <c r="I41" s="511">
        <f t="shared" si="3"/>
        <v>0</v>
      </c>
      <c r="J41" s="511"/>
      <c r="K41" s="525"/>
      <c r="L41" s="514">
        <f t="shared" si="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8"/>
        <v/>
      </c>
      <c r="C42" s="507">
        <f>IF(D11="","-",+C41+1)</f>
        <v>2034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1"/>
        <v>0</v>
      </c>
      <c r="H42" s="491">
        <f t="shared" si="2"/>
        <v>0</v>
      </c>
      <c r="I42" s="511">
        <f t="shared" si="3"/>
        <v>0</v>
      </c>
      <c r="J42" s="511"/>
      <c r="K42" s="525"/>
      <c r="L42" s="514">
        <f t="shared" si="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8"/>
        <v/>
      </c>
      <c r="C43" s="507">
        <f>IF(D11="","-",+C42+1)</f>
        <v>2035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1"/>
        <v>0</v>
      </c>
      <c r="H43" s="491">
        <f t="shared" si="2"/>
        <v>0</v>
      </c>
      <c r="I43" s="511">
        <f t="shared" si="3"/>
        <v>0</v>
      </c>
      <c r="J43" s="511"/>
      <c r="K43" s="525"/>
      <c r="L43" s="514">
        <f t="shared" si="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8"/>
        <v/>
      </c>
      <c r="C44" s="507">
        <f>IF(D11="","-",+C43+1)</f>
        <v>2036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1"/>
        <v>0</v>
      </c>
      <c r="H44" s="491">
        <f t="shared" si="2"/>
        <v>0</v>
      </c>
      <c r="I44" s="511">
        <f t="shared" si="3"/>
        <v>0</v>
      </c>
      <c r="J44" s="511"/>
      <c r="K44" s="525"/>
      <c r="L44" s="514">
        <f t="shared" si="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8"/>
        <v/>
      </c>
      <c r="C45" s="507">
        <f>IF(D11="","-",+C44+1)</f>
        <v>2037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1"/>
        <v>0</v>
      </c>
      <c r="H45" s="491">
        <f t="shared" si="2"/>
        <v>0</v>
      </c>
      <c r="I45" s="511">
        <f t="shared" si="3"/>
        <v>0</v>
      </c>
      <c r="J45" s="511"/>
      <c r="K45" s="525"/>
      <c r="L45" s="514">
        <f t="shared" si="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8"/>
        <v/>
      </c>
      <c r="C46" s="507">
        <f>IF(D11="","-",+C45+1)</f>
        <v>2038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1"/>
        <v>0</v>
      </c>
      <c r="H46" s="491">
        <f t="shared" si="2"/>
        <v>0</v>
      </c>
      <c r="I46" s="511">
        <f t="shared" si="3"/>
        <v>0</v>
      </c>
      <c r="J46" s="511"/>
      <c r="K46" s="525"/>
      <c r="L46" s="514">
        <f t="shared" si="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8"/>
        <v/>
      </c>
      <c r="C47" s="507">
        <f>IF(D11="","-",+C46+1)</f>
        <v>2039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1"/>
        <v>0</v>
      </c>
      <c r="H47" s="491">
        <f t="shared" si="2"/>
        <v>0</v>
      </c>
      <c r="I47" s="511">
        <f t="shared" si="3"/>
        <v>0</v>
      </c>
      <c r="J47" s="511"/>
      <c r="K47" s="525"/>
      <c r="L47" s="514">
        <f t="shared" si="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8"/>
        <v/>
      </c>
      <c r="C48" s="507">
        <f>IF(D11="","-",+C47+1)</f>
        <v>2040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1"/>
        <v>0</v>
      </c>
      <c r="H48" s="491">
        <f t="shared" si="2"/>
        <v>0</v>
      </c>
      <c r="I48" s="511">
        <f t="shared" si="3"/>
        <v>0</v>
      </c>
      <c r="J48" s="511"/>
      <c r="K48" s="525"/>
      <c r="L48" s="514">
        <f t="shared" si="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7" ht="12.5">
      <c r="B49" s="195" t="str">
        <f t="shared" si="8"/>
        <v/>
      </c>
      <c r="C49" s="507">
        <f>IF(D11="","-",+C48+1)</f>
        <v>2041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ref="G49:G72" si="10">+I$12*((D49+F49)/2)+E49</f>
        <v>0</v>
      </c>
      <c r="H49" s="491">
        <f t="shared" ref="H49:H72" si="11">+I$13*((D49+F49)/2)+E49</f>
        <v>0</v>
      </c>
      <c r="I49" s="511">
        <f t="shared" ref="I49:I72" si="12">H49-G49</f>
        <v>0</v>
      </c>
      <c r="J49" s="511"/>
      <c r="K49" s="525"/>
      <c r="L49" s="514">
        <f t="shared" ref="L49:L72" si="13">IF(K49&lt;&gt;0,+G49-K49,0)</f>
        <v>0</v>
      </c>
      <c r="M49" s="525"/>
      <c r="N49" s="514">
        <f t="shared" ref="N49:N72" si="14">IF(M49&lt;&gt;0,+H49-M49,0)</f>
        <v>0</v>
      </c>
      <c r="O49" s="514">
        <f t="shared" ref="O49:O72" si="15">+N49-L49</f>
        <v>0</v>
      </c>
      <c r="P49" s="272"/>
    </row>
    <row r="50" spans="2:17" ht="12.5">
      <c r="B50" s="195" t="str">
        <f t="shared" si="8"/>
        <v/>
      </c>
      <c r="C50" s="507">
        <f>IF(D11="","-",+C49+1)</f>
        <v>2042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10"/>
        <v>0</v>
      </c>
      <c r="H50" s="491">
        <f t="shared" si="11"/>
        <v>0</v>
      </c>
      <c r="I50" s="511">
        <f t="shared" si="12"/>
        <v>0</v>
      </c>
      <c r="J50" s="511"/>
      <c r="K50" s="525"/>
      <c r="L50" s="514">
        <f t="shared" si="13"/>
        <v>0</v>
      </c>
      <c r="M50" s="525"/>
      <c r="N50" s="514">
        <f t="shared" si="14"/>
        <v>0</v>
      </c>
      <c r="O50" s="514">
        <f t="shared" si="15"/>
        <v>0</v>
      </c>
      <c r="P50" s="272"/>
    </row>
    <row r="51" spans="2:17" ht="12.5">
      <c r="B51" s="195" t="str">
        <f t="shared" si="8"/>
        <v/>
      </c>
      <c r="C51" s="507">
        <f>IF(D11="","-",+C50+1)</f>
        <v>2043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10"/>
        <v>0</v>
      </c>
      <c r="H51" s="491">
        <f t="shared" si="11"/>
        <v>0</v>
      </c>
      <c r="I51" s="511">
        <f t="shared" si="12"/>
        <v>0</v>
      </c>
      <c r="J51" s="511"/>
      <c r="K51" s="525"/>
      <c r="L51" s="514">
        <f t="shared" si="13"/>
        <v>0</v>
      </c>
      <c r="M51" s="525"/>
      <c r="N51" s="514">
        <f t="shared" si="14"/>
        <v>0</v>
      </c>
      <c r="O51" s="514">
        <f t="shared" si="15"/>
        <v>0</v>
      </c>
      <c r="P51" s="272"/>
    </row>
    <row r="52" spans="2:17" ht="12.5">
      <c r="B52" s="195" t="str">
        <f t="shared" si="8"/>
        <v/>
      </c>
      <c r="C52" s="507">
        <f>IF(D11="","-",+C51+1)</f>
        <v>2044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10"/>
        <v>0</v>
      </c>
      <c r="H52" s="491">
        <f t="shared" si="11"/>
        <v>0</v>
      </c>
      <c r="I52" s="511">
        <f t="shared" si="12"/>
        <v>0</v>
      </c>
      <c r="J52" s="511"/>
      <c r="K52" s="525"/>
      <c r="L52" s="514">
        <f t="shared" si="13"/>
        <v>0</v>
      </c>
      <c r="M52" s="525"/>
      <c r="N52" s="514">
        <f t="shared" si="14"/>
        <v>0</v>
      </c>
      <c r="O52" s="514">
        <f t="shared" si="15"/>
        <v>0</v>
      </c>
      <c r="P52" s="272"/>
    </row>
    <row r="53" spans="2:17" ht="12.5">
      <c r="B53" s="195" t="str">
        <f t="shared" si="8"/>
        <v/>
      </c>
      <c r="C53" s="507">
        <f>IF(D11="","-",+C52+1)</f>
        <v>2045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10"/>
        <v>0</v>
      </c>
      <c r="H53" s="491">
        <f t="shared" si="11"/>
        <v>0</v>
      </c>
      <c r="I53" s="511">
        <f t="shared" si="12"/>
        <v>0</v>
      </c>
      <c r="J53" s="511"/>
      <c r="K53" s="525"/>
      <c r="L53" s="514">
        <f t="shared" si="13"/>
        <v>0</v>
      </c>
      <c r="M53" s="525"/>
      <c r="N53" s="514">
        <f t="shared" si="14"/>
        <v>0</v>
      </c>
      <c r="O53" s="514">
        <f t="shared" si="15"/>
        <v>0</v>
      </c>
      <c r="P53" s="272"/>
    </row>
    <row r="54" spans="2:17" ht="12.5">
      <c r="B54" s="195" t="str">
        <f t="shared" si="8"/>
        <v/>
      </c>
      <c r="C54" s="507">
        <f>IF(D11="","-",+C53+1)</f>
        <v>2046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10"/>
        <v>0</v>
      </c>
      <c r="H54" s="491">
        <f t="shared" si="11"/>
        <v>0</v>
      </c>
      <c r="I54" s="511">
        <f t="shared" si="12"/>
        <v>0</v>
      </c>
      <c r="J54" s="511"/>
      <c r="K54" s="525"/>
      <c r="L54" s="514">
        <f t="shared" si="13"/>
        <v>0</v>
      </c>
      <c r="M54" s="525"/>
      <c r="N54" s="514">
        <f t="shared" si="14"/>
        <v>0</v>
      </c>
      <c r="O54" s="514">
        <f t="shared" si="15"/>
        <v>0</v>
      </c>
      <c r="P54" s="272"/>
    </row>
    <row r="55" spans="2:17" ht="12.5">
      <c r="B55" s="195" t="str">
        <f t="shared" si="8"/>
        <v/>
      </c>
      <c r="C55" s="507">
        <f>IF(D11="","-",+C54+1)</f>
        <v>2047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10"/>
        <v>0</v>
      </c>
      <c r="H55" s="491">
        <f t="shared" si="11"/>
        <v>0</v>
      </c>
      <c r="I55" s="511">
        <f t="shared" si="12"/>
        <v>0</v>
      </c>
      <c r="J55" s="511"/>
      <c r="K55" s="525"/>
      <c r="L55" s="514">
        <f t="shared" si="13"/>
        <v>0</v>
      </c>
      <c r="M55" s="525"/>
      <c r="N55" s="514">
        <f t="shared" si="14"/>
        <v>0</v>
      </c>
      <c r="O55" s="514">
        <f t="shared" si="15"/>
        <v>0</v>
      </c>
      <c r="P55" s="272"/>
    </row>
    <row r="56" spans="2:17" ht="12.5">
      <c r="B56" s="195" t="str">
        <f t="shared" si="8"/>
        <v/>
      </c>
      <c r="C56" s="507">
        <f>IF(D11="","-",+C55+1)</f>
        <v>2048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10"/>
        <v>0</v>
      </c>
      <c r="H56" s="491">
        <f t="shared" si="11"/>
        <v>0</v>
      </c>
      <c r="I56" s="511">
        <f t="shared" si="12"/>
        <v>0</v>
      </c>
      <c r="J56" s="511"/>
      <c r="K56" s="525"/>
      <c r="L56" s="514">
        <f t="shared" si="13"/>
        <v>0</v>
      </c>
      <c r="M56" s="525"/>
      <c r="N56" s="514">
        <f t="shared" si="14"/>
        <v>0</v>
      </c>
      <c r="O56" s="514">
        <f t="shared" si="15"/>
        <v>0</v>
      </c>
      <c r="P56" s="272"/>
    </row>
    <row r="57" spans="2:17" ht="12.5">
      <c r="B57" s="195" t="str">
        <f t="shared" si="8"/>
        <v/>
      </c>
      <c r="C57" s="507">
        <f>IF(D11="","-",+C56+1)</f>
        <v>2049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10"/>
        <v>0</v>
      </c>
      <c r="H57" s="491">
        <f t="shared" si="11"/>
        <v>0</v>
      </c>
      <c r="I57" s="511">
        <f t="shared" si="12"/>
        <v>0</v>
      </c>
      <c r="J57" s="511"/>
      <c r="K57" s="525"/>
      <c r="L57" s="514">
        <f t="shared" si="13"/>
        <v>0</v>
      </c>
      <c r="M57" s="525"/>
      <c r="N57" s="514">
        <f t="shared" si="14"/>
        <v>0</v>
      </c>
      <c r="O57" s="514">
        <f t="shared" si="15"/>
        <v>0</v>
      </c>
      <c r="P57" s="272"/>
    </row>
    <row r="58" spans="2:17" ht="12.5">
      <c r="B58" s="195" t="str">
        <f t="shared" si="8"/>
        <v/>
      </c>
      <c r="C58" s="507">
        <f>IF(D11="","-",+C57+1)</f>
        <v>2050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10"/>
        <v>0</v>
      </c>
      <c r="H58" s="491">
        <f t="shared" si="11"/>
        <v>0</v>
      </c>
      <c r="I58" s="511">
        <f t="shared" si="12"/>
        <v>0</v>
      </c>
      <c r="J58" s="511"/>
      <c r="K58" s="525"/>
      <c r="L58" s="514">
        <f t="shared" si="13"/>
        <v>0</v>
      </c>
      <c r="M58" s="525"/>
      <c r="N58" s="514">
        <f t="shared" si="14"/>
        <v>0</v>
      </c>
      <c r="O58" s="514">
        <f t="shared" si="1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8"/>
        <v/>
      </c>
      <c r="C59" s="507">
        <f>IF(D11="","-",+C58+1)</f>
        <v>2051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10"/>
        <v>0</v>
      </c>
      <c r="H59" s="491">
        <f t="shared" si="11"/>
        <v>0</v>
      </c>
      <c r="I59" s="511">
        <f t="shared" si="12"/>
        <v>0</v>
      </c>
      <c r="J59" s="511"/>
      <c r="K59" s="525"/>
      <c r="L59" s="514">
        <f t="shared" si="13"/>
        <v>0</v>
      </c>
      <c r="M59" s="525"/>
      <c r="N59" s="514">
        <f t="shared" si="14"/>
        <v>0</v>
      </c>
      <c r="O59" s="514">
        <f t="shared" si="15"/>
        <v>0</v>
      </c>
      <c r="P59" s="272"/>
    </row>
    <row r="60" spans="2:17" ht="12.5">
      <c r="B60" s="195" t="str">
        <f t="shared" si="8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10"/>
        <v>0</v>
      </c>
      <c r="H60" s="491">
        <f t="shared" si="11"/>
        <v>0</v>
      </c>
      <c r="I60" s="511">
        <f t="shared" si="12"/>
        <v>0</v>
      </c>
      <c r="J60" s="511"/>
      <c r="K60" s="525"/>
      <c r="L60" s="514">
        <f t="shared" si="13"/>
        <v>0</v>
      </c>
      <c r="M60" s="525"/>
      <c r="N60" s="514">
        <f t="shared" si="14"/>
        <v>0</v>
      </c>
      <c r="O60" s="514">
        <f t="shared" si="15"/>
        <v>0</v>
      </c>
      <c r="P60" s="272"/>
    </row>
    <row r="61" spans="2:17" ht="12.5">
      <c r="B61" s="195" t="str">
        <f t="shared" si="8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10"/>
        <v>0</v>
      </c>
      <c r="H61" s="491">
        <f t="shared" si="11"/>
        <v>0</v>
      </c>
      <c r="I61" s="511">
        <f t="shared" si="12"/>
        <v>0</v>
      </c>
      <c r="J61" s="511"/>
      <c r="K61" s="525"/>
      <c r="L61" s="514">
        <f t="shared" si="13"/>
        <v>0</v>
      </c>
      <c r="M61" s="525"/>
      <c r="N61" s="514">
        <f t="shared" si="14"/>
        <v>0</v>
      </c>
      <c r="O61" s="514">
        <f t="shared" si="15"/>
        <v>0</v>
      </c>
      <c r="P61" s="272"/>
    </row>
    <row r="62" spans="2:17" ht="12.5">
      <c r="B62" s="195" t="str">
        <f t="shared" si="8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10"/>
        <v>0</v>
      </c>
      <c r="H62" s="491">
        <f t="shared" si="11"/>
        <v>0</v>
      </c>
      <c r="I62" s="511">
        <f t="shared" si="12"/>
        <v>0</v>
      </c>
      <c r="J62" s="511"/>
      <c r="K62" s="525"/>
      <c r="L62" s="514">
        <f t="shared" si="13"/>
        <v>0</v>
      </c>
      <c r="M62" s="525"/>
      <c r="N62" s="514">
        <f t="shared" si="14"/>
        <v>0</v>
      </c>
      <c r="O62" s="514">
        <f t="shared" si="15"/>
        <v>0</v>
      </c>
      <c r="P62" s="272"/>
    </row>
    <row r="63" spans="2:17" ht="12.5">
      <c r="B63" s="195" t="str">
        <f t="shared" si="8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10"/>
        <v>0</v>
      </c>
      <c r="H63" s="491">
        <f t="shared" si="11"/>
        <v>0</v>
      </c>
      <c r="I63" s="511">
        <f t="shared" si="12"/>
        <v>0</v>
      </c>
      <c r="J63" s="511"/>
      <c r="K63" s="525"/>
      <c r="L63" s="514">
        <f t="shared" si="13"/>
        <v>0</v>
      </c>
      <c r="M63" s="525"/>
      <c r="N63" s="514">
        <f t="shared" si="14"/>
        <v>0</v>
      </c>
      <c r="O63" s="514">
        <f t="shared" si="15"/>
        <v>0</v>
      </c>
      <c r="P63" s="272"/>
    </row>
    <row r="64" spans="2:17" ht="12.5">
      <c r="B64" s="195" t="str">
        <f t="shared" si="8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10"/>
        <v>0</v>
      </c>
      <c r="H64" s="491">
        <f t="shared" si="11"/>
        <v>0</v>
      </c>
      <c r="I64" s="511">
        <f t="shared" si="12"/>
        <v>0</v>
      </c>
      <c r="J64" s="511"/>
      <c r="K64" s="525"/>
      <c r="L64" s="514">
        <f t="shared" si="13"/>
        <v>0</v>
      </c>
      <c r="M64" s="525"/>
      <c r="N64" s="514">
        <f t="shared" si="14"/>
        <v>0</v>
      </c>
      <c r="O64" s="514">
        <f t="shared" si="15"/>
        <v>0</v>
      </c>
      <c r="P64" s="272"/>
    </row>
    <row r="65" spans="1:16" ht="12.5">
      <c r="B65" s="195" t="str">
        <f t="shared" si="8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10"/>
        <v>0</v>
      </c>
      <c r="H65" s="491">
        <f t="shared" si="11"/>
        <v>0</v>
      </c>
      <c r="I65" s="511">
        <f t="shared" si="12"/>
        <v>0</v>
      </c>
      <c r="J65" s="511"/>
      <c r="K65" s="525"/>
      <c r="L65" s="514">
        <f t="shared" si="13"/>
        <v>0</v>
      </c>
      <c r="M65" s="525"/>
      <c r="N65" s="514">
        <f t="shared" si="14"/>
        <v>0</v>
      </c>
      <c r="O65" s="514">
        <f t="shared" si="15"/>
        <v>0</v>
      </c>
      <c r="P65" s="272"/>
    </row>
    <row r="66" spans="1:16" ht="12.5">
      <c r="B66" s="195" t="str">
        <f t="shared" si="8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10"/>
        <v>0</v>
      </c>
      <c r="H66" s="491">
        <f t="shared" si="11"/>
        <v>0</v>
      </c>
      <c r="I66" s="511">
        <f t="shared" si="12"/>
        <v>0</v>
      </c>
      <c r="J66" s="511"/>
      <c r="K66" s="525"/>
      <c r="L66" s="514">
        <f t="shared" si="13"/>
        <v>0</v>
      </c>
      <c r="M66" s="525"/>
      <c r="N66" s="514">
        <f t="shared" si="14"/>
        <v>0</v>
      </c>
      <c r="O66" s="514">
        <f t="shared" si="15"/>
        <v>0</v>
      </c>
      <c r="P66" s="272"/>
    </row>
    <row r="67" spans="1:16" ht="12.5">
      <c r="B67" s="195" t="str">
        <f t="shared" si="8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10"/>
        <v>0</v>
      </c>
      <c r="H67" s="491">
        <f t="shared" si="11"/>
        <v>0</v>
      </c>
      <c r="I67" s="511">
        <f t="shared" si="12"/>
        <v>0</v>
      </c>
      <c r="J67" s="511"/>
      <c r="K67" s="525"/>
      <c r="L67" s="514">
        <f t="shared" si="13"/>
        <v>0</v>
      </c>
      <c r="M67" s="525"/>
      <c r="N67" s="514">
        <f t="shared" si="14"/>
        <v>0</v>
      </c>
      <c r="O67" s="514">
        <f t="shared" si="15"/>
        <v>0</v>
      </c>
      <c r="P67" s="272"/>
    </row>
    <row r="68" spans="1:16" ht="12.5">
      <c r="B68" s="195" t="str">
        <f t="shared" si="8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10"/>
        <v>0</v>
      </c>
      <c r="H68" s="491">
        <f t="shared" si="11"/>
        <v>0</v>
      </c>
      <c r="I68" s="511">
        <f t="shared" si="12"/>
        <v>0</v>
      </c>
      <c r="J68" s="511"/>
      <c r="K68" s="525"/>
      <c r="L68" s="514">
        <f t="shared" si="13"/>
        <v>0</v>
      </c>
      <c r="M68" s="525"/>
      <c r="N68" s="514">
        <f t="shared" si="14"/>
        <v>0</v>
      </c>
      <c r="O68" s="514">
        <f t="shared" si="15"/>
        <v>0</v>
      </c>
      <c r="P68" s="272"/>
    </row>
    <row r="69" spans="1:16" ht="12.5">
      <c r="B69" s="195" t="str">
        <f t="shared" si="8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10"/>
        <v>0</v>
      </c>
      <c r="H69" s="491">
        <f t="shared" si="11"/>
        <v>0</v>
      </c>
      <c r="I69" s="511">
        <f t="shared" si="12"/>
        <v>0</v>
      </c>
      <c r="J69" s="511"/>
      <c r="K69" s="525"/>
      <c r="L69" s="514">
        <f t="shared" si="13"/>
        <v>0</v>
      </c>
      <c r="M69" s="525"/>
      <c r="N69" s="514">
        <f t="shared" si="14"/>
        <v>0</v>
      </c>
      <c r="O69" s="514">
        <f t="shared" si="15"/>
        <v>0</v>
      </c>
      <c r="P69" s="272"/>
    </row>
    <row r="70" spans="1:16" ht="12.5">
      <c r="B70" s="195" t="str">
        <f t="shared" si="8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10"/>
        <v>0</v>
      </c>
      <c r="H70" s="491">
        <f t="shared" si="11"/>
        <v>0</v>
      </c>
      <c r="I70" s="511">
        <f t="shared" si="12"/>
        <v>0</v>
      </c>
      <c r="J70" s="511"/>
      <c r="K70" s="525"/>
      <c r="L70" s="514">
        <f t="shared" si="13"/>
        <v>0</v>
      </c>
      <c r="M70" s="525"/>
      <c r="N70" s="514">
        <f t="shared" si="14"/>
        <v>0</v>
      </c>
      <c r="O70" s="514">
        <f t="shared" si="15"/>
        <v>0</v>
      </c>
      <c r="P70" s="272"/>
    </row>
    <row r="71" spans="1:16" ht="12.5">
      <c r="B71" s="195" t="str">
        <f t="shared" si="8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10"/>
        <v>0</v>
      </c>
      <c r="H71" s="491">
        <f t="shared" si="11"/>
        <v>0</v>
      </c>
      <c r="I71" s="511">
        <f t="shared" si="12"/>
        <v>0</v>
      </c>
      <c r="J71" s="511"/>
      <c r="K71" s="525"/>
      <c r="L71" s="514">
        <f t="shared" si="13"/>
        <v>0</v>
      </c>
      <c r="M71" s="525"/>
      <c r="N71" s="514">
        <f t="shared" si="14"/>
        <v>0</v>
      </c>
      <c r="O71" s="514">
        <f t="shared" si="15"/>
        <v>0</v>
      </c>
      <c r="P71" s="272"/>
    </row>
    <row r="72" spans="1:16" ht="13" thickBot="1">
      <c r="B72" s="195" t="str">
        <f t="shared" si="8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10"/>
        <v>0</v>
      </c>
      <c r="H72" s="471">
        <f t="shared" si="11"/>
        <v>0</v>
      </c>
      <c r="I72" s="531">
        <f t="shared" si="12"/>
        <v>0</v>
      </c>
      <c r="J72" s="511"/>
      <c r="K72" s="532"/>
      <c r="L72" s="533">
        <f t="shared" si="13"/>
        <v>0</v>
      </c>
      <c r="M72" s="532"/>
      <c r="N72" s="533">
        <f t="shared" si="14"/>
        <v>0</v>
      </c>
      <c r="O72" s="533">
        <f t="shared" si="15"/>
        <v>0</v>
      </c>
      <c r="P72" s="272"/>
    </row>
    <row r="73" spans="1:16" ht="12.5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18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Port Robson (SW 138 kV Loop -- 2008)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TP2007165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6">+(F99+D99)/2</f>
        <v>0</v>
      </c>
      <c r="H99" s="604">
        <f t="shared" ref="H99:H112" si="17">+J$94*G99+E99</f>
        <v>0</v>
      </c>
      <c r="I99" s="605">
        <f t="shared" ref="I99:I112" si="18">+J$95*G99+E99</f>
        <v>0</v>
      </c>
      <c r="J99" s="514">
        <f t="shared" ref="J99:J130" si="19">+I99-H99</f>
        <v>0</v>
      </c>
      <c r="K99" s="514"/>
      <c r="L99" s="619"/>
      <c r="M99" s="513">
        <f t="shared" ref="M99:M130" si="20">IF(L99&lt;&gt;0,+H99-L99,0)</f>
        <v>0</v>
      </c>
      <c r="N99" s="619"/>
      <c r="O99" s="513">
        <f t="shared" ref="O99:O130" si="21">IF(N99&lt;&gt;0,+I99-N99,0)</f>
        <v>0</v>
      </c>
      <c r="P99" s="513">
        <f t="shared" ref="P99:P130" si="22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2010</v>
      </c>
      <c r="D100" s="374">
        <f t="shared" ref="D100:D109" si="23">F99</f>
        <v>0</v>
      </c>
      <c r="E100" s="522">
        <f>IF(+J96&lt;F99,J96,D100)</f>
        <v>0</v>
      </c>
      <c r="F100" s="523">
        <f t="shared" ref="F100:F130" si="24">+D100-E100</f>
        <v>0</v>
      </c>
      <c r="G100" s="523">
        <f t="shared" si="16"/>
        <v>0</v>
      </c>
      <c r="H100" s="526">
        <f t="shared" si="17"/>
        <v>0</v>
      </c>
      <c r="I100" s="577">
        <f t="shared" si="18"/>
        <v>0</v>
      </c>
      <c r="J100" s="514">
        <f t="shared" si="19"/>
        <v>0</v>
      </c>
      <c r="K100" s="514"/>
      <c r="L100" s="525"/>
      <c r="M100" s="514">
        <f t="shared" si="20"/>
        <v>0</v>
      </c>
      <c r="N100" s="525"/>
      <c r="O100" s="514">
        <f t="shared" si="21"/>
        <v>0</v>
      </c>
      <c r="P100" s="514">
        <f t="shared" si="22"/>
        <v>0</v>
      </c>
      <c r="Q100" s="269"/>
    </row>
    <row r="101" spans="1:17" ht="12.5">
      <c r="B101" s="195" t="str">
        <f t="shared" ref="B101:B154" si="25">IF(D101=F100,"","IU")</f>
        <v/>
      </c>
      <c r="C101" s="507">
        <f>IF(D93="","-",+C100+1)</f>
        <v>2011</v>
      </c>
      <c r="D101" s="374">
        <f t="shared" si="23"/>
        <v>0</v>
      </c>
      <c r="E101" s="522">
        <f>IF(+J96&lt;F100,J96,D101)</f>
        <v>0</v>
      </c>
      <c r="F101" s="523">
        <f t="shared" si="24"/>
        <v>0</v>
      </c>
      <c r="G101" s="523">
        <f t="shared" si="16"/>
        <v>0</v>
      </c>
      <c r="H101" s="526">
        <f t="shared" si="17"/>
        <v>0</v>
      </c>
      <c r="I101" s="577">
        <f t="shared" si="18"/>
        <v>0</v>
      </c>
      <c r="J101" s="514">
        <f t="shared" si="19"/>
        <v>0</v>
      </c>
      <c r="K101" s="514"/>
      <c r="L101" s="525"/>
      <c r="M101" s="514">
        <f t="shared" si="20"/>
        <v>0</v>
      </c>
      <c r="N101" s="525"/>
      <c r="O101" s="514">
        <f t="shared" si="21"/>
        <v>0</v>
      </c>
      <c r="P101" s="514">
        <f t="shared" si="22"/>
        <v>0</v>
      </c>
      <c r="Q101" s="269"/>
    </row>
    <row r="102" spans="1:17" ht="12.5">
      <c r="B102" s="195" t="str">
        <f t="shared" si="25"/>
        <v/>
      </c>
      <c r="C102" s="507">
        <f>IF(D93="","-",+C101+1)</f>
        <v>2012</v>
      </c>
      <c r="D102" s="374">
        <f t="shared" si="23"/>
        <v>0</v>
      </c>
      <c r="E102" s="522">
        <f>IF(+J96&lt;F101,J96,D102)</f>
        <v>0</v>
      </c>
      <c r="F102" s="523">
        <f t="shared" si="24"/>
        <v>0</v>
      </c>
      <c r="G102" s="523">
        <f t="shared" si="16"/>
        <v>0</v>
      </c>
      <c r="H102" s="526">
        <f t="shared" si="17"/>
        <v>0</v>
      </c>
      <c r="I102" s="577">
        <f t="shared" si="18"/>
        <v>0</v>
      </c>
      <c r="J102" s="514">
        <f t="shared" si="19"/>
        <v>0</v>
      </c>
      <c r="K102" s="514"/>
      <c r="L102" s="525"/>
      <c r="M102" s="514">
        <f t="shared" si="20"/>
        <v>0</v>
      </c>
      <c r="N102" s="525"/>
      <c r="O102" s="514">
        <f t="shared" si="21"/>
        <v>0</v>
      </c>
      <c r="P102" s="514">
        <f t="shared" si="22"/>
        <v>0</v>
      </c>
      <c r="Q102" s="269"/>
    </row>
    <row r="103" spans="1:17" ht="12.5">
      <c r="B103" s="195" t="str">
        <f t="shared" si="25"/>
        <v/>
      </c>
      <c r="C103" s="507">
        <f>IF(D93="","-",+C102+1)</f>
        <v>2013</v>
      </c>
      <c r="D103" s="374">
        <f t="shared" si="23"/>
        <v>0</v>
      </c>
      <c r="E103" s="522">
        <f>IF(+J96&lt;F102,J96,D103)</f>
        <v>0</v>
      </c>
      <c r="F103" s="523">
        <f t="shared" si="24"/>
        <v>0</v>
      </c>
      <c r="G103" s="523">
        <f t="shared" si="16"/>
        <v>0</v>
      </c>
      <c r="H103" s="526">
        <f t="shared" si="17"/>
        <v>0</v>
      </c>
      <c r="I103" s="577">
        <f t="shared" si="18"/>
        <v>0</v>
      </c>
      <c r="J103" s="514">
        <f t="shared" si="19"/>
        <v>0</v>
      </c>
      <c r="K103" s="514"/>
      <c r="L103" s="525"/>
      <c r="M103" s="514">
        <f t="shared" si="20"/>
        <v>0</v>
      </c>
      <c r="N103" s="525"/>
      <c r="O103" s="514">
        <f t="shared" si="21"/>
        <v>0</v>
      </c>
      <c r="P103" s="514">
        <f t="shared" si="22"/>
        <v>0</v>
      </c>
      <c r="Q103" s="269"/>
    </row>
    <row r="104" spans="1:17" ht="12.5">
      <c r="B104" s="195" t="str">
        <f t="shared" si="25"/>
        <v/>
      </c>
      <c r="C104" s="507">
        <f>IF(D93="","-",+C103+1)</f>
        <v>2014</v>
      </c>
      <c r="D104" s="374">
        <f t="shared" si="23"/>
        <v>0</v>
      </c>
      <c r="E104" s="522">
        <f>IF(+J96&lt;F103,J96,D104)</f>
        <v>0</v>
      </c>
      <c r="F104" s="523">
        <f t="shared" si="24"/>
        <v>0</v>
      </c>
      <c r="G104" s="523">
        <f t="shared" si="16"/>
        <v>0</v>
      </c>
      <c r="H104" s="526">
        <f t="shared" si="17"/>
        <v>0</v>
      </c>
      <c r="I104" s="577">
        <f t="shared" si="18"/>
        <v>0</v>
      </c>
      <c r="J104" s="514">
        <f t="shared" si="19"/>
        <v>0</v>
      </c>
      <c r="K104" s="514"/>
      <c r="L104" s="525"/>
      <c r="M104" s="514">
        <f t="shared" si="20"/>
        <v>0</v>
      </c>
      <c r="N104" s="525"/>
      <c r="O104" s="514">
        <f t="shared" si="21"/>
        <v>0</v>
      </c>
      <c r="P104" s="514">
        <f t="shared" si="22"/>
        <v>0</v>
      </c>
      <c r="Q104" s="269"/>
    </row>
    <row r="105" spans="1:17" ht="12.5">
      <c r="B105" s="195" t="str">
        <f t="shared" si="25"/>
        <v/>
      </c>
      <c r="C105" s="507">
        <f>IF(D93="","-",+C104+1)</f>
        <v>2015</v>
      </c>
      <c r="D105" s="374">
        <f t="shared" si="23"/>
        <v>0</v>
      </c>
      <c r="E105" s="522">
        <f>IF(+J96&lt;F104,J96,D105)</f>
        <v>0</v>
      </c>
      <c r="F105" s="523">
        <f t="shared" si="24"/>
        <v>0</v>
      </c>
      <c r="G105" s="523">
        <f t="shared" si="16"/>
        <v>0</v>
      </c>
      <c r="H105" s="526">
        <f t="shared" si="17"/>
        <v>0</v>
      </c>
      <c r="I105" s="577">
        <f t="shared" si="18"/>
        <v>0</v>
      </c>
      <c r="J105" s="514">
        <f t="shared" si="19"/>
        <v>0</v>
      </c>
      <c r="K105" s="514"/>
      <c r="L105" s="525"/>
      <c r="M105" s="514">
        <f t="shared" si="20"/>
        <v>0</v>
      </c>
      <c r="N105" s="525"/>
      <c r="O105" s="514">
        <f t="shared" si="21"/>
        <v>0</v>
      </c>
      <c r="P105" s="514">
        <f t="shared" si="22"/>
        <v>0</v>
      </c>
      <c r="Q105" s="269"/>
    </row>
    <row r="106" spans="1:17" ht="12.5">
      <c r="B106" s="195" t="str">
        <f t="shared" si="25"/>
        <v/>
      </c>
      <c r="C106" s="507">
        <f>IF(D93="","-",+C105+1)</f>
        <v>2016</v>
      </c>
      <c r="D106" s="374">
        <f t="shared" si="23"/>
        <v>0</v>
      </c>
      <c r="E106" s="522">
        <f>IF(+J96&lt;F105,J96,D106)</f>
        <v>0</v>
      </c>
      <c r="F106" s="523">
        <f t="shared" si="24"/>
        <v>0</v>
      </c>
      <c r="G106" s="523">
        <f t="shared" si="16"/>
        <v>0</v>
      </c>
      <c r="H106" s="526">
        <f t="shared" si="17"/>
        <v>0</v>
      </c>
      <c r="I106" s="577">
        <f t="shared" si="18"/>
        <v>0</v>
      </c>
      <c r="J106" s="514">
        <f t="shared" si="19"/>
        <v>0</v>
      </c>
      <c r="K106" s="514"/>
      <c r="L106" s="525"/>
      <c r="M106" s="514">
        <f t="shared" si="20"/>
        <v>0</v>
      </c>
      <c r="N106" s="525"/>
      <c r="O106" s="514">
        <f t="shared" si="21"/>
        <v>0</v>
      </c>
      <c r="P106" s="514">
        <f t="shared" si="22"/>
        <v>0</v>
      </c>
      <c r="Q106" s="269"/>
    </row>
    <row r="107" spans="1:17" ht="12.5">
      <c r="B107" s="195" t="str">
        <f t="shared" si="25"/>
        <v/>
      </c>
      <c r="C107" s="507">
        <f>IF(D93="","-",+C106+1)</f>
        <v>2017</v>
      </c>
      <c r="D107" s="374">
        <f t="shared" si="23"/>
        <v>0</v>
      </c>
      <c r="E107" s="522">
        <f>IF(+J96&lt;F106,J96,D107)</f>
        <v>0</v>
      </c>
      <c r="F107" s="523">
        <f t="shared" si="24"/>
        <v>0</v>
      </c>
      <c r="G107" s="523">
        <f t="shared" si="16"/>
        <v>0</v>
      </c>
      <c r="H107" s="526">
        <f t="shared" si="17"/>
        <v>0</v>
      </c>
      <c r="I107" s="577">
        <f t="shared" si="18"/>
        <v>0</v>
      </c>
      <c r="J107" s="514">
        <f t="shared" si="19"/>
        <v>0</v>
      </c>
      <c r="K107" s="514"/>
      <c r="L107" s="525"/>
      <c r="M107" s="514">
        <f t="shared" si="20"/>
        <v>0</v>
      </c>
      <c r="N107" s="525"/>
      <c r="O107" s="514">
        <f t="shared" si="21"/>
        <v>0</v>
      </c>
      <c r="P107" s="514">
        <f t="shared" si="22"/>
        <v>0</v>
      </c>
      <c r="Q107" s="269"/>
    </row>
    <row r="108" spans="1:17" ht="12.5">
      <c r="B108" s="195" t="str">
        <f t="shared" si="25"/>
        <v/>
      </c>
      <c r="C108" s="507">
        <f>IF(D93="","-",+C107+1)</f>
        <v>2018</v>
      </c>
      <c r="D108" s="374">
        <f t="shared" si="23"/>
        <v>0</v>
      </c>
      <c r="E108" s="522">
        <f>IF(+J96&lt;F107,J96,D108)</f>
        <v>0</v>
      </c>
      <c r="F108" s="523">
        <f t="shared" si="24"/>
        <v>0</v>
      </c>
      <c r="G108" s="523">
        <f t="shared" si="16"/>
        <v>0</v>
      </c>
      <c r="H108" s="526">
        <f t="shared" si="17"/>
        <v>0</v>
      </c>
      <c r="I108" s="577">
        <f t="shared" si="18"/>
        <v>0</v>
      </c>
      <c r="J108" s="514">
        <f t="shared" si="19"/>
        <v>0</v>
      </c>
      <c r="K108" s="514"/>
      <c r="L108" s="525"/>
      <c r="M108" s="514">
        <f t="shared" si="20"/>
        <v>0</v>
      </c>
      <c r="N108" s="525"/>
      <c r="O108" s="514">
        <f t="shared" si="21"/>
        <v>0</v>
      </c>
      <c r="P108" s="514">
        <f t="shared" si="22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2019</v>
      </c>
      <c r="D109" s="374">
        <f t="shared" si="23"/>
        <v>0</v>
      </c>
      <c r="E109" s="522">
        <f>IF(+J96&lt;F108,J96,D109)</f>
        <v>0</v>
      </c>
      <c r="F109" s="523">
        <f t="shared" si="24"/>
        <v>0</v>
      </c>
      <c r="G109" s="523">
        <f t="shared" si="16"/>
        <v>0</v>
      </c>
      <c r="H109" s="526">
        <f t="shared" si="17"/>
        <v>0</v>
      </c>
      <c r="I109" s="577">
        <f t="shared" si="18"/>
        <v>0</v>
      </c>
      <c r="J109" s="514">
        <f t="shared" si="19"/>
        <v>0</v>
      </c>
      <c r="K109" s="514"/>
      <c r="L109" s="525"/>
      <c r="M109" s="514">
        <f t="shared" si="20"/>
        <v>0</v>
      </c>
      <c r="N109" s="525"/>
      <c r="O109" s="514">
        <f t="shared" si="21"/>
        <v>0</v>
      </c>
      <c r="P109" s="514">
        <f t="shared" si="22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2020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4"/>
        <v>0</v>
      </c>
      <c r="G110" s="523">
        <f t="shared" si="16"/>
        <v>0</v>
      </c>
      <c r="H110" s="526">
        <f t="shared" si="17"/>
        <v>0</v>
      </c>
      <c r="I110" s="577">
        <f t="shared" si="18"/>
        <v>0</v>
      </c>
      <c r="J110" s="514">
        <f t="shared" si="19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2021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4"/>
        <v>0</v>
      </c>
      <c r="G111" s="523">
        <f t="shared" si="16"/>
        <v>0</v>
      </c>
      <c r="H111" s="526">
        <f t="shared" si="17"/>
        <v>0</v>
      </c>
      <c r="I111" s="577">
        <f t="shared" si="18"/>
        <v>0</v>
      </c>
      <c r="J111" s="514">
        <f t="shared" si="19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2022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4"/>
        <v>0</v>
      </c>
      <c r="G112" s="523">
        <f t="shared" si="16"/>
        <v>0</v>
      </c>
      <c r="H112" s="526">
        <f t="shared" si="17"/>
        <v>0</v>
      </c>
      <c r="I112" s="577">
        <f t="shared" si="18"/>
        <v>0</v>
      </c>
      <c r="J112" s="514">
        <f t="shared" si="19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2023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4"/>
        <v>0</v>
      </c>
      <c r="G113" s="523">
        <f t="shared" si="16"/>
        <v>0</v>
      </c>
      <c r="H113" s="526">
        <f t="shared" ref="H113:H154" si="26">+J$94*G113+E113</f>
        <v>0</v>
      </c>
      <c r="I113" s="577">
        <f t="shared" ref="I113:I154" si="27">+J$95*G113+E113</f>
        <v>0</v>
      </c>
      <c r="J113" s="514">
        <f t="shared" si="19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2024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4"/>
        <v>0</v>
      </c>
      <c r="G114" s="523">
        <f t="shared" si="16"/>
        <v>0</v>
      </c>
      <c r="H114" s="526">
        <f t="shared" si="26"/>
        <v>0</v>
      </c>
      <c r="I114" s="577">
        <f t="shared" si="27"/>
        <v>0</v>
      </c>
      <c r="J114" s="514">
        <f t="shared" si="19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2025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4"/>
        <v>0</v>
      </c>
      <c r="G115" s="523">
        <f t="shared" si="16"/>
        <v>0</v>
      </c>
      <c r="H115" s="526">
        <f t="shared" si="26"/>
        <v>0</v>
      </c>
      <c r="I115" s="577">
        <f t="shared" si="27"/>
        <v>0</v>
      </c>
      <c r="J115" s="514">
        <f t="shared" si="19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2026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4"/>
        <v>0</v>
      </c>
      <c r="G116" s="523">
        <f t="shared" si="16"/>
        <v>0</v>
      </c>
      <c r="H116" s="526">
        <f t="shared" si="26"/>
        <v>0</v>
      </c>
      <c r="I116" s="577">
        <f t="shared" si="27"/>
        <v>0</v>
      </c>
      <c r="J116" s="514">
        <f t="shared" si="19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2027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4"/>
        <v>0</v>
      </c>
      <c r="G117" s="523">
        <f t="shared" si="16"/>
        <v>0</v>
      </c>
      <c r="H117" s="526">
        <f t="shared" si="26"/>
        <v>0</v>
      </c>
      <c r="I117" s="577">
        <f t="shared" si="27"/>
        <v>0</v>
      </c>
      <c r="J117" s="514">
        <f t="shared" si="19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2028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4"/>
        <v>0</v>
      </c>
      <c r="G118" s="523">
        <f t="shared" si="16"/>
        <v>0</v>
      </c>
      <c r="H118" s="526">
        <f t="shared" si="26"/>
        <v>0</v>
      </c>
      <c r="I118" s="577">
        <f t="shared" si="27"/>
        <v>0</v>
      </c>
      <c r="J118" s="514">
        <f t="shared" si="19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2029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4"/>
        <v>0</v>
      </c>
      <c r="G119" s="523">
        <f t="shared" si="16"/>
        <v>0</v>
      </c>
      <c r="H119" s="526">
        <f t="shared" si="26"/>
        <v>0</v>
      </c>
      <c r="I119" s="577">
        <f t="shared" si="27"/>
        <v>0</v>
      </c>
      <c r="J119" s="514">
        <f t="shared" si="19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2030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4"/>
        <v>0</v>
      </c>
      <c r="G120" s="523">
        <f t="shared" si="16"/>
        <v>0</v>
      </c>
      <c r="H120" s="526">
        <f t="shared" si="26"/>
        <v>0</v>
      </c>
      <c r="I120" s="577">
        <f t="shared" si="27"/>
        <v>0</v>
      </c>
      <c r="J120" s="514">
        <f t="shared" si="19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2031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4"/>
        <v>0</v>
      </c>
      <c r="G121" s="523">
        <f t="shared" si="16"/>
        <v>0</v>
      </c>
      <c r="H121" s="526">
        <f t="shared" si="26"/>
        <v>0</v>
      </c>
      <c r="I121" s="577">
        <f t="shared" si="27"/>
        <v>0</v>
      </c>
      <c r="J121" s="514">
        <f t="shared" si="19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2032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4"/>
        <v>0</v>
      </c>
      <c r="G122" s="523">
        <f t="shared" si="16"/>
        <v>0</v>
      </c>
      <c r="H122" s="526">
        <f t="shared" si="26"/>
        <v>0</v>
      </c>
      <c r="I122" s="577">
        <f t="shared" si="27"/>
        <v>0</v>
      </c>
      <c r="J122" s="514">
        <f t="shared" si="19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2033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4"/>
        <v>0</v>
      </c>
      <c r="G123" s="523">
        <f t="shared" si="16"/>
        <v>0</v>
      </c>
      <c r="H123" s="526">
        <f t="shared" si="26"/>
        <v>0</v>
      </c>
      <c r="I123" s="577">
        <f t="shared" si="27"/>
        <v>0</v>
      </c>
      <c r="J123" s="514">
        <f t="shared" si="19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2034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4"/>
        <v>0</v>
      </c>
      <c r="G124" s="523">
        <f t="shared" si="16"/>
        <v>0</v>
      </c>
      <c r="H124" s="526">
        <f t="shared" si="26"/>
        <v>0</v>
      </c>
      <c r="I124" s="577">
        <f t="shared" si="27"/>
        <v>0</v>
      </c>
      <c r="J124" s="514">
        <f t="shared" si="19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2035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4"/>
        <v>0</v>
      </c>
      <c r="G125" s="523">
        <f t="shared" si="16"/>
        <v>0</v>
      </c>
      <c r="H125" s="526">
        <f t="shared" si="26"/>
        <v>0</v>
      </c>
      <c r="I125" s="577">
        <f t="shared" si="27"/>
        <v>0</v>
      </c>
      <c r="J125" s="514">
        <f t="shared" si="19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2036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4"/>
        <v>0</v>
      </c>
      <c r="G126" s="523">
        <f t="shared" si="16"/>
        <v>0</v>
      </c>
      <c r="H126" s="526">
        <f t="shared" si="26"/>
        <v>0</v>
      </c>
      <c r="I126" s="577">
        <f t="shared" si="27"/>
        <v>0</v>
      </c>
      <c r="J126" s="514">
        <f t="shared" si="19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2037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4"/>
        <v>0</v>
      </c>
      <c r="G127" s="523">
        <f t="shared" si="16"/>
        <v>0</v>
      </c>
      <c r="H127" s="526">
        <f t="shared" si="26"/>
        <v>0</v>
      </c>
      <c r="I127" s="577">
        <f t="shared" si="27"/>
        <v>0</v>
      </c>
      <c r="J127" s="514">
        <f t="shared" si="19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2038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4"/>
        <v>0</v>
      </c>
      <c r="G128" s="523">
        <f t="shared" si="16"/>
        <v>0</v>
      </c>
      <c r="H128" s="526">
        <f t="shared" si="26"/>
        <v>0</v>
      </c>
      <c r="I128" s="577">
        <f t="shared" si="27"/>
        <v>0</v>
      </c>
      <c r="J128" s="514">
        <f t="shared" si="19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2039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4"/>
        <v>0</v>
      </c>
      <c r="G129" s="523">
        <f t="shared" si="16"/>
        <v>0</v>
      </c>
      <c r="H129" s="526">
        <f t="shared" si="26"/>
        <v>0</v>
      </c>
      <c r="I129" s="577">
        <f t="shared" si="27"/>
        <v>0</v>
      </c>
      <c r="J129" s="514">
        <f t="shared" si="19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2040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4"/>
        <v>0</v>
      </c>
      <c r="G130" s="523">
        <f t="shared" si="16"/>
        <v>0</v>
      </c>
      <c r="H130" s="526">
        <f t="shared" si="26"/>
        <v>0</v>
      </c>
      <c r="I130" s="577">
        <f t="shared" si="27"/>
        <v>0</v>
      </c>
      <c r="J130" s="514">
        <f t="shared" si="19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2041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8">+D131-E131</f>
        <v>0</v>
      </c>
      <c r="G131" s="523">
        <f t="shared" ref="G131:G154" si="29">+(F131+D131)/2</f>
        <v>0</v>
      </c>
      <c r="H131" s="526">
        <f t="shared" si="26"/>
        <v>0</v>
      </c>
      <c r="I131" s="577">
        <f t="shared" si="27"/>
        <v>0</v>
      </c>
      <c r="J131" s="514">
        <f t="shared" ref="J131:J154" si="30">+I131-H131</f>
        <v>0</v>
      </c>
      <c r="K131" s="514"/>
      <c r="L131" s="525"/>
      <c r="M131" s="514">
        <f t="shared" ref="M131:M154" si="31">IF(L131&lt;&gt;0,+H131-L131,0)</f>
        <v>0</v>
      </c>
      <c r="N131" s="525"/>
      <c r="O131" s="514">
        <f t="shared" ref="O131:O154" si="32">IF(N131&lt;&gt;0,+I131-N131,0)</f>
        <v>0</v>
      </c>
      <c r="P131" s="514">
        <f t="shared" ref="P131:P154" si="33">+O131-M131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2042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8"/>
        <v>0</v>
      </c>
      <c r="G132" s="523">
        <f t="shared" si="29"/>
        <v>0</v>
      </c>
      <c r="H132" s="526">
        <f t="shared" si="26"/>
        <v>0</v>
      </c>
      <c r="I132" s="577">
        <f t="shared" si="27"/>
        <v>0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2043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8"/>
        <v>0</v>
      </c>
      <c r="G133" s="523">
        <f t="shared" si="29"/>
        <v>0</v>
      </c>
      <c r="H133" s="526">
        <f t="shared" si="26"/>
        <v>0</v>
      </c>
      <c r="I133" s="577">
        <f t="shared" si="27"/>
        <v>0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2044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8"/>
        <v>0</v>
      </c>
      <c r="G134" s="523">
        <f t="shared" si="29"/>
        <v>0</v>
      </c>
      <c r="H134" s="526">
        <f t="shared" si="26"/>
        <v>0</v>
      </c>
      <c r="I134" s="577">
        <f t="shared" si="27"/>
        <v>0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2045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8"/>
        <v>0</v>
      </c>
      <c r="G135" s="523">
        <f t="shared" si="29"/>
        <v>0</v>
      </c>
      <c r="H135" s="526">
        <f t="shared" si="26"/>
        <v>0</v>
      </c>
      <c r="I135" s="577">
        <f t="shared" si="27"/>
        <v>0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2046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8"/>
        <v>0</v>
      </c>
      <c r="G136" s="523">
        <f t="shared" si="29"/>
        <v>0</v>
      </c>
      <c r="H136" s="526">
        <f t="shared" si="26"/>
        <v>0</v>
      </c>
      <c r="I136" s="577">
        <f t="shared" si="27"/>
        <v>0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2047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8"/>
        <v>0</v>
      </c>
      <c r="G137" s="523">
        <f t="shared" si="29"/>
        <v>0</v>
      </c>
      <c r="H137" s="526">
        <f t="shared" si="26"/>
        <v>0</v>
      </c>
      <c r="I137" s="577">
        <f t="shared" si="27"/>
        <v>0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2048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8"/>
        <v>0</v>
      </c>
      <c r="G138" s="523">
        <f t="shared" si="29"/>
        <v>0</v>
      </c>
      <c r="H138" s="526">
        <f t="shared" si="26"/>
        <v>0</v>
      </c>
      <c r="I138" s="577">
        <f t="shared" si="27"/>
        <v>0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2049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8"/>
        <v>0</v>
      </c>
      <c r="G139" s="523">
        <f t="shared" si="29"/>
        <v>0</v>
      </c>
      <c r="H139" s="526">
        <f t="shared" si="26"/>
        <v>0</v>
      </c>
      <c r="I139" s="577">
        <f t="shared" si="27"/>
        <v>0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2050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8"/>
        <v>0</v>
      </c>
      <c r="G140" s="523">
        <f t="shared" si="29"/>
        <v>0</v>
      </c>
      <c r="H140" s="526">
        <f t="shared" si="26"/>
        <v>0</v>
      </c>
      <c r="I140" s="577">
        <f t="shared" si="27"/>
        <v>0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2051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8"/>
        <v>0</v>
      </c>
      <c r="G141" s="523">
        <f t="shared" si="29"/>
        <v>0</v>
      </c>
      <c r="H141" s="526">
        <f t="shared" si="26"/>
        <v>0</v>
      </c>
      <c r="I141" s="577">
        <f t="shared" si="27"/>
        <v>0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  <c r="Q154" s="269"/>
    </row>
    <row r="155" spans="2:17" ht="12.5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5" priority="1" stopIfTrue="1" operator="equal">
      <formula>$I$10</formula>
    </cfRule>
  </conditionalFormatting>
  <conditionalFormatting sqref="C99:C154">
    <cfRule type="cellIs" dxfId="12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Q162"/>
  <sheetViews>
    <sheetView view="pageBreakPreview" topLeftCell="A82" zoomScale="75" zoomScaleNormal="100" zoomScaleSheetLayoutView="75" workbookViewId="0">
      <selection activeCell="F110" sqref="F110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18" max="18" width="9.1796875" customWidth="1"/>
    <col min="23" max="23" width="9.1796875" customWidth="1"/>
  </cols>
  <sheetData>
    <row r="1" spans="1:17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19 of 74</v>
      </c>
      <c r="Q1" s="19"/>
    </row>
    <row r="2" spans="1:17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2" t="s">
        <v>129</v>
      </c>
    </row>
    <row r="3" spans="1:17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 t="str">
        <f>RIGHT(N3,3)</f>
        <v/>
      </c>
      <c r="P3" s="114">
        <v>1</v>
      </c>
    </row>
    <row r="4" spans="1:17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7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438991.06815712724</v>
      </c>
      <c r="P5" s="1"/>
    </row>
    <row r="6" spans="1:17" ht="15.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438991.06815712724</v>
      </c>
      <c r="O6" s="1"/>
      <c r="P6" s="1"/>
    </row>
    <row r="7" spans="1:17" ht="13.5" thickBot="1">
      <c r="C7" s="32" t="s">
        <v>48</v>
      </c>
      <c r="D7" s="147" t="s">
        <v>240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7" ht="13.5" thickBot="1">
      <c r="C8" s="36"/>
      <c r="D8" s="122" t="str">
        <f>IF(D10&lt;100000,"DOES NOT MEET SPP $100,000 MINIMUM INVESTMENT FOR REGIONAL BPU SHARING.","")</f>
        <v/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7" ht="13.5" thickBot="1">
      <c r="A9" s="17"/>
      <c r="C9" s="38" t="s">
        <v>50</v>
      </c>
      <c r="D9" s="110" t="s">
        <v>154</v>
      </c>
      <c r="E9" s="39"/>
      <c r="F9" s="39"/>
      <c r="G9" s="39"/>
      <c r="H9" s="39"/>
      <c r="I9" s="40"/>
      <c r="J9" s="41"/>
      <c r="O9" s="42"/>
      <c r="P9" s="4"/>
    </row>
    <row r="10" spans="1:17" ht="13">
      <c r="C10" s="43" t="s">
        <v>51</v>
      </c>
      <c r="D10" s="44">
        <v>4480167.62</v>
      </c>
      <c r="E10" s="12" t="s">
        <v>52</v>
      </c>
      <c r="F10" s="42"/>
      <c r="G10" s="45"/>
      <c r="H10" s="45"/>
      <c r="I10" s="46">
        <f>+SWE.WS.F.BPU.ATRR.Projected!L19</f>
        <v>2020</v>
      </c>
      <c r="J10" s="41"/>
      <c r="K10" s="22" t="s">
        <v>53</v>
      </c>
      <c r="O10" s="4"/>
      <c r="P10" s="4"/>
    </row>
    <row r="11" spans="1:17" ht="12.5">
      <c r="C11" s="47" t="s">
        <v>54</v>
      </c>
      <c r="D11" s="48">
        <v>2008</v>
      </c>
      <c r="E11" s="47" t="s">
        <v>55</v>
      </c>
      <c r="F11" s="45"/>
      <c r="G11" s="7"/>
      <c r="H11" s="7"/>
      <c r="I11" s="49"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 ht="12.5">
      <c r="C12" s="47" t="s">
        <v>56</v>
      </c>
      <c r="D12" s="44">
        <v>5</v>
      </c>
      <c r="E12" s="47" t="s">
        <v>57</v>
      </c>
      <c r="F12" s="45"/>
      <c r="G12" s="7"/>
      <c r="H12" s="7"/>
      <c r="I12" s="51">
        <f>SWE.WS.F.BPU.ATRR.Projected!$F$81</f>
        <v>0.10681797376050146</v>
      </c>
      <c r="J12" s="52"/>
      <c r="K12" t="s">
        <v>58</v>
      </c>
      <c r="O12" s="4"/>
      <c r="P12" s="4"/>
    </row>
    <row r="13" spans="1:17" ht="12.5">
      <c r="C13" s="47" t="s">
        <v>59</v>
      </c>
      <c r="D13" s="49">
        <f>+SWE.WS.F.BPU.ATRR.Projected!F$93</f>
        <v>42</v>
      </c>
      <c r="E13" s="47" t="s">
        <v>60</v>
      </c>
      <c r="F13" s="45"/>
      <c r="G13" s="7"/>
      <c r="H13" s="7"/>
      <c r="I13" s="51">
        <f>IF(G5="",I12,SWE.WS.F.BPU.ATRR.Projected!$F$80)</f>
        <v>0.10681797376050146</v>
      </c>
      <c r="J13" s="52"/>
      <c r="K13" s="22" t="s">
        <v>61</v>
      </c>
      <c r="L13" s="11"/>
      <c r="M13" s="11"/>
      <c r="N13" s="11"/>
      <c r="O13" s="4"/>
      <c r="P13" s="4"/>
    </row>
    <row r="14" spans="1:17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106670.65761904762</v>
      </c>
      <c r="J14" s="22"/>
      <c r="K14" s="22"/>
      <c r="L14" s="22"/>
      <c r="M14" s="22"/>
      <c r="N14" s="22"/>
      <c r="O14" s="4"/>
      <c r="P14" s="4"/>
    </row>
    <row r="15" spans="1:17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392</v>
      </c>
      <c r="H15" s="181" t="s">
        <v>393</v>
      </c>
      <c r="I15" s="152" t="s">
        <v>260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7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79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2008</v>
      </c>
      <c r="D17" s="155">
        <v>2811966</v>
      </c>
      <c r="E17" s="156">
        <v>44333</v>
      </c>
      <c r="F17" s="155">
        <v>2767633</v>
      </c>
      <c r="G17" s="156">
        <v>327116</v>
      </c>
      <c r="H17" s="157">
        <v>327116</v>
      </c>
      <c r="I17" s="175">
        <f t="shared" ref="I17:I48" si="0">H17-G17</f>
        <v>0</v>
      </c>
      <c r="J17" s="67"/>
      <c r="K17" s="131">
        <v>0</v>
      </c>
      <c r="L17" s="82">
        <f t="shared" ref="L17:L48" si="1">IF(K17&lt;&gt;0,+G17-K17,0)</f>
        <v>0</v>
      </c>
      <c r="M17" s="131">
        <v>0</v>
      </c>
      <c r="N17" s="68">
        <f t="shared" ref="N17:N48" si="2">IF(M17&lt;&gt;0,+H17-M17,0)</f>
        <v>0</v>
      </c>
      <c r="O17" s="69">
        <f t="shared" ref="O17:O48" si="3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2009</v>
      </c>
      <c r="D18" s="159">
        <v>2767633</v>
      </c>
      <c r="E18" s="158">
        <v>75999</v>
      </c>
      <c r="F18" s="159">
        <v>2691634</v>
      </c>
      <c r="G18" s="158">
        <v>488525</v>
      </c>
      <c r="H18" s="157">
        <v>488525</v>
      </c>
      <c r="I18" s="175">
        <f t="shared" si="0"/>
        <v>0</v>
      </c>
      <c r="J18" s="67"/>
      <c r="K18" s="133">
        <v>488525</v>
      </c>
      <c r="L18" s="69">
        <f t="shared" si="1"/>
        <v>0</v>
      </c>
      <c r="M18" s="133">
        <v>488525</v>
      </c>
      <c r="N18" s="69">
        <f t="shared" si="2"/>
        <v>0</v>
      </c>
      <c r="O18" s="69">
        <f t="shared" si="3"/>
        <v>0</v>
      </c>
      <c r="P18" s="4"/>
    </row>
    <row r="19" spans="2:16" ht="12.5">
      <c r="B19" s="9" t="str">
        <f>IF(D19=F18,"","IU")</f>
        <v>IU</v>
      </c>
      <c r="C19" s="64">
        <f>IF(D11="","-",+C18+1)</f>
        <v>2010</v>
      </c>
      <c r="D19" s="159">
        <v>4359835.62</v>
      </c>
      <c r="E19" s="158">
        <v>117899.14789473685</v>
      </c>
      <c r="F19" s="159">
        <v>4241936.4721052628</v>
      </c>
      <c r="G19" s="158">
        <v>727741.14153838763</v>
      </c>
      <c r="H19" s="157">
        <v>727741.14153838763</v>
      </c>
      <c r="I19" s="176">
        <v>0</v>
      </c>
      <c r="J19" s="67"/>
      <c r="K19" s="133">
        <f t="shared" ref="K19:K24" si="4">G19</f>
        <v>727741.14153838763</v>
      </c>
      <c r="L19" s="132">
        <f t="shared" si="1"/>
        <v>0</v>
      </c>
      <c r="M19" s="133">
        <f t="shared" ref="M19:M24" si="5">H19</f>
        <v>727741.14153838763</v>
      </c>
      <c r="N19" s="69">
        <f t="shared" si="2"/>
        <v>0</v>
      </c>
      <c r="O19" s="69">
        <f t="shared" si="3"/>
        <v>0</v>
      </c>
      <c r="P19" s="4"/>
    </row>
    <row r="20" spans="2:16" ht="12.5">
      <c r="B20" s="9" t="str">
        <f t="shared" ref="B20:B72" si="6">IF(D20=F19,"","IU")</f>
        <v/>
      </c>
      <c r="C20" s="64">
        <f>IF(D11="","-",+C19+1)</f>
        <v>2011</v>
      </c>
      <c r="D20" s="159">
        <v>4241936.4721052628</v>
      </c>
      <c r="E20" s="158">
        <v>109272.38097560976</v>
      </c>
      <c r="F20" s="159">
        <v>4132664.0911296532</v>
      </c>
      <c r="G20" s="158">
        <v>754762.21273088234</v>
      </c>
      <c r="H20" s="157">
        <v>754762.21273088234</v>
      </c>
      <c r="I20" s="176">
        <v>0</v>
      </c>
      <c r="J20" s="67"/>
      <c r="K20" s="133">
        <f t="shared" si="4"/>
        <v>754762.21273088234</v>
      </c>
      <c r="L20" s="132">
        <f t="shared" si="1"/>
        <v>0</v>
      </c>
      <c r="M20" s="133">
        <f t="shared" si="5"/>
        <v>754762.21273088234</v>
      </c>
      <c r="N20" s="69">
        <f t="shared" si="2"/>
        <v>0</v>
      </c>
      <c r="O20" s="69">
        <f t="shared" si="3"/>
        <v>0</v>
      </c>
      <c r="P20" s="4"/>
    </row>
    <row r="21" spans="2:16" ht="12.5">
      <c r="B21" s="9" t="str">
        <f t="shared" si="6"/>
        <v/>
      </c>
      <c r="C21" s="64">
        <f>IF(D12="","-",+C20+1)</f>
        <v>2012</v>
      </c>
      <c r="D21" s="159">
        <v>4132664.0911296532</v>
      </c>
      <c r="E21" s="166">
        <v>106670.65761904762</v>
      </c>
      <c r="F21" s="159">
        <v>4025993.4335106057</v>
      </c>
      <c r="G21" s="158">
        <v>705416.96496110456</v>
      </c>
      <c r="H21" s="157">
        <v>705416.96496110456</v>
      </c>
      <c r="I21" s="176">
        <v>0</v>
      </c>
      <c r="J21" s="67"/>
      <c r="K21" s="133">
        <f t="shared" si="4"/>
        <v>705416.96496110456</v>
      </c>
      <c r="L21" s="132">
        <f t="shared" si="1"/>
        <v>0</v>
      </c>
      <c r="M21" s="133">
        <f t="shared" si="5"/>
        <v>705416.96496110456</v>
      </c>
      <c r="N21" s="69">
        <f t="shared" si="2"/>
        <v>0</v>
      </c>
      <c r="O21" s="69">
        <f t="shared" si="3"/>
        <v>0</v>
      </c>
      <c r="P21" s="4"/>
    </row>
    <row r="22" spans="2:16" ht="12.5">
      <c r="B22" s="9" t="str">
        <f t="shared" si="6"/>
        <v/>
      </c>
      <c r="C22" s="64">
        <f>IF(D11="","-",+C21+1)</f>
        <v>2013</v>
      </c>
      <c r="D22" s="173">
        <v>4025993.4335106057</v>
      </c>
      <c r="E22" s="174">
        <v>106670.65761904762</v>
      </c>
      <c r="F22" s="173">
        <v>3919322.7758915583</v>
      </c>
      <c r="G22" s="174">
        <v>655325.21672934014</v>
      </c>
      <c r="H22" s="172">
        <v>655325.21672934014</v>
      </c>
      <c r="I22" s="175">
        <v>0</v>
      </c>
      <c r="J22" s="67"/>
      <c r="K22" s="133">
        <f t="shared" si="4"/>
        <v>655325.21672934014</v>
      </c>
      <c r="L22" s="132">
        <f t="shared" ref="L22:L27" si="7">IF(K22&lt;&gt;0,+G22-K22,0)</f>
        <v>0</v>
      </c>
      <c r="M22" s="133">
        <f t="shared" si="5"/>
        <v>655325.21672934014</v>
      </c>
      <c r="N22" s="69">
        <f t="shared" ref="N22:N27" si="8">IF(M22&lt;&gt;0,+H22-M22,0)</f>
        <v>0</v>
      </c>
      <c r="O22" s="69">
        <f t="shared" ref="O22:O27" si="9">+N22-L22</f>
        <v>0</v>
      </c>
      <c r="P22" s="4"/>
    </row>
    <row r="23" spans="2:16" ht="12.5">
      <c r="B23" s="9" t="str">
        <f t="shared" si="6"/>
        <v/>
      </c>
      <c r="C23" s="64">
        <f>IF(D11="","-",+C22+1)</f>
        <v>2014</v>
      </c>
      <c r="D23" s="173">
        <v>3919322.7758915583</v>
      </c>
      <c r="E23" s="174">
        <v>106670.65761904762</v>
      </c>
      <c r="F23" s="173">
        <v>3812652.1182725108</v>
      </c>
      <c r="G23" s="174">
        <v>621037.49267561059</v>
      </c>
      <c r="H23" s="172">
        <v>621037.49267561059</v>
      </c>
      <c r="I23" s="175">
        <v>0</v>
      </c>
      <c r="J23" s="67"/>
      <c r="K23" s="133">
        <f t="shared" si="4"/>
        <v>621037.49267561059</v>
      </c>
      <c r="L23" s="132">
        <f t="shared" si="7"/>
        <v>0</v>
      </c>
      <c r="M23" s="133">
        <f t="shared" si="5"/>
        <v>621037.49267561059</v>
      </c>
      <c r="N23" s="69">
        <f t="shared" si="8"/>
        <v>0</v>
      </c>
      <c r="O23" s="69">
        <f t="shared" si="9"/>
        <v>0</v>
      </c>
      <c r="P23" s="4"/>
    </row>
    <row r="24" spans="2:16" ht="12.5">
      <c r="B24" s="9" t="str">
        <f t="shared" si="6"/>
        <v/>
      </c>
      <c r="C24" s="64">
        <f>IF(D11="","-",+C23+1)</f>
        <v>2015</v>
      </c>
      <c r="D24" s="173">
        <v>3812652.1182725108</v>
      </c>
      <c r="E24" s="174">
        <v>106670.65761904762</v>
      </c>
      <c r="F24" s="173">
        <v>3705981.4606534634</v>
      </c>
      <c r="G24" s="174">
        <v>594766.20831186429</v>
      </c>
      <c r="H24" s="172">
        <v>594766.20831186429</v>
      </c>
      <c r="I24" s="67">
        <v>0</v>
      </c>
      <c r="J24" s="67"/>
      <c r="K24" s="133">
        <f t="shared" si="4"/>
        <v>594766.20831186429</v>
      </c>
      <c r="L24" s="132">
        <f t="shared" si="7"/>
        <v>0</v>
      </c>
      <c r="M24" s="133">
        <f t="shared" si="5"/>
        <v>594766.20831186429</v>
      </c>
      <c r="N24" s="69">
        <f t="shared" si="8"/>
        <v>0</v>
      </c>
      <c r="O24" s="69">
        <f t="shared" si="9"/>
        <v>0</v>
      </c>
      <c r="P24" s="4"/>
    </row>
    <row r="25" spans="2:16" ht="12.5">
      <c r="B25" s="9" t="str">
        <f t="shared" si="6"/>
        <v/>
      </c>
      <c r="C25" s="64">
        <f>IF(D11="","-",+C24+1)</f>
        <v>2016</v>
      </c>
      <c r="D25" s="173">
        <v>3705981.4606534634</v>
      </c>
      <c r="E25" s="174">
        <v>106670.65761904762</v>
      </c>
      <c r="F25" s="173">
        <v>3599310.8030344159</v>
      </c>
      <c r="G25" s="174">
        <v>574868.91696308763</v>
      </c>
      <c r="H25" s="172">
        <v>574868.91696308763</v>
      </c>
      <c r="I25" s="67">
        <f t="shared" si="0"/>
        <v>0</v>
      </c>
      <c r="J25" s="67"/>
      <c r="K25" s="133">
        <f>G25</f>
        <v>574868.91696308763</v>
      </c>
      <c r="L25" s="132">
        <f t="shared" si="7"/>
        <v>0</v>
      </c>
      <c r="M25" s="133">
        <f>H25</f>
        <v>574868.91696308763</v>
      </c>
      <c r="N25" s="69">
        <f t="shared" si="8"/>
        <v>0</v>
      </c>
      <c r="O25" s="69">
        <f t="shared" si="9"/>
        <v>0</v>
      </c>
      <c r="P25" s="4"/>
    </row>
    <row r="26" spans="2:16" ht="12.5">
      <c r="B26" s="9" t="str">
        <f t="shared" si="6"/>
        <v/>
      </c>
      <c r="C26" s="64">
        <f>IF(D11="","-",+C25+1)</f>
        <v>2017</v>
      </c>
      <c r="D26" s="173">
        <v>3599310.8030344159</v>
      </c>
      <c r="E26" s="174">
        <v>104189.94465116279</v>
      </c>
      <c r="F26" s="173">
        <v>3495120.8583832532</v>
      </c>
      <c r="G26" s="174">
        <v>543663.50120193616</v>
      </c>
      <c r="H26" s="172">
        <v>543663.50120193616</v>
      </c>
      <c r="I26" s="67">
        <f t="shared" si="0"/>
        <v>0</v>
      </c>
      <c r="J26" s="67"/>
      <c r="K26" s="133">
        <f>G26</f>
        <v>543663.50120193616</v>
      </c>
      <c r="L26" s="132">
        <f t="shared" si="7"/>
        <v>0</v>
      </c>
      <c r="M26" s="133">
        <f>H26</f>
        <v>543663.50120193616</v>
      </c>
      <c r="N26" s="69">
        <f t="shared" si="8"/>
        <v>0</v>
      </c>
      <c r="O26" s="69">
        <f t="shared" si="9"/>
        <v>0</v>
      </c>
      <c r="P26" s="4"/>
    </row>
    <row r="27" spans="2:16" ht="12.5">
      <c r="B27" s="9" t="str">
        <f t="shared" si="6"/>
        <v/>
      </c>
      <c r="C27" s="64">
        <f>IF(D11="","-",+C26+1)</f>
        <v>2018</v>
      </c>
      <c r="D27" s="173">
        <v>3495120.8583832532</v>
      </c>
      <c r="E27" s="174">
        <v>109272.38097560976</v>
      </c>
      <c r="F27" s="173">
        <v>3385848.4774076436</v>
      </c>
      <c r="G27" s="174">
        <v>546537.67971827346</v>
      </c>
      <c r="H27" s="172">
        <v>546537.67971827346</v>
      </c>
      <c r="I27" s="67">
        <f t="shared" si="0"/>
        <v>0</v>
      </c>
      <c r="J27" s="67"/>
      <c r="K27" s="133">
        <f>G27</f>
        <v>546537.67971827346</v>
      </c>
      <c r="L27" s="132">
        <f t="shared" si="7"/>
        <v>0</v>
      </c>
      <c r="M27" s="133">
        <f>H27</f>
        <v>546537.67971827346</v>
      </c>
      <c r="N27" s="69">
        <f t="shared" si="8"/>
        <v>0</v>
      </c>
      <c r="O27" s="69">
        <f t="shared" si="9"/>
        <v>0</v>
      </c>
      <c r="P27" s="4"/>
    </row>
    <row r="28" spans="2:16" ht="12.5">
      <c r="B28" s="9" t="str">
        <f t="shared" si="6"/>
        <v/>
      </c>
      <c r="C28" s="64">
        <f>IF(D11="","-",+C27+1)</f>
        <v>2019</v>
      </c>
      <c r="D28" s="173">
        <v>3385848.4774076436</v>
      </c>
      <c r="E28" s="174">
        <v>109272.38097560976</v>
      </c>
      <c r="F28" s="173">
        <v>3276576.0964320339</v>
      </c>
      <c r="G28" s="174">
        <v>532649.80492043286</v>
      </c>
      <c r="H28" s="172">
        <v>532649.80492043286</v>
      </c>
      <c r="I28" s="67">
        <f t="shared" si="0"/>
        <v>0</v>
      </c>
      <c r="J28" s="67"/>
      <c r="K28" s="133">
        <f>G28</f>
        <v>532649.80492043286</v>
      </c>
      <c r="L28" s="132">
        <f t="shared" ref="L28" si="10">IF(K28&lt;&gt;0,+G28-K28,0)</f>
        <v>0</v>
      </c>
      <c r="M28" s="133">
        <f>H28</f>
        <v>532649.80492043286</v>
      </c>
      <c r="N28" s="69">
        <f t="shared" si="2"/>
        <v>0</v>
      </c>
      <c r="O28" s="69">
        <f t="shared" si="3"/>
        <v>0</v>
      </c>
      <c r="P28" s="4"/>
    </row>
    <row r="29" spans="2:16" ht="12.5">
      <c r="B29" s="9" t="str">
        <f t="shared" si="6"/>
        <v/>
      </c>
      <c r="C29" s="64">
        <f>IF(D11="","-",+C28+1)</f>
        <v>2020</v>
      </c>
      <c r="D29" s="173">
        <v>3276576.0964320339</v>
      </c>
      <c r="E29" s="174">
        <v>109272.38097560976</v>
      </c>
      <c r="F29" s="173">
        <v>3167303.7154564243</v>
      </c>
      <c r="G29" s="174">
        <v>438991.06815712724</v>
      </c>
      <c r="H29" s="172">
        <v>438991.06815712724</v>
      </c>
      <c r="I29" s="67">
        <f t="shared" si="0"/>
        <v>0</v>
      </c>
      <c r="J29" s="67"/>
      <c r="K29" s="133">
        <f>G29</f>
        <v>438991.06815712724</v>
      </c>
      <c r="L29" s="132">
        <f t="shared" ref="L29" si="11">IF(K29&lt;&gt;0,+G29-K29,0)</f>
        <v>0</v>
      </c>
      <c r="M29" s="133">
        <f>H29</f>
        <v>438991.06815712724</v>
      </c>
      <c r="N29" s="69">
        <f t="shared" si="2"/>
        <v>0</v>
      </c>
      <c r="O29" s="69">
        <f t="shared" si="3"/>
        <v>0</v>
      </c>
      <c r="P29" s="4"/>
    </row>
    <row r="30" spans="2:16" ht="12.5">
      <c r="B30" s="9" t="str">
        <f t="shared" si="6"/>
        <v/>
      </c>
      <c r="C30" s="64">
        <f>IF(D11="","-",+C29+1)</f>
        <v>2021</v>
      </c>
      <c r="D30" s="70">
        <f>IF(F29+SUM(E$17:E29)=D$10,F29,D$10-SUM(E$17:E29))</f>
        <v>3167303.7154564243</v>
      </c>
      <c r="E30" s="71">
        <f>IF(+I14&lt;F29,I14,D30)</f>
        <v>106670.65761904762</v>
      </c>
      <c r="F30" s="70">
        <f t="shared" ref="F30:F48" si="12">+D30-E30</f>
        <v>3060633.0578373768</v>
      </c>
      <c r="G30" s="72">
        <f t="shared" ref="G30:G72" si="13">+I$12*((D30+F30)/2)+E30</f>
        <v>439298.45103492728</v>
      </c>
      <c r="H30" s="53">
        <f t="shared" ref="H30:H72" si="14">+I$13*((D30+F30)/2)+E30</f>
        <v>439298.45103492728</v>
      </c>
      <c r="I30" s="67">
        <f t="shared" si="0"/>
        <v>0</v>
      </c>
      <c r="J30" s="67"/>
      <c r="K30" s="150"/>
      <c r="L30" s="69">
        <f t="shared" si="1"/>
        <v>0</v>
      </c>
      <c r="M30" s="150"/>
      <c r="N30" s="69">
        <f t="shared" si="2"/>
        <v>0</v>
      </c>
      <c r="O30" s="69">
        <f t="shared" si="3"/>
        <v>0</v>
      </c>
      <c r="P30" s="4"/>
    </row>
    <row r="31" spans="2:16" ht="12.5">
      <c r="B31" s="9" t="str">
        <f t="shared" si="6"/>
        <v/>
      </c>
      <c r="C31" s="64">
        <f>IF(D11="","-",+C30+1)</f>
        <v>2022</v>
      </c>
      <c r="D31" s="70">
        <f>IF(F30+SUM(E$17:E30)=D$10,F30,D$10-SUM(E$17:E30))</f>
        <v>3060633.0578373768</v>
      </c>
      <c r="E31" s="71">
        <f>IF(+I14&lt;F30,I14,D31)</f>
        <v>106670.65761904762</v>
      </c>
      <c r="F31" s="70">
        <f t="shared" si="12"/>
        <v>2953962.4002183294</v>
      </c>
      <c r="G31" s="72">
        <f t="shared" si="13"/>
        <v>427904.1075283605</v>
      </c>
      <c r="H31" s="53">
        <f t="shared" si="14"/>
        <v>427904.1075283605</v>
      </c>
      <c r="I31" s="67">
        <f t="shared" si="0"/>
        <v>0</v>
      </c>
      <c r="J31" s="67"/>
      <c r="K31" s="150"/>
      <c r="L31" s="69">
        <f t="shared" si="1"/>
        <v>0</v>
      </c>
      <c r="M31" s="150"/>
      <c r="N31" s="69">
        <f t="shared" si="2"/>
        <v>0</v>
      </c>
      <c r="O31" s="69">
        <f t="shared" si="3"/>
        <v>0</v>
      </c>
      <c r="P31" s="4"/>
    </row>
    <row r="32" spans="2:16" ht="12.5">
      <c r="B32" s="9" t="str">
        <f t="shared" si="6"/>
        <v/>
      </c>
      <c r="C32" s="64">
        <f>IF(D11="","-",+C31+1)</f>
        <v>2023</v>
      </c>
      <c r="D32" s="70">
        <f>IF(F31+SUM(E$17:E31)=D$10,F31,D$10-SUM(E$17:E31))</f>
        <v>2953962.4002183294</v>
      </c>
      <c r="E32" s="71">
        <f>IF(+I14&lt;F31,I14,D32)</f>
        <v>106670.65761904762</v>
      </c>
      <c r="F32" s="70">
        <f t="shared" si="12"/>
        <v>2847291.7425992819</v>
      </c>
      <c r="G32" s="72">
        <f t="shared" si="13"/>
        <v>416509.76402179361</v>
      </c>
      <c r="H32" s="53">
        <f t="shared" si="14"/>
        <v>416509.76402179361</v>
      </c>
      <c r="I32" s="67">
        <f t="shared" si="0"/>
        <v>0</v>
      </c>
      <c r="J32" s="67"/>
      <c r="K32" s="150"/>
      <c r="L32" s="69">
        <f t="shared" si="1"/>
        <v>0</v>
      </c>
      <c r="M32" s="150"/>
      <c r="N32" s="69">
        <f t="shared" si="2"/>
        <v>0</v>
      </c>
      <c r="O32" s="69">
        <f t="shared" si="3"/>
        <v>0</v>
      </c>
      <c r="P32" s="4"/>
    </row>
    <row r="33" spans="2:16" ht="12.5">
      <c r="B33" s="9" t="str">
        <f t="shared" si="6"/>
        <v/>
      </c>
      <c r="C33" s="64">
        <f>IF(D11="","-",+C32+1)</f>
        <v>2024</v>
      </c>
      <c r="D33" s="70">
        <f>IF(F32+SUM(E$17:E32)=D$10,F32,D$10-SUM(E$17:E32))</f>
        <v>2847291.7425992819</v>
      </c>
      <c r="E33" s="71">
        <f>IF(+I14&lt;F32,I14,D33)</f>
        <v>106670.65761904762</v>
      </c>
      <c r="F33" s="70">
        <f t="shared" si="12"/>
        <v>2740621.0849802345</v>
      </c>
      <c r="G33" s="72">
        <f t="shared" si="13"/>
        <v>405115.42051522678</v>
      </c>
      <c r="H33" s="53">
        <f t="shared" si="14"/>
        <v>405115.42051522678</v>
      </c>
      <c r="I33" s="67">
        <f t="shared" si="0"/>
        <v>0</v>
      </c>
      <c r="J33" s="67"/>
      <c r="K33" s="150"/>
      <c r="L33" s="69">
        <f t="shared" si="1"/>
        <v>0</v>
      </c>
      <c r="M33" s="150"/>
      <c r="N33" s="69">
        <f t="shared" si="2"/>
        <v>0</v>
      </c>
      <c r="O33" s="69">
        <f t="shared" si="3"/>
        <v>0</v>
      </c>
      <c r="P33" s="4"/>
    </row>
    <row r="34" spans="2:16" ht="12.5">
      <c r="B34" s="9" t="str">
        <f t="shared" si="6"/>
        <v/>
      </c>
      <c r="C34" s="64">
        <f>IF(D11="","-",+C33+1)</f>
        <v>2025</v>
      </c>
      <c r="D34" s="70">
        <f>IF(F33+SUM(E$17:E33)=D$10,F33,D$10-SUM(E$17:E33))</f>
        <v>2740621.0849802345</v>
      </c>
      <c r="E34" s="71">
        <f>IF(+I14&lt;F33,I14,D34)</f>
        <v>106670.65761904762</v>
      </c>
      <c r="F34" s="70">
        <f t="shared" si="12"/>
        <v>2633950.4273611871</v>
      </c>
      <c r="G34" s="72">
        <f t="shared" si="13"/>
        <v>393721.07700865989</v>
      </c>
      <c r="H34" s="53">
        <f t="shared" si="14"/>
        <v>393721.07700865989</v>
      </c>
      <c r="I34" s="67">
        <f t="shared" si="0"/>
        <v>0</v>
      </c>
      <c r="J34" s="67"/>
      <c r="K34" s="150"/>
      <c r="L34" s="69">
        <f t="shared" si="1"/>
        <v>0</v>
      </c>
      <c r="M34" s="150"/>
      <c r="N34" s="69">
        <f t="shared" si="2"/>
        <v>0</v>
      </c>
      <c r="O34" s="69">
        <f t="shared" si="3"/>
        <v>0</v>
      </c>
      <c r="P34" s="4"/>
    </row>
    <row r="35" spans="2:16" ht="12.5">
      <c r="B35" s="9" t="str">
        <f t="shared" si="6"/>
        <v/>
      </c>
      <c r="C35" s="64">
        <f>IF(D11="","-",+C34+1)</f>
        <v>2026</v>
      </c>
      <c r="D35" s="70">
        <f>IF(F34+SUM(E$17:E34)=D$10,F34,D$10-SUM(E$17:E34))</f>
        <v>2633950.4273611871</v>
      </c>
      <c r="E35" s="71">
        <f>IF(+I14&lt;F34,I14,D35)</f>
        <v>106670.65761904762</v>
      </c>
      <c r="F35" s="70">
        <f t="shared" si="12"/>
        <v>2527279.7697421396</v>
      </c>
      <c r="G35" s="72">
        <f t="shared" si="13"/>
        <v>382326.73350209312</v>
      </c>
      <c r="H35" s="53">
        <f t="shared" si="14"/>
        <v>382326.73350209312</v>
      </c>
      <c r="I35" s="67">
        <f t="shared" si="0"/>
        <v>0</v>
      </c>
      <c r="J35" s="67"/>
      <c r="K35" s="150"/>
      <c r="L35" s="69">
        <f t="shared" si="1"/>
        <v>0</v>
      </c>
      <c r="M35" s="150"/>
      <c r="N35" s="69">
        <f t="shared" si="2"/>
        <v>0</v>
      </c>
      <c r="O35" s="69">
        <f t="shared" si="3"/>
        <v>0</v>
      </c>
      <c r="P35" s="4"/>
    </row>
    <row r="36" spans="2:16" ht="12.5">
      <c r="B36" s="9" t="str">
        <f t="shared" si="6"/>
        <v/>
      </c>
      <c r="C36" s="64">
        <f>IF(D11="","-",+C35+1)</f>
        <v>2027</v>
      </c>
      <c r="D36" s="70">
        <f>IF(F35+SUM(E$17:E35)=D$10,F35,D$10-SUM(E$17:E35))</f>
        <v>2527279.7697421396</v>
      </c>
      <c r="E36" s="71">
        <f>IF(+I14&lt;F35,I14,D36)</f>
        <v>106670.65761904762</v>
      </c>
      <c r="F36" s="70">
        <f t="shared" si="12"/>
        <v>2420609.1121230922</v>
      </c>
      <c r="G36" s="72">
        <f t="shared" si="13"/>
        <v>370932.38999552623</v>
      </c>
      <c r="H36" s="53">
        <f t="shared" si="14"/>
        <v>370932.38999552623</v>
      </c>
      <c r="I36" s="67">
        <f t="shared" si="0"/>
        <v>0</v>
      </c>
      <c r="J36" s="67"/>
      <c r="K36" s="150"/>
      <c r="L36" s="69">
        <f t="shared" si="1"/>
        <v>0</v>
      </c>
      <c r="M36" s="150"/>
      <c r="N36" s="69">
        <f t="shared" si="2"/>
        <v>0</v>
      </c>
      <c r="O36" s="69">
        <f t="shared" si="3"/>
        <v>0</v>
      </c>
      <c r="P36" s="4"/>
    </row>
    <row r="37" spans="2:16" ht="12.5">
      <c r="B37" s="9" t="str">
        <f t="shared" si="6"/>
        <v/>
      </c>
      <c r="C37" s="64">
        <f>IF(D11="","-",+C36+1)</f>
        <v>2028</v>
      </c>
      <c r="D37" s="70">
        <f>IF(F36+SUM(E$17:E36)=D$10,F36,D$10-SUM(E$17:E36))</f>
        <v>2420609.1121230922</v>
      </c>
      <c r="E37" s="71">
        <f>IF(+I14&lt;F36,I14,D37)</f>
        <v>106670.65761904762</v>
      </c>
      <c r="F37" s="70">
        <f t="shared" si="12"/>
        <v>2313938.4545040447</v>
      </c>
      <c r="G37" s="72">
        <f t="shared" si="13"/>
        <v>359538.04648895946</v>
      </c>
      <c r="H37" s="53">
        <f t="shared" si="14"/>
        <v>359538.04648895946</v>
      </c>
      <c r="I37" s="67">
        <f t="shared" si="0"/>
        <v>0</v>
      </c>
      <c r="J37" s="67"/>
      <c r="K37" s="150"/>
      <c r="L37" s="69">
        <f t="shared" si="1"/>
        <v>0</v>
      </c>
      <c r="M37" s="150"/>
      <c r="N37" s="69">
        <f t="shared" si="2"/>
        <v>0</v>
      </c>
      <c r="O37" s="69">
        <f t="shared" si="3"/>
        <v>0</v>
      </c>
      <c r="P37" s="4"/>
    </row>
    <row r="38" spans="2:16" ht="12.5">
      <c r="B38" s="9" t="str">
        <f t="shared" si="6"/>
        <v/>
      </c>
      <c r="C38" s="64">
        <f>IF(D11="","-",+C37+1)</f>
        <v>2029</v>
      </c>
      <c r="D38" s="70">
        <f>IF(F37+SUM(E$17:E37)=D$10,F37,D$10-SUM(E$17:E37))</f>
        <v>2313938.4545040447</v>
      </c>
      <c r="E38" s="71">
        <f>IF(+I14&lt;F37,I14,D38)</f>
        <v>106670.65761904762</v>
      </c>
      <c r="F38" s="70">
        <f t="shared" si="12"/>
        <v>2207267.7968849973</v>
      </c>
      <c r="G38" s="72">
        <f t="shared" si="13"/>
        <v>348143.70298239251</v>
      </c>
      <c r="H38" s="53">
        <f t="shared" si="14"/>
        <v>348143.70298239251</v>
      </c>
      <c r="I38" s="67">
        <f t="shared" si="0"/>
        <v>0</v>
      </c>
      <c r="J38" s="67"/>
      <c r="K38" s="150"/>
      <c r="L38" s="69">
        <f t="shared" si="1"/>
        <v>0</v>
      </c>
      <c r="M38" s="150"/>
      <c r="N38" s="69">
        <f t="shared" si="2"/>
        <v>0</v>
      </c>
      <c r="O38" s="69">
        <f t="shared" si="3"/>
        <v>0</v>
      </c>
      <c r="P38" s="4"/>
    </row>
    <row r="39" spans="2:16" ht="12.5">
      <c r="B39" s="9" t="str">
        <f t="shared" si="6"/>
        <v/>
      </c>
      <c r="C39" s="64">
        <f>IF(D11="","-",+C38+1)</f>
        <v>2030</v>
      </c>
      <c r="D39" s="70">
        <f>IF(F38+SUM(E$17:E38)=D$10,F38,D$10-SUM(E$17:E38))</f>
        <v>2207267.7968849973</v>
      </c>
      <c r="E39" s="71">
        <f>IF(+I14&lt;F38,I14,D39)</f>
        <v>106670.65761904762</v>
      </c>
      <c r="F39" s="70">
        <f t="shared" si="12"/>
        <v>2100597.1392659498</v>
      </c>
      <c r="G39" s="72">
        <f t="shared" si="13"/>
        <v>336749.35947582574</v>
      </c>
      <c r="H39" s="53">
        <f t="shared" si="14"/>
        <v>336749.35947582574</v>
      </c>
      <c r="I39" s="67">
        <f t="shared" si="0"/>
        <v>0</v>
      </c>
      <c r="J39" s="67"/>
      <c r="K39" s="150"/>
      <c r="L39" s="69">
        <f t="shared" si="1"/>
        <v>0</v>
      </c>
      <c r="M39" s="150"/>
      <c r="N39" s="69">
        <f t="shared" si="2"/>
        <v>0</v>
      </c>
      <c r="O39" s="69">
        <f t="shared" si="3"/>
        <v>0</v>
      </c>
      <c r="P39" s="4"/>
    </row>
    <row r="40" spans="2:16" ht="12.5">
      <c r="B40" s="9" t="str">
        <f t="shared" si="6"/>
        <v/>
      </c>
      <c r="C40" s="64">
        <f>IF(D11="","-",+C39+1)</f>
        <v>2031</v>
      </c>
      <c r="D40" s="70">
        <f>IF(F39+SUM(E$17:E39)=D$10,F39,D$10-SUM(E$17:E39))</f>
        <v>2100597.1392659498</v>
      </c>
      <c r="E40" s="71">
        <f>IF(+I14&lt;F39,I14,D40)</f>
        <v>106670.65761904762</v>
      </c>
      <c r="F40" s="70">
        <f t="shared" si="12"/>
        <v>1993926.4816469022</v>
      </c>
      <c r="G40" s="72">
        <f t="shared" si="13"/>
        <v>325355.01596925885</v>
      </c>
      <c r="H40" s="53">
        <f t="shared" si="14"/>
        <v>325355.01596925885</v>
      </c>
      <c r="I40" s="67">
        <f t="shared" si="0"/>
        <v>0</v>
      </c>
      <c r="J40" s="67"/>
      <c r="K40" s="150"/>
      <c r="L40" s="69">
        <f t="shared" si="1"/>
        <v>0</v>
      </c>
      <c r="M40" s="150"/>
      <c r="N40" s="69">
        <f t="shared" si="2"/>
        <v>0</v>
      </c>
      <c r="O40" s="69">
        <f t="shared" si="3"/>
        <v>0</v>
      </c>
      <c r="P40" s="4"/>
    </row>
    <row r="41" spans="2:16" ht="12.5">
      <c r="B41" s="9" t="str">
        <f t="shared" si="6"/>
        <v/>
      </c>
      <c r="C41" s="64">
        <f>IF(D11="","-",+C40+1)</f>
        <v>2032</v>
      </c>
      <c r="D41" s="70">
        <f>IF(F40+SUM(E$17:E40)=D$10,F40,D$10-SUM(E$17:E40))</f>
        <v>1993926.4816469022</v>
      </c>
      <c r="E41" s="71">
        <f>IF(+I14&lt;F40,I14,D41)</f>
        <v>106670.65761904762</v>
      </c>
      <c r="F41" s="70">
        <f t="shared" si="12"/>
        <v>1887255.8240278545</v>
      </c>
      <c r="G41" s="72">
        <f t="shared" si="13"/>
        <v>313960.67246269202</v>
      </c>
      <c r="H41" s="53">
        <f t="shared" si="14"/>
        <v>313960.67246269202</v>
      </c>
      <c r="I41" s="67">
        <f t="shared" si="0"/>
        <v>0</v>
      </c>
      <c r="J41" s="67"/>
      <c r="K41" s="150"/>
      <c r="L41" s="69">
        <f t="shared" si="1"/>
        <v>0</v>
      </c>
      <c r="M41" s="150"/>
      <c r="N41" s="69">
        <f t="shared" si="2"/>
        <v>0</v>
      </c>
      <c r="O41" s="69">
        <f t="shared" si="3"/>
        <v>0</v>
      </c>
      <c r="P41" s="4"/>
    </row>
    <row r="42" spans="2:16" ht="12.5">
      <c r="B42" s="9" t="str">
        <f t="shared" si="6"/>
        <v/>
      </c>
      <c r="C42" s="64">
        <f>IF(D11="","-",+C41+1)</f>
        <v>2033</v>
      </c>
      <c r="D42" s="70">
        <f>IF(F41+SUM(E$17:E41)=D$10,F41,D$10-SUM(E$17:E41))</f>
        <v>1887255.8240278545</v>
      </c>
      <c r="E42" s="71">
        <f>IF(+I14&lt;F41,I14,D42)</f>
        <v>106670.65761904762</v>
      </c>
      <c r="F42" s="70">
        <f t="shared" si="12"/>
        <v>1780585.1664088068</v>
      </c>
      <c r="G42" s="72">
        <f t="shared" si="13"/>
        <v>302566.32895612507</v>
      </c>
      <c r="H42" s="53">
        <f t="shared" si="14"/>
        <v>302566.32895612507</v>
      </c>
      <c r="I42" s="67">
        <f t="shared" si="0"/>
        <v>0</v>
      </c>
      <c r="J42" s="67"/>
      <c r="K42" s="150"/>
      <c r="L42" s="69">
        <f t="shared" si="1"/>
        <v>0</v>
      </c>
      <c r="M42" s="150"/>
      <c r="N42" s="69">
        <f t="shared" si="2"/>
        <v>0</v>
      </c>
      <c r="O42" s="69">
        <f t="shared" si="3"/>
        <v>0</v>
      </c>
      <c r="P42" s="4"/>
    </row>
    <row r="43" spans="2:16" ht="12.5">
      <c r="B43" s="9" t="str">
        <f t="shared" si="6"/>
        <v/>
      </c>
      <c r="C43" s="64">
        <f>IF(D11="","-",+C42+1)</f>
        <v>2034</v>
      </c>
      <c r="D43" s="70">
        <f>IF(F42+SUM(E$17:E42)=D$10,F42,D$10-SUM(E$17:E42))</f>
        <v>1780585.1664088068</v>
      </c>
      <c r="E43" s="71">
        <f>IF(+I14&lt;F42,I14,D43)</f>
        <v>106670.65761904762</v>
      </c>
      <c r="F43" s="70">
        <f t="shared" si="12"/>
        <v>1673914.5087897591</v>
      </c>
      <c r="G43" s="72">
        <f t="shared" si="13"/>
        <v>291171.98544955824</v>
      </c>
      <c r="H43" s="53">
        <f t="shared" si="14"/>
        <v>291171.98544955824</v>
      </c>
      <c r="I43" s="67">
        <f t="shared" si="0"/>
        <v>0</v>
      </c>
      <c r="J43" s="67"/>
      <c r="K43" s="150"/>
      <c r="L43" s="69">
        <f t="shared" si="1"/>
        <v>0</v>
      </c>
      <c r="M43" s="150"/>
      <c r="N43" s="69">
        <f t="shared" si="2"/>
        <v>0</v>
      </c>
      <c r="O43" s="69">
        <f t="shared" si="3"/>
        <v>0</v>
      </c>
      <c r="P43" s="4"/>
    </row>
    <row r="44" spans="2:16" ht="12.5">
      <c r="B44" s="9" t="str">
        <f t="shared" si="6"/>
        <v/>
      </c>
      <c r="C44" s="64">
        <f>IF(D11="","-",+C43+1)</f>
        <v>2035</v>
      </c>
      <c r="D44" s="70">
        <f>IF(F43+SUM(E$17:E43)=D$10,F43,D$10-SUM(E$17:E43))</f>
        <v>1673914.5087897591</v>
      </c>
      <c r="E44" s="71">
        <f>IF(+I14&lt;F43,I14,D44)</f>
        <v>106670.65761904762</v>
      </c>
      <c r="F44" s="70">
        <f t="shared" si="12"/>
        <v>1567243.8511707115</v>
      </c>
      <c r="G44" s="72">
        <f t="shared" si="13"/>
        <v>279777.64194299135</v>
      </c>
      <c r="H44" s="53">
        <f t="shared" si="14"/>
        <v>279777.64194299135</v>
      </c>
      <c r="I44" s="67">
        <f t="shared" si="0"/>
        <v>0</v>
      </c>
      <c r="J44" s="67"/>
      <c r="K44" s="150"/>
      <c r="L44" s="69">
        <f t="shared" si="1"/>
        <v>0</v>
      </c>
      <c r="M44" s="150"/>
      <c r="N44" s="69">
        <f t="shared" si="2"/>
        <v>0</v>
      </c>
      <c r="O44" s="69">
        <f t="shared" si="3"/>
        <v>0</v>
      </c>
      <c r="P44" s="4"/>
    </row>
    <row r="45" spans="2:16" ht="12.5">
      <c r="B45" s="9" t="str">
        <f t="shared" si="6"/>
        <v/>
      </c>
      <c r="C45" s="64">
        <f>IF(D11="","-",+C44+1)</f>
        <v>2036</v>
      </c>
      <c r="D45" s="70">
        <f>IF(F44+SUM(E$17:E44)=D$10,F44,D$10-SUM(E$17:E44))</f>
        <v>1567243.8511707115</v>
      </c>
      <c r="E45" s="71">
        <f>IF(+I14&lt;F44,I14,D45)</f>
        <v>106670.65761904762</v>
      </c>
      <c r="F45" s="70">
        <f t="shared" si="12"/>
        <v>1460573.1935516638</v>
      </c>
      <c r="G45" s="72">
        <f t="shared" si="13"/>
        <v>268383.29843642452</v>
      </c>
      <c r="H45" s="53">
        <f t="shared" si="14"/>
        <v>268383.29843642452</v>
      </c>
      <c r="I45" s="67">
        <f t="shared" si="0"/>
        <v>0</v>
      </c>
      <c r="J45" s="67"/>
      <c r="K45" s="150"/>
      <c r="L45" s="69">
        <f t="shared" si="1"/>
        <v>0</v>
      </c>
      <c r="M45" s="150"/>
      <c r="N45" s="69">
        <f t="shared" si="2"/>
        <v>0</v>
      </c>
      <c r="O45" s="69">
        <f t="shared" si="3"/>
        <v>0</v>
      </c>
      <c r="P45" s="4"/>
    </row>
    <row r="46" spans="2:16" ht="12.5">
      <c r="B46" s="9" t="str">
        <f t="shared" si="6"/>
        <v/>
      </c>
      <c r="C46" s="64">
        <f>IF(D11="","-",+C45+1)</f>
        <v>2037</v>
      </c>
      <c r="D46" s="70">
        <f>IF(F45+SUM(E$17:E45)=D$10,F45,D$10-SUM(E$17:E45))</f>
        <v>1460573.1935516638</v>
      </c>
      <c r="E46" s="71">
        <f>IF(+I14&lt;F45,I14,D46)</f>
        <v>106670.65761904762</v>
      </c>
      <c r="F46" s="70">
        <f t="shared" si="12"/>
        <v>1353902.5359326161</v>
      </c>
      <c r="G46" s="72">
        <f t="shared" si="13"/>
        <v>256988.95492985763</v>
      </c>
      <c r="H46" s="53">
        <f t="shared" si="14"/>
        <v>256988.95492985763</v>
      </c>
      <c r="I46" s="67">
        <f t="shared" si="0"/>
        <v>0</v>
      </c>
      <c r="J46" s="67"/>
      <c r="K46" s="150"/>
      <c r="L46" s="69">
        <f t="shared" si="1"/>
        <v>0</v>
      </c>
      <c r="M46" s="150"/>
      <c r="N46" s="69">
        <f t="shared" si="2"/>
        <v>0</v>
      </c>
      <c r="O46" s="69">
        <f t="shared" si="3"/>
        <v>0</v>
      </c>
      <c r="P46" s="4"/>
    </row>
    <row r="47" spans="2:16" ht="12.5">
      <c r="B47" s="9" t="str">
        <f t="shared" si="6"/>
        <v/>
      </c>
      <c r="C47" s="64">
        <f>IF(D11="","-",+C46+1)</f>
        <v>2038</v>
      </c>
      <c r="D47" s="70">
        <f>IF(F46+SUM(E$17:E46)=D$10,F46,D$10-SUM(E$17:E46))</f>
        <v>1353902.5359326161</v>
      </c>
      <c r="E47" s="71">
        <f>IF(+I14&lt;F46,I14,D47)</f>
        <v>106670.65761904762</v>
      </c>
      <c r="F47" s="70">
        <f t="shared" si="12"/>
        <v>1247231.8783135684</v>
      </c>
      <c r="G47" s="72">
        <f t="shared" si="13"/>
        <v>245594.61142329077</v>
      </c>
      <c r="H47" s="53">
        <f t="shared" si="14"/>
        <v>245594.61142329077</v>
      </c>
      <c r="I47" s="67">
        <f t="shared" si="0"/>
        <v>0</v>
      </c>
      <c r="J47" s="67"/>
      <c r="K47" s="150"/>
      <c r="L47" s="69">
        <f t="shared" si="1"/>
        <v>0</v>
      </c>
      <c r="M47" s="150"/>
      <c r="N47" s="69">
        <f t="shared" si="2"/>
        <v>0</v>
      </c>
      <c r="O47" s="69">
        <f t="shared" si="3"/>
        <v>0</v>
      </c>
      <c r="P47" s="4"/>
    </row>
    <row r="48" spans="2:16" ht="12.5">
      <c r="B48" s="9" t="str">
        <f t="shared" si="6"/>
        <v/>
      </c>
      <c r="C48" s="64">
        <f>IF(D11="","-",+C47+1)</f>
        <v>2039</v>
      </c>
      <c r="D48" s="70">
        <f>IF(F47+SUM(E$17:E47)=D$10,F47,D$10-SUM(E$17:E47))</f>
        <v>1247231.8783135684</v>
      </c>
      <c r="E48" s="71">
        <f>IF(+I14&lt;F47,I14,D48)</f>
        <v>106670.65761904762</v>
      </c>
      <c r="F48" s="70">
        <f t="shared" si="12"/>
        <v>1140561.2206945207</v>
      </c>
      <c r="G48" s="72">
        <f t="shared" si="13"/>
        <v>234200.26791672388</v>
      </c>
      <c r="H48" s="53">
        <f t="shared" si="14"/>
        <v>234200.26791672388</v>
      </c>
      <c r="I48" s="67">
        <f t="shared" si="0"/>
        <v>0</v>
      </c>
      <c r="J48" s="67"/>
      <c r="K48" s="150"/>
      <c r="L48" s="69">
        <f t="shared" si="1"/>
        <v>0</v>
      </c>
      <c r="M48" s="150"/>
      <c r="N48" s="69">
        <f t="shared" si="2"/>
        <v>0</v>
      </c>
      <c r="O48" s="69">
        <f t="shared" si="3"/>
        <v>0</v>
      </c>
      <c r="P48" s="4"/>
    </row>
    <row r="49" spans="2:17" ht="12.5">
      <c r="B49" s="9" t="str">
        <f t="shared" si="6"/>
        <v/>
      </c>
      <c r="C49" s="64">
        <f>IF(D11="","-",+C48+1)</f>
        <v>2040</v>
      </c>
      <c r="D49" s="70">
        <f>IF(F48+SUM(E$17:E48)=D$10,F48,D$10-SUM(E$17:E48))</f>
        <v>1140561.2206945207</v>
      </c>
      <c r="E49" s="71">
        <f>IF(+I14&lt;F48,I14,D49)</f>
        <v>106670.65761904762</v>
      </c>
      <c r="F49" s="70">
        <f t="shared" ref="F49:F72" si="15">+D49-E49</f>
        <v>1033890.5630754731</v>
      </c>
      <c r="G49" s="72">
        <f t="shared" si="13"/>
        <v>222805.92441015702</v>
      </c>
      <c r="H49" s="53">
        <f t="shared" si="14"/>
        <v>222805.92441015702</v>
      </c>
      <c r="I49" s="67">
        <f t="shared" ref="I49:I72" si="16">H49-G49</f>
        <v>0</v>
      </c>
      <c r="J49" s="67"/>
      <c r="K49" s="150"/>
      <c r="L49" s="69">
        <f t="shared" ref="L49:L72" si="17">IF(K49&lt;&gt;0,+G49-K49,0)</f>
        <v>0</v>
      </c>
      <c r="M49" s="150"/>
      <c r="N49" s="69">
        <f t="shared" ref="N49:N72" si="18">IF(M49&lt;&gt;0,+H49-M49,0)</f>
        <v>0</v>
      </c>
      <c r="O49" s="69">
        <f t="shared" ref="O49:O72" si="19">+N49-L49</f>
        <v>0</v>
      </c>
      <c r="P49" s="4"/>
    </row>
    <row r="50" spans="2:17" ht="12.5">
      <c r="B50" s="9" t="str">
        <f t="shared" si="6"/>
        <v/>
      </c>
      <c r="C50" s="64">
        <f>IF(D11="","-",+C49+1)</f>
        <v>2041</v>
      </c>
      <c r="D50" s="70">
        <f>IF(F49+SUM(E$17:E49)=D$10,F49,D$10-SUM(E$17:E49))</f>
        <v>1033890.5630754731</v>
      </c>
      <c r="E50" s="71">
        <f>IF(+I14&lt;F49,I14,D50)</f>
        <v>106670.65761904762</v>
      </c>
      <c r="F50" s="70">
        <f t="shared" si="15"/>
        <v>927219.90545642539</v>
      </c>
      <c r="G50" s="72">
        <f t="shared" si="13"/>
        <v>211411.58090359013</v>
      </c>
      <c r="H50" s="53">
        <f t="shared" si="14"/>
        <v>211411.58090359013</v>
      </c>
      <c r="I50" s="67">
        <f t="shared" si="16"/>
        <v>0</v>
      </c>
      <c r="J50" s="67"/>
      <c r="K50" s="150"/>
      <c r="L50" s="69">
        <f t="shared" si="17"/>
        <v>0</v>
      </c>
      <c r="M50" s="150"/>
      <c r="N50" s="69">
        <f t="shared" si="18"/>
        <v>0</v>
      </c>
      <c r="O50" s="69">
        <f t="shared" si="19"/>
        <v>0</v>
      </c>
      <c r="P50" s="4"/>
    </row>
    <row r="51" spans="2:17" ht="12.5">
      <c r="B51" s="9" t="str">
        <f t="shared" si="6"/>
        <v/>
      </c>
      <c r="C51" s="64">
        <f>IF(D11="","-",+C50+1)</f>
        <v>2042</v>
      </c>
      <c r="D51" s="70">
        <f>IF(F50+SUM(E$17:E50)=D$10,F50,D$10-SUM(E$17:E50))</f>
        <v>927219.90545642539</v>
      </c>
      <c r="E51" s="71">
        <f>IF(+I14&lt;F50,I14,D51)</f>
        <v>106670.65761904762</v>
      </c>
      <c r="F51" s="70">
        <f t="shared" si="15"/>
        <v>820549.24783737771</v>
      </c>
      <c r="G51" s="72">
        <f t="shared" si="13"/>
        <v>200017.23739702327</v>
      </c>
      <c r="H51" s="53">
        <f t="shared" si="14"/>
        <v>200017.23739702327</v>
      </c>
      <c r="I51" s="67">
        <f t="shared" si="16"/>
        <v>0</v>
      </c>
      <c r="J51" s="67"/>
      <c r="K51" s="150"/>
      <c r="L51" s="69">
        <f t="shared" si="17"/>
        <v>0</v>
      </c>
      <c r="M51" s="150"/>
      <c r="N51" s="69">
        <f t="shared" si="18"/>
        <v>0</v>
      </c>
      <c r="O51" s="69">
        <f t="shared" si="19"/>
        <v>0</v>
      </c>
      <c r="P51" s="4"/>
    </row>
    <row r="52" spans="2:17" ht="12.5">
      <c r="B52" s="9" t="str">
        <f t="shared" si="6"/>
        <v/>
      </c>
      <c r="C52" s="64">
        <f>IF(D11="","-",+C51+1)</f>
        <v>2043</v>
      </c>
      <c r="D52" s="70">
        <f>IF(F51+SUM(E$17:E51)=D$10,F51,D$10-SUM(E$17:E51))</f>
        <v>820549.24783737771</v>
      </c>
      <c r="E52" s="71">
        <f>IF(+I14&lt;F51,I14,D52)</f>
        <v>106670.65761904762</v>
      </c>
      <c r="F52" s="70">
        <f t="shared" si="15"/>
        <v>713878.59021833003</v>
      </c>
      <c r="G52" s="72">
        <f t="shared" si="13"/>
        <v>188622.89389045641</v>
      </c>
      <c r="H52" s="53">
        <f t="shared" si="14"/>
        <v>188622.89389045641</v>
      </c>
      <c r="I52" s="67">
        <f t="shared" si="16"/>
        <v>0</v>
      </c>
      <c r="J52" s="67"/>
      <c r="K52" s="150"/>
      <c r="L52" s="69">
        <f t="shared" si="17"/>
        <v>0</v>
      </c>
      <c r="M52" s="150"/>
      <c r="N52" s="69">
        <f t="shared" si="18"/>
        <v>0</v>
      </c>
      <c r="O52" s="69">
        <f t="shared" si="19"/>
        <v>0</v>
      </c>
      <c r="P52" s="4"/>
    </row>
    <row r="53" spans="2:17" ht="12.5">
      <c r="B53" s="9" t="str">
        <f t="shared" si="6"/>
        <v/>
      </c>
      <c r="C53" s="64">
        <f>IF(D11="","-",+C52+1)</f>
        <v>2044</v>
      </c>
      <c r="D53" s="70">
        <f>IF(F52+SUM(E$17:E52)=D$10,F52,D$10-SUM(E$17:E52))</f>
        <v>713878.59021833003</v>
      </c>
      <c r="E53" s="71">
        <f>IF(+I14&lt;F52,I14,D53)</f>
        <v>106670.65761904762</v>
      </c>
      <c r="F53" s="70">
        <f t="shared" si="15"/>
        <v>607207.93259928236</v>
      </c>
      <c r="G53" s="72">
        <f t="shared" si="13"/>
        <v>177228.55038388952</v>
      </c>
      <c r="H53" s="53">
        <f t="shared" si="14"/>
        <v>177228.55038388952</v>
      </c>
      <c r="I53" s="67">
        <f t="shared" si="16"/>
        <v>0</v>
      </c>
      <c r="J53" s="67"/>
      <c r="K53" s="150"/>
      <c r="L53" s="69">
        <f t="shared" si="17"/>
        <v>0</v>
      </c>
      <c r="M53" s="150"/>
      <c r="N53" s="69">
        <f t="shared" si="18"/>
        <v>0</v>
      </c>
      <c r="O53" s="69">
        <f t="shared" si="19"/>
        <v>0</v>
      </c>
      <c r="P53" s="4"/>
    </row>
    <row r="54" spans="2:17" ht="12.5">
      <c r="B54" s="9" t="str">
        <f t="shared" si="6"/>
        <v/>
      </c>
      <c r="C54" s="64">
        <f>IF(D11="","-",+C53+1)</f>
        <v>2045</v>
      </c>
      <c r="D54" s="70">
        <f>IF(F53+SUM(E$17:E53)=D$10,F53,D$10-SUM(E$17:E53))</f>
        <v>607207.93259928236</v>
      </c>
      <c r="E54" s="71">
        <f>IF(+I14&lt;F53,I14,D54)</f>
        <v>106670.65761904762</v>
      </c>
      <c r="F54" s="70">
        <f t="shared" si="15"/>
        <v>500537.27498023474</v>
      </c>
      <c r="G54" s="72">
        <f t="shared" si="13"/>
        <v>165834.20687732266</v>
      </c>
      <c r="H54" s="53">
        <f t="shared" si="14"/>
        <v>165834.20687732266</v>
      </c>
      <c r="I54" s="67">
        <f t="shared" si="16"/>
        <v>0</v>
      </c>
      <c r="J54" s="67"/>
      <c r="K54" s="150"/>
      <c r="L54" s="69">
        <f t="shared" si="17"/>
        <v>0</v>
      </c>
      <c r="M54" s="150"/>
      <c r="N54" s="69">
        <f t="shared" si="18"/>
        <v>0</v>
      </c>
      <c r="O54" s="69">
        <f t="shared" si="19"/>
        <v>0</v>
      </c>
      <c r="P54" s="4"/>
    </row>
    <row r="55" spans="2:17" ht="12.5">
      <c r="B55" s="9" t="str">
        <f t="shared" si="6"/>
        <v/>
      </c>
      <c r="C55" s="64">
        <f>IF(D11="","-",+C54+1)</f>
        <v>2046</v>
      </c>
      <c r="D55" s="70">
        <f>IF(F54+SUM(E$17:E54)=D$10,F54,D$10-SUM(E$17:E54))</f>
        <v>500537.27498023474</v>
      </c>
      <c r="E55" s="71">
        <f>IF(+I14&lt;F54,I14,D55)</f>
        <v>106670.65761904762</v>
      </c>
      <c r="F55" s="70">
        <f t="shared" si="15"/>
        <v>393866.61736118712</v>
      </c>
      <c r="G55" s="72">
        <f t="shared" si="13"/>
        <v>154439.8633707558</v>
      </c>
      <c r="H55" s="53">
        <f t="shared" si="14"/>
        <v>154439.8633707558</v>
      </c>
      <c r="I55" s="67">
        <f t="shared" si="16"/>
        <v>0</v>
      </c>
      <c r="J55" s="67"/>
      <c r="K55" s="150"/>
      <c r="L55" s="69">
        <f t="shared" si="17"/>
        <v>0</v>
      </c>
      <c r="M55" s="150"/>
      <c r="N55" s="69">
        <f t="shared" si="18"/>
        <v>0</v>
      </c>
      <c r="O55" s="69">
        <f t="shared" si="19"/>
        <v>0</v>
      </c>
      <c r="P55" s="4"/>
    </row>
    <row r="56" spans="2:17" ht="12.5">
      <c r="B56" s="9" t="str">
        <f t="shared" si="6"/>
        <v/>
      </c>
      <c r="C56" s="64">
        <f>IF(D11="","-",+C55+1)</f>
        <v>2047</v>
      </c>
      <c r="D56" s="70">
        <f>IF(F55+SUM(E$17:E55)=D$10,F55,D$10-SUM(E$17:E55))</f>
        <v>393866.61736118712</v>
      </c>
      <c r="E56" s="71">
        <f>IF(+I14&lt;F55,I14,D56)</f>
        <v>106670.65761904762</v>
      </c>
      <c r="F56" s="70">
        <f t="shared" si="15"/>
        <v>287195.9597421395</v>
      </c>
      <c r="G56" s="72">
        <f t="shared" si="13"/>
        <v>143045.51986418894</v>
      </c>
      <c r="H56" s="53">
        <f t="shared" si="14"/>
        <v>143045.51986418894</v>
      </c>
      <c r="I56" s="67">
        <f t="shared" si="16"/>
        <v>0</v>
      </c>
      <c r="J56" s="67"/>
      <c r="K56" s="150"/>
      <c r="L56" s="69">
        <f t="shared" si="17"/>
        <v>0</v>
      </c>
      <c r="M56" s="150"/>
      <c r="N56" s="69">
        <f t="shared" si="18"/>
        <v>0</v>
      </c>
      <c r="O56" s="69">
        <f t="shared" si="19"/>
        <v>0</v>
      </c>
      <c r="P56" s="4"/>
    </row>
    <row r="57" spans="2:17" ht="12.5">
      <c r="B57" s="9" t="str">
        <f t="shared" si="6"/>
        <v/>
      </c>
      <c r="C57" s="64">
        <f>IF(D11="","-",+C56+1)</f>
        <v>2048</v>
      </c>
      <c r="D57" s="70">
        <f>IF(F56+SUM(E$17:E56)=D$10,F56,D$10-SUM(E$17:E56))</f>
        <v>287195.9597421395</v>
      </c>
      <c r="E57" s="71">
        <f>IF(+I14&lt;F56,I14,D57)</f>
        <v>106670.65761904762</v>
      </c>
      <c r="F57" s="70">
        <f t="shared" si="15"/>
        <v>180525.30212309188</v>
      </c>
      <c r="G57" s="72">
        <f t="shared" si="13"/>
        <v>131651.17635762208</v>
      </c>
      <c r="H57" s="53">
        <f t="shared" si="14"/>
        <v>131651.17635762208</v>
      </c>
      <c r="I57" s="67">
        <f t="shared" si="16"/>
        <v>0</v>
      </c>
      <c r="J57" s="67"/>
      <c r="K57" s="150"/>
      <c r="L57" s="69">
        <f t="shared" si="17"/>
        <v>0</v>
      </c>
      <c r="M57" s="150"/>
      <c r="N57" s="69">
        <f t="shared" si="18"/>
        <v>0</v>
      </c>
      <c r="O57" s="69">
        <f t="shared" si="19"/>
        <v>0</v>
      </c>
      <c r="P57" s="4"/>
    </row>
    <row r="58" spans="2:17" ht="12.5">
      <c r="B58" s="9" t="str">
        <f t="shared" si="6"/>
        <v/>
      </c>
      <c r="C58" s="64">
        <f>IF(D11="","-",+C57+1)</f>
        <v>2049</v>
      </c>
      <c r="D58" s="70">
        <f>IF(F57+SUM(E$17:E57)=D$10,F57,D$10-SUM(E$17:E57))</f>
        <v>180525.30212309188</v>
      </c>
      <c r="E58" s="71">
        <f>IF(+I14&lt;F57,I14,D58)</f>
        <v>106670.65761904762</v>
      </c>
      <c r="F58" s="70">
        <f t="shared" si="15"/>
        <v>73854.644504044263</v>
      </c>
      <c r="G58" s="72">
        <f t="shared" si="13"/>
        <v>120256.83285105521</v>
      </c>
      <c r="H58" s="53">
        <f t="shared" si="14"/>
        <v>120256.83285105521</v>
      </c>
      <c r="I58" s="67">
        <f t="shared" si="16"/>
        <v>0</v>
      </c>
      <c r="J58" s="67"/>
      <c r="K58" s="150"/>
      <c r="L58" s="69">
        <f t="shared" si="17"/>
        <v>0</v>
      </c>
      <c r="M58" s="150"/>
      <c r="N58" s="69">
        <f t="shared" si="18"/>
        <v>0</v>
      </c>
      <c r="O58" s="69">
        <f t="shared" si="19"/>
        <v>0</v>
      </c>
      <c r="P58" s="4"/>
      <c r="Q58" t="str">
        <f>IF(ROUND(Q57,0)=ROUND(SUM(Q18:Q56),0),"","Error -- check allocations above).")</f>
        <v/>
      </c>
    </row>
    <row r="59" spans="2:17" ht="12.5">
      <c r="B59" s="9" t="str">
        <f t="shared" si="6"/>
        <v/>
      </c>
      <c r="C59" s="64">
        <f>IF(D11="","-",+C58+1)</f>
        <v>2050</v>
      </c>
      <c r="D59" s="70">
        <f>IF(F58+SUM(E$17:E58)=D$10,F58,D$10-SUM(E$17:E58))</f>
        <v>73854.644504044263</v>
      </c>
      <c r="E59" s="71">
        <f>IF(+I14&lt;F58,I14,D59)</f>
        <v>73854.644504044263</v>
      </c>
      <c r="F59" s="70">
        <f t="shared" si="15"/>
        <v>0</v>
      </c>
      <c r="G59" s="72">
        <f t="shared" si="13"/>
        <v>77799.146243406343</v>
      </c>
      <c r="H59" s="53">
        <f t="shared" si="14"/>
        <v>77799.146243406343</v>
      </c>
      <c r="I59" s="67">
        <f t="shared" si="16"/>
        <v>0</v>
      </c>
      <c r="J59" s="67"/>
      <c r="K59" s="150"/>
      <c r="L59" s="69">
        <f t="shared" si="17"/>
        <v>0</v>
      </c>
      <c r="M59" s="150"/>
      <c r="N59" s="69">
        <f t="shared" si="18"/>
        <v>0</v>
      </c>
      <c r="O59" s="69">
        <f t="shared" si="19"/>
        <v>0</v>
      </c>
      <c r="P59" s="4"/>
    </row>
    <row r="60" spans="2:17" ht="12.5">
      <c r="B60" s="9" t="str">
        <f t="shared" si="6"/>
        <v/>
      </c>
      <c r="C60" s="64">
        <f>IF(D11="","-",+C59+1)</f>
        <v>2051</v>
      </c>
      <c r="D60" s="70">
        <f>IF(F59+SUM(E$17:E59)=D$10,F59,D$10-SUM(E$17:E59))</f>
        <v>0</v>
      </c>
      <c r="E60" s="71">
        <f>IF(+I14&lt;F59,I14,D60)</f>
        <v>0</v>
      </c>
      <c r="F60" s="70">
        <f t="shared" si="15"/>
        <v>0</v>
      </c>
      <c r="G60" s="72">
        <f t="shared" si="13"/>
        <v>0</v>
      </c>
      <c r="H60" s="53">
        <f t="shared" si="14"/>
        <v>0</v>
      </c>
      <c r="I60" s="67">
        <f t="shared" si="16"/>
        <v>0</v>
      </c>
      <c r="J60" s="67"/>
      <c r="K60" s="150"/>
      <c r="L60" s="69">
        <f t="shared" si="17"/>
        <v>0</v>
      </c>
      <c r="M60" s="150"/>
      <c r="N60" s="69">
        <f t="shared" si="18"/>
        <v>0</v>
      </c>
      <c r="O60" s="69">
        <f t="shared" si="19"/>
        <v>0</v>
      </c>
      <c r="P60" s="4"/>
    </row>
    <row r="61" spans="2:17" ht="12.5">
      <c r="B61" s="9" t="str">
        <f t="shared" si="6"/>
        <v/>
      </c>
      <c r="C61" s="64">
        <f>IF(D11="","-",+C60+1)</f>
        <v>2052</v>
      </c>
      <c r="D61" s="70">
        <f>IF(F60+SUM(E$17:E60)=D$10,F60,D$10-SUM(E$17:E60))</f>
        <v>0</v>
      </c>
      <c r="E61" s="71">
        <f>IF(+I14&lt;F60,I14,D61)</f>
        <v>0</v>
      </c>
      <c r="F61" s="70">
        <f t="shared" si="15"/>
        <v>0</v>
      </c>
      <c r="G61" s="73">
        <f t="shared" si="13"/>
        <v>0</v>
      </c>
      <c r="H61" s="53">
        <f t="shared" si="14"/>
        <v>0</v>
      </c>
      <c r="I61" s="67">
        <f t="shared" si="16"/>
        <v>0</v>
      </c>
      <c r="J61" s="67"/>
      <c r="K61" s="150"/>
      <c r="L61" s="69">
        <f t="shared" si="17"/>
        <v>0</v>
      </c>
      <c r="M61" s="150"/>
      <c r="N61" s="69">
        <f t="shared" si="18"/>
        <v>0</v>
      </c>
      <c r="O61" s="69">
        <f t="shared" si="19"/>
        <v>0</v>
      </c>
      <c r="P61" s="4"/>
    </row>
    <row r="62" spans="2:17" ht="12.5">
      <c r="B62" s="9" t="str">
        <f t="shared" si="6"/>
        <v/>
      </c>
      <c r="C62" s="64">
        <f>IF(D11="","-",+C61+1)</f>
        <v>2053</v>
      </c>
      <c r="D62" s="70">
        <f>IF(F61+SUM(E$17:E61)=D$10,F61,D$10-SUM(E$17:E61))</f>
        <v>0</v>
      </c>
      <c r="E62" s="71">
        <f>IF(+I14&lt;F61,I14,D62)</f>
        <v>0</v>
      </c>
      <c r="F62" s="70">
        <f t="shared" si="15"/>
        <v>0</v>
      </c>
      <c r="G62" s="73">
        <f t="shared" si="13"/>
        <v>0</v>
      </c>
      <c r="H62" s="53">
        <f t="shared" si="14"/>
        <v>0</v>
      </c>
      <c r="I62" s="67">
        <f t="shared" si="16"/>
        <v>0</v>
      </c>
      <c r="J62" s="67"/>
      <c r="K62" s="150"/>
      <c r="L62" s="69">
        <f t="shared" si="17"/>
        <v>0</v>
      </c>
      <c r="M62" s="150"/>
      <c r="N62" s="69">
        <f t="shared" si="18"/>
        <v>0</v>
      </c>
      <c r="O62" s="69">
        <f t="shared" si="19"/>
        <v>0</v>
      </c>
      <c r="P62" s="4"/>
    </row>
    <row r="63" spans="2:17" ht="12.5">
      <c r="B63" s="9" t="str">
        <f t="shared" si="6"/>
        <v/>
      </c>
      <c r="C63" s="64">
        <f>IF(D11="","-",+C62+1)</f>
        <v>2054</v>
      </c>
      <c r="D63" s="70">
        <f>IF(F62+SUM(E$17:E62)=D$10,F62,D$10-SUM(E$17:E62))</f>
        <v>0</v>
      </c>
      <c r="E63" s="71">
        <f>IF(+I14&lt;F62,I14,D63)</f>
        <v>0</v>
      </c>
      <c r="F63" s="70">
        <f t="shared" si="15"/>
        <v>0</v>
      </c>
      <c r="G63" s="73">
        <f t="shared" si="13"/>
        <v>0</v>
      </c>
      <c r="H63" s="53">
        <f t="shared" si="14"/>
        <v>0</v>
      </c>
      <c r="I63" s="67">
        <f t="shared" si="16"/>
        <v>0</v>
      </c>
      <c r="J63" s="67"/>
      <c r="K63" s="150"/>
      <c r="L63" s="69">
        <f t="shared" si="17"/>
        <v>0</v>
      </c>
      <c r="M63" s="150"/>
      <c r="N63" s="69">
        <f t="shared" si="18"/>
        <v>0</v>
      </c>
      <c r="O63" s="69">
        <f t="shared" si="19"/>
        <v>0</v>
      </c>
      <c r="P63" s="4"/>
    </row>
    <row r="64" spans="2:17" ht="12.5">
      <c r="B64" s="9" t="str">
        <f t="shared" si="6"/>
        <v/>
      </c>
      <c r="C64" s="64">
        <f>IF(D11="","-",+C63+1)</f>
        <v>2055</v>
      </c>
      <c r="D64" s="70">
        <f>IF(F63+SUM(E$17:E63)=D$10,F63,D$10-SUM(E$17:E63))</f>
        <v>0</v>
      </c>
      <c r="E64" s="71">
        <f>IF(+I14&lt;F63,I14,D64)</f>
        <v>0</v>
      </c>
      <c r="F64" s="70">
        <f t="shared" si="15"/>
        <v>0</v>
      </c>
      <c r="G64" s="73">
        <f t="shared" si="13"/>
        <v>0</v>
      </c>
      <c r="H64" s="53">
        <f t="shared" si="14"/>
        <v>0</v>
      </c>
      <c r="I64" s="67">
        <f t="shared" si="16"/>
        <v>0</v>
      </c>
      <c r="J64" s="67"/>
      <c r="K64" s="150"/>
      <c r="L64" s="69">
        <f t="shared" si="17"/>
        <v>0</v>
      </c>
      <c r="M64" s="150"/>
      <c r="N64" s="69">
        <f t="shared" si="18"/>
        <v>0</v>
      </c>
      <c r="O64" s="69">
        <f t="shared" si="19"/>
        <v>0</v>
      </c>
      <c r="P64" s="4"/>
    </row>
    <row r="65" spans="1:16" ht="12.5">
      <c r="B65" s="9" t="str">
        <f t="shared" si="6"/>
        <v/>
      </c>
      <c r="C65" s="64">
        <f>IF(D11="","-",+C64+1)</f>
        <v>2056</v>
      </c>
      <c r="D65" s="70">
        <f>IF(F64+SUM(E$17:E64)=D$10,F64,D$10-SUM(E$17:E64))</f>
        <v>0</v>
      </c>
      <c r="E65" s="71">
        <f>IF(+I14&lt;F64,I14,D65)</f>
        <v>0</v>
      </c>
      <c r="F65" s="70">
        <f t="shared" si="15"/>
        <v>0</v>
      </c>
      <c r="G65" s="73">
        <f t="shared" si="13"/>
        <v>0</v>
      </c>
      <c r="H65" s="53">
        <f t="shared" si="14"/>
        <v>0</v>
      </c>
      <c r="I65" s="67">
        <f t="shared" si="16"/>
        <v>0</v>
      </c>
      <c r="J65" s="67"/>
      <c r="K65" s="150"/>
      <c r="L65" s="69">
        <f t="shared" si="17"/>
        <v>0</v>
      </c>
      <c r="M65" s="150"/>
      <c r="N65" s="69">
        <f t="shared" si="18"/>
        <v>0</v>
      </c>
      <c r="O65" s="69">
        <f t="shared" si="19"/>
        <v>0</v>
      </c>
      <c r="P65" s="4"/>
    </row>
    <row r="66" spans="1:16" ht="12.5">
      <c r="B66" s="9" t="str">
        <f t="shared" si="6"/>
        <v/>
      </c>
      <c r="C66" s="64">
        <f>IF(D11="","-",+C65+1)</f>
        <v>2057</v>
      </c>
      <c r="D66" s="70">
        <f>IF(F65+SUM(E$17:E65)=D$10,F65,D$10-SUM(E$17:E65))</f>
        <v>0</v>
      </c>
      <c r="E66" s="71">
        <f>IF(+I14&lt;F65,I14,D66)</f>
        <v>0</v>
      </c>
      <c r="F66" s="70">
        <f t="shared" si="15"/>
        <v>0</v>
      </c>
      <c r="G66" s="73">
        <f t="shared" si="13"/>
        <v>0</v>
      </c>
      <c r="H66" s="53">
        <f t="shared" si="14"/>
        <v>0</v>
      </c>
      <c r="I66" s="67">
        <f t="shared" si="16"/>
        <v>0</v>
      </c>
      <c r="J66" s="67"/>
      <c r="K66" s="150"/>
      <c r="L66" s="69">
        <f t="shared" si="17"/>
        <v>0</v>
      </c>
      <c r="M66" s="150"/>
      <c r="N66" s="69">
        <f t="shared" si="18"/>
        <v>0</v>
      </c>
      <c r="O66" s="69">
        <f t="shared" si="19"/>
        <v>0</v>
      </c>
      <c r="P66" s="4"/>
    </row>
    <row r="67" spans="1:16" ht="12.5">
      <c r="B67" s="9" t="str">
        <f t="shared" si="6"/>
        <v/>
      </c>
      <c r="C67" s="64">
        <f>IF(D11="","-",+C66+1)</f>
        <v>2058</v>
      </c>
      <c r="D67" s="70">
        <f>IF(F66+SUM(E$17:E66)=D$10,F66,D$10-SUM(E$17:E66))</f>
        <v>0</v>
      </c>
      <c r="E67" s="71">
        <f>IF(+I14&lt;F66,I14,D67)</f>
        <v>0</v>
      </c>
      <c r="F67" s="70">
        <f t="shared" si="15"/>
        <v>0</v>
      </c>
      <c r="G67" s="73">
        <f t="shared" si="13"/>
        <v>0</v>
      </c>
      <c r="H67" s="53">
        <f t="shared" si="14"/>
        <v>0</v>
      </c>
      <c r="I67" s="67">
        <f t="shared" si="16"/>
        <v>0</v>
      </c>
      <c r="J67" s="67"/>
      <c r="K67" s="150"/>
      <c r="L67" s="69">
        <f t="shared" si="17"/>
        <v>0</v>
      </c>
      <c r="M67" s="150"/>
      <c r="N67" s="69">
        <f t="shared" si="18"/>
        <v>0</v>
      </c>
      <c r="O67" s="69">
        <f t="shared" si="19"/>
        <v>0</v>
      </c>
      <c r="P67" s="4"/>
    </row>
    <row r="68" spans="1:16" ht="12.5">
      <c r="B68" s="9" t="str">
        <f t="shared" si="6"/>
        <v/>
      </c>
      <c r="C68" s="64">
        <f>IF(D11="","-",+C67+1)</f>
        <v>2059</v>
      </c>
      <c r="D68" s="70">
        <f>IF(F67+SUM(E$17:E67)=D$10,F67,D$10-SUM(E$17:E67))</f>
        <v>0</v>
      </c>
      <c r="E68" s="71">
        <f>IF(+I14&lt;F67,I14,D68)</f>
        <v>0</v>
      </c>
      <c r="F68" s="70">
        <f t="shared" si="15"/>
        <v>0</v>
      </c>
      <c r="G68" s="73">
        <f t="shared" si="13"/>
        <v>0</v>
      </c>
      <c r="H68" s="53">
        <f t="shared" si="14"/>
        <v>0</v>
      </c>
      <c r="I68" s="67">
        <f t="shared" si="16"/>
        <v>0</v>
      </c>
      <c r="J68" s="67"/>
      <c r="K68" s="150"/>
      <c r="L68" s="69">
        <f t="shared" si="17"/>
        <v>0</v>
      </c>
      <c r="M68" s="150"/>
      <c r="N68" s="69">
        <f t="shared" si="18"/>
        <v>0</v>
      </c>
      <c r="O68" s="69">
        <f t="shared" si="19"/>
        <v>0</v>
      </c>
      <c r="P68" s="4"/>
    </row>
    <row r="69" spans="1:16" ht="12.5">
      <c r="B69" s="9" t="str">
        <f t="shared" si="6"/>
        <v/>
      </c>
      <c r="C69" s="64">
        <f>IF(D11="","-",+C68+1)</f>
        <v>2060</v>
      </c>
      <c r="D69" s="70">
        <f>IF(F68+SUM(E$17:E68)=D$10,F68,D$10-SUM(E$17:E68))</f>
        <v>0</v>
      </c>
      <c r="E69" s="71">
        <f>IF(+I14&lt;F68,I14,D69)</f>
        <v>0</v>
      </c>
      <c r="F69" s="70">
        <f t="shared" si="15"/>
        <v>0</v>
      </c>
      <c r="G69" s="73">
        <f t="shared" si="13"/>
        <v>0</v>
      </c>
      <c r="H69" s="53">
        <f t="shared" si="14"/>
        <v>0</v>
      </c>
      <c r="I69" s="67">
        <f t="shared" si="16"/>
        <v>0</v>
      </c>
      <c r="J69" s="67"/>
      <c r="K69" s="150"/>
      <c r="L69" s="69">
        <f t="shared" si="17"/>
        <v>0</v>
      </c>
      <c r="M69" s="150"/>
      <c r="N69" s="69">
        <f t="shared" si="18"/>
        <v>0</v>
      </c>
      <c r="O69" s="69">
        <f t="shared" si="19"/>
        <v>0</v>
      </c>
      <c r="P69" s="4"/>
    </row>
    <row r="70" spans="1:16" ht="12.5">
      <c r="B70" s="9" t="str">
        <f t="shared" si="6"/>
        <v/>
      </c>
      <c r="C70" s="64">
        <f>IF(D11="","-",+C69+1)</f>
        <v>2061</v>
      </c>
      <c r="D70" s="70">
        <f>IF(F69+SUM(E$17:E69)=D$10,F69,D$10-SUM(E$17:E69))</f>
        <v>0</v>
      </c>
      <c r="E70" s="71">
        <f>IF(+I14&lt;F69,I14,D70)</f>
        <v>0</v>
      </c>
      <c r="F70" s="70">
        <f t="shared" si="15"/>
        <v>0</v>
      </c>
      <c r="G70" s="73">
        <f t="shared" si="13"/>
        <v>0</v>
      </c>
      <c r="H70" s="53">
        <f t="shared" si="14"/>
        <v>0</v>
      </c>
      <c r="I70" s="67">
        <f t="shared" si="16"/>
        <v>0</v>
      </c>
      <c r="J70" s="67"/>
      <c r="K70" s="150"/>
      <c r="L70" s="69">
        <f t="shared" si="17"/>
        <v>0</v>
      </c>
      <c r="M70" s="150"/>
      <c r="N70" s="69">
        <f t="shared" si="18"/>
        <v>0</v>
      </c>
      <c r="O70" s="69">
        <f t="shared" si="19"/>
        <v>0</v>
      </c>
      <c r="P70" s="4"/>
    </row>
    <row r="71" spans="1:16" ht="12.5">
      <c r="B71" s="9" t="str">
        <f t="shared" si="6"/>
        <v/>
      </c>
      <c r="C71" s="64">
        <f>IF(D11="","-",+C70+1)</f>
        <v>2062</v>
      </c>
      <c r="D71" s="70">
        <f>IF(F70+SUM(E$17:E70)=D$10,F70,D$10-SUM(E$17:E70))</f>
        <v>0</v>
      </c>
      <c r="E71" s="71">
        <f>IF(+I14&lt;F70,I14,D71)</f>
        <v>0</v>
      </c>
      <c r="F71" s="70">
        <f t="shared" si="15"/>
        <v>0</v>
      </c>
      <c r="G71" s="73">
        <f t="shared" si="13"/>
        <v>0</v>
      </c>
      <c r="H71" s="53">
        <f t="shared" si="14"/>
        <v>0</v>
      </c>
      <c r="I71" s="67">
        <f t="shared" si="16"/>
        <v>0</v>
      </c>
      <c r="J71" s="67"/>
      <c r="K71" s="150"/>
      <c r="L71" s="69">
        <f t="shared" si="17"/>
        <v>0</v>
      </c>
      <c r="M71" s="150"/>
      <c r="N71" s="69">
        <f t="shared" si="18"/>
        <v>0</v>
      </c>
      <c r="O71" s="69">
        <f t="shared" si="19"/>
        <v>0</v>
      </c>
      <c r="P71" s="4"/>
    </row>
    <row r="72" spans="1:16" ht="13" thickBot="1">
      <c r="B72" s="9" t="str">
        <f t="shared" si="6"/>
        <v/>
      </c>
      <c r="C72" s="74">
        <f>IF(D11="","-",+C71+1)</f>
        <v>2063</v>
      </c>
      <c r="D72" s="75">
        <f>IF(F71+SUM(E$17:E71)=D$10,F71,D$10-SUM(E$17:E71))</f>
        <v>0</v>
      </c>
      <c r="E72" s="76">
        <f>IF(+I14&lt;F71,I14,D72)</f>
        <v>0</v>
      </c>
      <c r="F72" s="75">
        <f t="shared" si="15"/>
        <v>0</v>
      </c>
      <c r="G72" s="77">
        <f t="shared" si="13"/>
        <v>0</v>
      </c>
      <c r="H72" s="35">
        <f t="shared" si="14"/>
        <v>0</v>
      </c>
      <c r="I72" s="78">
        <f t="shared" si="16"/>
        <v>0</v>
      </c>
      <c r="J72" s="67"/>
      <c r="K72" s="151"/>
      <c r="L72" s="79">
        <f t="shared" si="17"/>
        <v>0</v>
      </c>
      <c r="M72" s="151"/>
      <c r="N72" s="79">
        <f t="shared" si="18"/>
        <v>0</v>
      </c>
      <c r="O72" s="79">
        <f t="shared" si="19"/>
        <v>0</v>
      </c>
      <c r="P72" s="4"/>
    </row>
    <row r="73" spans="1:16" ht="12.5">
      <c r="C73" s="65" t="s">
        <v>78</v>
      </c>
      <c r="D73" s="22"/>
      <c r="E73" s="22">
        <f>SUM(E17:E72)</f>
        <v>4480167.6199999992</v>
      </c>
      <c r="F73" s="22"/>
      <c r="G73" s="22">
        <f>SUM(G17:G72)</f>
        <v>15702751.970498201</v>
      </c>
      <c r="H73" s="22">
        <f>SUM(H17:H72)</f>
        <v>15702751.970498201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1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1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1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1:16" ht="17.5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21"/>
      <c r="P77" s="4"/>
    </row>
    <row r="78" spans="1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1:16" ht="15.5">
      <c r="A79" s="116"/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</row>
    <row r="80" spans="1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7" ht="12.5">
      <c r="B81" s="1"/>
      <c r="C81" s="117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1" t="str">
        <f ca="1">P1</f>
        <v>SWEPCO Project 19 of 74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2" t="s">
        <v>128</v>
      </c>
      <c r="Q84" s="1"/>
    </row>
    <row r="85" spans="1:17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  <c r="Q85" s="1"/>
    </row>
    <row r="86" spans="1:17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2020</v>
      </c>
      <c r="M86" s="141" t="s">
        <v>9</v>
      </c>
      <c r="N86" s="145" t="s">
        <v>159</v>
      </c>
      <c r="O86" s="142" t="s">
        <v>11</v>
      </c>
      <c r="P86" s="1"/>
      <c r="Q86" s="1"/>
    </row>
    <row r="87" spans="1:17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395</v>
      </c>
      <c r="M87" s="85">
        <f>IF(J92&lt;D11,0,VLOOKUP(J92,C17:O72,9))</f>
        <v>438991.06815712724</v>
      </c>
      <c r="N87" s="85">
        <f>IF(J92&lt;D11,0,VLOOKUP(J92,C17:O72,11))</f>
        <v>438991.06815712724</v>
      </c>
      <c r="O87" s="86">
        <f>+N87-M87</f>
        <v>0</v>
      </c>
      <c r="P87" s="1"/>
      <c r="Q87" s="1"/>
    </row>
    <row r="88" spans="1:17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396</v>
      </c>
      <c r="M88" s="87">
        <f>IF(J92&lt;D11,0,VLOOKUP(J92,C99:P154,6))</f>
        <v>450934.16681202245</v>
      </c>
      <c r="N88" s="87">
        <f>IF(J92&lt;D11,0,VLOOKUP(J92,C99:P154,7))</f>
        <v>450934.16681202245</v>
      </c>
      <c r="O88" s="88">
        <f>+N88-M88</f>
        <v>0</v>
      </c>
      <c r="P88" s="1"/>
      <c r="Q88" s="1"/>
    </row>
    <row r="89" spans="1:17" ht="13.5" thickBot="1">
      <c r="C89" s="32" t="s">
        <v>84</v>
      </c>
      <c r="D89" s="121" t="str">
        <f>+D7</f>
        <v>Wallace Lake-Prt Robson-Red Point 138 kV Loop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11943.098654895206</v>
      </c>
      <c r="N89" s="90">
        <f>+N88-N87</f>
        <v>11943.098654895206</v>
      </c>
      <c r="O89" s="91">
        <f>+O88-O87</f>
        <v>0</v>
      </c>
      <c r="P89" s="1"/>
      <c r="Q89" s="1"/>
    </row>
    <row r="90" spans="1:17" ht="13.5" thickBot="1">
      <c r="C90" s="80"/>
      <c r="D90" s="83" t="str">
        <f>D8</f>
        <v/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  <c r="Q90" s="1"/>
    </row>
    <row r="91" spans="1:17" ht="13.5" thickBot="1">
      <c r="A91" s="17"/>
      <c r="C91" s="92" t="s">
        <v>85</v>
      </c>
      <c r="D91" s="109" t="str">
        <f>+D9</f>
        <v>TP2005142</v>
      </c>
      <c r="E91" s="93"/>
      <c r="F91" s="93"/>
      <c r="G91" s="93"/>
      <c r="H91" s="93"/>
      <c r="I91" s="93"/>
      <c r="J91" s="113"/>
      <c r="K91" s="94"/>
      <c r="P91" s="42"/>
      <c r="Q91" s="1"/>
    </row>
    <row r="92" spans="1:17" ht="13">
      <c r="C92" s="47" t="s">
        <v>51</v>
      </c>
      <c r="D92" s="44">
        <v>4480167.62</v>
      </c>
      <c r="E92" s="10" t="s">
        <v>86</v>
      </c>
      <c r="H92" s="45"/>
      <c r="I92" s="45"/>
      <c r="J92" s="46">
        <f>+'SWE.WS.G.BPU.ATRR.True-up'!M16</f>
        <v>2020</v>
      </c>
      <c r="K92" s="41"/>
      <c r="L92" s="22" t="s">
        <v>87</v>
      </c>
      <c r="P92" s="4"/>
      <c r="Q92" s="1"/>
    </row>
    <row r="93" spans="1:17" ht="12.5">
      <c r="C93" s="47" t="s">
        <v>54</v>
      </c>
      <c r="D93" s="106">
        <f>IF(D11=I10,"",D11)</f>
        <v>2008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 ht="12.5">
      <c r="C94" s="47" t="s">
        <v>56</v>
      </c>
      <c r="D94" s="105">
        <f>IF(D11=I10,"",D12)</f>
        <v>5</v>
      </c>
      <c r="E94" s="47" t="s">
        <v>57</v>
      </c>
      <c r="F94" s="45"/>
      <c r="G94" s="45"/>
      <c r="J94" s="51">
        <f>'SWE.WS.G.BPU.ATRR.True-up'!$F$81</f>
        <v>0.10757383250073754</v>
      </c>
      <c r="K94" s="52"/>
      <c r="L94" t="s">
        <v>88</v>
      </c>
      <c r="P94" s="4"/>
      <c r="Q94" s="1"/>
    </row>
    <row r="95" spans="1:17" ht="12.5">
      <c r="C95" s="47" t="s">
        <v>59</v>
      </c>
      <c r="D95" s="49">
        <f>'SWE.WS.G.BPU.ATRR.True-up'!F$93</f>
        <v>42</v>
      </c>
      <c r="E95" s="47" t="s">
        <v>60</v>
      </c>
      <c r="F95" s="45"/>
      <c r="G95" s="45"/>
      <c r="J95" s="51">
        <f>IF(H87="",J94,'SWE.WS.G.BPU.ATRR.True-up'!$F$80)</f>
        <v>0.10757383250073754</v>
      </c>
      <c r="K95" s="11"/>
      <c r="L95" s="22" t="s">
        <v>61</v>
      </c>
      <c r="M95" s="11"/>
      <c r="N95" s="11"/>
      <c r="O95" s="11"/>
      <c r="P95" s="4"/>
      <c r="Q95" s="1"/>
    </row>
    <row r="96" spans="1:17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106670.65761904762</v>
      </c>
      <c r="K96" s="22"/>
      <c r="L96" s="22"/>
      <c r="M96" s="22"/>
      <c r="N96" s="22"/>
      <c r="O96" s="22"/>
      <c r="P96" s="4"/>
      <c r="Q96" s="1"/>
    </row>
    <row r="97" spans="1:17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392</v>
      </c>
      <c r="I97" s="181" t="s">
        <v>393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  <c r="Q97" s="1"/>
    </row>
    <row r="98" spans="1:17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78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  <c r="Q98" s="1"/>
    </row>
    <row r="99" spans="1:17" ht="12.5">
      <c r="C99" s="64">
        <f>IF(D93= "","-",D93)</f>
        <v>2008</v>
      </c>
      <c r="D99" s="155">
        <v>0</v>
      </c>
      <c r="E99" s="158">
        <v>44333</v>
      </c>
      <c r="F99" s="159">
        <v>2767633</v>
      </c>
      <c r="G99" s="162">
        <v>1383817</v>
      </c>
      <c r="H99" s="160">
        <v>264915</v>
      </c>
      <c r="I99" s="161">
        <v>264915</v>
      </c>
      <c r="J99" s="177">
        <f t="shared" ref="J99:J130" si="20">+I99-H99</f>
        <v>0</v>
      </c>
      <c r="K99" s="69"/>
      <c r="L99" s="131">
        <v>264915</v>
      </c>
      <c r="M99" s="68">
        <f t="shared" ref="M99:M130" si="21">IF(L99&lt;&gt;0,+H99-L99,0)</f>
        <v>0</v>
      </c>
      <c r="N99" s="131">
        <v>264915</v>
      </c>
      <c r="O99" s="68">
        <f t="shared" ref="O99:O130" si="22">IF(N99&lt;&gt;0,+I99-N99,0)</f>
        <v>0</v>
      </c>
      <c r="P99" s="68">
        <f t="shared" ref="P99:P130" si="23">+O99-M99</f>
        <v>0</v>
      </c>
      <c r="Q99" s="1"/>
    </row>
    <row r="100" spans="1:17" ht="12.5">
      <c r="B100" s="9" t="str">
        <f>IF(D100=F99,"","IU")</f>
        <v>IU</v>
      </c>
      <c r="C100" s="64">
        <f>IF(D93="","-",+C99+1)</f>
        <v>2009</v>
      </c>
      <c r="D100" s="155">
        <v>4435834.62</v>
      </c>
      <c r="E100" s="158">
        <v>117899.14789473685</v>
      </c>
      <c r="F100" s="159">
        <v>4317935.4721052628</v>
      </c>
      <c r="G100" s="159">
        <v>4376885.046052631</v>
      </c>
      <c r="H100" s="158">
        <v>751399.2625697077</v>
      </c>
      <c r="I100" s="157">
        <v>751399.2625697077</v>
      </c>
      <c r="J100" s="177">
        <f t="shared" si="20"/>
        <v>0</v>
      </c>
      <c r="K100" s="69"/>
      <c r="L100" s="133">
        <f t="shared" ref="L100:L105" si="24">H100</f>
        <v>751399.2625697077</v>
      </c>
      <c r="M100" s="132">
        <f t="shared" si="21"/>
        <v>0</v>
      </c>
      <c r="N100" s="133">
        <f t="shared" ref="N100:N105" si="25">I100</f>
        <v>751399.2625697077</v>
      </c>
      <c r="O100" s="69">
        <f t="shared" si="22"/>
        <v>0</v>
      </c>
      <c r="P100" s="69">
        <f t="shared" si="23"/>
        <v>0</v>
      </c>
      <c r="Q100" s="1"/>
    </row>
    <row r="101" spans="1:17" ht="12.5">
      <c r="B101" s="9" t="str">
        <f t="shared" ref="B101:B154" si="26">IF(D101=F100,"","IU")</f>
        <v/>
      </c>
      <c r="C101" s="64">
        <f>IF(D93="","-",+C100+1)</f>
        <v>2010</v>
      </c>
      <c r="D101" s="155">
        <v>4317935.4721052628</v>
      </c>
      <c r="E101" s="158">
        <v>109272.38097560976</v>
      </c>
      <c r="F101" s="159">
        <v>4208663.0911296532</v>
      </c>
      <c r="G101" s="159">
        <v>4263299.281617458</v>
      </c>
      <c r="H101" s="158">
        <v>813083.75625157298</v>
      </c>
      <c r="I101" s="157">
        <v>813083.75625157298</v>
      </c>
      <c r="J101" s="177">
        <f t="shared" si="20"/>
        <v>0</v>
      </c>
      <c r="K101" s="69"/>
      <c r="L101" s="133">
        <f t="shared" si="24"/>
        <v>813083.75625157298</v>
      </c>
      <c r="M101" s="132">
        <f t="shared" si="21"/>
        <v>0</v>
      </c>
      <c r="N101" s="133">
        <f t="shared" si="25"/>
        <v>813083.75625157298</v>
      </c>
      <c r="O101" s="69">
        <f t="shared" si="22"/>
        <v>0</v>
      </c>
      <c r="P101" s="69">
        <f t="shared" si="23"/>
        <v>0</v>
      </c>
      <c r="Q101" s="1"/>
    </row>
    <row r="102" spans="1:17" ht="12.5">
      <c r="B102" s="9" t="str">
        <f t="shared" si="26"/>
        <v/>
      </c>
      <c r="C102" s="64">
        <f>IF(D93="","-",+C101+1)</f>
        <v>2011</v>
      </c>
      <c r="D102" s="155">
        <v>4208663.0911296532</v>
      </c>
      <c r="E102" s="166">
        <v>106670.65761904762</v>
      </c>
      <c r="F102" s="159">
        <v>4101992.4335106057</v>
      </c>
      <c r="G102" s="159">
        <v>4155327.7623201292</v>
      </c>
      <c r="H102" s="158">
        <v>731548.43625186454</v>
      </c>
      <c r="I102" s="157">
        <v>731548.43625186454</v>
      </c>
      <c r="J102" s="177">
        <f t="shared" si="20"/>
        <v>0</v>
      </c>
      <c r="K102" s="69"/>
      <c r="L102" s="133">
        <f t="shared" si="24"/>
        <v>731548.43625186454</v>
      </c>
      <c r="M102" s="132">
        <f t="shared" si="21"/>
        <v>0</v>
      </c>
      <c r="N102" s="133">
        <f t="shared" si="25"/>
        <v>731548.43625186454</v>
      </c>
      <c r="O102" s="69">
        <f t="shared" si="22"/>
        <v>0</v>
      </c>
      <c r="P102" s="69">
        <f t="shared" si="23"/>
        <v>0</v>
      </c>
      <c r="Q102" s="1"/>
    </row>
    <row r="103" spans="1:17" ht="12.5">
      <c r="B103" s="9" t="str">
        <f t="shared" si="26"/>
        <v/>
      </c>
      <c r="C103" s="64">
        <f>IF(D93="","-",+C102+1)</f>
        <v>2012</v>
      </c>
      <c r="D103" s="155">
        <v>4101992.4335106057</v>
      </c>
      <c r="E103" s="158">
        <v>106670.65761904762</v>
      </c>
      <c r="F103" s="159">
        <v>3995321.7758915583</v>
      </c>
      <c r="G103" s="159">
        <v>4048657.1047010822</v>
      </c>
      <c r="H103" s="158">
        <v>702446.4690702348</v>
      </c>
      <c r="I103" s="157">
        <v>702446.4690702348</v>
      </c>
      <c r="J103" s="177">
        <f t="shared" si="20"/>
        <v>0</v>
      </c>
      <c r="K103" s="69"/>
      <c r="L103" s="133">
        <f t="shared" si="24"/>
        <v>702446.4690702348</v>
      </c>
      <c r="M103" s="132">
        <f t="shared" si="21"/>
        <v>0</v>
      </c>
      <c r="N103" s="133">
        <f t="shared" si="25"/>
        <v>702446.4690702348</v>
      </c>
      <c r="O103" s="69">
        <f t="shared" si="22"/>
        <v>0</v>
      </c>
      <c r="P103" s="69">
        <f t="shared" si="23"/>
        <v>0</v>
      </c>
      <c r="Q103" s="1"/>
    </row>
    <row r="104" spans="1:17" ht="12.5">
      <c r="B104" s="9" t="str">
        <f t="shared" si="26"/>
        <v/>
      </c>
      <c r="C104" s="64">
        <f>IF(D93="","-",+C103+1)</f>
        <v>2013</v>
      </c>
      <c r="D104" s="155">
        <f>IF(F103+SUM(E$99:E103)=D$92,F103,D$92-SUM(E$99:E103))</f>
        <v>3995321.7758915583</v>
      </c>
      <c r="E104" s="158">
        <f>IF(+J96&lt;F103,J96,D104)</f>
        <v>106670.65761904762</v>
      </c>
      <c r="F104" s="159">
        <f t="shared" ref="F104:F130" si="27">+D104-E104</f>
        <v>3888651.1182725108</v>
      </c>
      <c r="G104" s="159">
        <f t="shared" ref="G104:G130" si="28">+(F104+D104)/2</f>
        <v>3941986.4470820343</v>
      </c>
      <c r="H104" s="158">
        <f t="shared" ref="H104:H112" si="29">+J$94*G104+E104</f>
        <v>530725.24739762791</v>
      </c>
      <c r="I104" s="157">
        <f t="shared" ref="I104:I112" si="30">+J$95*G104+E104</f>
        <v>530725.24739762791</v>
      </c>
      <c r="J104" s="177">
        <f t="shared" si="20"/>
        <v>0</v>
      </c>
      <c r="K104" s="69"/>
      <c r="L104" s="133">
        <f t="shared" si="24"/>
        <v>530725.24739762791</v>
      </c>
      <c r="M104" s="132">
        <f t="shared" ref="M104:M109" si="31">IF(L104&lt;&gt;0,+H104-L104,0)</f>
        <v>0</v>
      </c>
      <c r="N104" s="133">
        <f t="shared" si="25"/>
        <v>530725.24739762791</v>
      </c>
      <c r="O104" s="69">
        <f t="shared" ref="O104:O109" si="32">IF(N104&lt;&gt;0,+I104-N104,0)</f>
        <v>0</v>
      </c>
      <c r="P104" s="69">
        <f t="shared" ref="P104:P109" si="33">+O104-M104</f>
        <v>0</v>
      </c>
      <c r="Q104" s="1"/>
    </row>
    <row r="105" spans="1:17" ht="12.5">
      <c r="B105" s="9" t="str">
        <f t="shared" si="26"/>
        <v/>
      </c>
      <c r="C105" s="64">
        <f>IF(D93="","-",+C104+1)</f>
        <v>2014</v>
      </c>
      <c r="D105" s="155">
        <v>3888651.1182725108</v>
      </c>
      <c r="E105" s="158">
        <v>106670.65761904762</v>
      </c>
      <c r="F105" s="159">
        <v>3781980.4606534634</v>
      </c>
      <c r="G105" s="159">
        <v>3835315.7894629873</v>
      </c>
      <c r="H105" s="158">
        <v>627980.04901218251</v>
      </c>
      <c r="I105" s="157">
        <v>627980.04901218251</v>
      </c>
      <c r="J105" s="69">
        <v>0</v>
      </c>
      <c r="K105" s="69"/>
      <c r="L105" s="133">
        <f t="shared" si="24"/>
        <v>627980.04901218251</v>
      </c>
      <c r="M105" s="132">
        <f t="shared" si="31"/>
        <v>0</v>
      </c>
      <c r="N105" s="133">
        <f t="shared" si="25"/>
        <v>627980.04901218251</v>
      </c>
      <c r="O105" s="69">
        <f t="shared" si="32"/>
        <v>0</v>
      </c>
      <c r="P105" s="69">
        <f t="shared" si="33"/>
        <v>0</v>
      </c>
      <c r="Q105" s="1"/>
    </row>
    <row r="106" spans="1:17" ht="12.5">
      <c r="B106" s="9" t="str">
        <f t="shared" si="26"/>
        <v/>
      </c>
      <c r="C106" s="64">
        <f>IF(D93="","-",+C105+1)</f>
        <v>2015</v>
      </c>
      <c r="D106" s="155">
        <v>3781980.4606534634</v>
      </c>
      <c r="E106" s="158">
        <v>106670.65761904762</v>
      </c>
      <c r="F106" s="159">
        <v>3675309.8030344159</v>
      </c>
      <c r="G106" s="159">
        <v>3728645.1318439394</v>
      </c>
      <c r="H106" s="158">
        <v>597990.04263617261</v>
      </c>
      <c r="I106" s="157">
        <v>597990.04263617261</v>
      </c>
      <c r="J106" s="69">
        <f t="shared" si="20"/>
        <v>0</v>
      </c>
      <c r="K106" s="69"/>
      <c r="L106" s="133">
        <f>H106</f>
        <v>597990.04263617261</v>
      </c>
      <c r="M106" s="132">
        <f t="shared" si="31"/>
        <v>0</v>
      </c>
      <c r="N106" s="133">
        <f>I106</f>
        <v>597990.04263617261</v>
      </c>
      <c r="O106" s="69">
        <f t="shared" si="32"/>
        <v>0</v>
      </c>
      <c r="P106" s="69">
        <f t="shared" si="33"/>
        <v>0</v>
      </c>
      <c r="Q106" s="1"/>
    </row>
    <row r="107" spans="1:17" ht="12.5">
      <c r="B107" s="9" t="str">
        <f t="shared" si="26"/>
        <v>IU</v>
      </c>
      <c r="C107" s="64">
        <f>IF(D93="","-",+C106+1)</f>
        <v>2016</v>
      </c>
      <c r="D107" s="155">
        <v>3677790.5160023002</v>
      </c>
      <c r="E107" s="158">
        <v>104189.94465116279</v>
      </c>
      <c r="F107" s="159">
        <v>3573600.5713511375</v>
      </c>
      <c r="G107" s="159">
        <v>3625695.5436767191</v>
      </c>
      <c r="H107" s="158">
        <v>564471.95145808836</v>
      </c>
      <c r="I107" s="157">
        <v>564471.95145808836</v>
      </c>
      <c r="J107" s="69">
        <f t="shared" si="20"/>
        <v>0</v>
      </c>
      <c r="K107" s="69"/>
      <c r="L107" s="133">
        <f>H107</f>
        <v>564471.95145808836</v>
      </c>
      <c r="M107" s="132">
        <f t="shared" si="31"/>
        <v>0</v>
      </c>
      <c r="N107" s="133">
        <f>I107</f>
        <v>564471.95145808836</v>
      </c>
      <c r="O107" s="69">
        <f t="shared" si="32"/>
        <v>0</v>
      </c>
      <c r="P107" s="69">
        <f t="shared" si="33"/>
        <v>0</v>
      </c>
      <c r="Q107" s="1"/>
    </row>
    <row r="108" spans="1:17" ht="12.5">
      <c r="B108" s="9" t="str">
        <f t="shared" si="26"/>
        <v>IU</v>
      </c>
      <c r="C108" s="64">
        <f>IF(D93="","-",+C107+1)</f>
        <v>2017</v>
      </c>
      <c r="D108" s="155">
        <v>3571119.8583832523</v>
      </c>
      <c r="E108" s="158">
        <v>106670.65761904762</v>
      </c>
      <c r="F108" s="159">
        <v>3464449.2007642048</v>
      </c>
      <c r="G108" s="159">
        <v>3517784.5295737283</v>
      </c>
      <c r="H108" s="158">
        <v>533981.0722445295</v>
      </c>
      <c r="I108" s="157">
        <v>533981.0722445295</v>
      </c>
      <c r="J108" s="69">
        <f t="shared" si="20"/>
        <v>0</v>
      </c>
      <c r="K108" s="69"/>
      <c r="L108" s="133">
        <f>H108</f>
        <v>533981.0722445295</v>
      </c>
      <c r="M108" s="132">
        <f t="shared" si="31"/>
        <v>0</v>
      </c>
      <c r="N108" s="133">
        <f>I108</f>
        <v>533981.0722445295</v>
      </c>
      <c r="O108" s="69">
        <f t="shared" si="32"/>
        <v>0</v>
      </c>
      <c r="P108" s="69">
        <f t="shared" si="33"/>
        <v>0</v>
      </c>
      <c r="Q108" s="1"/>
    </row>
    <row r="109" spans="1:17" ht="12.5">
      <c r="B109" s="9" t="str">
        <f t="shared" si="26"/>
        <v/>
      </c>
      <c r="C109" s="64">
        <f>IF(D93="","-",+C108+1)</f>
        <v>2018</v>
      </c>
      <c r="D109" s="155">
        <v>3464449.2007642048</v>
      </c>
      <c r="E109" s="158">
        <v>106670.65761904762</v>
      </c>
      <c r="F109" s="159">
        <v>3357778.5431451574</v>
      </c>
      <c r="G109" s="159">
        <v>3411113.8719546814</v>
      </c>
      <c r="H109" s="158">
        <v>466899.92525095958</v>
      </c>
      <c r="I109" s="157">
        <v>466899.92525095958</v>
      </c>
      <c r="J109" s="69">
        <f t="shared" si="20"/>
        <v>0</v>
      </c>
      <c r="K109" s="69"/>
      <c r="L109" s="133">
        <f>H109</f>
        <v>466899.92525095958</v>
      </c>
      <c r="M109" s="132">
        <f t="shared" si="31"/>
        <v>0</v>
      </c>
      <c r="N109" s="133">
        <f>I109</f>
        <v>466899.92525095958</v>
      </c>
      <c r="O109" s="69">
        <f t="shared" si="32"/>
        <v>0</v>
      </c>
      <c r="P109" s="69">
        <f t="shared" si="33"/>
        <v>0</v>
      </c>
      <c r="Q109" s="1"/>
    </row>
    <row r="110" spans="1:17" ht="12.5">
      <c r="B110" s="9" t="str">
        <f t="shared" si="26"/>
        <v>IU</v>
      </c>
      <c r="C110" s="64">
        <f>IF(D93="","-",+C109+1)</f>
        <v>2019</v>
      </c>
      <c r="D110" s="155">
        <v>3360259.2561130421</v>
      </c>
      <c r="E110" s="158">
        <v>104189.94465116279</v>
      </c>
      <c r="F110" s="159">
        <v>3256069.3114618794</v>
      </c>
      <c r="G110" s="159">
        <v>3308164.283787461</v>
      </c>
      <c r="H110" s="158">
        <v>458297.65763870062</v>
      </c>
      <c r="I110" s="157">
        <v>458297.65763870062</v>
      </c>
      <c r="J110" s="69">
        <f t="shared" si="20"/>
        <v>0</v>
      </c>
      <c r="K110" s="69"/>
      <c r="L110" s="133">
        <f>H110</f>
        <v>458297.65763870062</v>
      </c>
      <c r="M110" s="132">
        <f t="shared" ref="M110" si="34">IF(L110&lt;&gt;0,+H110-L110,0)</f>
        <v>0</v>
      </c>
      <c r="N110" s="133">
        <f>I110</f>
        <v>458297.65763870062</v>
      </c>
      <c r="O110" s="69">
        <f t="shared" si="22"/>
        <v>0</v>
      </c>
      <c r="P110" s="69">
        <f t="shared" si="23"/>
        <v>0</v>
      </c>
      <c r="Q110" s="1"/>
    </row>
    <row r="111" spans="1:17" ht="12.5">
      <c r="B111" s="9" t="str">
        <f t="shared" si="26"/>
        <v>IU</v>
      </c>
      <c r="C111" s="64">
        <f>IF(D93="","-",+C110+1)</f>
        <v>2020</v>
      </c>
      <c r="D111" s="65">
        <f>IF(F110+SUM(E$99:E110)=D$92,F110,D$92-SUM(E$99:E110))</f>
        <v>3253588.5984939942</v>
      </c>
      <c r="E111" s="71">
        <f>IF(+J96&lt;F110,J96,D111)</f>
        <v>106670.65761904762</v>
      </c>
      <c r="F111" s="70">
        <f t="shared" si="27"/>
        <v>3146917.9408749468</v>
      </c>
      <c r="G111" s="70">
        <f t="shared" si="28"/>
        <v>3200253.2696844703</v>
      </c>
      <c r="H111" s="73">
        <f t="shared" si="29"/>
        <v>450934.16681202245</v>
      </c>
      <c r="I111" s="127">
        <f t="shared" si="30"/>
        <v>450934.16681202245</v>
      </c>
      <c r="J111" s="69">
        <f t="shared" si="20"/>
        <v>0</v>
      </c>
      <c r="K111" s="69"/>
      <c r="L111" s="150"/>
      <c r="M111" s="69">
        <f t="shared" si="21"/>
        <v>0</v>
      </c>
      <c r="N111" s="150"/>
      <c r="O111" s="69">
        <f t="shared" si="22"/>
        <v>0</v>
      </c>
      <c r="P111" s="69">
        <f t="shared" si="23"/>
        <v>0</v>
      </c>
      <c r="Q111" s="1"/>
    </row>
    <row r="112" spans="1:17" ht="12.5">
      <c r="B112" s="9" t="str">
        <f t="shared" si="26"/>
        <v/>
      </c>
      <c r="C112" s="64">
        <f>IF(D93="","-",+C111+1)</f>
        <v>2021</v>
      </c>
      <c r="D112" s="65">
        <f>IF(F111+SUM(E$99:E111)=D$92,F111,D$92-SUM(E$99:E111))</f>
        <v>3146917.9408749468</v>
      </c>
      <c r="E112" s="71">
        <f>IF(+J96&lt;F111,J96,D112)</f>
        <v>106670.65761904762</v>
      </c>
      <c r="F112" s="70">
        <f t="shared" si="27"/>
        <v>3040247.2832558993</v>
      </c>
      <c r="G112" s="70">
        <f t="shared" si="28"/>
        <v>3093582.6120654233</v>
      </c>
      <c r="H112" s="73">
        <f t="shared" si="29"/>
        <v>439459.19535656756</v>
      </c>
      <c r="I112" s="127">
        <f t="shared" si="30"/>
        <v>439459.19535656756</v>
      </c>
      <c r="J112" s="69">
        <f t="shared" si="20"/>
        <v>0</v>
      </c>
      <c r="K112" s="69"/>
      <c r="L112" s="150"/>
      <c r="M112" s="69">
        <f t="shared" si="21"/>
        <v>0</v>
      </c>
      <c r="N112" s="150"/>
      <c r="O112" s="69">
        <f t="shared" si="22"/>
        <v>0</v>
      </c>
      <c r="P112" s="69">
        <f t="shared" si="23"/>
        <v>0</v>
      </c>
      <c r="Q112" s="1"/>
    </row>
    <row r="113" spans="2:17" ht="12.5">
      <c r="B113" s="9" t="str">
        <f t="shared" si="26"/>
        <v/>
      </c>
      <c r="C113" s="64">
        <f>IF(D93="","-",+C112+1)</f>
        <v>2022</v>
      </c>
      <c r="D113" s="65">
        <f>IF(F112+SUM(E$99:E112)=D$92,F112,D$92-SUM(E$99:E112))</f>
        <v>3040247.2832558993</v>
      </c>
      <c r="E113" s="71">
        <f>IF(+J96&lt;F112,J96,D113)</f>
        <v>106670.65761904762</v>
      </c>
      <c r="F113" s="70">
        <f t="shared" si="27"/>
        <v>2933576.6256368519</v>
      </c>
      <c r="G113" s="70">
        <f t="shared" si="28"/>
        <v>2986911.9544463754</v>
      </c>
      <c r="H113" s="73">
        <f t="shared" ref="H113:H154" si="35">+J$94*G113+E113</f>
        <v>427984.22390111262</v>
      </c>
      <c r="I113" s="127">
        <f t="shared" ref="I113:I154" si="36">+J$95*G113+E113</f>
        <v>427984.22390111262</v>
      </c>
      <c r="J113" s="69">
        <f t="shared" si="20"/>
        <v>0</v>
      </c>
      <c r="K113" s="69"/>
      <c r="L113" s="150"/>
      <c r="M113" s="69">
        <f t="shared" si="21"/>
        <v>0</v>
      </c>
      <c r="N113" s="150"/>
      <c r="O113" s="69">
        <f t="shared" si="22"/>
        <v>0</v>
      </c>
      <c r="P113" s="69">
        <f t="shared" si="23"/>
        <v>0</v>
      </c>
      <c r="Q113" s="1"/>
    </row>
    <row r="114" spans="2:17" ht="12.5">
      <c r="B114" s="9" t="str">
        <f t="shared" si="26"/>
        <v/>
      </c>
      <c r="C114" s="64">
        <f>IF(D93="","-",+C113+1)</f>
        <v>2023</v>
      </c>
      <c r="D114" s="65">
        <f>IF(F113+SUM(E$99:E113)=D$92,F113,D$92-SUM(E$99:E113))</f>
        <v>2933576.6256368519</v>
      </c>
      <c r="E114" s="71">
        <f>IF(+J96&lt;F113,J96,D114)</f>
        <v>106670.65761904762</v>
      </c>
      <c r="F114" s="70">
        <f t="shared" si="27"/>
        <v>2826905.9680178044</v>
      </c>
      <c r="G114" s="70">
        <f t="shared" si="28"/>
        <v>2880241.2968273284</v>
      </c>
      <c r="H114" s="73">
        <f t="shared" si="35"/>
        <v>416509.25244565774</v>
      </c>
      <c r="I114" s="127">
        <f t="shared" si="36"/>
        <v>416509.25244565774</v>
      </c>
      <c r="J114" s="69">
        <f t="shared" si="20"/>
        <v>0</v>
      </c>
      <c r="K114" s="69"/>
      <c r="L114" s="150"/>
      <c r="M114" s="69">
        <f t="shared" si="21"/>
        <v>0</v>
      </c>
      <c r="N114" s="150"/>
      <c r="O114" s="69">
        <f t="shared" si="22"/>
        <v>0</v>
      </c>
      <c r="P114" s="69">
        <f t="shared" si="23"/>
        <v>0</v>
      </c>
      <c r="Q114" s="1"/>
    </row>
    <row r="115" spans="2:17" ht="12.5">
      <c r="B115" s="9" t="str">
        <f t="shared" si="26"/>
        <v/>
      </c>
      <c r="C115" s="64">
        <f>IF(D93="","-",+C114+1)</f>
        <v>2024</v>
      </c>
      <c r="D115" s="65">
        <f>IF(F114+SUM(E$99:E114)=D$92,F114,D$92-SUM(E$99:E114))</f>
        <v>2826905.9680178044</v>
      </c>
      <c r="E115" s="71">
        <f>IF(+J96&lt;F114,J96,D115)</f>
        <v>106670.65761904762</v>
      </c>
      <c r="F115" s="70">
        <f t="shared" si="27"/>
        <v>2720235.310398757</v>
      </c>
      <c r="G115" s="70">
        <f t="shared" si="28"/>
        <v>2773570.6392082805</v>
      </c>
      <c r="H115" s="73">
        <f t="shared" si="35"/>
        <v>405034.28099020274</v>
      </c>
      <c r="I115" s="127">
        <f t="shared" si="36"/>
        <v>405034.28099020274</v>
      </c>
      <c r="J115" s="69">
        <f t="shared" si="20"/>
        <v>0</v>
      </c>
      <c r="K115" s="69"/>
      <c r="L115" s="150"/>
      <c r="M115" s="69">
        <f t="shared" si="21"/>
        <v>0</v>
      </c>
      <c r="N115" s="150"/>
      <c r="O115" s="69">
        <f t="shared" si="22"/>
        <v>0</v>
      </c>
      <c r="P115" s="69">
        <f t="shared" si="23"/>
        <v>0</v>
      </c>
      <c r="Q115" s="1"/>
    </row>
    <row r="116" spans="2:17" ht="12.5">
      <c r="B116" s="9" t="str">
        <f t="shared" si="26"/>
        <v/>
      </c>
      <c r="C116" s="64">
        <f>IF(D93="","-",+C115+1)</f>
        <v>2025</v>
      </c>
      <c r="D116" s="65">
        <f>IF(F115+SUM(E$99:E115)=D$92,F115,D$92-SUM(E$99:E115))</f>
        <v>2720235.310398757</v>
      </c>
      <c r="E116" s="71">
        <f>IF(+J96&lt;F115,J96,D116)</f>
        <v>106670.65761904762</v>
      </c>
      <c r="F116" s="70">
        <f t="shared" si="27"/>
        <v>2613564.6527797095</v>
      </c>
      <c r="G116" s="70">
        <f t="shared" si="28"/>
        <v>2666899.9815892335</v>
      </c>
      <c r="H116" s="73">
        <f t="shared" si="35"/>
        <v>393559.30953474785</v>
      </c>
      <c r="I116" s="127">
        <f t="shared" si="36"/>
        <v>393559.30953474785</v>
      </c>
      <c r="J116" s="69">
        <f t="shared" si="20"/>
        <v>0</v>
      </c>
      <c r="K116" s="69"/>
      <c r="L116" s="150"/>
      <c r="M116" s="69">
        <f t="shared" si="21"/>
        <v>0</v>
      </c>
      <c r="N116" s="150"/>
      <c r="O116" s="69">
        <f t="shared" si="22"/>
        <v>0</v>
      </c>
      <c r="P116" s="69">
        <f t="shared" si="23"/>
        <v>0</v>
      </c>
      <c r="Q116" s="1"/>
    </row>
    <row r="117" spans="2:17" ht="12.5">
      <c r="B117" s="9" t="str">
        <f t="shared" si="26"/>
        <v/>
      </c>
      <c r="C117" s="64">
        <f>IF(D93="","-",+C116+1)</f>
        <v>2026</v>
      </c>
      <c r="D117" s="65">
        <f>IF(F116+SUM(E$99:E116)=D$92,F116,D$92-SUM(E$99:E116))</f>
        <v>2613564.6527797095</v>
      </c>
      <c r="E117" s="71">
        <f>IF(+J96&lt;F116,J96,D117)</f>
        <v>106670.65761904762</v>
      </c>
      <c r="F117" s="70">
        <f t="shared" si="27"/>
        <v>2506893.9951606621</v>
      </c>
      <c r="G117" s="70">
        <f t="shared" si="28"/>
        <v>2560229.3239701856</v>
      </c>
      <c r="H117" s="73">
        <f t="shared" si="35"/>
        <v>382084.33807929285</v>
      </c>
      <c r="I117" s="127">
        <f t="shared" si="36"/>
        <v>382084.33807929285</v>
      </c>
      <c r="J117" s="69">
        <f t="shared" si="20"/>
        <v>0</v>
      </c>
      <c r="K117" s="69"/>
      <c r="L117" s="150"/>
      <c r="M117" s="69">
        <f t="shared" si="21"/>
        <v>0</v>
      </c>
      <c r="N117" s="150"/>
      <c r="O117" s="69">
        <f t="shared" si="22"/>
        <v>0</v>
      </c>
      <c r="P117" s="69">
        <f t="shared" si="23"/>
        <v>0</v>
      </c>
      <c r="Q117" s="1"/>
    </row>
    <row r="118" spans="2:17" ht="12.5">
      <c r="B118" s="9" t="str">
        <f t="shared" si="26"/>
        <v/>
      </c>
      <c r="C118" s="64">
        <f>IF(D93="","-",+C117+1)</f>
        <v>2027</v>
      </c>
      <c r="D118" s="65">
        <f>IF(F117+SUM(E$99:E117)=D$92,F117,D$92-SUM(E$99:E117))</f>
        <v>2506893.9951606621</v>
      </c>
      <c r="E118" s="71">
        <f>IF(+J96&lt;F117,J96,D118)</f>
        <v>106670.65761904762</v>
      </c>
      <c r="F118" s="70">
        <f t="shared" si="27"/>
        <v>2400223.3375416147</v>
      </c>
      <c r="G118" s="70">
        <f t="shared" si="28"/>
        <v>2453558.6663511386</v>
      </c>
      <c r="H118" s="73">
        <f t="shared" si="35"/>
        <v>370609.36662383797</v>
      </c>
      <c r="I118" s="127">
        <f t="shared" si="36"/>
        <v>370609.36662383797</v>
      </c>
      <c r="J118" s="69">
        <f t="shared" si="20"/>
        <v>0</v>
      </c>
      <c r="K118" s="69"/>
      <c r="L118" s="150"/>
      <c r="M118" s="69">
        <f t="shared" si="21"/>
        <v>0</v>
      </c>
      <c r="N118" s="150"/>
      <c r="O118" s="69">
        <f t="shared" si="22"/>
        <v>0</v>
      </c>
      <c r="P118" s="69">
        <f t="shared" si="23"/>
        <v>0</v>
      </c>
      <c r="Q118" s="1"/>
    </row>
    <row r="119" spans="2:17" ht="12.5">
      <c r="B119" s="9" t="str">
        <f t="shared" si="26"/>
        <v/>
      </c>
      <c r="C119" s="64">
        <f>IF(D93="","-",+C118+1)</f>
        <v>2028</v>
      </c>
      <c r="D119" s="65">
        <f>IF(F118+SUM(E$99:E118)=D$92,F118,D$92-SUM(E$99:E118))</f>
        <v>2400223.3375416147</v>
      </c>
      <c r="E119" s="71">
        <f>IF(+J96&lt;F118,J96,D119)</f>
        <v>106670.65761904762</v>
      </c>
      <c r="F119" s="70">
        <f t="shared" si="27"/>
        <v>2293552.6799225672</v>
      </c>
      <c r="G119" s="70">
        <f t="shared" si="28"/>
        <v>2346888.0087320907</v>
      </c>
      <c r="H119" s="73">
        <f t="shared" si="35"/>
        <v>359134.39516838302</v>
      </c>
      <c r="I119" s="127">
        <f t="shared" si="36"/>
        <v>359134.39516838302</v>
      </c>
      <c r="J119" s="69">
        <f t="shared" si="20"/>
        <v>0</v>
      </c>
      <c r="K119" s="69"/>
      <c r="L119" s="150"/>
      <c r="M119" s="69">
        <f t="shared" si="21"/>
        <v>0</v>
      </c>
      <c r="N119" s="150"/>
      <c r="O119" s="69">
        <f t="shared" si="22"/>
        <v>0</v>
      </c>
      <c r="P119" s="69">
        <f t="shared" si="23"/>
        <v>0</v>
      </c>
      <c r="Q119" s="1"/>
    </row>
    <row r="120" spans="2:17" ht="12.5">
      <c r="B120" s="9" t="str">
        <f t="shared" si="26"/>
        <v/>
      </c>
      <c r="C120" s="64">
        <f>IF(D93="","-",+C119+1)</f>
        <v>2029</v>
      </c>
      <c r="D120" s="65">
        <f>IF(F119+SUM(E$99:E119)=D$92,F119,D$92-SUM(E$99:E119))</f>
        <v>2293552.6799225672</v>
      </c>
      <c r="E120" s="71">
        <f>IF(+J96&lt;F119,J96,D120)</f>
        <v>106670.65761904762</v>
      </c>
      <c r="F120" s="70">
        <f t="shared" si="27"/>
        <v>2186882.0223035198</v>
      </c>
      <c r="G120" s="70">
        <f t="shared" si="28"/>
        <v>2240217.3511130437</v>
      </c>
      <c r="H120" s="73">
        <f t="shared" si="35"/>
        <v>347659.42371292814</v>
      </c>
      <c r="I120" s="127">
        <f t="shared" si="36"/>
        <v>347659.42371292814</v>
      </c>
      <c r="J120" s="69">
        <f t="shared" si="20"/>
        <v>0</v>
      </c>
      <c r="K120" s="69"/>
      <c r="L120" s="150"/>
      <c r="M120" s="69">
        <f t="shared" si="21"/>
        <v>0</v>
      </c>
      <c r="N120" s="150"/>
      <c r="O120" s="69">
        <f t="shared" si="22"/>
        <v>0</v>
      </c>
      <c r="P120" s="69">
        <f t="shared" si="23"/>
        <v>0</v>
      </c>
      <c r="Q120" s="1"/>
    </row>
    <row r="121" spans="2:17" ht="12.5">
      <c r="B121" s="9" t="str">
        <f t="shared" si="26"/>
        <v/>
      </c>
      <c r="C121" s="64">
        <f>IF(D93="","-",+C120+1)</f>
        <v>2030</v>
      </c>
      <c r="D121" s="65">
        <f>IF(F120+SUM(E$99:E120)=D$92,F120,D$92-SUM(E$99:E120))</f>
        <v>2186882.0223035198</v>
      </c>
      <c r="E121" s="71">
        <f>IF(+J96&lt;F120,J96,D121)</f>
        <v>106670.65761904762</v>
      </c>
      <c r="F121" s="70">
        <f t="shared" si="27"/>
        <v>2080211.3646844721</v>
      </c>
      <c r="G121" s="70">
        <f t="shared" si="28"/>
        <v>2133546.6934939958</v>
      </c>
      <c r="H121" s="73">
        <f t="shared" si="35"/>
        <v>336184.45225747314</v>
      </c>
      <c r="I121" s="127">
        <f t="shared" si="36"/>
        <v>336184.45225747314</v>
      </c>
      <c r="J121" s="69">
        <f t="shared" si="20"/>
        <v>0</v>
      </c>
      <c r="K121" s="69"/>
      <c r="L121" s="150"/>
      <c r="M121" s="69">
        <f t="shared" si="21"/>
        <v>0</v>
      </c>
      <c r="N121" s="150"/>
      <c r="O121" s="69">
        <f t="shared" si="22"/>
        <v>0</v>
      </c>
      <c r="P121" s="69">
        <f t="shared" si="23"/>
        <v>0</v>
      </c>
      <c r="Q121" s="1"/>
    </row>
    <row r="122" spans="2:17" ht="12.5">
      <c r="B122" s="9" t="str">
        <f t="shared" si="26"/>
        <v/>
      </c>
      <c r="C122" s="64">
        <f>IF(D93="","-",+C121+1)</f>
        <v>2031</v>
      </c>
      <c r="D122" s="65">
        <f>IF(F121+SUM(E$99:E121)=D$92,F121,D$92-SUM(E$99:E121))</f>
        <v>2080211.3646844721</v>
      </c>
      <c r="E122" s="71">
        <f>IF(+J96&lt;F121,J96,D122)</f>
        <v>106670.65761904762</v>
      </c>
      <c r="F122" s="70">
        <f t="shared" si="27"/>
        <v>1973540.7070654244</v>
      </c>
      <c r="G122" s="70">
        <f t="shared" si="28"/>
        <v>2026876.0358749484</v>
      </c>
      <c r="H122" s="73">
        <f t="shared" si="35"/>
        <v>324709.4808020182</v>
      </c>
      <c r="I122" s="127">
        <f t="shared" si="36"/>
        <v>324709.4808020182</v>
      </c>
      <c r="J122" s="69">
        <f t="shared" si="20"/>
        <v>0</v>
      </c>
      <c r="K122" s="69"/>
      <c r="L122" s="150"/>
      <c r="M122" s="69">
        <f t="shared" si="21"/>
        <v>0</v>
      </c>
      <c r="N122" s="150"/>
      <c r="O122" s="69">
        <f t="shared" si="22"/>
        <v>0</v>
      </c>
      <c r="P122" s="69">
        <f t="shared" si="23"/>
        <v>0</v>
      </c>
      <c r="Q122" s="1"/>
    </row>
    <row r="123" spans="2:17" ht="12.5">
      <c r="B123" s="9" t="str">
        <f t="shared" si="26"/>
        <v/>
      </c>
      <c r="C123" s="64">
        <f>IF(D93="","-",+C122+1)</f>
        <v>2032</v>
      </c>
      <c r="D123" s="65">
        <f>IF(F122+SUM(E$99:E122)=D$92,F122,D$92-SUM(E$99:E122))</f>
        <v>1973540.7070654244</v>
      </c>
      <c r="E123" s="71">
        <f>IF(+J96&lt;F122,J96,D123)</f>
        <v>106670.65761904762</v>
      </c>
      <c r="F123" s="70">
        <f t="shared" si="27"/>
        <v>1866870.0494463767</v>
      </c>
      <c r="G123" s="70">
        <f t="shared" si="28"/>
        <v>1920205.3782559005</v>
      </c>
      <c r="H123" s="73">
        <f t="shared" si="35"/>
        <v>313234.50934656325</v>
      </c>
      <c r="I123" s="127">
        <f t="shared" si="36"/>
        <v>313234.50934656325</v>
      </c>
      <c r="J123" s="69">
        <f t="shared" si="20"/>
        <v>0</v>
      </c>
      <c r="K123" s="69"/>
      <c r="L123" s="150"/>
      <c r="M123" s="69">
        <f t="shared" si="21"/>
        <v>0</v>
      </c>
      <c r="N123" s="150"/>
      <c r="O123" s="69">
        <f t="shared" si="22"/>
        <v>0</v>
      </c>
      <c r="P123" s="69">
        <f t="shared" si="23"/>
        <v>0</v>
      </c>
      <c r="Q123" s="1"/>
    </row>
    <row r="124" spans="2:17" ht="12.5">
      <c r="B124" s="9" t="str">
        <f t="shared" si="26"/>
        <v/>
      </c>
      <c r="C124" s="64">
        <f>IF(D93="","-",+C123+1)</f>
        <v>2033</v>
      </c>
      <c r="D124" s="65">
        <f>IF(F123+SUM(E$99:E123)=D$92,F123,D$92-SUM(E$99:E123))</f>
        <v>1866870.0494463767</v>
      </c>
      <c r="E124" s="71">
        <f>IF(+J96&lt;F123,J96,D124)</f>
        <v>106670.65761904762</v>
      </c>
      <c r="F124" s="70">
        <f t="shared" si="27"/>
        <v>1760199.3918273291</v>
      </c>
      <c r="G124" s="70">
        <f t="shared" si="28"/>
        <v>1813534.720636853</v>
      </c>
      <c r="H124" s="73">
        <f t="shared" si="35"/>
        <v>301759.53789110831</v>
      </c>
      <c r="I124" s="127">
        <f t="shared" si="36"/>
        <v>301759.53789110831</v>
      </c>
      <c r="J124" s="69">
        <f t="shared" si="20"/>
        <v>0</v>
      </c>
      <c r="K124" s="69"/>
      <c r="L124" s="150"/>
      <c r="M124" s="69">
        <f t="shared" si="21"/>
        <v>0</v>
      </c>
      <c r="N124" s="150"/>
      <c r="O124" s="69">
        <f t="shared" si="22"/>
        <v>0</v>
      </c>
      <c r="P124" s="69">
        <f t="shared" si="23"/>
        <v>0</v>
      </c>
      <c r="Q124" s="1"/>
    </row>
    <row r="125" spans="2:17" ht="12.5">
      <c r="B125" s="9" t="str">
        <f t="shared" si="26"/>
        <v/>
      </c>
      <c r="C125" s="64">
        <f>IF(D93="","-",+C124+1)</f>
        <v>2034</v>
      </c>
      <c r="D125" s="65">
        <f>IF(F124+SUM(E$99:E124)=D$92,F124,D$92-SUM(E$99:E124))</f>
        <v>1760199.3918273291</v>
      </c>
      <c r="E125" s="71">
        <f>IF(+J96&lt;F124,J96,D125)</f>
        <v>106670.65761904762</v>
      </c>
      <c r="F125" s="70">
        <f t="shared" si="27"/>
        <v>1653528.7342082814</v>
      </c>
      <c r="G125" s="70">
        <f t="shared" si="28"/>
        <v>1706864.0630178051</v>
      </c>
      <c r="H125" s="73">
        <f t="shared" si="35"/>
        <v>290284.56643565331</v>
      </c>
      <c r="I125" s="127">
        <f t="shared" si="36"/>
        <v>290284.56643565331</v>
      </c>
      <c r="J125" s="69">
        <f t="shared" si="20"/>
        <v>0</v>
      </c>
      <c r="K125" s="69"/>
      <c r="L125" s="150"/>
      <c r="M125" s="69">
        <f t="shared" si="21"/>
        <v>0</v>
      </c>
      <c r="N125" s="150"/>
      <c r="O125" s="69">
        <f t="shared" si="22"/>
        <v>0</v>
      </c>
      <c r="P125" s="69">
        <f t="shared" si="23"/>
        <v>0</v>
      </c>
      <c r="Q125" s="1"/>
    </row>
    <row r="126" spans="2:17" ht="12.5">
      <c r="B126" s="9" t="str">
        <f t="shared" si="26"/>
        <v/>
      </c>
      <c r="C126" s="64">
        <f>IF(D93="","-",+C125+1)</f>
        <v>2035</v>
      </c>
      <c r="D126" s="65">
        <f>IF(F125+SUM(E$99:E125)=D$92,F125,D$92-SUM(E$99:E125))</f>
        <v>1653528.7342082814</v>
      </c>
      <c r="E126" s="71">
        <f>IF(+J96&lt;F125,J96,D126)</f>
        <v>106670.65761904762</v>
      </c>
      <c r="F126" s="70">
        <f t="shared" si="27"/>
        <v>1546858.0765892337</v>
      </c>
      <c r="G126" s="70">
        <f t="shared" si="28"/>
        <v>1600193.4053987577</v>
      </c>
      <c r="H126" s="73">
        <f t="shared" si="35"/>
        <v>278809.59498019842</v>
      </c>
      <c r="I126" s="127">
        <f t="shared" si="36"/>
        <v>278809.59498019842</v>
      </c>
      <c r="J126" s="69">
        <f t="shared" si="20"/>
        <v>0</v>
      </c>
      <c r="K126" s="69"/>
      <c r="L126" s="150"/>
      <c r="M126" s="69">
        <f t="shared" si="21"/>
        <v>0</v>
      </c>
      <c r="N126" s="150"/>
      <c r="O126" s="69">
        <f t="shared" si="22"/>
        <v>0</v>
      </c>
      <c r="P126" s="69">
        <f t="shared" si="23"/>
        <v>0</v>
      </c>
      <c r="Q126" s="1"/>
    </row>
    <row r="127" spans="2:17" ht="12.5">
      <c r="B127" s="9" t="str">
        <f t="shared" si="26"/>
        <v/>
      </c>
      <c r="C127" s="64">
        <f>IF(D93="","-",+C126+1)</f>
        <v>2036</v>
      </c>
      <c r="D127" s="65">
        <f>IF(F126+SUM(E$99:E126)=D$92,F126,D$92-SUM(E$99:E126))</f>
        <v>1546858.0765892337</v>
      </c>
      <c r="E127" s="71">
        <f>IF(+J96&lt;F126,J96,D127)</f>
        <v>106670.65761904762</v>
      </c>
      <c r="F127" s="70">
        <f t="shared" si="27"/>
        <v>1440187.418970186</v>
      </c>
      <c r="G127" s="70">
        <f t="shared" si="28"/>
        <v>1493522.7477797098</v>
      </c>
      <c r="H127" s="73">
        <f t="shared" si="35"/>
        <v>267334.62352474337</v>
      </c>
      <c r="I127" s="127">
        <f t="shared" si="36"/>
        <v>267334.62352474337</v>
      </c>
      <c r="J127" s="69">
        <f t="shared" si="20"/>
        <v>0</v>
      </c>
      <c r="K127" s="69"/>
      <c r="L127" s="150"/>
      <c r="M127" s="69">
        <f t="shared" si="21"/>
        <v>0</v>
      </c>
      <c r="N127" s="150"/>
      <c r="O127" s="69">
        <f t="shared" si="22"/>
        <v>0</v>
      </c>
      <c r="P127" s="69">
        <f t="shared" si="23"/>
        <v>0</v>
      </c>
      <c r="Q127" s="1"/>
    </row>
    <row r="128" spans="2:17" ht="12.5">
      <c r="B128" s="9" t="str">
        <f t="shared" si="26"/>
        <v/>
      </c>
      <c r="C128" s="64">
        <f>IF(D93="","-",+C127+1)</f>
        <v>2037</v>
      </c>
      <c r="D128" s="65">
        <f>IF(F127+SUM(E$99:E127)=D$92,F127,D$92-SUM(E$99:E127))</f>
        <v>1440187.418970186</v>
      </c>
      <c r="E128" s="71">
        <f>IF(+J96&lt;F127,J96,D128)</f>
        <v>106670.65761904762</v>
      </c>
      <c r="F128" s="70">
        <f t="shared" si="27"/>
        <v>1333516.7613511384</v>
      </c>
      <c r="G128" s="70">
        <f t="shared" si="28"/>
        <v>1386852.0901606623</v>
      </c>
      <c r="H128" s="73">
        <f t="shared" si="35"/>
        <v>255859.65206928848</v>
      </c>
      <c r="I128" s="127">
        <f t="shared" si="36"/>
        <v>255859.65206928848</v>
      </c>
      <c r="J128" s="69">
        <f t="shared" si="20"/>
        <v>0</v>
      </c>
      <c r="K128" s="69"/>
      <c r="L128" s="150"/>
      <c r="M128" s="69">
        <f t="shared" si="21"/>
        <v>0</v>
      </c>
      <c r="N128" s="150"/>
      <c r="O128" s="69">
        <f t="shared" si="22"/>
        <v>0</v>
      </c>
      <c r="P128" s="69">
        <f t="shared" si="23"/>
        <v>0</v>
      </c>
      <c r="Q128" s="1"/>
    </row>
    <row r="129" spans="2:17" ht="12.5">
      <c r="B129" s="9" t="str">
        <f t="shared" si="26"/>
        <v/>
      </c>
      <c r="C129" s="64">
        <f>IF(D93="","-",+C128+1)</f>
        <v>2038</v>
      </c>
      <c r="D129" s="65">
        <f>IF(F128+SUM(E$99:E128)=D$92,F128,D$92-SUM(E$99:E128))</f>
        <v>1333516.7613511384</v>
      </c>
      <c r="E129" s="71">
        <f>IF(+J96&lt;F128,J96,D129)</f>
        <v>106670.65761904762</v>
      </c>
      <c r="F129" s="70">
        <f t="shared" si="27"/>
        <v>1226846.1037320907</v>
      </c>
      <c r="G129" s="70">
        <f t="shared" si="28"/>
        <v>1280181.4325416144</v>
      </c>
      <c r="H129" s="73">
        <f t="shared" si="35"/>
        <v>244384.68061383348</v>
      </c>
      <c r="I129" s="127">
        <f t="shared" si="36"/>
        <v>244384.68061383348</v>
      </c>
      <c r="J129" s="69">
        <f t="shared" si="20"/>
        <v>0</v>
      </c>
      <c r="K129" s="69"/>
      <c r="L129" s="150"/>
      <c r="M129" s="69">
        <f t="shared" si="21"/>
        <v>0</v>
      </c>
      <c r="N129" s="150"/>
      <c r="O129" s="69">
        <f t="shared" si="22"/>
        <v>0</v>
      </c>
      <c r="P129" s="69">
        <f t="shared" si="23"/>
        <v>0</v>
      </c>
      <c r="Q129" s="1"/>
    </row>
    <row r="130" spans="2:17" ht="12.5">
      <c r="B130" s="9" t="str">
        <f t="shared" si="26"/>
        <v/>
      </c>
      <c r="C130" s="64">
        <f>IF(D93="","-",+C129+1)</f>
        <v>2039</v>
      </c>
      <c r="D130" s="65">
        <f>IF(F129+SUM(E$99:E129)=D$92,F129,D$92-SUM(E$99:E129))</f>
        <v>1226846.1037320907</v>
      </c>
      <c r="E130" s="71">
        <f>IF(+J96&lt;F129,J96,D130)</f>
        <v>106670.65761904762</v>
      </c>
      <c r="F130" s="70">
        <f t="shared" si="27"/>
        <v>1120175.446113043</v>
      </c>
      <c r="G130" s="70">
        <f t="shared" si="28"/>
        <v>1173510.774922567</v>
      </c>
      <c r="H130" s="73">
        <f t="shared" si="35"/>
        <v>232909.70915837854</v>
      </c>
      <c r="I130" s="127">
        <f t="shared" si="36"/>
        <v>232909.70915837854</v>
      </c>
      <c r="J130" s="69">
        <f t="shared" si="20"/>
        <v>0</v>
      </c>
      <c r="K130" s="69"/>
      <c r="L130" s="150"/>
      <c r="M130" s="69">
        <f t="shared" si="21"/>
        <v>0</v>
      </c>
      <c r="N130" s="150"/>
      <c r="O130" s="69">
        <f t="shared" si="22"/>
        <v>0</v>
      </c>
      <c r="P130" s="69">
        <f t="shared" si="23"/>
        <v>0</v>
      </c>
      <c r="Q130" s="1"/>
    </row>
    <row r="131" spans="2:17" ht="12.5">
      <c r="B131" s="9" t="str">
        <f t="shared" si="26"/>
        <v/>
      </c>
      <c r="C131" s="64">
        <f>IF(D93="","-",+C130+1)</f>
        <v>2040</v>
      </c>
      <c r="D131" s="65">
        <f>IF(F130+SUM(E$99:E130)=D$92,F130,D$92-SUM(E$99:E130))</f>
        <v>1120175.446113043</v>
      </c>
      <c r="E131" s="71">
        <f>IF(+J96&lt;F130,J96,D131)</f>
        <v>106670.65761904762</v>
      </c>
      <c r="F131" s="70">
        <f t="shared" ref="F131:F154" si="37">+D131-E131</f>
        <v>1013504.7884939953</v>
      </c>
      <c r="G131" s="70">
        <f t="shared" ref="G131:G154" si="38">+(F131+D131)/2</f>
        <v>1066840.117303519</v>
      </c>
      <c r="H131" s="73">
        <f t="shared" si="35"/>
        <v>221434.73770292356</v>
      </c>
      <c r="I131" s="127">
        <f t="shared" si="36"/>
        <v>221434.73770292356</v>
      </c>
      <c r="J131" s="69">
        <f t="shared" ref="J131:J154" si="39">+I131-H131</f>
        <v>0</v>
      </c>
      <c r="K131" s="69"/>
      <c r="L131" s="150"/>
      <c r="M131" s="69">
        <f t="shared" ref="M131:M154" si="40">IF(L131&lt;&gt;0,+H131-L131,0)</f>
        <v>0</v>
      </c>
      <c r="N131" s="150"/>
      <c r="O131" s="69">
        <f t="shared" ref="O131:O154" si="41">IF(N131&lt;&gt;0,+I131-N131,0)</f>
        <v>0</v>
      </c>
      <c r="P131" s="69">
        <f t="shared" ref="P131:P154" si="42">+O131-M131</f>
        <v>0</v>
      </c>
      <c r="Q131" s="1"/>
    </row>
    <row r="132" spans="2:17" ht="12.5">
      <c r="B132" s="9" t="str">
        <f t="shared" si="26"/>
        <v/>
      </c>
      <c r="C132" s="64">
        <f>IF(D93="","-",+C131+1)</f>
        <v>2041</v>
      </c>
      <c r="D132" s="65">
        <f>IF(F131+SUM(E$99:E131)=D$92,F131,D$92-SUM(E$99:E131))</f>
        <v>1013504.7884939953</v>
      </c>
      <c r="E132" s="71">
        <f>IF(+J96&lt;F131,J96,D132)</f>
        <v>106670.65761904762</v>
      </c>
      <c r="F132" s="70">
        <f t="shared" si="37"/>
        <v>906834.13087494764</v>
      </c>
      <c r="G132" s="70">
        <f t="shared" si="38"/>
        <v>960169.45968447148</v>
      </c>
      <c r="H132" s="73">
        <f t="shared" si="35"/>
        <v>209959.76624746862</v>
      </c>
      <c r="I132" s="127">
        <f t="shared" si="36"/>
        <v>209959.76624746862</v>
      </c>
      <c r="J132" s="69">
        <f t="shared" si="39"/>
        <v>0</v>
      </c>
      <c r="K132" s="69"/>
      <c r="L132" s="150"/>
      <c r="M132" s="69">
        <f t="shared" si="40"/>
        <v>0</v>
      </c>
      <c r="N132" s="150"/>
      <c r="O132" s="69">
        <f t="shared" si="41"/>
        <v>0</v>
      </c>
      <c r="P132" s="69">
        <f t="shared" si="42"/>
        <v>0</v>
      </c>
      <c r="Q132" s="1"/>
    </row>
    <row r="133" spans="2:17" ht="12.5">
      <c r="B133" s="9" t="str">
        <f t="shared" si="26"/>
        <v/>
      </c>
      <c r="C133" s="64">
        <f>IF(D93="","-",+C132+1)</f>
        <v>2042</v>
      </c>
      <c r="D133" s="65">
        <f>IF(F132+SUM(E$99:E132)=D$92,F132,D$92-SUM(E$99:E132))</f>
        <v>906834.13087494764</v>
      </c>
      <c r="E133" s="71">
        <f>IF(+J96&lt;F132,J96,D133)</f>
        <v>106670.65761904762</v>
      </c>
      <c r="F133" s="70">
        <f t="shared" si="37"/>
        <v>800163.47325589997</v>
      </c>
      <c r="G133" s="70">
        <f t="shared" si="38"/>
        <v>853498.80206542381</v>
      </c>
      <c r="H133" s="73">
        <f t="shared" si="35"/>
        <v>198484.79479201365</v>
      </c>
      <c r="I133" s="127">
        <f t="shared" si="36"/>
        <v>198484.79479201365</v>
      </c>
      <c r="J133" s="69">
        <f t="shared" si="39"/>
        <v>0</v>
      </c>
      <c r="K133" s="69"/>
      <c r="L133" s="150"/>
      <c r="M133" s="69">
        <f t="shared" si="40"/>
        <v>0</v>
      </c>
      <c r="N133" s="150"/>
      <c r="O133" s="69">
        <f t="shared" si="41"/>
        <v>0</v>
      </c>
      <c r="P133" s="69">
        <f t="shared" si="42"/>
        <v>0</v>
      </c>
      <c r="Q133" s="1"/>
    </row>
    <row r="134" spans="2:17" ht="12.5">
      <c r="B134" s="9" t="str">
        <f t="shared" si="26"/>
        <v/>
      </c>
      <c r="C134" s="64">
        <f>IF(D93="","-",+C133+1)</f>
        <v>2043</v>
      </c>
      <c r="D134" s="65">
        <f>IF(F133+SUM(E$99:E133)=D$92,F133,D$92-SUM(E$99:E133))</f>
        <v>800163.47325589997</v>
      </c>
      <c r="E134" s="71">
        <f>IF(+J96&lt;F133,J96,D134)</f>
        <v>106670.65761904762</v>
      </c>
      <c r="F134" s="70">
        <f t="shared" si="37"/>
        <v>693492.81563685229</v>
      </c>
      <c r="G134" s="70">
        <f t="shared" si="38"/>
        <v>746828.14444637613</v>
      </c>
      <c r="H134" s="73">
        <f t="shared" si="35"/>
        <v>187009.82333655871</v>
      </c>
      <c r="I134" s="127">
        <f t="shared" si="36"/>
        <v>187009.82333655871</v>
      </c>
      <c r="J134" s="69">
        <f t="shared" si="39"/>
        <v>0</v>
      </c>
      <c r="K134" s="69"/>
      <c r="L134" s="150"/>
      <c r="M134" s="69">
        <f t="shared" si="40"/>
        <v>0</v>
      </c>
      <c r="N134" s="150"/>
      <c r="O134" s="69">
        <f t="shared" si="41"/>
        <v>0</v>
      </c>
      <c r="P134" s="69">
        <f t="shared" si="42"/>
        <v>0</v>
      </c>
      <c r="Q134" s="1"/>
    </row>
    <row r="135" spans="2:17" ht="12.5">
      <c r="B135" s="9" t="str">
        <f t="shared" si="26"/>
        <v/>
      </c>
      <c r="C135" s="64">
        <f>IF(D93="","-",+C134+1)</f>
        <v>2044</v>
      </c>
      <c r="D135" s="65">
        <f>IF(F134+SUM(E$99:E134)=D$92,F134,D$92-SUM(E$99:E134))</f>
        <v>693492.81563685229</v>
      </c>
      <c r="E135" s="71">
        <f>IF(+J96&lt;F134,J96,D135)</f>
        <v>106670.65761904762</v>
      </c>
      <c r="F135" s="70">
        <f t="shared" si="37"/>
        <v>586822.15801780461</v>
      </c>
      <c r="G135" s="70">
        <f t="shared" si="38"/>
        <v>640157.48682732845</v>
      </c>
      <c r="H135" s="73">
        <f t="shared" si="35"/>
        <v>175534.85188110376</v>
      </c>
      <c r="I135" s="127">
        <f t="shared" si="36"/>
        <v>175534.85188110376</v>
      </c>
      <c r="J135" s="69">
        <f t="shared" si="39"/>
        <v>0</v>
      </c>
      <c r="K135" s="69"/>
      <c r="L135" s="150"/>
      <c r="M135" s="69">
        <f t="shared" si="40"/>
        <v>0</v>
      </c>
      <c r="N135" s="150"/>
      <c r="O135" s="69">
        <f t="shared" si="41"/>
        <v>0</v>
      </c>
      <c r="P135" s="69">
        <f t="shared" si="42"/>
        <v>0</v>
      </c>
      <c r="Q135" s="1"/>
    </row>
    <row r="136" spans="2:17" ht="12.5">
      <c r="B136" s="9" t="str">
        <f t="shared" si="26"/>
        <v/>
      </c>
      <c r="C136" s="64">
        <f>IF(D93="","-",+C135+1)</f>
        <v>2045</v>
      </c>
      <c r="D136" s="65">
        <f>IF(F135+SUM(E$99:E135)=D$92,F135,D$92-SUM(E$99:E135))</f>
        <v>586822.15801780461</v>
      </c>
      <c r="E136" s="71">
        <f>IF(+J96&lt;F135,J96,D136)</f>
        <v>106670.65761904762</v>
      </c>
      <c r="F136" s="70">
        <f t="shared" si="37"/>
        <v>480151.50039875699</v>
      </c>
      <c r="G136" s="70">
        <f t="shared" si="38"/>
        <v>533486.82920828077</v>
      </c>
      <c r="H136" s="73">
        <f t="shared" si="35"/>
        <v>164059.88042564879</v>
      </c>
      <c r="I136" s="127">
        <f t="shared" si="36"/>
        <v>164059.88042564879</v>
      </c>
      <c r="J136" s="69">
        <f t="shared" si="39"/>
        <v>0</v>
      </c>
      <c r="K136" s="69"/>
      <c r="L136" s="150"/>
      <c r="M136" s="69">
        <f t="shared" si="40"/>
        <v>0</v>
      </c>
      <c r="N136" s="150"/>
      <c r="O136" s="69">
        <f t="shared" si="41"/>
        <v>0</v>
      </c>
      <c r="P136" s="69">
        <f t="shared" si="42"/>
        <v>0</v>
      </c>
      <c r="Q136" s="1"/>
    </row>
    <row r="137" spans="2:17" ht="12.5">
      <c r="B137" s="9" t="str">
        <f t="shared" si="26"/>
        <v/>
      </c>
      <c r="C137" s="64">
        <f>IF(D93="","-",+C136+1)</f>
        <v>2046</v>
      </c>
      <c r="D137" s="65">
        <f>IF(F136+SUM(E$99:E136)=D$92,F136,D$92-SUM(E$99:E136))</f>
        <v>480151.50039875699</v>
      </c>
      <c r="E137" s="71">
        <f>IF(+J96&lt;F136,J96,D137)</f>
        <v>106670.65761904762</v>
      </c>
      <c r="F137" s="70">
        <f t="shared" si="37"/>
        <v>373480.84277970938</v>
      </c>
      <c r="G137" s="70">
        <f t="shared" si="38"/>
        <v>426816.17158923321</v>
      </c>
      <c r="H137" s="73">
        <f t="shared" si="35"/>
        <v>152584.90897019385</v>
      </c>
      <c r="I137" s="127">
        <f t="shared" si="36"/>
        <v>152584.90897019385</v>
      </c>
      <c r="J137" s="69">
        <f t="shared" si="39"/>
        <v>0</v>
      </c>
      <c r="K137" s="69"/>
      <c r="L137" s="150"/>
      <c r="M137" s="69">
        <f t="shared" si="40"/>
        <v>0</v>
      </c>
      <c r="N137" s="150"/>
      <c r="O137" s="69">
        <f t="shared" si="41"/>
        <v>0</v>
      </c>
      <c r="P137" s="69">
        <f t="shared" si="42"/>
        <v>0</v>
      </c>
      <c r="Q137" s="1"/>
    </row>
    <row r="138" spans="2:17" ht="12.5">
      <c r="B138" s="9" t="str">
        <f t="shared" si="26"/>
        <v/>
      </c>
      <c r="C138" s="64">
        <f>IF(D93="","-",+C137+1)</f>
        <v>2047</v>
      </c>
      <c r="D138" s="65">
        <f>IF(F137+SUM(E$99:E137)=D$92,F137,D$92-SUM(E$99:E137))</f>
        <v>373480.84277970938</v>
      </c>
      <c r="E138" s="71">
        <f>IF(+J96&lt;F137,J96,D138)</f>
        <v>106670.65761904762</v>
      </c>
      <c r="F138" s="70">
        <f t="shared" si="37"/>
        <v>266810.18516066176</v>
      </c>
      <c r="G138" s="70">
        <f t="shared" si="38"/>
        <v>320145.51397018554</v>
      </c>
      <c r="H138" s="73">
        <f t="shared" si="35"/>
        <v>141109.93751473888</v>
      </c>
      <c r="I138" s="127">
        <f t="shared" si="36"/>
        <v>141109.93751473888</v>
      </c>
      <c r="J138" s="69">
        <f t="shared" si="39"/>
        <v>0</v>
      </c>
      <c r="K138" s="69"/>
      <c r="L138" s="150"/>
      <c r="M138" s="69">
        <f t="shared" si="40"/>
        <v>0</v>
      </c>
      <c r="N138" s="150"/>
      <c r="O138" s="69">
        <f t="shared" si="41"/>
        <v>0</v>
      </c>
      <c r="P138" s="69">
        <f t="shared" si="42"/>
        <v>0</v>
      </c>
      <c r="Q138" s="1"/>
    </row>
    <row r="139" spans="2:17" ht="12.5">
      <c r="B139" s="9" t="str">
        <f t="shared" si="26"/>
        <v/>
      </c>
      <c r="C139" s="64">
        <f>IF(D93="","-",+C138+1)</f>
        <v>2048</v>
      </c>
      <c r="D139" s="65">
        <f>IF(F138+SUM(E$99:E138)=D$92,F138,D$92-SUM(E$99:E138))</f>
        <v>266810.18516066176</v>
      </c>
      <c r="E139" s="71">
        <f>IF(+J96&lt;F138,J96,D139)</f>
        <v>106670.65761904762</v>
      </c>
      <c r="F139" s="70">
        <f t="shared" si="37"/>
        <v>160139.52754161414</v>
      </c>
      <c r="G139" s="70">
        <f t="shared" si="38"/>
        <v>213474.85635113795</v>
      </c>
      <c r="H139" s="73">
        <f t="shared" si="35"/>
        <v>129634.96605928394</v>
      </c>
      <c r="I139" s="127">
        <f t="shared" si="36"/>
        <v>129634.96605928394</v>
      </c>
      <c r="J139" s="69">
        <f t="shared" si="39"/>
        <v>0</v>
      </c>
      <c r="K139" s="69"/>
      <c r="L139" s="150"/>
      <c r="M139" s="69">
        <f t="shared" si="40"/>
        <v>0</v>
      </c>
      <c r="N139" s="150"/>
      <c r="O139" s="69">
        <f t="shared" si="41"/>
        <v>0</v>
      </c>
      <c r="P139" s="69">
        <f t="shared" si="42"/>
        <v>0</v>
      </c>
      <c r="Q139" s="1"/>
    </row>
    <row r="140" spans="2:17" ht="12.5">
      <c r="B140" s="9" t="str">
        <f t="shared" si="26"/>
        <v/>
      </c>
      <c r="C140" s="64">
        <f>IF(D93="","-",+C139+1)</f>
        <v>2049</v>
      </c>
      <c r="D140" s="65">
        <f>IF(F139+SUM(E$99:E139)=D$92,F139,D$92-SUM(E$99:E139))</f>
        <v>160139.52754161414</v>
      </c>
      <c r="E140" s="71">
        <f>IF(+J96&lt;F139,J96,D140)</f>
        <v>106670.65761904762</v>
      </c>
      <c r="F140" s="70">
        <f t="shared" si="37"/>
        <v>53468.869922566519</v>
      </c>
      <c r="G140" s="70">
        <f t="shared" si="38"/>
        <v>106804.19873209033</v>
      </c>
      <c r="H140" s="73">
        <f t="shared" si="35"/>
        <v>118159.99460382899</v>
      </c>
      <c r="I140" s="127">
        <f t="shared" si="36"/>
        <v>118159.99460382899</v>
      </c>
      <c r="J140" s="69">
        <f t="shared" si="39"/>
        <v>0</v>
      </c>
      <c r="K140" s="69"/>
      <c r="L140" s="150"/>
      <c r="M140" s="69">
        <f t="shared" si="40"/>
        <v>0</v>
      </c>
      <c r="N140" s="150"/>
      <c r="O140" s="69">
        <f t="shared" si="41"/>
        <v>0</v>
      </c>
      <c r="P140" s="69">
        <f t="shared" si="42"/>
        <v>0</v>
      </c>
      <c r="Q140" s="1"/>
    </row>
    <row r="141" spans="2:17" ht="12.5">
      <c r="B141" s="9" t="str">
        <f t="shared" si="26"/>
        <v/>
      </c>
      <c r="C141" s="64">
        <f>IF(D93="","-",+C140+1)</f>
        <v>2050</v>
      </c>
      <c r="D141" s="65">
        <f>IF(F140+SUM(E$99:E140)=D$92,F140,D$92-SUM(E$99:E140))</f>
        <v>53468.869922566519</v>
      </c>
      <c r="E141" s="71">
        <f>IF(+J96&lt;F140,J96,D141)</f>
        <v>53468.869922566519</v>
      </c>
      <c r="F141" s="70">
        <f t="shared" si="37"/>
        <v>0</v>
      </c>
      <c r="G141" s="70">
        <f t="shared" si="38"/>
        <v>26734.434961283259</v>
      </c>
      <c r="H141" s="73">
        <f t="shared" si="35"/>
        <v>56344.795551093463</v>
      </c>
      <c r="I141" s="127">
        <f t="shared" si="36"/>
        <v>56344.795551093463</v>
      </c>
      <c r="J141" s="69">
        <f t="shared" si="39"/>
        <v>0</v>
      </c>
      <c r="K141" s="69"/>
      <c r="L141" s="150"/>
      <c r="M141" s="69">
        <f t="shared" si="40"/>
        <v>0</v>
      </c>
      <c r="N141" s="150"/>
      <c r="O141" s="69">
        <f t="shared" si="41"/>
        <v>0</v>
      </c>
      <c r="P141" s="69">
        <f t="shared" si="42"/>
        <v>0</v>
      </c>
      <c r="Q141" s="1"/>
    </row>
    <row r="142" spans="2:17" ht="12.5">
      <c r="B142" s="9" t="str">
        <f t="shared" si="26"/>
        <v/>
      </c>
      <c r="C142" s="64">
        <f>IF(D93="","-",+C141+1)</f>
        <v>2051</v>
      </c>
      <c r="D142" s="65">
        <f>IF(F141+SUM(E$99:E141)=D$92,F141,D$92-SUM(E$99:E141))</f>
        <v>0</v>
      </c>
      <c r="E142" s="71">
        <f>IF(+J96&lt;F141,J96,D142)</f>
        <v>0</v>
      </c>
      <c r="F142" s="70">
        <f t="shared" si="37"/>
        <v>0</v>
      </c>
      <c r="G142" s="70">
        <f t="shared" si="38"/>
        <v>0</v>
      </c>
      <c r="H142" s="73">
        <f t="shared" si="35"/>
        <v>0</v>
      </c>
      <c r="I142" s="127">
        <f t="shared" si="36"/>
        <v>0</v>
      </c>
      <c r="J142" s="69">
        <f t="shared" si="39"/>
        <v>0</v>
      </c>
      <c r="K142" s="69"/>
      <c r="L142" s="150"/>
      <c r="M142" s="69">
        <f t="shared" si="40"/>
        <v>0</v>
      </c>
      <c r="N142" s="150"/>
      <c r="O142" s="69">
        <f t="shared" si="41"/>
        <v>0</v>
      </c>
      <c r="P142" s="69">
        <f t="shared" si="42"/>
        <v>0</v>
      </c>
      <c r="Q142" s="1"/>
    </row>
    <row r="143" spans="2:17" ht="12.5">
      <c r="B143" s="9" t="str">
        <f t="shared" si="26"/>
        <v/>
      </c>
      <c r="C143" s="64">
        <f>IF(D93="","-",+C142+1)</f>
        <v>2052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37"/>
        <v>0</v>
      </c>
      <c r="G143" s="70">
        <f t="shared" si="38"/>
        <v>0</v>
      </c>
      <c r="H143" s="73">
        <f t="shared" si="35"/>
        <v>0</v>
      </c>
      <c r="I143" s="127">
        <f t="shared" si="36"/>
        <v>0</v>
      </c>
      <c r="J143" s="69">
        <f t="shared" si="39"/>
        <v>0</v>
      </c>
      <c r="K143" s="69"/>
      <c r="L143" s="150"/>
      <c r="M143" s="69">
        <f t="shared" si="40"/>
        <v>0</v>
      </c>
      <c r="N143" s="150"/>
      <c r="O143" s="69">
        <f t="shared" si="41"/>
        <v>0</v>
      </c>
      <c r="P143" s="69">
        <f t="shared" si="42"/>
        <v>0</v>
      </c>
      <c r="Q143" s="1"/>
    </row>
    <row r="144" spans="2:17" ht="12.5">
      <c r="B144" s="9" t="str">
        <f t="shared" si="26"/>
        <v/>
      </c>
      <c r="C144" s="64">
        <f>IF(D93="","-",+C143+1)</f>
        <v>2053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37"/>
        <v>0</v>
      </c>
      <c r="G144" s="70">
        <f t="shared" si="38"/>
        <v>0</v>
      </c>
      <c r="H144" s="73">
        <f t="shared" si="35"/>
        <v>0</v>
      </c>
      <c r="I144" s="127">
        <f t="shared" si="36"/>
        <v>0</v>
      </c>
      <c r="J144" s="69">
        <f t="shared" si="39"/>
        <v>0</v>
      </c>
      <c r="K144" s="69"/>
      <c r="L144" s="150"/>
      <c r="M144" s="69">
        <f t="shared" si="40"/>
        <v>0</v>
      </c>
      <c r="N144" s="150"/>
      <c r="O144" s="69">
        <f t="shared" si="41"/>
        <v>0</v>
      </c>
      <c r="P144" s="69">
        <f t="shared" si="42"/>
        <v>0</v>
      </c>
      <c r="Q144" s="1"/>
    </row>
    <row r="145" spans="2:17" ht="12.5">
      <c r="B145" s="9" t="str">
        <f t="shared" si="26"/>
        <v/>
      </c>
      <c r="C145" s="64">
        <f>IF(D93="","-",+C144+1)</f>
        <v>2054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37"/>
        <v>0</v>
      </c>
      <c r="G145" s="70">
        <f t="shared" si="38"/>
        <v>0</v>
      </c>
      <c r="H145" s="73">
        <f t="shared" si="35"/>
        <v>0</v>
      </c>
      <c r="I145" s="127">
        <f t="shared" si="36"/>
        <v>0</v>
      </c>
      <c r="J145" s="69">
        <f t="shared" si="39"/>
        <v>0</v>
      </c>
      <c r="K145" s="69"/>
      <c r="L145" s="150"/>
      <c r="M145" s="69">
        <f t="shared" si="40"/>
        <v>0</v>
      </c>
      <c r="N145" s="150"/>
      <c r="O145" s="69">
        <f t="shared" si="41"/>
        <v>0</v>
      </c>
      <c r="P145" s="69">
        <f t="shared" si="42"/>
        <v>0</v>
      </c>
      <c r="Q145" s="1"/>
    </row>
    <row r="146" spans="2:17" ht="12.5">
      <c r="B146" s="9" t="str">
        <f t="shared" si="26"/>
        <v/>
      </c>
      <c r="C146" s="64">
        <f>IF(D93="","-",+C145+1)</f>
        <v>2055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37"/>
        <v>0</v>
      </c>
      <c r="G146" s="70">
        <f t="shared" si="38"/>
        <v>0</v>
      </c>
      <c r="H146" s="73">
        <f t="shared" si="35"/>
        <v>0</v>
      </c>
      <c r="I146" s="127">
        <f t="shared" si="36"/>
        <v>0</v>
      </c>
      <c r="J146" s="69">
        <f t="shared" si="39"/>
        <v>0</v>
      </c>
      <c r="K146" s="69"/>
      <c r="L146" s="150"/>
      <c r="M146" s="69">
        <f t="shared" si="40"/>
        <v>0</v>
      </c>
      <c r="N146" s="150"/>
      <c r="O146" s="69">
        <f t="shared" si="41"/>
        <v>0</v>
      </c>
      <c r="P146" s="69">
        <f t="shared" si="42"/>
        <v>0</v>
      </c>
      <c r="Q146" s="1"/>
    </row>
    <row r="147" spans="2:17" ht="12.5">
      <c r="B147" s="9" t="str">
        <f t="shared" si="26"/>
        <v/>
      </c>
      <c r="C147" s="64">
        <f>IF(D93="","-",+C146+1)</f>
        <v>2056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37"/>
        <v>0</v>
      </c>
      <c r="G147" s="70">
        <f t="shared" si="38"/>
        <v>0</v>
      </c>
      <c r="H147" s="73">
        <f t="shared" si="35"/>
        <v>0</v>
      </c>
      <c r="I147" s="127">
        <f t="shared" si="36"/>
        <v>0</v>
      </c>
      <c r="J147" s="69">
        <f t="shared" si="39"/>
        <v>0</v>
      </c>
      <c r="K147" s="69"/>
      <c r="L147" s="150"/>
      <c r="M147" s="69">
        <f t="shared" si="40"/>
        <v>0</v>
      </c>
      <c r="N147" s="150"/>
      <c r="O147" s="69">
        <f t="shared" si="41"/>
        <v>0</v>
      </c>
      <c r="P147" s="69">
        <f t="shared" si="42"/>
        <v>0</v>
      </c>
      <c r="Q147" s="1"/>
    </row>
    <row r="148" spans="2:17" ht="12.5">
      <c r="B148" s="9" t="str">
        <f t="shared" si="26"/>
        <v/>
      </c>
      <c r="C148" s="64">
        <f>IF(D93="","-",+C147+1)</f>
        <v>2057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37"/>
        <v>0</v>
      </c>
      <c r="G148" s="70">
        <f t="shared" si="38"/>
        <v>0</v>
      </c>
      <c r="H148" s="73">
        <f t="shared" si="35"/>
        <v>0</v>
      </c>
      <c r="I148" s="127">
        <f t="shared" si="36"/>
        <v>0</v>
      </c>
      <c r="J148" s="69">
        <f t="shared" si="39"/>
        <v>0</v>
      </c>
      <c r="K148" s="69"/>
      <c r="L148" s="150"/>
      <c r="M148" s="69">
        <f t="shared" si="40"/>
        <v>0</v>
      </c>
      <c r="N148" s="150"/>
      <c r="O148" s="69">
        <f t="shared" si="41"/>
        <v>0</v>
      </c>
      <c r="P148" s="69">
        <f t="shared" si="42"/>
        <v>0</v>
      </c>
      <c r="Q148" s="1"/>
    </row>
    <row r="149" spans="2:17" ht="12.5">
      <c r="B149" s="9" t="str">
        <f t="shared" si="26"/>
        <v/>
      </c>
      <c r="C149" s="64">
        <f>IF(D93="","-",+C148+1)</f>
        <v>2058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37"/>
        <v>0</v>
      </c>
      <c r="G149" s="70">
        <f t="shared" si="38"/>
        <v>0</v>
      </c>
      <c r="H149" s="73">
        <f t="shared" si="35"/>
        <v>0</v>
      </c>
      <c r="I149" s="127">
        <f t="shared" si="36"/>
        <v>0</v>
      </c>
      <c r="J149" s="69">
        <f t="shared" si="39"/>
        <v>0</v>
      </c>
      <c r="K149" s="69"/>
      <c r="L149" s="150"/>
      <c r="M149" s="69">
        <f t="shared" si="40"/>
        <v>0</v>
      </c>
      <c r="N149" s="150"/>
      <c r="O149" s="69">
        <f t="shared" si="41"/>
        <v>0</v>
      </c>
      <c r="P149" s="69">
        <f t="shared" si="42"/>
        <v>0</v>
      </c>
      <c r="Q149" s="1"/>
    </row>
    <row r="150" spans="2:17" ht="12.5">
      <c r="B150" s="9" t="str">
        <f t="shared" si="26"/>
        <v/>
      </c>
      <c r="C150" s="64">
        <f>IF(D93="","-",+C149+1)</f>
        <v>2059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37"/>
        <v>0</v>
      </c>
      <c r="G150" s="70">
        <f t="shared" si="38"/>
        <v>0</v>
      </c>
      <c r="H150" s="73">
        <f t="shared" si="35"/>
        <v>0</v>
      </c>
      <c r="I150" s="127">
        <f t="shared" si="36"/>
        <v>0</v>
      </c>
      <c r="J150" s="69">
        <f t="shared" si="39"/>
        <v>0</v>
      </c>
      <c r="K150" s="69"/>
      <c r="L150" s="150"/>
      <c r="M150" s="69">
        <f t="shared" si="40"/>
        <v>0</v>
      </c>
      <c r="N150" s="150"/>
      <c r="O150" s="69">
        <f t="shared" si="41"/>
        <v>0</v>
      </c>
      <c r="P150" s="69">
        <f t="shared" si="42"/>
        <v>0</v>
      </c>
      <c r="Q150" s="1"/>
    </row>
    <row r="151" spans="2:17" ht="12.5">
      <c r="B151" s="9" t="str">
        <f t="shared" si="26"/>
        <v/>
      </c>
      <c r="C151" s="64">
        <f>IF(D93="","-",+C150+1)</f>
        <v>2060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37"/>
        <v>0</v>
      </c>
      <c r="G151" s="70">
        <f t="shared" si="38"/>
        <v>0</v>
      </c>
      <c r="H151" s="73">
        <f t="shared" si="35"/>
        <v>0</v>
      </c>
      <c r="I151" s="127">
        <f t="shared" si="36"/>
        <v>0</v>
      </c>
      <c r="J151" s="69">
        <f t="shared" si="39"/>
        <v>0</v>
      </c>
      <c r="K151" s="69"/>
      <c r="L151" s="150"/>
      <c r="M151" s="69">
        <f t="shared" si="40"/>
        <v>0</v>
      </c>
      <c r="N151" s="150"/>
      <c r="O151" s="69">
        <f t="shared" si="41"/>
        <v>0</v>
      </c>
      <c r="P151" s="69">
        <f t="shared" si="42"/>
        <v>0</v>
      </c>
      <c r="Q151" s="1"/>
    </row>
    <row r="152" spans="2:17" ht="12.5">
      <c r="B152" s="9" t="str">
        <f t="shared" si="26"/>
        <v/>
      </c>
      <c r="C152" s="64">
        <f>IF(D93="","-",+C151+1)</f>
        <v>2061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37"/>
        <v>0</v>
      </c>
      <c r="G152" s="70">
        <f t="shared" si="38"/>
        <v>0</v>
      </c>
      <c r="H152" s="73">
        <f t="shared" si="35"/>
        <v>0</v>
      </c>
      <c r="I152" s="127">
        <f t="shared" si="36"/>
        <v>0</v>
      </c>
      <c r="J152" s="69">
        <f t="shared" si="39"/>
        <v>0</v>
      </c>
      <c r="K152" s="69"/>
      <c r="L152" s="150"/>
      <c r="M152" s="69">
        <f t="shared" si="40"/>
        <v>0</v>
      </c>
      <c r="N152" s="150"/>
      <c r="O152" s="69">
        <f t="shared" si="41"/>
        <v>0</v>
      </c>
      <c r="P152" s="69">
        <f t="shared" si="42"/>
        <v>0</v>
      </c>
      <c r="Q152" s="1"/>
    </row>
    <row r="153" spans="2:17" ht="12.5">
      <c r="B153" s="9" t="str">
        <f t="shared" si="26"/>
        <v/>
      </c>
      <c r="C153" s="64">
        <f>IF(D93="","-",+C152+1)</f>
        <v>2062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37"/>
        <v>0</v>
      </c>
      <c r="G153" s="70">
        <f t="shared" si="38"/>
        <v>0</v>
      </c>
      <c r="H153" s="73">
        <f t="shared" si="35"/>
        <v>0</v>
      </c>
      <c r="I153" s="127">
        <f t="shared" si="36"/>
        <v>0</v>
      </c>
      <c r="J153" s="69">
        <f t="shared" si="39"/>
        <v>0</v>
      </c>
      <c r="K153" s="69"/>
      <c r="L153" s="150"/>
      <c r="M153" s="69">
        <f t="shared" si="40"/>
        <v>0</v>
      </c>
      <c r="N153" s="150"/>
      <c r="O153" s="69">
        <f t="shared" si="41"/>
        <v>0</v>
      </c>
      <c r="P153" s="69">
        <f t="shared" si="42"/>
        <v>0</v>
      </c>
      <c r="Q153" s="1"/>
    </row>
    <row r="154" spans="2:17" ht="13" thickBot="1">
      <c r="B154" s="9" t="str">
        <f t="shared" si="26"/>
        <v/>
      </c>
      <c r="C154" s="74">
        <f>IF(D93="","-",+C153+1)</f>
        <v>2063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37"/>
        <v>0</v>
      </c>
      <c r="G154" s="75">
        <f t="shared" si="38"/>
        <v>0</v>
      </c>
      <c r="H154" s="77">
        <f t="shared" si="35"/>
        <v>0</v>
      </c>
      <c r="I154" s="128">
        <f t="shared" si="36"/>
        <v>0</v>
      </c>
      <c r="J154" s="79">
        <f t="shared" si="39"/>
        <v>0</v>
      </c>
      <c r="K154" s="69"/>
      <c r="L154" s="151"/>
      <c r="M154" s="79">
        <f t="shared" si="40"/>
        <v>0</v>
      </c>
      <c r="N154" s="151"/>
      <c r="O154" s="79">
        <f t="shared" si="41"/>
        <v>0</v>
      </c>
      <c r="P154" s="79">
        <f t="shared" si="42"/>
        <v>0</v>
      </c>
      <c r="Q154" s="1"/>
    </row>
    <row r="155" spans="2:17" ht="12.5">
      <c r="C155" s="65" t="s">
        <v>78</v>
      </c>
      <c r="D155" s="22"/>
      <c r="E155" s="22">
        <f>SUM(E99:E154)</f>
        <v>4480167.6199999982</v>
      </c>
      <c r="F155" s="22"/>
      <c r="G155" s="22"/>
      <c r="H155" s="22">
        <f>SUM(H99:H154)</f>
        <v>15636496.086570505</v>
      </c>
      <c r="I155" s="22">
        <f>SUM(I99:I154)</f>
        <v>15636496.086570505</v>
      </c>
      <c r="J155" s="22">
        <f>SUM(J99:J154)</f>
        <v>0</v>
      </c>
      <c r="K155" s="22"/>
      <c r="L155" s="22"/>
      <c r="M155" s="22"/>
      <c r="N155" s="22"/>
      <c r="O155" s="22"/>
      <c r="P155" s="1"/>
      <c r="Q155" s="1"/>
    </row>
    <row r="156" spans="2:17" ht="12.5"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  <c r="Q156" s="1"/>
    </row>
    <row r="157" spans="2:17" ht="12.5">
      <c r="C157" s="103" t="s">
        <v>92</v>
      </c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  <c r="Q157" s="1"/>
    </row>
    <row r="158" spans="2:17" ht="12.5"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  <c r="Q158" s="1"/>
    </row>
    <row r="159" spans="2:17" ht="13">
      <c r="C159" s="80" t="s">
        <v>97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  <c r="Q159" s="1"/>
    </row>
    <row r="160" spans="2:17" ht="13">
      <c r="C160" s="104" t="s">
        <v>79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  <c r="Q160" s="1"/>
    </row>
    <row r="161" spans="3:17" ht="13">
      <c r="C161" s="104" t="s">
        <v>80</v>
      </c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  <c r="Q161" s="1"/>
    </row>
    <row r="162" spans="3:17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12" t="s">
        <v>131</v>
      </c>
      <c r="Q162" s="1"/>
    </row>
  </sheetData>
  <phoneticPr fontId="0" type="noConversion"/>
  <conditionalFormatting sqref="C17:C72">
    <cfRule type="cellIs" dxfId="123" priority="1" stopIfTrue="1" operator="equal">
      <formula>$I$10</formula>
    </cfRule>
  </conditionalFormatting>
  <conditionalFormatting sqref="C99:C154">
    <cfRule type="cellIs" dxfId="12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9">
    <tabColor indexed="8"/>
  </sheetPr>
  <dimension ref="A1:Q162"/>
  <sheetViews>
    <sheetView view="pageBreakPreview" zoomScale="75" zoomScaleNormal="100" zoomScaleSheetLayoutView="75" workbookViewId="0">
      <selection activeCell="D24" sqref="D24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20 of 74</v>
      </c>
      <c r="Q1" s="19"/>
    </row>
    <row r="2" spans="1:17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2" t="s">
        <v>129</v>
      </c>
    </row>
    <row r="3" spans="1:17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 t="str">
        <f>RIGHT(N3,3)</f>
        <v/>
      </c>
      <c r="P3" s="114">
        <v>1</v>
      </c>
    </row>
    <row r="4" spans="1:17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7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0</v>
      </c>
      <c r="P5" s="1"/>
    </row>
    <row r="6" spans="1:17" ht="15.5">
      <c r="C6" s="8"/>
      <c r="D6" s="154" t="s">
        <v>276</v>
      </c>
      <c r="E6" s="103"/>
      <c r="F6" s="103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0</v>
      </c>
      <c r="O6" s="1"/>
      <c r="P6" s="1"/>
    </row>
    <row r="7" spans="1:17" ht="13.5" thickBot="1">
      <c r="C7" s="32" t="s">
        <v>48</v>
      </c>
      <c r="D7" s="148" t="s">
        <v>241</v>
      </c>
      <c r="E7" s="1"/>
      <c r="F7" s="1"/>
      <c r="G7" s="80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7" ht="13.5" thickBot="1">
      <c r="C8" s="36"/>
      <c r="D8" s="164" t="s">
        <v>275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7" ht="13.5" thickBot="1">
      <c r="A9" s="17"/>
      <c r="C9" s="38" t="s">
        <v>50</v>
      </c>
      <c r="D9" s="110" t="s">
        <v>142</v>
      </c>
      <c r="E9" s="39"/>
      <c r="F9" s="39"/>
      <c r="G9" s="39"/>
      <c r="H9" s="39"/>
      <c r="I9" s="40"/>
      <c r="J9" s="41"/>
      <c r="O9" s="42"/>
      <c r="P9" s="4"/>
    </row>
    <row r="10" spans="1:17" ht="13">
      <c r="C10" s="43" t="s">
        <v>51</v>
      </c>
      <c r="D10" s="44">
        <v>0</v>
      </c>
      <c r="E10" s="12" t="s">
        <v>52</v>
      </c>
      <c r="F10" s="42"/>
      <c r="G10" s="45"/>
      <c r="H10" s="45"/>
      <c r="I10" s="46">
        <f>+SWE.WS.F.BPU.ATRR.Projected!L19</f>
        <v>2020</v>
      </c>
      <c r="J10" s="41"/>
      <c r="K10" s="22" t="s">
        <v>53</v>
      </c>
      <c r="O10" s="4"/>
      <c r="P10" s="4"/>
    </row>
    <row r="11" spans="1:17" ht="12.5">
      <c r="C11" s="47" t="s">
        <v>54</v>
      </c>
      <c r="D11" s="48">
        <v>2008</v>
      </c>
      <c r="E11" s="47" t="s">
        <v>55</v>
      </c>
      <c r="F11" s="45"/>
      <c r="G11" s="7"/>
      <c r="H11" s="7"/>
      <c r="I11" s="49"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 ht="12.5">
      <c r="C12" s="47" t="s">
        <v>56</v>
      </c>
      <c r="D12" s="44">
        <v>11</v>
      </c>
      <c r="E12" s="47" t="s">
        <v>57</v>
      </c>
      <c r="F12" s="45"/>
      <c r="G12" s="7"/>
      <c r="H12" s="7"/>
      <c r="I12" s="51">
        <f>SWE.WS.F.BPU.ATRR.Projected!$F$81</f>
        <v>0.10681797376050146</v>
      </c>
      <c r="J12" s="52"/>
      <c r="K12" t="s">
        <v>58</v>
      </c>
      <c r="O12" s="4"/>
      <c r="P12" s="4"/>
    </row>
    <row r="13" spans="1:17" ht="12.5">
      <c r="C13" s="47" t="s">
        <v>59</v>
      </c>
      <c r="D13" s="49">
        <f>+SWE.WS.F.BPU.ATRR.Projected!F$93</f>
        <v>42</v>
      </c>
      <c r="E13" s="47" t="s">
        <v>60</v>
      </c>
      <c r="F13" s="45"/>
      <c r="G13" s="7"/>
      <c r="H13" s="7"/>
      <c r="I13" s="51">
        <f>IF(G5="",I12,SWE.WS.F.BPU.ATRR.Projected!$F$80)</f>
        <v>0.10681797376050146</v>
      </c>
      <c r="J13" s="52"/>
      <c r="K13" s="22" t="s">
        <v>61</v>
      </c>
      <c r="L13" s="11"/>
      <c r="M13" s="11"/>
      <c r="N13" s="11"/>
      <c r="O13" s="4"/>
      <c r="P13" s="4"/>
    </row>
    <row r="14" spans="1:17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0</v>
      </c>
      <c r="J14" s="22"/>
      <c r="K14" s="22"/>
      <c r="L14" s="22"/>
      <c r="M14" s="22"/>
      <c r="N14" s="22"/>
      <c r="O14" s="4"/>
      <c r="P14" s="4"/>
    </row>
    <row r="15" spans="1:17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392</v>
      </c>
      <c r="H15" s="181" t="s">
        <v>393</v>
      </c>
      <c r="I15" s="152" t="s">
        <v>260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7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79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2008</v>
      </c>
      <c r="D17" s="162">
        <v>1165466</v>
      </c>
      <c r="E17" s="162">
        <v>2625</v>
      </c>
      <c r="F17" s="162">
        <v>1162841</v>
      </c>
      <c r="G17" s="162">
        <v>32328</v>
      </c>
      <c r="H17" s="162">
        <v>32328</v>
      </c>
      <c r="I17" s="67">
        <f t="shared" ref="I17:I48" si="0">H17-G17</f>
        <v>0</v>
      </c>
      <c r="J17" s="67"/>
      <c r="K17" s="131">
        <v>0</v>
      </c>
      <c r="L17" s="68">
        <f t="shared" ref="L17:L48" si="1">IF(K17&lt;&gt;0,+G17-K17,0)</f>
        <v>0</v>
      </c>
      <c r="M17" s="131">
        <v>0</v>
      </c>
      <c r="N17" s="68">
        <f t="shared" ref="N17:N48" si="2">IF(M17&lt;&gt;0,+H17-M17,0)</f>
        <v>0</v>
      </c>
      <c r="O17" s="69">
        <f t="shared" ref="O17:O48" si="3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2009</v>
      </c>
      <c r="D18" s="159">
        <v>1162841</v>
      </c>
      <c r="E18" s="159">
        <v>31499</v>
      </c>
      <c r="F18" s="159">
        <v>1131342</v>
      </c>
      <c r="G18" s="159">
        <v>204891</v>
      </c>
      <c r="H18" s="159">
        <v>204891</v>
      </c>
      <c r="I18" s="67">
        <f t="shared" si="0"/>
        <v>0</v>
      </c>
      <c r="J18" s="67"/>
      <c r="K18" s="133">
        <v>204891</v>
      </c>
      <c r="L18" s="69">
        <f t="shared" si="1"/>
        <v>0</v>
      </c>
      <c r="M18" s="133">
        <v>204891</v>
      </c>
      <c r="N18" s="69">
        <f t="shared" si="2"/>
        <v>0</v>
      </c>
      <c r="O18" s="69">
        <f t="shared" si="3"/>
        <v>0</v>
      </c>
      <c r="P18" s="4"/>
    </row>
    <row r="19" spans="2:16" ht="12.5">
      <c r="B19" s="9" t="str">
        <f>IF(D19=F18,"","IU")</f>
        <v/>
      </c>
      <c r="C19" s="64">
        <f>IF(D11="","-",+C18+1)</f>
        <v>2010</v>
      </c>
      <c r="D19" s="159">
        <v>1131342</v>
      </c>
      <c r="E19" s="158">
        <v>30670.157894736843</v>
      </c>
      <c r="F19" s="159">
        <v>1100671.8421052631</v>
      </c>
      <c r="G19" s="158">
        <v>188908.24442689336</v>
      </c>
      <c r="H19" s="157">
        <v>188908.24442689336</v>
      </c>
      <c r="I19" s="163">
        <v>0</v>
      </c>
      <c r="J19" s="67"/>
      <c r="K19" s="133">
        <f>G19</f>
        <v>188908.24442689336</v>
      </c>
      <c r="L19" s="132">
        <f t="shared" si="1"/>
        <v>0</v>
      </c>
      <c r="M19" s="133">
        <f>H19</f>
        <v>188908.24442689336</v>
      </c>
      <c r="N19" s="69">
        <f t="shared" si="2"/>
        <v>0</v>
      </c>
      <c r="O19" s="69">
        <f t="shared" si="3"/>
        <v>0</v>
      </c>
      <c r="P19" s="4"/>
    </row>
    <row r="20" spans="2:16" ht="12.5">
      <c r="B20" s="9" t="str">
        <f t="shared" ref="B20:B72" si="4">IF(D20=F19,"","IU")</f>
        <v>IU</v>
      </c>
      <c r="C20" s="64">
        <f>IF(D11="","-",+C19+1)</f>
        <v>2011</v>
      </c>
      <c r="D20" s="159">
        <v>0</v>
      </c>
      <c r="E20" s="158">
        <v>0</v>
      </c>
      <c r="F20" s="159">
        <v>0</v>
      </c>
      <c r="G20" s="158">
        <v>0</v>
      </c>
      <c r="H20" s="157">
        <v>0</v>
      </c>
      <c r="I20" s="163">
        <v>0</v>
      </c>
      <c r="J20" s="67"/>
      <c r="K20" s="133">
        <f>G20</f>
        <v>0</v>
      </c>
      <c r="L20" s="132">
        <f t="shared" si="1"/>
        <v>0</v>
      </c>
      <c r="M20" s="133">
        <f>H20</f>
        <v>0</v>
      </c>
      <c r="N20" s="69">
        <f t="shared" si="2"/>
        <v>0</v>
      </c>
      <c r="O20" s="69">
        <f t="shared" si="3"/>
        <v>0</v>
      </c>
      <c r="P20" s="4"/>
    </row>
    <row r="21" spans="2:16" ht="12.5">
      <c r="B21" s="9" t="str">
        <f t="shared" si="4"/>
        <v/>
      </c>
      <c r="C21" s="64">
        <f>IF(D12="","-",+C20+1)</f>
        <v>2012</v>
      </c>
      <c r="D21" s="169">
        <v>0</v>
      </c>
      <c r="E21" s="168">
        <f>IF(+I14&lt;F20,I14,D21)</f>
        <v>0</v>
      </c>
      <c r="F21" s="169">
        <f t="shared" ref="F21:F48" si="5">+D21-E21</f>
        <v>0</v>
      </c>
      <c r="G21" s="170">
        <f>+I12*F21+E21</f>
        <v>0</v>
      </c>
      <c r="H21" s="171">
        <f>+I13*F21+E21</f>
        <v>0</v>
      </c>
      <c r="I21" s="67">
        <f t="shared" si="0"/>
        <v>0</v>
      </c>
      <c r="J21" s="67"/>
      <c r="K21" s="133"/>
      <c r="L21" s="132">
        <f t="shared" si="1"/>
        <v>0</v>
      </c>
      <c r="M21" s="133"/>
      <c r="N21" s="69">
        <f t="shared" si="2"/>
        <v>0</v>
      </c>
      <c r="O21" s="69">
        <f t="shared" si="3"/>
        <v>0</v>
      </c>
      <c r="P21" s="4"/>
    </row>
    <row r="22" spans="2:16" ht="12.5">
      <c r="B22" s="9" t="str">
        <f t="shared" si="4"/>
        <v/>
      </c>
      <c r="C22" s="64">
        <f>IF(D11="","-",+C21+1)</f>
        <v>2013</v>
      </c>
      <c r="D22" s="70">
        <v>0</v>
      </c>
      <c r="E22" s="71">
        <f>IF(+I14&lt;F21,I14,D22)</f>
        <v>0</v>
      </c>
      <c r="F22" s="70">
        <f t="shared" si="5"/>
        <v>0</v>
      </c>
      <c r="G22" s="72">
        <f t="shared" ref="G22:G53" si="6">+I$12*((D22+F22)/2)+E22</f>
        <v>0</v>
      </c>
      <c r="H22" s="53">
        <f t="shared" ref="H22:H53" si="7">+I$13*((D22+F22)/2)+E22</f>
        <v>0</v>
      </c>
      <c r="I22" s="67">
        <f t="shared" si="0"/>
        <v>0</v>
      </c>
      <c r="J22" s="67"/>
      <c r="K22" s="150"/>
      <c r="L22" s="69">
        <f t="shared" si="1"/>
        <v>0</v>
      </c>
      <c r="M22" s="150"/>
      <c r="N22" s="69">
        <f t="shared" si="2"/>
        <v>0</v>
      </c>
      <c r="O22" s="69">
        <f t="shared" si="3"/>
        <v>0</v>
      </c>
      <c r="P22" s="4"/>
    </row>
    <row r="23" spans="2:16" ht="12.5">
      <c r="B23" s="9" t="str">
        <f t="shared" si="4"/>
        <v/>
      </c>
      <c r="C23" s="64">
        <f>IF(D11="","-",+C22+1)</f>
        <v>2014</v>
      </c>
      <c r="D23" s="70">
        <v>0</v>
      </c>
      <c r="E23" s="71">
        <f>IF(+I14&lt;F22,I14,D23)</f>
        <v>0</v>
      </c>
      <c r="F23" s="70">
        <f t="shared" si="5"/>
        <v>0</v>
      </c>
      <c r="G23" s="72">
        <f t="shared" si="6"/>
        <v>0</v>
      </c>
      <c r="H23" s="53">
        <f t="shared" si="7"/>
        <v>0</v>
      </c>
      <c r="I23" s="67">
        <f t="shared" si="0"/>
        <v>0</v>
      </c>
      <c r="J23" s="67"/>
      <c r="K23" s="150"/>
      <c r="L23" s="69">
        <f t="shared" si="1"/>
        <v>0</v>
      </c>
      <c r="M23" s="150"/>
      <c r="N23" s="69">
        <f t="shared" si="2"/>
        <v>0</v>
      </c>
      <c r="O23" s="69">
        <f t="shared" si="3"/>
        <v>0</v>
      </c>
      <c r="P23" s="4"/>
    </row>
    <row r="24" spans="2:16" ht="12.5">
      <c r="B24" s="9" t="str">
        <f t="shared" si="4"/>
        <v/>
      </c>
      <c r="C24" s="64">
        <f>IF(D11="","-",+C23+1)</f>
        <v>2015</v>
      </c>
      <c r="D24" s="70">
        <v>0</v>
      </c>
      <c r="E24" s="71">
        <f>IF(+I14&lt;F23,I14,D24)</f>
        <v>0</v>
      </c>
      <c r="F24" s="70">
        <f t="shared" si="5"/>
        <v>0</v>
      </c>
      <c r="G24" s="72">
        <f t="shared" si="6"/>
        <v>0</v>
      </c>
      <c r="H24" s="53">
        <f t="shared" si="7"/>
        <v>0</v>
      </c>
      <c r="I24" s="67">
        <f t="shared" si="0"/>
        <v>0</v>
      </c>
      <c r="J24" s="67"/>
      <c r="K24" s="150"/>
      <c r="L24" s="69">
        <f t="shared" si="1"/>
        <v>0</v>
      </c>
      <c r="M24" s="150"/>
      <c r="N24" s="69">
        <f t="shared" si="2"/>
        <v>0</v>
      </c>
      <c r="O24" s="69">
        <f t="shared" si="3"/>
        <v>0</v>
      </c>
      <c r="P24" s="4"/>
    </row>
    <row r="25" spans="2:16" ht="12.5">
      <c r="B25" s="9" t="str">
        <f t="shared" si="4"/>
        <v/>
      </c>
      <c r="C25" s="64">
        <f>IF(D11="","-",+C24+1)</f>
        <v>2016</v>
      </c>
      <c r="D25" s="70">
        <v>0</v>
      </c>
      <c r="E25" s="71">
        <f>IF(+I14&lt;F24,I14,D25)</f>
        <v>0</v>
      </c>
      <c r="F25" s="70">
        <f t="shared" si="5"/>
        <v>0</v>
      </c>
      <c r="G25" s="72">
        <f t="shared" si="6"/>
        <v>0</v>
      </c>
      <c r="H25" s="53">
        <f t="shared" si="7"/>
        <v>0</v>
      </c>
      <c r="I25" s="67">
        <f t="shared" si="0"/>
        <v>0</v>
      </c>
      <c r="J25" s="67"/>
      <c r="K25" s="150"/>
      <c r="L25" s="69">
        <f t="shared" si="1"/>
        <v>0</v>
      </c>
      <c r="M25" s="150"/>
      <c r="N25" s="69">
        <f t="shared" si="2"/>
        <v>0</v>
      </c>
      <c r="O25" s="69">
        <f t="shared" si="3"/>
        <v>0</v>
      </c>
      <c r="P25" s="4"/>
    </row>
    <row r="26" spans="2:16" ht="12.5">
      <c r="B26" s="9" t="str">
        <f t="shared" si="4"/>
        <v/>
      </c>
      <c r="C26" s="64">
        <f>IF(D11="","-",+C25+1)</f>
        <v>2017</v>
      </c>
      <c r="D26" s="70">
        <v>0</v>
      </c>
      <c r="E26" s="71">
        <f>IF(+I14&lt;F25,I14,D26)</f>
        <v>0</v>
      </c>
      <c r="F26" s="70">
        <f t="shared" si="5"/>
        <v>0</v>
      </c>
      <c r="G26" s="72">
        <f t="shared" si="6"/>
        <v>0</v>
      </c>
      <c r="H26" s="53">
        <f t="shared" si="7"/>
        <v>0</v>
      </c>
      <c r="I26" s="67">
        <f t="shared" si="0"/>
        <v>0</v>
      </c>
      <c r="J26" s="67"/>
      <c r="K26" s="150"/>
      <c r="L26" s="69">
        <f t="shared" si="1"/>
        <v>0</v>
      </c>
      <c r="M26" s="150"/>
      <c r="N26" s="69">
        <f t="shared" si="2"/>
        <v>0</v>
      </c>
      <c r="O26" s="69">
        <f t="shared" si="3"/>
        <v>0</v>
      </c>
      <c r="P26" s="4"/>
    </row>
    <row r="27" spans="2:16" ht="12.5">
      <c r="B27" s="9" t="str">
        <f t="shared" si="4"/>
        <v/>
      </c>
      <c r="C27" s="64">
        <f>IF(D11="","-",+C26+1)</f>
        <v>2018</v>
      </c>
      <c r="D27" s="70">
        <v>0</v>
      </c>
      <c r="E27" s="71">
        <f>IF(+I14&lt;F26,I14,D27)</f>
        <v>0</v>
      </c>
      <c r="F27" s="70">
        <f t="shared" si="5"/>
        <v>0</v>
      </c>
      <c r="G27" s="72">
        <f t="shared" si="6"/>
        <v>0</v>
      </c>
      <c r="H27" s="53">
        <f t="shared" si="7"/>
        <v>0</v>
      </c>
      <c r="I27" s="67">
        <f t="shared" si="0"/>
        <v>0</v>
      </c>
      <c r="J27" s="67"/>
      <c r="K27" s="150"/>
      <c r="L27" s="69">
        <f t="shared" si="1"/>
        <v>0</v>
      </c>
      <c r="M27" s="150"/>
      <c r="N27" s="69">
        <f t="shared" si="2"/>
        <v>0</v>
      </c>
      <c r="O27" s="69">
        <f t="shared" si="3"/>
        <v>0</v>
      </c>
      <c r="P27" s="4"/>
    </row>
    <row r="28" spans="2:16" ht="12.5">
      <c r="B28" s="9" t="str">
        <f t="shared" si="4"/>
        <v/>
      </c>
      <c r="C28" s="64">
        <f>IF(D11="","-",+C27+1)</f>
        <v>2019</v>
      </c>
      <c r="D28" s="70">
        <v>0</v>
      </c>
      <c r="E28" s="71">
        <f>IF(+I14&lt;F27,I14,D28)</f>
        <v>0</v>
      </c>
      <c r="F28" s="70">
        <f t="shared" si="5"/>
        <v>0</v>
      </c>
      <c r="G28" s="72">
        <f t="shared" si="6"/>
        <v>0</v>
      </c>
      <c r="H28" s="53">
        <f t="shared" si="7"/>
        <v>0</v>
      </c>
      <c r="I28" s="67">
        <f t="shared" si="0"/>
        <v>0</v>
      </c>
      <c r="J28" s="67"/>
      <c r="K28" s="150"/>
      <c r="L28" s="69">
        <f t="shared" si="1"/>
        <v>0</v>
      </c>
      <c r="M28" s="150"/>
      <c r="N28" s="69">
        <f t="shared" si="2"/>
        <v>0</v>
      </c>
      <c r="O28" s="69">
        <f t="shared" si="3"/>
        <v>0</v>
      </c>
      <c r="P28" s="4"/>
    </row>
    <row r="29" spans="2:16" ht="12.5">
      <c r="B29" s="9" t="str">
        <f t="shared" si="4"/>
        <v/>
      </c>
      <c r="C29" s="64">
        <f>IF(D11="","-",+C28+1)</f>
        <v>2020</v>
      </c>
      <c r="D29" s="70">
        <v>0</v>
      </c>
      <c r="E29" s="71">
        <f>IF(+I14&lt;F28,I14,D29)</f>
        <v>0</v>
      </c>
      <c r="F29" s="70">
        <f t="shared" si="5"/>
        <v>0</v>
      </c>
      <c r="G29" s="72">
        <f t="shared" si="6"/>
        <v>0</v>
      </c>
      <c r="H29" s="53">
        <f t="shared" si="7"/>
        <v>0</v>
      </c>
      <c r="I29" s="67">
        <f t="shared" si="0"/>
        <v>0</v>
      </c>
      <c r="J29" s="67"/>
      <c r="K29" s="150"/>
      <c r="L29" s="69">
        <f t="shared" si="1"/>
        <v>0</v>
      </c>
      <c r="M29" s="150"/>
      <c r="N29" s="69">
        <f t="shared" si="2"/>
        <v>0</v>
      </c>
      <c r="O29" s="69">
        <f t="shared" si="3"/>
        <v>0</v>
      </c>
      <c r="P29" s="4"/>
    </row>
    <row r="30" spans="2:16" ht="12.5">
      <c r="B30" s="9" t="str">
        <f t="shared" si="4"/>
        <v/>
      </c>
      <c r="C30" s="64">
        <f>IF(D11="","-",+C29+1)</f>
        <v>2021</v>
      </c>
      <c r="D30" s="70">
        <v>0</v>
      </c>
      <c r="E30" s="71">
        <f>IF(+I14&lt;F29,I14,D30)</f>
        <v>0</v>
      </c>
      <c r="F30" s="70">
        <f t="shared" si="5"/>
        <v>0</v>
      </c>
      <c r="G30" s="72">
        <f t="shared" si="6"/>
        <v>0</v>
      </c>
      <c r="H30" s="53">
        <f t="shared" si="7"/>
        <v>0</v>
      </c>
      <c r="I30" s="67">
        <f t="shared" si="0"/>
        <v>0</v>
      </c>
      <c r="J30" s="67"/>
      <c r="K30" s="150"/>
      <c r="L30" s="69">
        <f t="shared" si="1"/>
        <v>0</v>
      </c>
      <c r="M30" s="150"/>
      <c r="N30" s="69">
        <f t="shared" si="2"/>
        <v>0</v>
      </c>
      <c r="O30" s="69">
        <f t="shared" si="3"/>
        <v>0</v>
      </c>
      <c r="P30" s="4"/>
    </row>
    <row r="31" spans="2:16" ht="12.5">
      <c r="B31" s="9" t="str">
        <f t="shared" si="4"/>
        <v/>
      </c>
      <c r="C31" s="64">
        <f>IF(D11="","-",+C30+1)</f>
        <v>2022</v>
      </c>
      <c r="D31" s="70">
        <v>0</v>
      </c>
      <c r="E31" s="71">
        <f>IF(+I14&lt;F30,I14,D31)</f>
        <v>0</v>
      </c>
      <c r="F31" s="70">
        <f t="shared" si="5"/>
        <v>0</v>
      </c>
      <c r="G31" s="72">
        <f t="shared" si="6"/>
        <v>0</v>
      </c>
      <c r="H31" s="53">
        <f t="shared" si="7"/>
        <v>0</v>
      </c>
      <c r="I31" s="67">
        <f t="shared" si="0"/>
        <v>0</v>
      </c>
      <c r="J31" s="67"/>
      <c r="K31" s="150"/>
      <c r="L31" s="69">
        <f t="shared" si="1"/>
        <v>0</v>
      </c>
      <c r="M31" s="150"/>
      <c r="N31" s="69">
        <f t="shared" si="2"/>
        <v>0</v>
      </c>
      <c r="O31" s="69">
        <f t="shared" si="3"/>
        <v>0</v>
      </c>
      <c r="P31" s="4"/>
    </row>
    <row r="32" spans="2:16" ht="12.5">
      <c r="B32" s="9" t="str">
        <f t="shared" si="4"/>
        <v/>
      </c>
      <c r="C32" s="64">
        <f>IF(D11="","-",+C31+1)</f>
        <v>2023</v>
      </c>
      <c r="D32" s="70">
        <v>0</v>
      </c>
      <c r="E32" s="71">
        <f>IF(+I14&lt;F31,I14,D32)</f>
        <v>0</v>
      </c>
      <c r="F32" s="70">
        <f t="shared" si="5"/>
        <v>0</v>
      </c>
      <c r="G32" s="72">
        <f t="shared" si="6"/>
        <v>0</v>
      </c>
      <c r="H32" s="53">
        <f t="shared" si="7"/>
        <v>0</v>
      </c>
      <c r="I32" s="67">
        <f t="shared" si="0"/>
        <v>0</v>
      </c>
      <c r="J32" s="67"/>
      <c r="K32" s="150"/>
      <c r="L32" s="69">
        <f t="shared" si="1"/>
        <v>0</v>
      </c>
      <c r="M32" s="150"/>
      <c r="N32" s="69">
        <f t="shared" si="2"/>
        <v>0</v>
      </c>
      <c r="O32" s="69">
        <f t="shared" si="3"/>
        <v>0</v>
      </c>
      <c r="P32" s="4"/>
    </row>
    <row r="33" spans="2:16" ht="12.5">
      <c r="B33" s="9" t="str">
        <f t="shared" si="4"/>
        <v/>
      </c>
      <c r="C33" s="64">
        <f>IF(D11="","-",+C32+1)</f>
        <v>2024</v>
      </c>
      <c r="D33" s="70">
        <v>0</v>
      </c>
      <c r="E33" s="71">
        <f>IF(+I14&lt;F32,I14,D33)</f>
        <v>0</v>
      </c>
      <c r="F33" s="70">
        <f t="shared" si="5"/>
        <v>0</v>
      </c>
      <c r="G33" s="72">
        <f t="shared" si="6"/>
        <v>0</v>
      </c>
      <c r="H33" s="53">
        <f t="shared" si="7"/>
        <v>0</v>
      </c>
      <c r="I33" s="67">
        <f t="shared" si="0"/>
        <v>0</v>
      </c>
      <c r="J33" s="67"/>
      <c r="K33" s="150"/>
      <c r="L33" s="69">
        <f t="shared" si="1"/>
        <v>0</v>
      </c>
      <c r="M33" s="150"/>
      <c r="N33" s="69">
        <f t="shared" si="2"/>
        <v>0</v>
      </c>
      <c r="O33" s="69">
        <f t="shared" si="3"/>
        <v>0</v>
      </c>
      <c r="P33" s="4"/>
    </row>
    <row r="34" spans="2:16" ht="12.5">
      <c r="B34" s="9" t="str">
        <f t="shared" si="4"/>
        <v/>
      </c>
      <c r="C34" s="64">
        <f>IF(D11="","-",+C33+1)</f>
        <v>2025</v>
      </c>
      <c r="D34" s="70">
        <v>0</v>
      </c>
      <c r="E34" s="71">
        <f>IF(+I14&lt;F33,I14,D34)</f>
        <v>0</v>
      </c>
      <c r="F34" s="70">
        <f t="shared" si="5"/>
        <v>0</v>
      </c>
      <c r="G34" s="72">
        <f t="shared" si="6"/>
        <v>0</v>
      </c>
      <c r="H34" s="53">
        <f t="shared" si="7"/>
        <v>0</v>
      </c>
      <c r="I34" s="67">
        <f t="shared" si="0"/>
        <v>0</v>
      </c>
      <c r="J34" s="67"/>
      <c r="K34" s="150"/>
      <c r="L34" s="69">
        <f t="shared" si="1"/>
        <v>0</v>
      </c>
      <c r="M34" s="150"/>
      <c r="N34" s="69">
        <f t="shared" si="2"/>
        <v>0</v>
      </c>
      <c r="O34" s="69">
        <f t="shared" si="3"/>
        <v>0</v>
      </c>
      <c r="P34" s="4"/>
    </row>
    <row r="35" spans="2:16" ht="12.5">
      <c r="B35" s="9" t="str">
        <f t="shared" si="4"/>
        <v/>
      </c>
      <c r="C35" s="64">
        <f>IF(D11="","-",+C34+1)</f>
        <v>2026</v>
      </c>
      <c r="D35" s="70">
        <v>0</v>
      </c>
      <c r="E35" s="71">
        <f>IF(+I14&lt;F34,I14,D35)</f>
        <v>0</v>
      </c>
      <c r="F35" s="70">
        <f t="shared" si="5"/>
        <v>0</v>
      </c>
      <c r="G35" s="72">
        <f t="shared" si="6"/>
        <v>0</v>
      </c>
      <c r="H35" s="53">
        <f t="shared" si="7"/>
        <v>0</v>
      </c>
      <c r="I35" s="67">
        <f t="shared" si="0"/>
        <v>0</v>
      </c>
      <c r="J35" s="67"/>
      <c r="K35" s="150"/>
      <c r="L35" s="69">
        <f t="shared" si="1"/>
        <v>0</v>
      </c>
      <c r="M35" s="150"/>
      <c r="N35" s="69">
        <f t="shared" si="2"/>
        <v>0</v>
      </c>
      <c r="O35" s="69">
        <f t="shared" si="3"/>
        <v>0</v>
      </c>
      <c r="P35" s="4"/>
    </row>
    <row r="36" spans="2:16" ht="12.5">
      <c r="B36" s="9" t="str">
        <f t="shared" si="4"/>
        <v/>
      </c>
      <c r="C36" s="64">
        <f>IF(D11="","-",+C35+1)</f>
        <v>2027</v>
      </c>
      <c r="D36" s="70">
        <v>0</v>
      </c>
      <c r="E36" s="71">
        <f>IF(+I14&lt;F35,I14,D36)</f>
        <v>0</v>
      </c>
      <c r="F36" s="70">
        <f t="shared" si="5"/>
        <v>0</v>
      </c>
      <c r="G36" s="72">
        <f t="shared" si="6"/>
        <v>0</v>
      </c>
      <c r="H36" s="53">
        <f t="shared" si="7"/>
        <v>0</v>
      </c>
      <c r="I36" s="67">
        <f t="shared" si="0"/>
        <v>0</v>
      </c>
      <c r="J36" s="67"/>
      <c r="K36" s="150"/>
      <c r="L36" s="69">
        <f t="shared" si="1"/>
        <v>0</v>
      </c>
      <c r="M36" s="150"/>
      <c r="N36" s="69">
        <f t="shared" si="2"/>
        <v>0</v>
      </c>
      <c r="O36" s="69">
        <f t="shared" si="3"/>
        <v>0</v>
      </c>
      <c r="P36" s="4"/>
    </row>
    <row r="37" spans="2:16" ht="12.5">
      <c r="B37" s="9" t="str">
        <f t="shared" si="4"/>
        <v/>
      </c>
      <c r="C37" s="64">
        <f>IF(D11="","-",+C36+1)</f>
        <v>2028</v>
      </c>
      <c r="D37" s="70">
        <v>0</v>
      </c>
      <c r="E37" s="71">
        <f>IF(+I14&lt;F36,I14,D37)</f>
        <v>0</v>
      </c>
      <c r="F37" s="70">
        <f t="shared" si="5"/>
        <v>0</v>
      </c>
      <c r="G37" s="72">
        <f t="shared" si="6"/>
        <v>0</v>
      </c>
      <c r="H37" s="53">
        <f t="shared" si="7"/>
        <v>0</v>
      </c>
      <c r="I37" s="67">
        <f t="shared" si="0"/>
        <v>0</v>
      </c>
      <c r="J37" s="67"/>
      <c r="K37" s="150"/>
      <c r="L37" s="69">
        <f t="shared" si="1"/>
        <v>0</v>
      </c>
      <c r="M37" s="150"/>
      <c r="N37" s="69">
        <f t="shared" si="2"/>
        <v>0</v>
      </c>
      <c r="O37" s="69">
        <f t="shared" si="3"/>
        <v>0</v>
      </c>
      <c r="P37" s="4"/>
    </row>
    <row r="38" spans="2:16" ht="12.5">
      <c r="B38" s="9" t="str">
        <f t="shared" si="4"/>
        <v/>
      </c>
      <c r="C38" s="64">
        <f>IF(D11="","-",+C37+1)</f>
        <v>2029</v>
      </c>
      <c r="D38" s="70">
        <v>0</v>
      </c>
      <c r="E38" s="71">
        <f>IF(+I14&lt;F37,I14,D38)</f>
        <v>0</v>
      </c>
      <c r="F38" s="70">
        <f t="shared" si="5"/>
        <v>0</v>
      </c>
      <c r="G38" s="72">
        <f t="shared" si="6"/>
        <v>0</v>
      </c>
      <c r="H38" s="53">
        <f t="shared" si="7"/>
        <v>0</v>
      </c>
      <c r="I38" s="67">
        <f t="shared" si="0"/>
        <v>0</v>
      </c>
      <c r="J38" s="67"/>
      <c r="K38" s="150"/>
      <c r="L38" s="69">
        <f t="shared" si="1"/>
        <v>0</v>
      </c>
      <c r="M38" s="150"/>
      <c r="N38" s="69">
        <f t="shared" si="2"/>
        <v>0</v>
      </c>
      <c r="O38" s="69">
        <f t="shared" si="3"/>
        <v>0</v>
      </c>
      <c r="P38" s="4"/>
    </row>
    <row r="39" spans="2:16" ht="12.5">
      <c r="B39" s="9" t="str">
        <f t="shared" si="4"/>
        <v/>
      </c>
      <c r="C39" s="64">
        <f>IF(D11="","-",+C38+1)</f>
        <v>2030</v>
      </c>
      <c r="D39" s="70">
        <v>0</v>
      </c>
      <c r="E39" s="71">
        <f>IF(+I14&lt;F38,I14,D39)</f>
        <v>0</v>
      </c>
      <c r="F39" s="70">
        <f t="shared" si="5"/>
        <v>0</v>
      </c>
      <c r="G39" s="72">
        <f t="shared" si="6"/>
        <v>0</v>
      </c>
      <c r="H39" s="53">
        <f t="shared" si="7"/>
        <v>0</v>
      </c>
      <c r="I39" s="67">
        <f t="shared" si="0"/>
        <v>0</v>
      </c>
      <c r="J39" s="67"/>
      <c r="K39" s="150"/>
      <c r="L39" s="69">
        <f t="shared" si="1"/>
        <v>0</v>
      </c>
      <c r="M39" s="150"/>
      <c r="N39" s="69">
        <f t="shared" si="2"/>
        <v>0</v>
      </c>
      <c r="O39" s="69">
        <f t="shared" si="3"/>
        <v>0</v>
      </c>
      <c r="P39" s="4"/>
    </row>
    <row r="40" spans="2:16" ht="12.5">
      <c r="B40" s="9" t="str">
        <f t="shared" si="4"/>
        <v/>
      </c>
      <c r="C40" s="64">
        <f>IF(D11="","-",+C39+1)</f>
        <v>2031</v>
      </c>
      <c r="D40" s="70">
        <v>0</v>
      </c>
      <c r="E40" s="71">
        <f>IF(+I14&lt;F39,I14,D40)</f>
        <v>0</v>
      </c>
      <c r="F40" s="70">
        <f t="shared" si="5"/>
        <v>0</v>
      </c>
      <c r="G40" s="72">
        <f t="shared" si="6"/>
        <v>0</v>
      </c>
      <c r="H40" s="53">
        <f t="shared" si="7"/>
        <v>0</v>
      </c>
      <c r="I40" s="67">
        <f t="shared" si="0"/>
        <v>0</v>
      </c>
      <c r="J40" s="67"/>
      <c r="K40" s="150"/>
      <c r="L40" s="69">
        <f t="shared" si="1"/>
        <v>0</v>
      </c>
      <c r="M40" s="150"/>
      <c r="N40" s="69">
        <f t="shared" si="2"/>
        <v>0</v>
      </c>
      <c r="O40" s="69">
        <f t="shared" si="3"/>
        <v>0</v>
      </c>
      <c r="P40" s="4"/>
    </row>
    <row r="41" spans="2:16" ht="12.5">
      <c r="B41" s="9" t="str">
        <f t="shared" si="4"/>
        <v/>
      </c>
      <c r="C41" s="64">
        <f>IF(D11="","-",+C40+1)</f>
        <v>2032</v>
      </c>
      <c r="D41" s="70">
        <v>0</v>
      </c>
      <c r="E41" s="71">
        <f>IF(+I14&lt;F40,I14,D41)</f>
        <v>0</v>
      </c>
      <c r="F41" s="70">
        <f t="shared" si="5"/>
        <v>0</v>
      </c>
      <c r="G41" s="72">
        <f t="shared" si="6"/>
        <v>0</v>
      </c>
      <c r="H41" s="53">
        <f t="shared" si="7"/>
        <v>0</v>
      </c>
      <c r="I41" s="67">
        <f t="shared" si="0"/>
        <v>0</v>
      </c>
      <c r="J41" s="67"/>
      <c r="K41" s="150"/>
      <c r="L41" s="69">
        <f t="shared" si="1"/>
        <v>0</v>
      </c>
      <c r="M41" s="150"/>
      <c r="N41" s="69">
        <f t="shared" si="2"/>
        <v>0</v>
      </c>
      <c r="O41" s="69">
        <f t="shared" si="3"/>
        <v>0</v>
      </c>
      <c r="P41" s="4"/>
    </row>
    <row r="42" spans="2:16" ht="12.5">
      <c r="B42" s="9" t="str">
        <f t="shared" si="4"/>
        <v/>
      </c>
      <c r="C42" s="64">
        <f>IF(D11="","-",+C41+1)</f>
        <v>2033</v>
      </c>
      <c r="D42" s="70">
        <v>0</v>
      </c>
      <c r="E42" s="71">
        <f>IF(+I14&lt;F41,I14,D42)</f>
        <v>0</v>
      </c>
      <c r="F42" s="70">
        <f t="shared" si="5"/>
        <v>0</v>
      </c>
      <c r="G42" s="72">
        <f t="shared" si="6"/>
        <v>0</v>
      </c>
      <c r="H42" s="53">
        <f t="shared" si="7"/>
        <v>0</v>
      </c>
      <c r="I42" s="67">
        <f t="shared" si="0"/>
        <v>0</v>
      </c>
      <c r="J42" s="67"/>
      <c r="K42" s="150"/>
      <c r="L42" s="69">
        <f t="shared" si="1"/>
        <v>0</v>
      </c>
      <c r="M42" s="150"/>
      <c r="N42" s="69">
        <f t="shared" si="2"/>
        <v>0</v>
      </c>
      <c r="O42" s="69">
        <f t="shared" si="3"/>
        <v>0</v>
      </c>
      <c r="P42" s="4"/>
    </row>
    <row r="43" spans="2:16" ht="12.5">
      <c r="B43" s="9" t="str">
        <f t="shared" si="4"/>
        <v/>
      </c>
      <c r="C43" s="64">
        <f>IF(D11="","-",+C42+1)</f>
        <v>2034</v>
      </c>
      <c r="D43" s="70">
        <v>0</v>
      </c>
      <c r="E43" s="71">
        <f>IF(+I14&lt;F42,I14,D43)</f>
        <v>0</v>
      </c>
      <c r="F43" s="70">
        <f t="shared" si="5"/>
        <v>0</v>
      </c>
      <c r="G43" s="72">
        <f t="shared" si="6"/>
        <v>0</v>
      </c>
      <c r="H43" s="53">
        <f t="shared" si="7"/>
        <v>0</v>
      </c>
      <c r="I43" s="67">
        <f t="shared" si="0"/>
        <v>0</v>
      </c>
      <c r="J43" s="67"/>
      <c r="K43" s="150"/>
      <c r="L43" s="69">
        <f t="shared" si="1"/>
        <v>0</v>
      </c>
      <c r="M43" s="150"/>
      <c r="N43" s="69">
        <f t="shared" si="2"/>
        <v>0</v>
      </c>
      <c r="O43" s="69">
        <f t="shared" si="3"/>
        <v>0</v>
      </c>
      <c r="P43" s="4"/>
    </row>
    <row r="44" spans="2:16" ht="12.5">
      <c r="B44" s="9" t="str">
        <f t="shared" si="4"/>
        <v/>
      </c>
      <c r="C44" s="64">
        <f>IF(D11="","-",+C43+1)</f>
        <v>2035</v>
      </c>
      <c r="D44" s="70">
        <v>0</v>
      </c>
      <c r="E44" s="71">
        <f>IF(+I14&lt;F43,I14,D44)</f>
        <v>0</v>
      </c>
      <c r="F44" s="70">
        <f t="shared" si="5"/>
        <v>0</v>
      </c>
      <c r="G44" s="72">
        <f t="shared" si="6"/>
        <v>0</v>
      </c>
      <c r="H44" s="53">
        <f t="shared" si="7"/>
        <v>0</v>
      </c>
      <c r="I44" s="67">
        <f t="shared" si="0"/>
        <v>0</v>
      </c>
      <c r="J44" s="67"/>
      <c r="K44" s="150"/>
      <c r="L44" s="69">
        <f t="shared" si="1"/>
        <v>0</v>
      </c>
      <c r="M44" s="150"/>
      <c r="N44" s="69">
        <f t="shared" si="2"/>
        <v>0</v>
      </c>
      <c r="O44" s="69">
        <f t="shared" si="3"/>
        <v>0</v>
      </c>
      <c r="P44" s="4"/>
    </row>
    <row r="45" spans="2:16" ht="12.5">
      <c r="B45" s="9" t="str">
        <f t="shared" si="4"/>
        <v/>
      </c>
      <c r="C45" s="64">
        <f>IF(D11="","-",+C44+1)</f>
        <v>2036</v>
      </c>
      <c r="D45" s="70">
        <v>0</v>
      </c>
      <c r="E45" s="71">
        <f>IF(+I14&lt;F44,I14,D45)</f>
        <v>0</v>
      </c>
      <c r="F45" s="70">
        <f t="shared" si="5"/>
        <v>0</v>
      </c>
      <c r="G45" s="72">
        <f t="shared" si="6"/>
        <v>0</v>
      </c>
      <c r="H45" s="53">
        <f t="shared" si="7"/>
        <v>0</v>
      </c>
      <c r="I45" s="67">
        <f t="shared" si="0"/>
        <v>0</v>
      </c>
      <c r="J45" s="67"/>
      <c r="K45" s="150"/>
      <c r="L45" s="69">
        <f t="shared" si="1"/>
        <v>0</v>
      </c>
      <c r="M45" s="150"/>
      <c r="N45" s="69">
        <f t="shared" si="2"/>
        <v>0</v>
      </c>
      <c r="O45" s="69">
        <f t="shared" si="3"/>
        <v>0</v>
      </c>
      <c r="P45" s="4"/>
    </row>
    <row r="46" spans="2:16" ht="12.5">
      <c r="B46" s="9" t="str">
        <f t="shared" si="4"/>
        <v/>
      </c>
      <c r="C46" s="64">
        <f>IF(D11="","-",+C45+1)</f>
        <v>2037</v>
      </c>
      <c r="D46" s="70">
        <v>0</v>
      </c>
      <c r="E46" s="71">
        <f>IF(+I14&lt;F45,I14,D46)</f>
        <v>0</v>
      </c>
      <c r="F46" s="70">
        <f t="shared" si="5"/>
        <v>0</v>
      </c>
      <c r="G46" s="72">
        <f t="shared" si="6"/>
        <v>0</v>
      </c>
      <c r="H46" s="53">
        <f t="shared" si="7"/>
        <v>0</v>
      </c>
      <c r="I46" s="67">
        <f t="shared" si="0"/>
        <v>0</v>
      </c>
      <c r="J46" s="67"/>
      <c r="K46" s="150"/>
      <c r="L46" s="69">
        <f t="shared" si="1"/>
        <v>0</v>
      </c>
      <c r="M46" s="150"/>
      <c r="N46" s="69">
        <f t="shared" si="2"/>
        <v>0</v>
      </c>
      <c r="O46" s="69">
        <f t="shared" si="3"/>
        <v>0</v>
      </c>
      <c r="P46" s="4"/>
    </row>
    <row r="47" spans="2:16" ht="12.5">
      <c r="B47" s="9" t="str">
        <f t="shared" si="4"/>
        <v/>
      </c>
      <c r="C47" s="64">
        <f>IF(D11="","-",+C46+1)</f>
        <v>2038</v>
      </c>
      <c r="D47" s="70">
        <v>0</v>
      </c>
      <c r="E47" s="71">
        <f>IF(+I14&lt;F46,I14,D47)</f>
        <v>0</v>
      </c>
      <c r="F47" s="70">
        <f t="shared" si="5"/>
        <v>0</v>
      </c>
      <c r="G47" s="72">
        <f t="shared" si="6"/>
        <v>0</v>
      </c>
      <c r="H47" s="53">
        <f t="shared" si="7"/>
        <v>0</v>
      </c>
      <c r="I47" s="67">
        <f t="shared" si="0"/>
        <v>0</v>
      </c>
      <c r="J47" s="67"/>
      <c r="K47" s="150"/>
      <c r="L47" s="69">
        <f t="shared" si="1"/>
        <v>0</v>
      </c>
      <c r="M47" s="150"/>
      <c r="N47" s="69">
        <f t="shared" si="2"/>
        <v>0</v>
      </c>
      <c r="O47" s="69">
        <f t="shared" si="3"/>
        <v>0</v>
      </c>
      <c r="P47" s="4"/>
    </row>
    <row r="48" spans="2:16" ht="12.5">
      <c r="B48" s="9" t="str">
        <f t="shared" si="4"/>
        <v/>
      </c>
      <c r="C48" s="64">
        <f>IF(D11="","-",+C47+1)</f>
        <v>2039</v>
      </c>
      <c r="D48" s="70">
        <v>0</v>
      </c>
      <c r="E48" s="71">
        <f>IF(+I14&lt;F47,I14,D48)</f>
        <v>0</v>
      </c>
      <c r="F48" s="70">
        <f t="shared" si="5"/>
        <v>0</v>
      </c>
      <c r="G48" s="72">
        <f t="shared" si="6"/>
        <v>0</v>
      </c>
      <c r="H48" s="53">
        <f t="shared" si="7"/>
        <v>0</v>
      </c>
      <c r="I48" s="67">
        <f t="shared" si="0"/>
        <v>0</v>
      </c>
      <c r="J48" s="67"/>
      <c r="K48" s="150"/>
      <c r="L48" s="69">
        <f t="shared" si="1"/>
        <v>0</v>
      </c>
      <c r="M48" s="150"/>
      <c r="N48" s="69">
        <f t="shared" si="2"/>
        <v>0</v>
      </c>
      <c r="O48" s="69">
        <f t="shared" si="3"/>
        <v>0</v>
      </c>
      <c r="P48" s="4"/>
    </row>
    <row r="49" spans="2:17" ht="12.5">
      <c r="B49" s="9" t="str">
        <f t="shared" si="4"/>
        <v/>
      </c>
      <c r="C49" s="64">
        <f>IF(D11="","-",+C48+1)</f>
        <v>2040</v>
      </c>
      <c r="D49" s="70">
        <v>0</v>
      </c>
      <c r="E49" s="71">
        <f>IF(+I14&lt;F48,I14,D49)</f>
        <v>0</v>
      </c>
      <c r="F49" s="70">
        <f t="shared" ref="F49:F72" si="8">+D49-E49</f>
        <v>0</v>
      </c>
      <c r="G49" s="72">
        <f t="shared" si="6"/>
        <v>0</v>
      </c>
      <c r="H49" s="53">
        <f t="shared" si="7"/>
        <v>0</v>
      </c>
      <c r="I49" s="67">
        <f t="shared" ref="I49:I72" si="9">H49-G49</f>
        <v>0</v>
      </c>
      <c r="J49" s="67"/>
      <c r="K49" s="150"/>
      <c r="L49" s="69">
        <f t="shared" ref="L49:L72" si="10">IF(K49&lt;&gt;0,+G49-K49,0)</f>
        <v>0</v>
      </c>
      <c r="M49" s="150"/>
      <c r="N49" s="69">
        <f t="shared" ref="N49:N72" si="11">IF(M49&lt;&gt;0,+H49-M49,0)</f>
        <v>0</v>
      </c>
      <c r="O49" s="69">
        <f t="shared" ref="O49:O72" si="12">+N49-L49</f>
        <v>0</v>
      </c>
      <c r="P49" s="4"/>
    </row>
    <row r="50" spans="2:17" ht="12.5">
      <c r="B50" s="9" t="str">
        <f t="shared" si="4"/>
        <v/>
      </c>
      <c r="C50" s="64">
        <f>IF(D11="","-",+C49+1)</f>
        <v>2041</v>
      </c>
      <c r="D50" s="70">
        <v>0</v>
      </c>
      <c r="E50" s="71">
        <f>IF(+I14&lt;F49,I14,D50)</f>
        <v>0</v>
      </c>
      <c r="F50" s="70">
        <f t="shared" si="8"/>
        <v>0</v>
      </c>
      <c r="G50" s="72">
        <f t="shared" si="6"/>
        <v>0</v>
      </c>
      <c r="H50" s="53">
        <f t="shared" si="7"/>
        <v>0</v>
      </c>
      <c r="I50" s="67">
        <f t="shared" si="9"/>
        <v>0</v>
      </c>
      <c r="J50" s="67"/>
      <c r="K50" s="150"/>
      <c r="L50" s="69">
        <f t="shared" si="10"/>
        <v>0</v>
      </c>
      <c r="M50" s="150"/>
      <c r="N50" s="69">
        <f t="shared" si="11"/>
        <v>0</v>
      </c>
      <c r="O50" s="69">
        <f t="shared" si="12"/>
        <v>0</v>
      </c>
      <c r="P50" s="4"/>
    </row>
    <row r="51" spans="2:17" ht="12.5">
      <c r="B51" s="9" t="str">
        <f t="shared" si="4"/>
        <v/>
      </c>
      <c r="C51" s="64">
        <f>IF(D11="","-",+C50+1)</f>
        <v>2042</v>
      </c>
      <c r="D51" s="70">
        <v>0</v>
      </c>
      <c r="E51" s="71">
        <f>IF(+I14&lt;F50,I14,D51)</f>
        <v>0</v>
      </c>
      <c r="F51" s="70">
        <f t="shared" si="8"/>
        <v>0</v>
      </c>
      <c r="G51" s="72">
        <f t="shared" si="6"/>
        <v>0</v>
      </c>
      <c r="H51" s="53">
        <f t="shared" si="7"/>
        <v>0</v>
      </c>
      <c r="I51" s="67">
        <f t="shared" si="9"/>
        <v>0</v>
      </c>
      <c r="J51" s="67"/>
      <c r="K51" s="150"/>
      <c r="L51" s="69">
        <f t="shared" si="10"/>
        <v>0</v>
      </c>
      <c r="M51" s="150"/>
      <c r="N51" s="69">
        <f t="shared" si="11"/>
        <v>0</v>
      </c>
      <c r="O51" s="69">
        <f t="shared" si="12"/>
        <v>0</v>
      </c>
      <c r="P51" s="4"/>
    </row>
    <row r="52" spans="2:17" ht="12.5">
      <c r="B52" s="9" t="str">
        <f t="shared" si="4"/>
        <v/>
      </c>
      <c r="C52" s="64">
        <f>IF(D11="","-",+C51+1)</f>
        <v>2043</v>
      </c>
      <c r="D52" s="70">
        <v>0</v>
      </c>
      <c r="E52" s="71">
        <f>IF(+I14&lt;F51,I14,D52)</f>
        <v>0</v>
      </c>
      <c r="F52" s="70">
        <f t="shared" si="8"/>
        <v>0</v>
      </c>
      <c r="G52" s="72">
        <f t="shared" si="6"/>
        <v>0</v>
      </c>
      <c r="H52" s="53">
        <f t="shared" si="7"/>
        <v>0</v>
      </c>
      <c r="I52" s="67">
        <f t="shared" si="9"/>
        <v>0</v>
      </c>
      <c r="J52" s="67"/>
      <c r="K52" s="150"/>
      <c r="L52" s="69">
        <f t="shared" si="10"/>
        <v>0</v>
      </c>
      <c r="M52" s="150"/>
      <c r="N52" s="69">
        <f t="shared" si="11"/>
        <v>0</v>
      </c>
      <c r="O52" s="69">
        <f t="shared" si="12"/>
        <v>0</v>
      </c>
      <c r="P52" s="4"/>
    </row>
    <row r="53" spans="2:17" ht="12.5">
      <c r="B53" s="9" t="str">
        <f t="shared" si="4"/>
        <v/>
      </c>
      <c r="C53" s="64">
        <f>IF(D11="","-",+C52+1)</f>
        <v>2044</v>
      </c>
      <c r="D53" s="70">
        <v>0</v>
      </c>
      <c r="E53" s="71">
        <f>IF(+I14&lt;F52,I14,D53)</f>
        <v>0</v>
      </c>
      <c r="F53" s="70">
        <f t="shared" si="8"/>
        <v>0</v>
      </c>
      <c r="G53" s="72">
        <f t="shared" si="6"/>
        <v>0</v>
      </c>
      <c r="H53" s="53">
        <f t="shared" si="7"/>
        <v>0</v>
      </c>
      <c r="I53" s="67">
        <f t="shared" si="9"/>
        <v>0</v>
      </c>
      <c r="J53" s="67"/>
      <c r="K53" s="150"/>
      <c r="L53" s="69">
        <f t="shared" si="10"/>
        <v>0</v>
      </c>
      <c r="M53" s="150"/>
      <c r="N53" s="69">
        <f t="shared" si="11"/>
        <v>0</v>
      </c>
      <c r="O53" s="69">
        <f t="shared" si="12"/>
        <v>0</v>
      </c>
      <c r="P53" s="4"/>
    </row>
    <row r="54" spans="2:17" ht="12.5">
      <c r="B54" s="9" t="str">
        <f t="shared" si="4"/>
        <v/>
      </c>
      <c r="C54" s="64">
        <f>IF(D11="","-",+C53+1)</f>
        <v>2045</v>
      </c>
      <c r="D54" s="70">
        <v>0</v>
      </c>
      <c r="E54" s="71">
        <f>IF(+I14&lt;F53,I14,D54)</f>
        <v>0</v>
      </c>
      <c r="F54" s="70">
        <f t="shared" si="8"/>
        <v>0</v>
      </c>
      <c r="G54" s="72">
        <f t="shared" ref="G54:G72" si="13">+I$12*((D54+F54)/2)+E54</f>
        <v>0</v>
      </c>
      <c r="H54" s="53">
        <f t="shared" ref="H54:H72" si="14">+I$13*((D54+F54)/2)+E54</f>
        <v>0</v>
      </c>
      <c r="I54" s="67">
        <f t="shared" si="9"/>
        <v>0</v>
      </c>
      <c r="J54" s="67"/>
      <c r="K54" s="150"/>
      <c r="L54" s="69">
        <f t="shared" si="10"/>
        <v>0</v>
      </c>
      <c r="M54" s="150"/>
      <c r="N54" s="69">
        <f t="shared" si="11"/>
        <v>0</v>
      </c>
      <c r="O54" s="69">
        <f t="shared" si="12"/>
        <v>0</v>
      </c>
      <c r="P54" s="4"/>
    </row>
    <row r="55" spans="2:17" ht="12.5">
      <c r="B55" s="9" t="str">
        <f t="shared" si="4"/>
        <v/>
      </c>
      <c r="C55" s="64">
        <f>IF(D11="","-",+C54+1)</f>
        <v>2046</v>
      </c>
      <c r="D55" s="70">
        <v>0</v>
      </c>
      <c r="E55" s="71">
        <f>IF(+I14&lt;F54,I14,D55)</f>
        <v>0</v>
      </c>
      <c r="F55" s="70">
        <f t="shared" si="8"/>
        <v>0</v>
      </c>
      <c r="G55" s="72">
        <f t="shared" si="13"/>
        <v>0</v>
      </c>
      <c r="H55" s="53">
        <f t="shared" si="14"/>
        <v>0</v>
      </c>
      <c r="I55" s="67">
        <f t="shared" si="9"/>
        <v>0</v>
      </c>
      <c r="J55" s="67"/>
      <c r="K55" s="150"/>
      <c r="L55" s="69">
        <f t="shared" si="10"/>
        <v>0</v>
      </c>
      <c r="M55" s="150"/>
      <c r="N55" s="69">
        <f t="shared" si="11"/>
        <v>0</v>
      </c>
      <c r="O55" s="69">
        <f t="shared" si="12"/>
        <v>0</v>
      </c>
      <c r="P55" s="4"/>
    </row>
    <row r="56" spans="2:17" ht="12.5">
      <c r="B56" s="9" t="str">
        <f t="shared" si="4"/>
        <v/>
      </c>
      <c r="C56" s="64">
        <f>IF(D11="","-",+C55+1)</f>
        <v>2047</v>
      </c>
      <c r="D56" s="70">
        <v>0</v>
      </c>
      <c r="E56" s="71">
        <f>IF(+I14&lt;F55,I14,D56)</f>
        <v>0</v>
      </c>
      <c r="F56" s="70">
        <f t="shared" si="8"/>
        <v>0</v>
      </c>
      <c r="G56" s="72">
        <f t="shared" si="13"/>
        <v>0</v>
      </c>
      <c r="H56" s="53">
        <f t="shared" si="14"/>
        <v>0</v>
      </c>
      <c r="I56" s="67">
        <f t="shared" si="9"/>
        <v>0</v>
      </c>
      <c r="J56" s="67"/>
      <c r="K56" s="150"/>
      <c r="L56" s="69">
        <f t="shared" si="10"/>
        <v>0</v>
      </c>
      <c r="M56" s="150"/>
      <c r="N56" s="69">
        <f t="shared" si="11"/>
        <v>0</v>
      </c>
      <c r="O56" s="69">
        <f t="shared" si="12"/>
        <v>0</v>
      </c>
      <c r="P56" s="4"/>
    </row>
    <row r="57" spans="2:17" ht="12.5">
      <c r="B57" s="9" t="str">
        <f t="shared" si="4"/>
        <v/>
      </c>
      <c r="C57" s="64">
        <f>IF(D11="","-",+C56+1)</f>
        <v>2048</v>
      </c>
      <c r="D57" s="70">
        <v>0</v>
      </c>
      <c r="E57" s="71">
        <f>IF(+I14&lt;F56,I14,D57)</f>
        <v>0</v>
      </c>
      <c r="F57" s="70">
        <f t="shared" si="8"/>
        <v>0</v>
      </c>
      <c r="G57" s="72">
        <f t="shared" si="13"/>
        <v>0</v>
      </c>
      <c r="H57" s="53">
        <f t="shared" si="14"/>
        <v>0</v>
      </c>
      <c r="I57" s="67">
        <f t="shared" si="9"/>
        <v>0</v>
      </c>
      <c r="J57" s="67"/>
      <c r="K57" s="150"/>
      <c r="L57" s="69">
        <f t="shared" si="10"/>
        <v>0</v>
      </c>
      <c r="M57" s="150"/>
      <c r="N57" s="69">
        <f t="shared" si="11"/>
        <v>0</v>
      </c>
      <c r="O57" s="69">
        <f t="shared" si="12"/>
        <v>0</v>
      </c>
      <c r="P57" s="4"/>
    </row>
    <row r="58" spans="2:17" ht="12.5">
      <c r="B58" s="9" t="str">
        <f t="shared" si="4"/>
        <v/>
      </c>
      <c r="C58" s="64">
        <f>IF(D11="","-",+C57+1)</f>
        <v>2049</v>
      </c>
      <c r="D58" s="70">
        <v>0</v>
      </c>
      <c r="E58" s="71">
        <f>IF(+I14&lt;F57,I14,D58)</f>
        <v>0</v>
      </c>
      <c r="F58" s="70">
        <f t="shared" si="8"/>
        <v>0</v>
      </c>
      <c r="G58" s="72">
        <f t="shared" si="13"/>
        <v>0</v>
      </c>
      <c r="H58" s="53">
        <f t="shared" si="14"/>
        <v>0</v>
      </c>
      <c r="I58" s="67">
        <f t="shared" si="9"/>
        <v>0</v>
      </c>
      <c r="J58" s="67"/>
      <c r="K58" s="150"/>
      <c r="L58" s="69">
        <f t="shared" si="10"/>
        <v>0</v>
      </c>
      <c r="M58" s="150"/>
      <c r="N58" s="69">
        <f t="shared" si="11"/>
        <v>0</v>
      </c>
      <c r="O58" s="69">
        <f t="shared" si="12"/>
        <v>0</v>
      </c>
      <c r="P58" s="4"/>
      <c r="Q58" t="str">
        <f>IF(ROUND(Q57,0)=ROUND(SUM(Q18:Q56),0),"","Error -- check allocations above).")</f>
        <v/>
      </c>
    </row>
    <row r="59" spans="2:17" ht="12.5">
      <c r="B59" s="9" t="str">
        <f t="shared" si="4"/>
        <v/>
      </c>
      <c r="C59" s="64">
        <f>IF(D11="","-",+C58+1)</f>
        <v>2050</v>
      </c>
      <c r="D59" s="70">
        <v>0</v>
      </c>
      <c r="E59" s="71">
        <f>IF(+I14&lt;F58,I14,D59)</f>
        <v>0</v>
      </c>
      <c r="F59" s="70">
        <f t="shared" si="8"/>
        <v>0</v>
      </c>
      <c r="G59" s="72">
        <f t="shared" si="13"/>
        <v>0</v>
      </c>
      <c r="H59" s="53">
        <f t="shared" si="14"/>
        <v>0</v>
      </c>
      <c r="I59" s="67">
        <f t="shared" si="9"/>
        <v>0</v>
      </c>
      <c r="J59" s="67"/>
      <c r="K59" s="150"/>
      <c r="L59" s="69">
        <f t="shared" si="10"/>
        <v>0</v>
      </c>
      <c r="M59" s="150"/>
      <c r="N59" s="69">
        <f t="shared" si="11"/>
        <v>0</v>
      </c>
      <c r="O59" s="69">
        <f t="shared" si="12"/>
        <v>0</v>
      </c>
      <c r="P59" s="4"/>
    </row>
    <row r="60" spans="2:17" ht="12.5">
      <c r="B60" s="9" t="str">
        <f t="shared" si="4"/>
        <v/>
      </c>
      <c r="C60" s="64">
        <f>IF(D11="","-",+C59+1)</f>
        <v>2051</v>
      </c>
      <c r="D60" s="70">
        <v>0</v>
      </c>
      <c r="E60" s="71">
        <f>IF(+I14&lt;F59,I14,D60)</f>
        <v>0</v>
      </c>
      <c r="F60" s="70">
        <f t="shared" si="8"/>
        <v>0</v>
      </c>
      <c r="G60" s="72">
        <f t="shared" si="13"/>
        <v>0</v>
      </c>
      <c r="H60" s="53">
        <f t="shared" si="14"/>
        <v>0</v>
      </c>
      <c r="I60" s="67">
        <f t="shared" si="9"/>
        <v>0</v>
      </c>
      <c r="J60" s="67"/>
      <c r="K60" s="150"/>
      <c r="L60" s="69">
        <f t="shared" si="10"/>
        <v>0</v>
      </c>
      <c r="M60" s="150"/>
      <c r="N60" s="69">
        <f t="shared" si="11"/>
        <v>0</v>
      </c>
      <c r="O60" s="69">
        <f t="shared" si="12"/>
        <v>0</v>
      </c>
      <c r="P60" s="4"/>
    </row>
    <row r="61" spans="2:17" ht="12.5">
      <c r="B61" s="9" t="str">
        <f t="shared" si="4"/>
        <v/>
      </c>
      <c r="C61" s="64">
        <f>IF(D11="","-",+C60+1)</f>
        <v>2052</v>
      </c>
      <c r="D61" s="70">
        <v>0</v>
      </c>
      <c r="E61" s="71">
        <f>IF(+I14&lt;F60,I14,D61)</f>
        <v>0</v>
      </c>
      <c r="F61" s="70">
        <f t="shared" si="8"/>
        <v>0</v>
      </c>
      <c r="G61" s="73">
        <f t="shared" si="13"/>
        <v>0</v>
      </c>
      <c r="H61" s="53">
        <f t="shared" si="14"/>
        <v>0</v>
      </c>
      <c r="I61" s="67">
        <f t="shared" si="9"/>
        <v>0</v>
      </c>
      <c r="J61" s="67"/>
      <c r="K61" s="150"/>
      <c r="L61" s="69">
        <f t="shared" si="10"/>
        <v>0</v>
      </c>
      <c r="M61" s="150"/>
      <c r="N61" s="69">
        <f t="shared" si="11"/>
        <v>0</v>
      </c>
      <c r="O61" s="69">
        <f t="shared" si="12"/>
        <v>0</v>
      </c>
      <c r="P61" s="4"/>
    </row>
    <row r="62" spans="2:17" ht="12.5">
      <c r="B62" s="9" t="str">
        <f t="shared" si="4"/>
        <v/>
      </c>
      <c r="C62" s="64">
        <f>IF(D11="","-",+C61+1)</f>
        <v>2053</v>
      </c>
      <c r="D62" s="70">
        <v>0</v>
      </c>
      <c r="E62" s="71">
        <f>IF(+I14&lt;F61,I14,D62)</f>
        <v>0</v>
      </c>
      <c r="F62" s="70">
        <f t="shared" si="8"/>
        <v>0</v>
      </c>
      <c r="G62" s="73">
        <f t="shared" si="13"/>
        <v>0</v>
      </c>
      <c r="H62" s="53">
        <f t="shared" si="14"/>
        <v>0</v>
      </c>
      <c r="I62" s="67">
        <f t="shared" si="9"/>
        <v>0</v>
      </c>
      <c r="J62" s="67"/>
      <c r="K62" s="150"/>
      <c r="L62" s="69">
        <f t="shared" si="10"/>
        <v>0</v>
      </c>
      <c r="M62" s="150"/>
      <c r="N62" s="69">
        <f t="shared" si="11"/>
        <v>0</v>
      </c>
      <c r="O62" s="69">
        <f t="shared" si="12"/>
        <v>0</v>
      </c>
      <c r="P62" s="4"/>
    </row>
    <row r="63" spans="2:17" ht="12.5">
      <c r="B63" s="9" t="str">
        <f t="shared" si="4"/>
        <v/>
      </c>
      <c r="C63" s="64">
        <f>IF(D11="","-",+C62+1)</f>
        <v>2054</v>
      </c>
      <c r="D63" s="70">
        <v>0</v>
      </c>
      <c r="E63" s="71">
        <f>IF(+I14&lt;F62,I14,D63)</f>
        <v>0</v>
      </c>
      <c r="F63" s="70">
        <f t="shared" si="8"/>
        <v>0</v>
      </c>
      <c r="G63" s="73">
        <f t="shared" si="13"/>
        <v>0</v>
      </c>
      <c r="H63" s="53">
        <f t="shared" si="14"/>
        <v>0</v>
      </c>
      <c r="I63" s="67">
        <f t="shared" si="9"/>
        <v>0</v>
      </c>
      <c r="J63" s="67"/>
      <c r="K63" s="150"/>
      <c r="L63" s="69">
        <f t="shared" si="10"/>
        <v>0</v>
      </c>
      <c r="M63" s="150"/>
      <c r="N63" s="69">
        <f t="shared" si="11"/>
        <v>0</v>
      </c>
      <c r="O63" s="69">
        <f t="shared" si="12"/>
        <v>0</v>
      </c>
      <c r="P63" s="4"/>
    </row>
    <row r="64" spans="2:17" ht="12.5">
      <c r="B64" s="9" t="str">
        <f t="shared" si="4"/>
        <v/>
      </c>
      <c r="C64" s="64">
        <f>IF(D11="","-",+C63+1)</f>
        <v>2055</v>
      </c>
      <c r="D64" s="70">
        <v>0</v>
      </c>
      <c r="E64" s="71">
        <f>IF(+I14&lt;F63,I14,D64)</f>
        <v>0</v>
      </c>
      <c r="F64" s="70">
        <f t="shared" si="8"/>
        <v>0</v>
      </c>
      <c r="G64" s="73">
        <f t="shared" si="13"/>
        <v>0</v>
      </c>
      <c r="H64" s="53">
        <f t="shared" si="14"/>
        <v>0</v>
      </c>
      <c r="I64" s="67">
        <f t="shared" si="9"/>
        <v>0</v>
      </c>
      <c r="J64" s="67"/>
      <c r="K64" s="150"/>
      <c r="L64" s="69">
        <f t="shared" si="10"/>
        <v>0</v>
      </c>
      <c r="M64" s="150"/>
      <c r="N64" s="69">
        <f t="shared" si="11"/>
        <v>0</v>
      </c>
      <c r="O64" s="69">
        <f t="shared" si="12"/>
        <v>0</v>
      </c>
      <c r="P64" s="4"/>
    </row>
    <row r="65" spans="1:16" ht="12.5">
      <c r="B65" s="9" t="str">
        <f t="shared" si="4"/>
        <v/>
      </c>
      <c r="C65" s="64">
        <f>IF(D11="","-",+C64+1)</f>
        <v>2056</v>
      </c>
      <c r="D65" s="70">
        <v>0</v>
      </c>
      <c r="E65" s="71">
        <f>IF(+I14&lt;F64,I14,D65)</f>
        <v>0</v>
      </c>
      <c r="F65" s="70">
        <f t="shared" si="8"/>
        <v>0</v>
      </c>
      <c r="G65" s="73">
        <f t="shared" si="13"/>
        <v>0</v>
      </c>
      <c r="H65" s="53">
        <f t="shared" si="14"/>
        <v>0</v>
      </c>
      <c r="I65" s="67">
        <f t="shared" si="9"/>
        <v>0</v>
      </c>
      <c r="J65" s="67"/>
      <c r="K65" s="150"/>
      <c r="L65" s="69">
        <f t="shared" si="10"/>
        <v>0</v>
      </c>
      <c r="M65" s="150"/>
      <c r="N65" s="69">
        <f t="shared" si="11"/>
        <v>0</v>
      </c>
      <c r="O65" s="69">
        <f t="shared" si="12"/>
        <v>0</v>
      </c>
      <c r="P65" s="4"/>
    </row>
    <row r="66" spans="1:16" ht="12.5">
      <c r="B66" s="9" t="str">
        <f t="shared" si="4"/>
        <v/>
      </c>
      <c r="C66" s="64">
        <f>IF(D11="","-",+C65+1)</f>
        <v>2057</v>
      </c>
      <c r="D66" s="70">
        <v>0</v>
      </c>
      <c r="E66" s="71">
        <f>IF(+I14&lt;F65,I14,D66)</f>
        <v>0</v>
      </c>
      <c r="F66" s="70">
        <f t="shared" si="8"/>
        <v>0</v>
      </c>
      <c r="G66" s="73">
        <f t="shared" si="13"/>
        <v>0</v>
      </c>
      <c r="H66" s="53">
        <f t="shared" si="14"/>
        <v>0</v>
      </c>
      <c r="I66" s="67">
        <f t="shared" si="9"/>
        <v>0</v>
      </c>
      <c r="J66" s="67"/>
      <c r="K66" s="150"/>
      <c r="L66" s="69">
        <f t="shared" si="10"/>
        <v>0</v>
      </c>
      <c r="M66" s="150"/>
      <c r="N66" s="69">
        <f t="shared" si="11"/>
        <v>0</v>
      </c>
      <c r="O66" s="69">
        <f t="shared" si="12"/>
        <v>0</v>
      </c>
      <c r="P66" s="4"/>
    </row>
    <row r="67" spans="1:16" ht="12.5">
      <c r="B67" s="9" t="str">
        <f t="shared" si="4"/>
        <v/>
      </c>
      <c r="C67" s="64">
        <f>IF(D11="","-",+C66+1)</f>
        <v>2058</v>
      </c>
      <c r="D67" s="70">
        <v>0</v>
      </c>
      <c r="E67" s="71">
        <f>IF(+I14&lt;F66,I14,D67)</f>
        <v>0</v>
      </c>
      <c r="F67" s="70">
        <f t="shared" si="8"/>
        <v>0</v>
      </c>
      <c r="G67" s="73">
        <f t="shared" si="13"/>
        <v>0</v>
      </c>
      <c r="H67" s="53">
        <f t="shared" si="14"/>
        <v>0</v>
      </c>
      <c r="I67" s="67">
        <f t="shared" si="9"/>
        <v>0</v>
      </c>
      <c r="J67" s="67"/>
      <c r="K67" s="150"/>
      <c r="L67" s="69">
        <f t="shared" si="10"/>
        <v>0</v>
      </c>
      <c r="M67" s="150"/>
      <c r="N67" s="69">
        <f t="shared" si="11"/>
        <v>0</v>
      </c>
      <c r="O67" s="69">
        <f t="shared" si="12"/>
        <v>0</v>
      </c>
      <c r="P67" s="4"/>
    </row>
    <row r="68" spans="1:16" ht="12.5">
      <c r="B68" s="9" t="str">
        <f t="shared" si="4"/>
        <v/>
      </c>
      <c r="C68" s="64">
        <f>IF(D11="","-",+C67+1)</f>
        <v>2059</v>
      </c>
      <c r="D68" s="70">
        <v>0</v>
      </c>
      <c r="E68" s="71">
        <f>IF(+I14&lt;F67,I14,D68)</f>
        <v>0</v>
      </c>
      <c r="F68" s="70">
        <f t="shared" si="8"/>
        <v>0</v>
      </c>
      <c r="G68" s="73">
        <f t="shared" si="13"/>
        <v>0</v>
      </c>
      <c r="H68" s="53">
        <f t="shared" si="14"/>
        <v>0</v>
      </c>
      <c r="I68" s="67">
        <f t="shared" si="9"/>
        <v>0</v>
      </c>
      <c r="J68" s="67"/>
      <c r="K68" s="150"/>
      <c r="L68" s="69">
        <f t="shared" si="10"/>
        <v>0</v>
      </c>
      <c r="M68" s="150"/>
      <c r="N68" s="69">
        <f t="shared" si="11"/>
        <v>0</v>
      </c>
      <c r="O68" s="69">
        <f t="shared" si="12"/>
        <v>0</v>
      </c>
      <c r="P68" s="4"/>
    </row>
    <row r="69" spans="1:16" ht="12.5">
      <c r="B69" s="9" t="str">
        <f t="shared" si="4"/>
        <v/>
      </c>
      <c r="C69" s="64">
        <f>IF(D11="","-",+C68+1)</f>
        <v>2060</v>
      </c>
      <c r="D69" s="70">
        <v>0</v>
      </c>
      <c r="E69" s="71">
        <f>IF(+I14&lt;F68,I14,D69)</f>
        <v>0</v>
      </c>
      <c r="F69" s="70">
        <f t="shared" si="8"/>
        <v>0</v>
      </c>
      <c r="G69" s="73">
        <f t="shared" si="13"/>
        <v>0</v>
      </c>
      <c r="H69" s="53">
        <f t="shared" si="14"/>
        <v>0</v>
      </c>
      <c r="I69" s="67">
        <f t="shared" si="9"/>
        <v>0</v>
      </c>
      <c r="J69" s="67"/>
      <c r="K69" s="150"/>
      <c r="L69" s="69">
        <f t="shared" si="10"/>
        <v>0</v>
      </c>
      <c r="M69" s="150"/>
      <c r="N69" s="69">
        <f t="shared" si="11"/>
        <v>0</v>
      </c>
      <c r="O69" s="69">
        <f t="shared" si="12"/>
        <v>0</v>
      </c>
      <c r="P69" s="4"/>
    </row>
    <row r="70" spans="1:16" ht="12.5">
      <c r="B70" s="9" t="str">
        <f t="shared" si="4"/>
        <v/>
      </c>
      <c r="C70" s="64">
        <f>IF(D11="","-",+C69+1)</f>
        <v>2061</v>
      </c>
      <c r="D70" s="70">
        <v>0</v>
      </c>
      <c r="E70" s="71">
        <f>IF(+I14&lt;F69,I14,D70)</f>
        <v>0</v>
      </c>
      <c r="F70" s="70">
        <f t="shared" si="8"/>
        <v>0</v>
      </c>
      <c r="G70" s="73">
        <f t="shared" si="13"/>
        <v>0</v>
      </c>
      <c r="H70" s="53">
        <f t="shared" si="14"/>
        <v>0</v>
      </c>
      <c r="I70" s="67">
        <f t="shared" si="9"/>
        <v>0</v>
      </c>
      <c r="J70" s="67"/>
      <c r="K70" s="150"/>
      <c r="L70" s="69">
        <f t="shared" si="10"/>
        <v>0</v>
      </c>
      <c r="M70" s="150"/>
      <c r="N70" s="69">
        <f t="shared" si="11"/>
        <v>0</v>
      </c>
      <c r="O70" s="69">
        <f t="shared" si="12"/>
        <v>0</v>
      </c>
      <c r="P70" s="4"/>
    </row>
    <row r="71" spans="1:16" ht="12.5">
      <c r="B71" s="9" t="str">
        <f t="shared" si="4"/>
        <v/>
      </c>
      <c r="C71" s="64">
        <f>IF(D11="","-",+C70+1)</f>
        <v>2062</v>
      </c>
      <c r="D71" s="70">
        <v>0</v>
      </c>
      <c r="E71" s="71">
        <f>IF(+I14&lt;F70,I14,D71)</f>
        <v>0</v>
      </c>
      <c r="F71" s="70">
        <f t="shared" si="8"/>
        <v>0</v>
      </c>
      <c r="G71" s="73">
        <f t="shared" si="13"/>
        <v>0</v>
      </c>
      <c r="H71" s="53">
        <f t="shared" si="14"/>
        <v>0</v>
      </c>
      <c r="I71" s="67">
        <f t="shared" si="9"/>
        <v>0</v>
      </c>
      <c r="J71" s="67"/>
      <c r="K71" s="150"/>
      <c r="L71" s="69">
        <f t="shared" si="10"/>
        <v>0</v>
      </c>
      <c r="M71" s="150"/>
      <c r="N71" s="69">
        <f t="shared" si="11"/>
        <v>0</v>
      </c>
      <c r="O71" s="69">
        <f t="shared" si="12"/>
        <v>0</v>
      </c>
      <c r="P71" s="4"/>
    </row>
    <row r="72" spans="1:16" ht="13" thickBot="1">
      <c r="B72" s="9" t="str">
        <f t="shared" si="4"/>
        <v/>
      </c>
      <c r="C72" s="74">
        <f>IF(D11="","-",+C71+1)</f>
        <v>2063</v>
      </c>
      <c r="D72" s="75">
        <v>0</v>
      </c>
      <c r="E72" s="76">
        <f>IF(+I14&lt;F71,I14,D72)</f>
        <v>0</v>
      </c>
      <c r="F72" s="75">
        <f t="shared" si="8"/>
        <v>0</v>
      </c>
      <c r="G72" s="77">
        <f t="shared" si="13"/>
        <v>0</v>
      </c>
      <c r="H72" s="35">
        <f t="shared" si="14"/>
        <v>0</v>
      </c>
      <c r="I72" s="78">
        <f t="shared" si="9"/>
        <v>0</v>
      </c>
      <c r="J72" s="67"/>
      <c r="K72" s="151"/>
      <c r="L72" s="79">
        <f t="shared" si="10"/>
        <v>0</v>
      </c>
      <c r="M72" s="151"/>
      <c r="N72" s="79">
        <f t="shared" si="11"/>
        <v>0</v>
      </c>
      <c r="O72" s="79">
        <f t="shared" si="12"/>
        <v>0</v>
      </c>
      <c r="P72" s="4"/>
    </row>
    <row r="73" spans="1:16" ht="12.5">
      <c r="C73" s="65" t="s">
        <v>78</v>
      </c>
      <c r="D73" s="22"/>
      <c r="E73" s="22"/>
      <c r="F73" s="22"/>
      <c r="G73" s="22"/>
      <c r="H73" s="22"/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1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1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1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1:16" ht="17.5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21"/>
      <c r="P77" s="4"/>
    </row>
    <row r="78" spans="1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1:16" ht="15.5">
      <c r="A79" s="116"/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</row>
    <row r="80" spans="1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7" ht="12.5">
      <c r="B81" s="1"/>
      <c r="C81" s="117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1" t="str">
        <f ca="1">P1</f>
        <v>SWEPCO Project 20 of 74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2" t="s">
        <v>128</v>
      </c>
      <c r="Q84" s="1"/>
    </row>
    <row r="85" spans="1:17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  <c r="Q85" s="1"/>
    </row>
    <row r="86" spans="1:17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2020</v>
      </c>
      <c r="M86" s="141" t="s">
        <v>9</v>
      </c>
      <c r="N86" s="145" t="s">
        <v>159</v>
      </c>
      <c r="O86" s="142" t="s">
        <v>11</v>
      </c>
      <c r="P86" s="1"/>
      <c r="Q86" s="1"/>
    </row>
    <row r="87" spans="1:17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395</v>
      </c>
      <c r="M87" s="85">
        <v>0</v>
      </c>
      <c r="N87" s="85">
        <v>0</v>
      </c>
      <c r="O87" s="86">
        <f>+N87-M87</f>
        <v>0</v>
      </c>
      <c r="P87" s="1"/>
      <c r="Q87" s="1"/>
    </row>
    <row r="88" spans="1:17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396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  <c r="Q88" s="1"/>
    </row>
    <row r="89" spans="1:17" ht="13.5" thickBot="1">
      <c r="C89" s="32" t="s">
        <v>84</v>
      </c>
      <c r="D89" s="148" t="str">
        <f>D7</f>
        <v>[NW Ark Area Improve - 2008]  Elm Springs, East Rogers, Shipe Road Stations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  <c r="Q89" s="1"/>
    </row>
    <row r="90" spans="1:17" ht="13.5" thickBot="1">
      <c r="C90" s="80"/>
      <c r="D90" s="165" t="str">
        <f>D8</f>
        <v>***2008 INVESTMENT NOW INCLUDED IN PROJECT S.003 ABOVE***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  <c r="Q90" s="1"/>
    </row>
    <row r="91" spans="1:17" ht="13.5" thickBot="1">
      <c r="A91" s="17"/>
      <c r="C91" s="92" t="s">
        <v>85</v>
      </c>
      <c r="D91" s="109" t="str">
        <f>+D9</f>
        <v>TP2007103</v>
      </c>
      <c r="E91" s="93"/>
      <c r="F91" s="93"/>
      <c r="G91" s="93"/>
      <c r="H91" s="93"/>
      <c r="I91" s="93"/>
      <c r="J91" s="113"/>
      <c r="K91" s="94"/>
      <c r="P91" s="42"/>
      <c r="Q91" s="1"/>
    </row>
    <row r="92" spans="1:17" ht="13">
      <c r="C92" s="47" t="s">
        <v>51</v>
      </c>
      <c r="D92" s="44">
        <v>0</v>
      </c>
      <c r="E92" s="10" t="s">
        <v>86</v>
      </c>
      <c r="H92" s="45"/>
      <c r="I92" s="45"/>
      <c r="J92" s="46">
        <f>+'SWE.WS.G.BPU.ATRR.True-up'!M16</f>
        <v>2020</v>
      </c>
      <c r="K92" s="41"/>
      <c r="L92" s="22" t="s">
        <v>87</v>
      </c>
      <c r="P92" s="4"/>
      <c r="Q92" s="1"/>
    </row>
    <row r="93" spans="1:17" ht="12.5">
      <c r="C93" s="47" t="s">
        <v>54</v>
      </c>
      <c r="D93" s="106">
        <f>IF(D11=I10,"",D11)</f>
        <v>2008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 ht="12.5">
      <c r="C94" s="47" t="s">
        <v>56</v>
      </c>
      <c r="D94" s="105">
        <f>IF(D11=I10,"",D12)</f>
        <v>11</v>
      </c>
      <c r="E94" s="47" t="s">
        <v>57</v>
      </c>
      <c r="F94" s="45"/>
      <c r="G94" s="45"/>
      <c r="J94" s="51">
        <f>'SWE.WS.G.BPU.ATRR.True-up'!$F$81</f>
        <v>0.10757383250073754</v>
      </c>
      <c r="K94" s="52"/>
      <c r="L94" t="s">
        <v>88</v>
      </c>
      <c r="P94" s="4"/>
      <c r="Q94" s="1"/>
    </row>
    <row r="95" spans="1:17" ht="12.5">
      <c r="C95" s="47" t="s">
        <v>59</v>
      </c>
      <c r="D95" s="49">
        <f>'SWE.WS.G.BPU.ATRR.True-up'!F$93</f>
        <v>42</v>
      </c>
      <c r="E95" s="47" t="s">
        <v>60</v>
      </c>
      <c r="F95" s="45"/>
      <c r="G95" s="45"/>
      <c r="J95" s="51">
        <f>IF(H87="",J94,'SWE.WS.G.BPU.ATRR.True-up'!$F$80)</f>
        <v>0.10757383250073754</v>
      </c>
      <c r="K95" s="11"/>
      <c r="L95" s="22" t="s">
        <v>61</v>
      </c>
      <c r="M95" s="11"/>
      <c r="N95" s="11"/>
      <c r="O95" s="11"/>
      <c r="P95" s="4"/>
      <c r="Q95" s="1"/>
    </row>
    <row r="96" spans="1:17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  <c r="Q96" s="1"/>
    </row>
    <row r="97" spans="1:17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392</v>
      </c>
      <c r="I97" s="181" t="s">
        <v>393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  <c r="Q97" s="1"/>
    </row>
    <row r="98" spans="1:17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78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  <c r="Q98" s="1"/>
    </row>
    <row r="99" spans="1:17" ht="12.5">
      <c r="C99" s="64">
        <f>IF(D93= "","-",D93)</f>
        <v>2008</v>
      </c>
      <c r="D99" s="155">
        <v>0</v>
      </c>
      <c r="E99" s="158">
        <v>2625</v>
      </c>
      <c r="F99" s="159">
        <v>1162841</v>
      </c>
      <c r="G99" s="162">
        <v>581421</v>
      </c>
      <c r="H99" s="160">
        <v>95304</v>
      </c>
      <c r="I99" s="161">
        <v>95304</v>
      </c>
      <c r="J99" s="69">
        <f t="shared" ref="J99:J130" si="15">+I99-H99</f>
        <v>0</v>
      </c>
      <c r="K99" s="69"/>
      <c r="L99" s="131">
        <v>95304</v>
      </c>
      <c r="M99" s="82">
        <f t="shared" ref="M99:M130" si="16">IF(L99&lt;&gt;0,+H99-L99,0)</f>
        <v>0</v>
      </c>
      <c r="N99" s="131">
        <v>95304</v>
      </c>
      <c r="O99" s="68">
        <f t="shared" ref="O99:O130" si="17">IF(N99&lt;&gt;0,+I99-N99,0)</f>
        <v>0</v>
      </c>
      <c r="P99" s="68">
        <f t="shared" ref="P99:P130" si="18">+O99-M99</f>
        <v>0</v>
      </c>
      <c r="Q99" s="1"/>
    </row>
    <row r="100" spans="1:17" ht="12.5">
      <c r="B100" s="9" t="str">
        <f>IF(D100=F99,"","IU")</f>
        <v/>
      </c>
      <c r="C100" s="64">
        <f>IF(D93="","-",+C99+1)</f>
        <v>2009</v>
      </c>
      <c r="D100" s="155">
        <v>1162841</v>
      </c>
      <c r="E100" s="158">
        <v>30670.157894736843</v>
      </c>
      <c r="F100" s="159">
        <v>1132170.8421052631</v>
      </c>
      <c r="G100" s="159">
        <v>1147505.9210526315</v>
      </c>
      <c r="H100" s="158">
        <v>196757.48368197863</v>
      </c>
      <c r="I100" s="157">
        <v>196757.48368197863</v>
      </c>
      <c r="J100" s="69">
        <f t="shared" si="15"/>
        <v>0</v>
      </c>
      <c r="K100" s="69"/>
      <c r="L100" s="133">
        <f>H100</f>
        <v>196757.48368197863</v>
      </c>
      <c r="M100" s="132">
        <f t="shared" si="16"/>
        <v>0</v>
      </c>
      <c r="N100" s="133">
        <f>I100</f>
        <v>196757.48368197863</v>
      </c>
      <c r="O100" s="69">
        <f t="shared" si="17"/>
        <v>0</v>
      </c>
      <c r="P100" s="69">
        <f t="shared" si="18"/>
        <v>0</v>
      </c>
      <c r="Q100" s="1"/>
    </row>
    <row r="101" spans="1:17" ht="12.5">
      <c r="B101" s="9" t="str">
        <f t="shared" ref="B101:B154" si="19">IF(D101=F100,"","IU")</f>
        <v>IU</v>
      </c>
      <c r="C101" s="64">
        <f>IF(D93="","-",+C100+1)</f>
        <v>2010</v>
      </c>
      <c r="D101" s="167">
        <v>0</v>
      </c>
      <c r="E101" s="168">
        <f>IF(+J96&lt;F100,J96,D101)</f>
        <v>0</v>
      </c>
      <c r="F101" s="169">
        <f t="shared" ref="F101:F130" si="20">+D101-E101</f>
        <v>0</v>
      </c>
      <c r="G101" s="169">
        <f t="shared" ref="G101:G130" si="21">+(F101+D101)/2</f>
        <v>0</v>
      </c>
      <c r="H101" s="170">
        <f t="shared" ref="H101:H130" si="22">+J$94*G101+E101</f>
        <v>0</v>
      </c>
      <c r="I101" s="171">
        <f t="shared" ref="I101:I130" si="23">+J$95*G101+E101</f>
        <v>0</v>
      </c>
      <c r="J101" s="69">
        <f t="shared" si="15"/>
        <v>0</v>
      </c>
      <c r="K101" s="69"/>
      <c r="L101" s="133"/>
      <c r="M101" s="69">
        <f t="shared" si="16"/>
        <v>0</v>
      </c>
      <c r="N101" s="133"/>
      <c r="O101" s="69">
        <f t="shared" si="17"/>
        <v>0</v>
      </c>
      <c r="P101" s="69">
        <f t="shared" si="18"/>
        <v>0</v>
      </c>
      <c r="Q101" s="1"/>
    </row>
    <row r="102" spans="1:17" ht="12.5">
      <c r="B102" s="9" t="str">
        <f t="shared" si="19"/>
        <v/>
      </c>
      <c r="C102" s="64">
        <f>IF(D93="","-",+C101+1)</f>
        <v>2011</v>
      </c>
      <c r="D102" s="167">
        <v>0</v>
      </c>
      <c r="E102" s="168">
        <f>IF(+J96&lt;F101,J96,D102)</f>
        <v>0</v>
      </c>
      <c r="F102" s="169">
        <f t="shared" si="20"/>
        <v>0</v>
      </c>
      <c r="G102" s="169">
        <f t="shared" si="21"/>
        <v>0</v>
      </c>
      <c r="H102" s="170">
        <f t="shared" si="22"/>
        <v>0</v>
      </c>
      <c r="I102" s="171">
        <f t="shared" si="23"/>
        <v>0</v>
      </c>
      <c r="J102" s="69">
        <f t="shared" si="15"/>
        <v>0</v>
      </c>
      <c r="K102" s="69"/>
      <c r="L102" s="133"/>
      <c r="M102" s="69">
        <f t="shared" si="16"/>
        <v>0</v>
      </c>
      <c r="N102" s="133"/>
      <c r="O102" s="69">
        <f t="shared" si="17"/>
        <v>0</v>
      </c>
      <c r="P102" s="69">
        <f t="shared" si="18"/>
        <v>0</v>
      </c>
      <c r="Q102" s="1"/>
    </row>
    <row r="103" spans="1:17" ht="12.5">
      <c r="B103" s="9" t="str">
        <f t="shared" si="19"/>
        <v/>
      </c>
      <c r="C103" s="64">
        <f>IF(D93="","-",+C102+1)</f>
        <v>2012</v>
      </c>
      <c r="D103" s="155">
        <v>0</v>
      </c>
      <c r="E103" s="158">
        <v>0</v>
      </c>
      <c r="F103" s="159">
        <v>0</v>
      </c>
      <c r="G103" s="159">
        <v>0</v>
      </c>
      <c r="H103" s="158">
        <v>0</v>
      </c>
      <c r="I103" s="157">
        <v>0</v>
      </c>
      <c r="J103" s="69">
        <f t="shared" si="15"/>
        <v>0</v>
      </c>
      <c r="K103" s="69"/>
      <c r="L103" s="133">
        <f>H103</f>
        <v>0</v>
      </c>
      <c r="M103" s="132">
        <f t="shared" si="16"/>
        <v>0</v>
      </c>
      <c r="N103" s="133">
        <f>I103</f>
        <v>0</v>
      </c>
      <c r="O103" s="69">
        <f t="shared" si="17"/>
        <v>0</v>
      </c>
      <c r="P103" s="69">
        <f t="shared" si="18"/>
        <v>0</v>
      </c>
      <c r="Q103" s="1"/>
    </row>
    <row r="104" spans="1:17" ht="12.5">
      <c r="B104" s="9" t="str">
        <f t="shared" si="19"/>
        <v/>
      </c>
      <c r="C104" s="64">
        <f>IF(D93="","-",+C103+1)</f>
        <v>2013</v>
      </c>
      <c r="D104" s="65">
        <v>0</v>
      </c>
      <c r="E104" s="71">
        <f>IF(+J96&lt;F103,J96,D104)</f>
        <v>0</v>
      </c>
      <c r="F104" s="70">
        <f t="shared" si="20"/>
        <v>0</v>
      </c>
      <c r="G104" s="70">
        <f t="shared" si="21"/>
        <v>0</v>
      </c>
      <c r="H104" s="73">
        <f t="shared" si="22"/>
        <v>0</v>
      </c>
      <c r="I104" s="127">
        <f t="shared" si="23"/>
        <v>0</v>
      </c>
      <c r="J104" s="69">
        <f t="shared" si="15"/>
        <v>0</v>
      </c>
      <c r="K104" s="69"/>
      <c r="L104" s="150"/>
      <c r="M104" s="69">
        <f t="shared" si="16"/>
        <v>0</v>
      </c>
      <c r="N104" s="150"/>
      <c r="O104" s="69">
        <f t="shared" si="17"/>
        <v>0</v>
      </c>
      <c r="P104" s="69">
        <f t="shared" si="18"/>
        <v>0</v>
      </c>
      <c r="Q104" s="1"/>
    </row>
    <row r="105" spans="1:17" ht="12.5">
      <c r="B105" s="9" t="str">
        <f t="shared" si="19"/>
        <v/>
      </c>
      <c r="C105" s="64">
        <f>IF(D93="","-",+C104+1)</f>
        <v>2014</v>
      </c>
      <c r="D105" s="65">
        <v>0</v>
      </c>
      <c r="E105" s="71">
        <f>IF(+J96&lt;F104,J96,D105)</f>
        <v>0</v>
      </c>
      <c r="F105" s="70">
        <f t="shared" si="20"/>
        <v>0</v>
      </c>
      <c r="G105" s="70">
        <f t="shared" si="21"/>
        <v>0</v>
      </c>
      <c r="H105" s="73">
        <f t="shared" si="22"/>
        <v>0</v>
      </c>
      <c r="I105" s="127">
        <f t="shared" si="23"/>
        <v>0</v>
      </c>
      <c r="J105" s="69">
        <f t="shared" si="15"/>
        <v>0</v>
      </c>
      <c r="K105" s="69"/>
      <c r="L105" s="150"/>
      <c r="M105" s="69">
        <f t="shared" si="16"/>
        <v>0</v>
      </c>
      <c r="N105" s="150"/>
      <c r="O105" s="69">
        <f t="shared" si="17"/>
        <v>0</v>
      </c>
      <c r="P105" s="69">
        <f t="shared" si="18"/>
        <v>0</v>
      </c>
      <c r="Q105" s="1"/>
    </row>
    <row r="106" spans="1:17" ht="12.5">
      <c r="B106" s="9" t="str">
        <f t="shared" si="19"/>
        <v/>
      </c>
      <c r="C106" s="64">
        <f>IF(D93="","-",+C105+1)</f>
        <v>2015</v>
      </c>
      <c r="D106" s="65">
        <v>0</v>
      </c>
      <c r="E106" s="71">
        <f>IF(+J96&lt;F105,J96,D106)</f>
        <v>0</v>
      </c>
      <c r="F106" s="70">
        <f t="shared" si="20"/>
        <v>0</v>
      </c>
      <c r="G106" s="70">
        <f t="shared" si="21"/>
        <v>0</v>
      </c>
      <c r="H106" s="73">
        <f t="shared" si="22"/>
        <v>0</v>
      </c>
      <c r="I106" s="127">
        <f t="shared" si="23"/>
        <v>0</v>
      </c>
      <c r="J106" s="69">
        <f t="shared" si="15"/>
        <v>0</v>
      </c>
      <c r="K106" s="69"/>
      <c r="L106" s="150"/>
      <c r="M106" s="69">
        <f t="shared" si="16"/>
        <v>0</v>
      </c>
      <c r="N106" s="150"/>
      <c r="O106" s="69">
        <f t="shared" si="17"/>
        <v>0</v>
      </c>
      <c r="P106" s="69">
        <f t="shared" si="18"/>
        <v>0</v>
      </c>
      <c r="Q106" s="1"/>
    </row>
    <row r="107" spans="1:17" ht="12.5">
      <c r="B107" s="9" t="str">
        <f t="shared" si="19"/>
        <v/>
      </c>
      <c r="C107" s="64">
        <f>IF(D93="","-",+C106+1)</f>
        <v>2016</v>
      </c>
      <c r="D107" s="65">
        <v>0</v>
      </c>
      <c r="E107" s="71">
        <f>IF(+J96&lt;F106,J96,D107)</f>
        <v>0</v>
      </c>
      <c r="F107" s="70">
        <f t="shared" si="20"/>
        <v>0</v>
      </c>
      <c r="G107" s="70">
        <f t="shared" si="21"/>
        <v>0</v>
      </c>
      <c r="H107" s="73">
        <f t="shared" si="22"/>
        <v>0</v>
      </c>
      <c r="I107" s="127">
        <f t="shared" si="23"/>
        <v>0</v>
      </c>
      <c r="J107" s="69">
        <f t="shared" si="15"/>
        <v>0</v>
      </c>
      <c r="K107" s="69"/>
      <c r="L107" s="150"/>
      <c r="M107" s="69">
        <f t="shared" si="16"/>
        <v>0</v>
      </c>
      <c r="N107" s="150"/>
      <c r="O107" s="69">
        <f t="shared" si="17"/>
        <v>0</v>
      </c>
      <c r="P107" s="69">
        <f t="shared" si="18"/>
        <v>0</v>
      </c>
      <c r="Q107" s="1"/>
    </row>
    <row r="108" spans="1:17" ht="12.5">
      <c r="B108" s="9" t="str">
        <f t="shared" si="19"/>
        <v/>
      </c>
      <c r="C108" s="64">
        <f>IF(D93="","-",+C107+1)</f>
        <v>2017</v>
      </c>
      <c r="D108" s="65">
        <v>0</v>
      </c>
      <c r="E108" s="71">
        <f>IF(+J96&lt;F107,J96,D108)</f>
        <v>0</v>
      </c>
      <c r="F108" s="70">
        <f t="shared" si="20"/>
        <v>0</v>
      </c>
      <c r="G108" s="70">
        <f t="shared" si="21"/>
        <v>0</v>
      </c>
      <c r="H108" s="73">
        <f t="shared" si="22"/>
        <v>0</v>
      </c>
      <c r="I108" s="127">
        <f t="shared" si="23"/>
        <v>0</v>
      </c>
      <c r="J108" s="69">
        <f t="shared" si="15"/>
        <v>0</v>
      </c>
      <c r="K108" s="69"/>
      <c r="L108" s="150"/>
      <c r="M108" s="69">
        <f t="shared" si="16"/>
        <v>0</v>
      </c>
      <c r="N108" s="150"/>
      <c r="O108" s="69">
        <f t="shared" si="17"/>
        <v>0</v>
      </c>
      <c r="P108" s="69">
        <f t="shared" si="18"/>
        <v>0</v>
      </c>
      <c r="Q108" s="1"/>
    </row>
    <row r="109" spans="1:17" ht="12.5">
      <c r="B109" s="9" t="str">
        <f t="shared" si="19"/>
        <v/>
      </c>
      <c r="C109" s="64">
        <f>IF(D93="","-",+C108+1)</f>
        <v>2018</v>
      </c>
      <c r="D109" s="65">
        <v>0</v>
      </c>
      <c r="E109" s="71">
        <f>IF(+J96&lt;F108,J96,D109)</f>
        <v>0</v>
      </c>
      <c r="F109" s="70">
        <f t="shared" si="20"/>
        <v>0</v>
      </c>
      <c r="G109" s="70">
        <f t="shared" si="21"/>
        <v>0</v>
      </c>
      <c r="H109" s="73">
        <f t="shared" si="22"/>
        <v>0</v>
      </c>
      <c r="I109" s="127">
        <f t="shared" si="23"/>
        <v>0</v>
      </c>
      <c r="J109" s="69">
        <f t="shared" si="15"/>
        <v>0</v>
      </c>
      <c r="K109" s="69"/>
      <c r="L109" s="150"/>
      <c r="M109" s="69">
        <f t="shared" si="16"/>
        <v>0</v>
      </c>
      <c r="N109" s="150"/>
      <c r="O109" s="69">
        <f t="shared" si="17"/>
        <v>0</v>
      </c>
      <c r="P109" s="69">
        <f t="shared" si="18"/>
        <v>0</v>
      </c>
      <c r="Q109" s="1"/>
    </row>
    <row r="110" spans="1:17" ht="12.5">
      <c r="B110" s="9" t="str">
        <f t="shared" si="19"/>
        <v/>
      </c>
      <c r="C110" s="64">
        <f>IF(D93="","-",+C109+1)</f>
        <v>2019</v>
      </c>
      <c r="D110" s="65">
        <v>0</v>
      </c>
      <c r="E110" s="71">
        <f>IF(+J96&lt;F109,J96,D110)</f>
        <v>0</v>
      </c>
      <c r="F110" s="70">
        <f t="shared" si="20"/>
        <v>0</v>
      </c>
      <c r="G110" s="70">
        <f t="shared" si="21"/>
        <v>0</v>
      </c>
      <c r="H110" s="73">
        <f t="shared" si="22"/>
        <v>0</v>
      </c>
      <c r="I110" s="127">
        <f t="shared" si="23"/>
        <v>0</v>
      </c>
      <c r="J110" s="69">
        <f t="shared" si="15"/>
        <v>0</v>
      </c>
      <c r="K110" s="69"/>
      <c r="L110" s="150"/>
      <c r="M110" s="69">
        <f t="shared" si="16"/>
        <v>0</v>
      </c>
      <c r="N110" s="150"/>
      <c r="O110" s="69">
        <f t="shared" si="17"/>
        <v>0</v>
      </c>
      <c r="P110" s="69">
        <f t="shared" si="18"/>
        <v>0</v>
      </c>
      <c r="Q110" s="1"/>
    </row>
    <row r="111" spans="1:17" ht="12.5">
      <c r="B111" s="9" t="str">
        <f t="shared" si="19"/>
        <v/>
      </c>
      <c r="C111" s="64">
        <f>IF(D93="","-",+C110+1)</f>
        <v>2020</v>
      </c>
      <c r="D111" s="65">
        <v>0</v>
      </c>
      <c r="E111" s="71">
        <f>IF(+J96&lt;F110,J96,D111)</f>
        <v>0</v>
      </c>
      <c r="F111" s="70">
        <f t="shared" si="20"/>
        <v>0</v>
      </c>
      <c r="G111" s="70">
        <f t="shared" si="21"/>
        <v>0</v>
      </c>
      <c r="H111" s="73">
        <f t="shared" si="22"/>
        <v>0</v>
      </c>
      <c r="I111" s="127">
        <f t="shared" si="23"/>
        <v>0</v>
      </c>
      <c r="J111" s="69">
        <f t="shared" si="15"/>
        <v>0</v>
      </c>
      <c r="K111" s="69"/>
      <c r="L111" s="150"/>
      <c r="M111" s="69">
        <f t="shared" si="16"/>
        <v>0</v>
      </c>
      <c r="N111" s="150"/>
      <c r="O111" s="69">
        <f t="shared" si="17"/>
        <v>0</v>
      </c>
      <c r="P111" s="69">
        <f t="shared" si="18"/>
        <v>0</v>
      </c>
      <c r="Q111" s="1"/>
    </row>
    <row r="112" spans="1:17" ht="12.5">
      <c r="B112" s="9" t="str">
        <f t="shared" si="19"/>
        <v/>
      </c>
      <c r="C112" s="64">
        <f>IF(D93="","-",+C111+1)</f>
        <v>2021</v>
      </c>
      <c r="D112" s="65">
        <v>0</v>
      </c>
      <c r="E112" s="71">
        <f>IF(+J96&lt;F111,J96,D112)</f>
        <v>0</v>
      </c>
      <c r="F112" s="70">
        <f t="shared" si="20"/>
        <v>0</v>
      </c>
      <c r="G112" s="70">
        <f t="shared" si="21"/>
        <v>0</v>
      </c>
      <c r="H112" s="73">
        <f t="shared" si="22"/>
        <v>0</v>
      </c>
      <c r="I112" s="127">
        <f t="shared" si="23"/>
        <v>0</v>
      </c>
      <c r="J112" s="69">
        <f t="shared" si="15"/>
        <v>0</v>
      </c>
      <c r="K112" s="69"/>
      <c r="L112" s="150"/>
      <c r="M112" s="69">
        <f t="shared" si="16"/>
        <v>0</v>
      </c>
      <c r="N112" s="150"/>
      <c r="O112" s="69">
        <f t="shared" si="17"/>
        <v>0</v>
      </c>
      <c r="P112" s="69">
        <f t="shared" si="18"/>
        <v>0</v>
      </c>
      <c r="Q112" s="1"/>
    </row>
    <row r="113" spans="2:17" ht="12.5">
      <c r="B113" s="9" t="str">
        <f t="shared" si="19"/>
        <v/>
      </c>
      <c r="C113" s="64">
        <f>IF(D93="","-",+C112+1)</f>
        <v>2022</v>
      </c>
      <c r="D113" s="65">
        <v>0</v>
      </c>
      <c r="E113" s="71">
        <f>IF(+J96&lt;F112,J96,D113)</f>
        <v>0</v>
      </c>
      <c r="F113" s="70">
        <f t="shared" si="20"/>
        <v>0</v>
      </c>
      <c r="G113" s="70">
        <f t="shared" si="21"/>
        <v>0</v>
      </c>
      <c r="H113" s="73">
        <f t="shared" si="22"/>
        <v>0</v>
      </c>
      <c r="I113" s="127">
        <f t="shared" si="23"/>
        <v>0</v>
      </c>
      <c r="J113" s="69">
        <f t="shared" si="15"/>
        <v>0</v>
      </c>
      <c r="K113" s="69"/>
      <c r="L113" s="150"/>
      <c r="M113" s="69">
        <f t="shared" si="16"/>
        <v>0</v>
      </c>
      <c r="N113" s="150"/>
      <c r="O113" s="69">
        <f t="shared" si="17"/>
        <v>0</v>
      </c>
      <c r="P113" s="69">
        <f t="shared" si="18"/>
        <v>0</v>
      </c>
      <c r="Q113" s="1"/>
    </row>
    <row r="114" spans="2:17" ht="12.5">
      <c r="B114" s="9" t="str">
        <f t="shared" si="19"/>
        <v/>
      </c>
      <c r="C114" s="64">
        <f>IF(D93="","-",+C113+1)</f>
        <v>2023</v>
      </c>
      <c r="D114" s="65">
        <v>0</v>
      </c>
      <c r="E114" s="71">
        <f>IF(+J96&lt;F113,J96,D114)</f>
        <v>0</v>
      </c>
      <c r="F114" s="70">
        <f t="shared" si="20"/>
        <v>0</v>
      </c>
      <c r="G114" s="70">
        <f t="shared" si="21"/>
        <v>0</v>
      </c>
      <c r="H114" s="73">
        <f t="shared" si="22"/>
        <v>0</v>
      </c>
      <c r="I114" s="127">
        <f t="shared" si="23"/>
        <v>0</v>
      </c>
      <c r="J114" s="69">
        <f t="shared" si="15"/>
        <v>0</v>
      </c>
      <c r="K114" s="69"/>
      <c r="L114" s="150"/>
      <c r="M114" s="69">
        <f t="shared" si="16"/>
        <v>0</v>
      </c>
      <c r="N114" s="150"/>
      <c r="O114" s="69">
        <f t="shared" si="17"/>
        <v>0</v>
      </c>
      <c r="P114" s="69">
        <f t="shared" si="18"/>
        <v>0</v>
      </c>
      <c r="Q114" s="1"/>
    </row>
    <row r="115" spans="2:17" ht="12.5">
      <c r="B115" s="9" t="str">
        <f t="shared" si="19"/>
        <v/>
      </c>
      <c r="C115" s="64">
        <f>IF(D93="","-",+C114+1)</f>
        <v>2024</v>
      </c>
      <c r="D115" s="65">
        <v>0</v>
      </c>
      <c r="E115" s="71">
        <f>IF(+J96&lt;F114,J96,D115)</f>
        <v>0</v>
      </c>
      <c r="F115" s="70">
        <f t="shared" si="20"/>
        <v>0</v>
      </c>
      <c r="G115" s="70">
        <f t="shared" si="21"/>
        <v>0</v>
      </c>
      <c r="H115" s="73">
        <f t="shared" si="22"/>
        <v>0</v>
      </c>
      <c r="I115" s="127">
        <f t="shared" si="23"/>
        <v>0</v>
      </c>
      <c r="J115" s="69">
        <f t="shared" si="15"/>
        <v>0</v>
      </c>
      <c r="K115" s="69"/>
      <c r="L115" s="150"/>
      <c r="M115" s="69">
        <f t="shared" si="16"/>
        <v>0</v>
      </c>
      <c r="N115" s="150"/>
      <c r="O115" s="69">
        <f t="shared" si="17"/>
        <v>0</v>
      </c>
      <c r="P115" s="69">
        <f t="shared" si="18"/>
        <v>0</v>
      </c>
      <c r="Q115" s="1"/>
    </row>
    <row r="116" spans="2:17" ht="12.5">
      <c r="B116" s="9" t="str">
        <f t="shared" si="19"/>
        <v/>
      </c>
      <c r="C116" s="64">
        <f>IF(D93="","-",+C115+1)</f>
        <v>2025</v>
      </c>
      <c r="D116" s="65">
        <v>0</v>
      </c>
      <c r="E116" s="71">
        <f>IF(+J96&lt;F115,J96,D116)</f>
        <v>0</v>
      </c>
      <c r="F116" s="70">
        <f t="shared" si="20"/>
        <v>0</v>
      </c>
      <c r="G116" s="70">
        <f t="shared" si="21"/>
        <v>0</v>
      </c>
      <c r="H116" s="73">
        <f t="shared" si="22"/>
        <v>0</v>
      </c>
      <c r="I116" s="127">
        <f t="shared" si="23"/>
        <v>0</v>
      </c>
      <c r="J116" s="69">
        <f t="shared" si="15"/>
        <v>0</v>
      </c>
      <c r="K116" s="69"/>
      <c r="L116" s="150"/>
      <c r="M116" s="69">
        <f t="shared" si="16"/>
        <v>0</v>
      </c>
      <c r="N116" s="150"/>
      <c r="O116" s="69">
        <f t="shared" si="17"/>
        <v>0</v>
      </c>
      <c r="P116" s="69">
        <f t="shared" si="18"/>
        <v>0</v>
      </c>
      <c r="Q116" s="1"/>
    </row>
    <row r="117" spans="2:17" ht="12.5">
      <c r="B117" s="9" t="str">
        <f t="shared" si="19"/>
        <v/>
      </c>
      <c r="C117" s="64">
        <f>IF(D93="","-",+C116+1)</f>
        <v>2026</v>
      </c>
      <c r="D117" s="65">
        <v>0</v>
      </c>
      <c r="E117" s="71">
        <f>IF(+J96&lt;F116,J96,D117)</f>
        <v>0</v>
      </c>
      <c r="F117" s="70">
        <f t="shared" si="20"/>
        <v>0</v>
      </c>
      <c r="G117" s="70">
        <f t="shared" si="21"/>
        <v>0</v>
      </c>
      <c r="H117" s="73">
        <f t="shared" si="22"/>
        <v>0</v>
      </c>
      <c r="I117" s="127">
        <f t="shared" si="23"/>
        <v>0</v>
      </c>
      <c r="J117" s="69">
        <f t="shared" si="15"/>
        <v>0</v>
      </c>
      <c r="K117" s="69"/>
      <c r="L117" s="150"/>
      <c r="M117" s="69">
        <f t="shared" si="16"/>
        <v>0</v>
      </c>
      <c r="N117" s="150"/>
      <c r="O117" s="69">
        <f t="shared" si="17"/>
        <v>0</v>
      </c>
      <c r="P117" s="69">
        <f t="shared" si="18"/>
        <v>0</v>
      </c>
      <c r="Q117" s="1"/>
    </row>
    <row r="118" spans="2:17" ht="12.5">
      <c r="B118" s="9" t="str">
        <f t="shared" si="19"/>
        <v/>
      </c>
      <c r="C118" s="64">
        <f>IF(D93="","-",+C117+1)</f>
        <v>2027</v>
      </c>
      <c r="D118" s="65">
        <v>0</v>
      </c>
      <c r="E118" s="71">
        <f>IF(+J96&lt;F117,J96,D118)</f>
        <v>0</v>
      </c>
      <c r="F118" s="70">
        <f t="shared" si="20"/>
        <v>0</v>
      </c>
      <c r="G118" s="70">
        <f t="shared" si="21"/>
        <v>0</v>
      </c>
      <c r="H118" s="73">
        <f t="shared" si="22"/>
        <v>0</v>
      </c>
      <c r="I118" s="127">
        <f t="shared" si="23"/>
        <v>0</v>
      </c>
      <c r="J118" s="69">
        <f t="shared" si="15"/>
        <v>0</v>
      </c>
      <c r="K118" s="69"/>
      <c r="L118" s="150"/>
      <c r="M118" s="69">
        <f t="shared" si="16"/>
        <v>0</v>
      </c>
      <c r="N118" s="150"/>
      <c r="O118" s="69">
        <f t="shared" si="17"/>
        <v>0</v>
      </c>
      <c r="P118" s="69">
        <f t="shared" si="18"/>
        <v>0</v>
      </c>
      <c r="Q118" s="1"/>
    </row>
    <row r="119" spans="2:17" ht="12.5">
      <c r="B119" s="9" t="str">
        <f t="shared" si="19"/>
        <v/>
      </c>
      <c r="C119" s="64">
        <f>IF(D93="","-",+C118+1)</f>
        <v>2028</v>
      </c>
      <c r="D119" s="65">
        <v>0</v>
      </c>
      <c r="E119" s="71">
        <f>IF(+J96&lt;F118,J96,D119)</f>
        <v>0</v>
      </c>
      <c r="F119" s="70">
        <f t="shared" si="20"/>
        <v>0</v>
      </c>
      <c r="G119" s="70">
        <f t="shared" si="21"/>
        <v>0</v>
      </c>
      <c r="H119" s="73">
        <f t="shared" si="22"/>
        <v>0</v>
      </c>
      <c r="I119" s="127">
        <f t="shared" si="23"/>
        <v>0</v>
      </c>
      <c r="J119" s="69">
        <f t="shared" si="15"/>
        <v>0</v>
      </c>
      <c r="K119" s="69"/>
      <c r="L119" s="150"/>
      <c r="M119" s="69">
        <f t="shared" si="16"/>
        <v>0</v>
      </c>
      <c r="N119" s="150"/>
      <c r="O119" s="69">
        <f t="shared" si="17"/>
        <v>0</v>
      </c>
      <c r="P119" s="69">
        <f t="shared" si="18"/>
        <v>0</v>
      </c>
      <c r="Q119" s="1"/>
    </row>
    <row r="120" spans="2:17" ht="12.5">
      <c r="B120" s="9" t="str">
        <f t="shared" si="19"/>
        <v/>
      </c>
      <c r="C120" s="64">
        <f>IF(D93="","-",+C119+1)</f>
        <v>2029</v>
      </c>
      <c r="D120" s="65">
        <v>0</v>
      </c>
      <c r="E120" s="71">
        <f>IF(+J96&lt;F119,J96,D120)</f>
        <v>0</v>
      </c>
      <c r="F120" s="70">
        <f t="shared" si="20"/>
        <v>0</v>
      </c>
      <c r="G120" s="70">
        <f t="shared" si="21"/>
        <v>0</v>
      </c>
      <c r="H120" s="73">
        <f t="shared" si="22"/>
        <v>0</v>
      </c>
      <c r="I120" s="127">
        <f t="shared" si="23"/>
        <v>0</v>
      </c>
      <c r="J120" s="69">
        <f t="shared" si="15"/>
        <v>0</v>
      </c>
      <c r="K120" s="69"/>
      <c r="L120" s="150"/>
      <c r="M120" s="69">
        <f t="shared" si="16"/>
        <v>0</v>
      </c>
      <c r="N120" s="150"/>
      <c r="O120" s="69">
        <f t="shared" si="17"/>
        <v>0</v>
      </c>
      <c r="P120" s="69">
        <f t="shared" si="18"/>
        <v>0</v>
      </c>
      <c r="Q120" s="1"/>
    </row>
    <row r="121" spans="2:17" ht="12.5">
      <c r="B121" s="9" t="str">
        <f t="shared" si="19"/>
        <v/>
      </c>
      <c r="C121" s="64">
        <f>IF(D93="","-",+C120+1)</f>
        <v>2030</v>
      </c>
      <c r="D121" s="65">
        <v>0</v>
      </c>
      <c r="E121" s="71">
        <f>IF(+J96&lt;F120,J96,D121)</f>
        <v>0</v>
      </c>
      <c r="F121" s="70">
        <f t="shared" si="20"/>
        <v>0</v>
      </c>
      <c r="G121" s="70">
        <f t="shared" si="21"/>
        <v>0</v>
      </c>
      <c r="H121" s="73">
        <f t="shared" si="22"/>
        <v>0</v>
      </c>
      <c r="I121" s="127">
        <f t="shared" si="23"/>
        <v>0</v>
      </c>
      <c r="J121" s="69">
        <f t="shared" si="15"/>
        <v>0</v>
      </c>
      <c r="K121" s="69"/>
      <c r="L121" s="150"/>
      <c r="M121" s="69">
        <f t="shared" si="16"/>
        <v>0</v>
      </c>
      <c r="N121" s="150"/>
      <c r="O121" s="69">
        <f t="shared" si="17"/>
        <v>0</v>
      </c>
      <c r="P121" s="69">
        <f t="shared" si="18"/>
        <v>0</v>
      </c>
      <c r="Q121" s="1"/>
    </row>
    <row r="122" spans="2:17" ht="12.5">
      <c r="B122" s="9" t="str">
        <f t="shared" si="19"/>
        <v/>
      </c>
      <c r="C122" s="64">
        <f>IF(D93="","-",+C121+1)</f>
        <v>2031</v>
      </c>
      <c r="D122" s="65">
        <v>0</v>
      </c>
      <c r="E122" s="71">
        <f>IF(+J96&lt;F121,J96,D122)</f>
        <v>0</v>
      </c>
      <c r="F122" s="70">
        <f t="shared" si="20"/>
        <v>0</v>
      </c>
      <c r="G122" s="70">
        <f t="shared" si="21"/>
        <v>0</v>
      </c>
      <c r="H122" s="73">
        <f t="shared" si="22"/>
        <v>0</v>
      </c>
      <c r="I122" s="127">
        <f t="shared" si="23"/>
        <v>0</v>
      </c>
      <c r="J122" s="69">
        <f t="shared" si="15"/>
        <v>0</v>
      </c>
      <c r="K122" s="69"/>
      <c r="L122" s="150"/>
      <c r="M122" s="69">
        <f t="shared" si="16"/>
        <v>0</v>
      </c>
      <c r="N122" s="150"/>
      <c r="O122" s="69">
        <f t="shared" si="17"/>
        <v>0</v>
      </c>
      <c r="P122" s="69">
        <f t="shared" si="18"/>
        <v>0</v>
      </c>
      <c r="Q122" s="1"/>
    </row>
    <row r="123" spans="2:17" ht="12.5">
      <c r="B123" s="9" t="str">
        <f t="shared" si="19"/>
        <v/>
      </c>
      <c r="C123" s="64">
        <f>IF(D93="","-",+C122+1)</f>
        <v>2032</v>
      </c>
      <c r="D123" s="65">
        <v>0</v>
      </c>
      <c r="E123" s="71">
        <f>IF(+J96&lt;F122,J96,D123)</f>
        <v>0</v>
      </c>
      <c r="F123" s="70">
        <f t="shared" si="20"/>
        <v>0</v>
      </c>
      <c r="G123" s="70">
        <f t="shared" si="21"/>
        <v>0</v>
      </c>
      <c r="H123" s="73">
        <f t="shared" si="22"/>
        <v>0</v>
      </c>
      <c r="I123" s="127">
        <f t="shared" si="23"/>
        <v>0</v>
      </c>
      <c r="J123" s="69">
        <f t="shared" si="15"/>
        <v>0</v>
      </c>
      <c r="K123" s="69"/>
      <c r="L123" s="150"/>
      <c r="M123" s="69">
        <f t="shared" si="16"/>
        <v>0</v>
      </c>
      <c r="N123" s="150"/>
      <c r="O123" s="69">
        <f t="shared" si="17"/>
        <v>0</v>
      </c>
      <c r="P123" s="69">
        <f t="shared" si="18"/>
        <v>0</v>
      </c>
      <c r="Q123" s="1"/>
    </row>
    <row r="124" spans="2:17" ht="12.5">
      <c r="B124" s="9" t="str">
        <f t="shared" si="19"/>
        <v/>
      </c>
      <c r="C124" s="64">
        <f>IF(D93="","-",+C123+1)</f>
        <v>2033</v>
      </c>
      <c r="D124" s="65">
        <v>0</v>
      </c>
      <c r="E124" s="71">
        <f>IF(+J96&lt;F123,J96,D124)</f>
        <v>0</v>
      </c>
      <c r="F124" s="70">
        <f t="shared" si="20"/>
        <v>0</v>
      </c>
      <c r="G124" s="70">
        <f t="shared" si="21"/>
        <v>0</v>
      </c>
      <c r="H124" s="73">
        <f t="shared" si="22"/>
        <v>0</v>
      </c>
      <c r="I124" s="127">
        <f t="shared" si="23"/>
        <v>0</v>
      </c>
      <c r="J124" s="69">
        <f t="shared" si="15"/>
        <v>0</v>
      </c>
      <c r="K124" s="69"/>
      <c r="L124" s="150"/>
      <c r="M124" s="69">
        <f t="shared" si="16"/>
        <v>0</v>
      </c>
      <c r="N124" s="150"/>
      <c r="O124" s="69">
        <f t="shared" si="17"/>
        <v>0</v>
      </c>
      <c r="P124" s="69">
        <f t="shared" si="18"/>
        <v>0</v>
      </c>
      <c r="Q124" s="1"/>
    </row>
    <row r="125" spans="2:17" ht="12.5">
      <c r="B125" s="9" t="str">
        <f t="shared" si="19"/>
        <v/>
      </c>
      <c r="C125" s="64">
        <f>IF(D93="","-",+C124+1)</f>
        <v>2034</v>
      </c>
      <c r="D125" s="65">
        <v>0</v>
      </c>
      <c r="E125" s="71">
        <f>IF(+J96&lt;F124,J96,D125)</f>
        <v>0</v>
      </c>
      <c r="F125" s="70">
        <f t="shared" si="20"/>
        <v>0</v>
      </c>
      <c r="G125" s="70">
        <f t="shared" si="21"/>
        <v>0</v>
      </c>
      <c r="H125" s="73">
        <f t="shared" si="22"/>
        <v>0</v>
      </c>
      <c r="I125" s="127">
        <f t="shared" si="23"/>
        <v>0</v>
      </c>
      <c r="J125" s="69">
        <f t="shared" si="15"/>
        <v>0</v>
      </c>
      <c r="K125" s="69"/>
      <c r="L125" s="150"/>
      <c r="M125" s="69">
        <f t="shared" si="16"/>
        <v>0</v>
      </c>
      <c r="N125" s="150"/>
      <c r="O125" s="69">
        <f t="shared" si="17"/>
        <v>0</v>
      </c>
      <c r="P125" s="69">
        <f t="shared" si="18"/>
        <v>0</v>
      </c>
      <c r="Q125" s="1"/>
    </row>
    <row r="126" spans="2:17" ht="12.5">
      <c r="B126" s="9" t="str">
        <f t="shared" si="19"/>
        <v/>
      </c>
      <c r="C126" s="64">
        <f>IF(D93="","-",+C125+1)</f>
        <v>2035</v>
      </c>
      <c r="D126" s="65">
        <v>0</v>
      </c>
      <c r="E126" s="71">
        <f>IF(+J96&lt;F125,J96,D126)</f>
        <v>0</v>
      </c>
      <c r="F126" s="70">
        <f t="shared" si="20"/>
        <v>0</v>
      </c>
      <c r="G126" s="70">
        <f t="shared" si="21"/>
        <v>0</v>
      </c>
      <c r="H126" s="73">
        <f t="shared" si="22"/>
        <v>0</v>
      </c>
      <c r="I126" s="127">
        <f t="shared" si="23"/>
        <v>0</v>
      </c>
      <c r="J126" s="69">
        <f t="shared" si="15"/>
        <v>0</v>
      </c>
      <c r="K126" s="69"/>
      <c r="L126" s="150"/>
      <c r="M126" s="69">
        <f t="shared" si="16"/>
        <v>0</v>
      </c>
      <c r="N126" s="150"/>
      <c r="O126" s="69">
        <f t="shared" si="17"/>
        <v>0</v>
      </c>
      <c r="P126" s="69">
        <f t="shared" si="18"/>
        <v>0</v>
      </c>
      <c r="Q126" s="1"/>
    </row>
    <row r="127" spans="2:17" ht="12.5">
      <c r="B127" s="9" t="str">
        <f t="shared" si="19"/>
        <v/>
      </c>
      <c r="C127" s="64">
        <f>IF(D93="","-",+C126+1)</f>
        <v>2036</v>
      </c>
      <c r="D127" s="65">
        <v>0</v>
      </c>
      <c r="E127" s="71">
        <f>IF(+J96&lt;F126,J96,D127)</f>
        <v>0</v>
      </c>
      <c r="F127" s="70">
        <f t="shared" si="20"/>
        <v>0</v>
      </c>
      <c r="G127" s="70">
        <f t="shared" si="21"/>
        <v>0</v>
      </c>
      <c r="H127" s="73">
        <f t="shared" si="22"/>
        <v>0</v>
      </c>
      <c r="I127" s="127">
        <f t="shared" si="23"/>
        <v>0</v>
      </c>
      <c r="J127" s="69">
        <f t="shared" si="15"/>
        <v>0</v>
      </c>
      <c r="K127" s="69"/>
      <c r="L127" s="150"/>
      <c r="M127" s="69">
        <f t="shared" si="16"/>
        <v>0</v>
      </c>
      <c r="N127" s="150"/>
      <c r="O127" s="69">
        <f t="shared" si="17"/>
        <v>0</v>
      </c>
      <c r="P127" s="69">
        <f t="shared" si="18"/>
        <v>0</v>
      </c>
      <c r="Q127" s="1"/>
    </row>
    <row r="128" spans="2:17" ht="12.5">
      <c r="B128" s="9" t="str">
        <f t="shared" si="19"/>
        <v/>
      </c>
      <c r="C128" s="64">
        <f>IF(D93="","-",+C127+1)</f>
        <v>2037</v>
      </c>
      <c r="D128" s="65">
        <v>0</v>
      </c>
      <c r="E128" s="71">
        <f>IF(+J96&lt;F127,J96,D128)</f>
        <v>0</v>
      </c>
      <c r="F128" s="70">
        <f t="shared" si="20"/>
        <v>0</v>
      </c>
      <c r="G128" s="70">
        <f t="shared" si="21"/>
        <v>0</v>
      </c>
      <c r="H128" s="73">
        <f t="shared" si="22"/>
        <v>0</v>
      </c>
      <c r="I128" s="127">
        <f t="shared" si="23"/>
        <v>0</v>
      </c>
      <c r="J128" s="69">
        <f t="shared" si="15"/>
        <v>0</v>
      </c>
      <c r="K128" s="69"/>
      <c r="L128" s="150"/>
      <c r="M128" s="69">
        <f t="shared" si="16"/>
        <v>0</v>
      </c>
      <c r="N128" s="150"/>
      <c r="O128" s="69">
        <f t="shared" si="17"/>
        <v>0</v>
      </c>
      <c r="P128" s="69">
        <f t="shared" si="18"/>
        <v>0</v>
      </c>
      <c r="Q128" s="1"/>
    </row>
    <row r="129" spans="2:17" ht="12.5">
      <c r="B129" s="9" t="str">
        <f t="shared" si="19"/>
        <v/>
      </c>
      <c r="C129" s="64">
        <f>IF(D93="","-",+C128+1)</f>
        <v>2038</v>
      </c>
      <c r="D129" s="65">
        <v>0</v>
      </c>
      <c r="E129" s="71">
        <f>IF(+J96&lt;F128,J96,D129)</f>
        <v>0</v>
      </c>
      <c r="F129" s="70">
        <f t="shared" si="20"/>
        <v>0</v>
      </c>
      <c r="G129" s="70">
        <f t="shared" si="21"/>
        <v>0</v>
      </c>
      <c r="H129" s="73">
        <f t="shared" si="22"/>
        <v>0</v>
      </c>
      <c r="I129" s="127">
        <f t="shared" si="23"/>
        <v>0</v>
      </c>
      <c r="J129" s="69">
        <f t="shared" si="15"/>
        <v>0</v>
      </c>
      <c r="K129" s="69"/>
      <c r="L129" s="150"/>
      <c r="M129" s="69">
        <f t="shared" si="16"/>
        <v>0</v>
      </c>
      <c r="N129" s="150"/>
      <c r="O129" s="69">
        <f t="shared" si="17"/>
        <v>0</v>
      </c>
      <c r="P129" s="69">
        <f t="shared" si="18"/>
        <v>0</v>
      </c>
      <c r="Q129" s="1"/>
    </row>
    <row r="130" spans="2:17" ht="12.5">
      <c r="B130" s="9" t="str">
        <f t="shared" si="19"/>
        <v/>
      </c>
      <c r="C130" s="64">
        <f>IF(D93="","-",+C129+1)</f>
        <v>2039</v>
      </c>
      <c r="D130" s="65">
        <v>0</v>
      </c>
      <c r="E130" s="71">
        <f>IF(+J96&lt;F129,J96,D130)</f>
        <v>0</v>
      </c>
      <c r="F130" s="70">
        <f t="shared" si="20"/>
        <v>0</v>
      </c>
      <c r="G130" s="70">
        <f t="shared" si="21"/>
        <v>0</v>
      </c>
      <c r="H130" s="73">
        <f t="shared" si="22"/>
        <v>0</v>
      </c>
      <c r="I130" s="127">
        <f t="shared" si="23"/>
        <v>0</v>
      </c>
      <c r="J130" s="69">
        <f t="shared" si="15"/>
        <v>0</v>
      </c>
      <c r="K130" s="69"/>
      <c r="L130" s="150"/>
      <c r="M130" s="69">
        <f t="shared" si="16"/>
        <v>0</v>
      </c>
      <c r="N130" s="150"/>
      <c r="O130" s="69">
        <f t="shared" si="17"/>
        <v>0</v>
      </c>
      <c r="P130" s="69">
        <f t="shared" si="18"/>
        <v>0</v>
      </c>
      <c r="Q130" s="1"/>
    </row>
    <row r="131" spans="2:17" ht="12.5">
      <c r="B131" s="9" t="str">
        <f t="shared" si="19"/>
        <v/>
      </c>
      <c r="C131" s="64">
        <f>IF(D93="","-",+C130+1)</f>
        <v>2040</v>
      </c>
      <c r="D131" s="65">
        <v>0</v>
      </c>
      <c r="E131" s="71">
        <f>IF(+J96&lt;F130,J96,D131)</f>
        <v>0</v>
      </c>
      <c r="F131" s="70">
        <f t="shared" ref="F131:F154" si="24">+D131-E131</f>
        <v>0</v>
      </c>
      <c r="G131" s="70">
        <f t="shared" ref="G131:G154" si="25">+(F131+D131)/2</f>
        <v>0</v>
      </c>
      <c r="H131" s="73">
        <f t="shared" ref="H131:H154" si="26">+J$94*G131+E131</f>
        <v>0</v>
      </c>
      <c r="I131" s="127">
        <f t="shared" ref="I131:I154" si="27">+J$95*G131+E131</f>
        <v>0</v>
      </c>
      <c r="J131" s="69">
        <f t="shared" ref="J131:J154" si="28">+I131-H131</f>
        <v>0</v>
      </c>
      <c r="K131" s="69"/>
      <c r="L131" s="150"/>
      <c r="M131" s="69">
        <f t="shared" ref="M131:M154" si="29">IF(L131&lt;&gt;0,+H131-L131,0)</f>
        <v>0</v>
      </c>
      <c r="N131" s="150"/>
      <c r="O131" s="69">
        <f t="shared" ref="O131:O154" si="30">IF(N131&lt;&gt;0,+I131-N131,0)</f>
        <v>0</v>
      </c>
      <c r="P131" s="69">
        <f t="shared" ref="P131:P154" si="31">+O131-M131</f>
        <v>0</v>
      </c>
      <c r="Q131" s="1"/>
    </row>
    <row r="132" spans="2:17" ht="12.5">
      <c r="B132" s="9" t="str">
        <f t="shared" si="19"/>
        <v/>
      </c>
      <c r="C132" s="64">
        <f>IF(D93="","-",+C131+1)</f>
        <v>2041</v>
      </c>
      <c r="D132" s="65">
        <v>0</v>
      </c>
      <c r="E132" s="71">
        <f>IF(+J96&lt;F131,J96,D132)</f>
        <v>0</v>
      </c>
      <c r="F132" s="70">
        <f t="shared" si="24"/>
        <v>0</v>
      </c>
      <c r="G132" s="70">
        <f t="shared" si="25"/>
        <v>0</v>
      </c>
      <c r="H132" s="73">
        <f t="shared" si="26"/>
        <v>0</v>
      </c>
      <c r="I132" s="127">
        <f t="shared" si="27"/>
        <v>0</v>
      </c>
      <c r="J132" s="69">
        <f t="shared" si="28"/>
        <v>0</v>
      </c>
      <c r="K132" s="69"/>
      <c r="L132" s="150"/>
      <c r="M132" s="69">
        <f t="shared" si="29"/>
        <v>0</v>
      </c>
      <c r="N132" s="150"/>
      <c r="O132" s="69">
        <f t="shared" si="30"/>
        <v>0</v>
      </c>
      <c r="P132" s="69">
        <f t="shared" si="31"/>
        <v>0</v>
      </c>
      <c r="Q132" s="1"/>
    </row>
    <row r="133" spans="2:17" ht="12.5">
      <c r="B133" s="9" t="str">
        <f t="shared" si="19"/>
        <v/>
      </c>
      <c r="C133" s="64">
        <f>IF(D93="","-",+C132+1)</f>
        <v>2042</v>
      </c>
      <c r="D133" s="65">
        <v>0</v>
      </c>
      <c r="E133" s="71">
        <f>IF(+J96&lt;F132,J96,D133)</f>
        <v>0</v>
      </c>
      <c r="F133" s="70">
        <f t="shared" si="24"/>
        <v>0</v>
      </c>
      <c r="G133" s="70">
        <f t="shared" si="25"/>
        <v>0</v>
      </c>
      <c r="H133" s="73">
        <f t="shared" si="26"/>
        <v>0</v>
      </c>
      <c r="I133" s="127">
        <f t="shared" si="27"/>
        <v>0</v>
      </c>
      <c r="J133" s="69">
        <f t="shared" si="28"/>
        <v>0</v>
      </c>
      <c r="K133" s="69"/>
      <c r="L133" s="150"/>
      <c r="M133" s="69">
        <f t="shared" si="29"/>
        <v>0</v>
      </c>
      <c r="N133" s="150"/>
      <c r="O133" s="69">
        <f t="shared" si="30"/>
        <v>0</v>
      </c>
      <c r="P133" s="69">
        <f t="shared" si="31"/>
        <v>0</v>
      </c>
      <c r="Q133" s="1"/>
    </row>
    <row r="134" spans="2:17" ht="12.5">
      <c r="B134" s="9" t="str">
        <f t="shared" si="19"/>
        <v/>
      </c>
      <c r="C134" s="64">
        <f>IF(D93="","-",+C133+1)</f>
        <v>2043</v>
      </c>
      <c r="D134" s="65">
        <v>0</v>
      </c>
      <c r="E134" s="71">
        <f>IF(+J96&lt;F133,J96,D134)</f>
        <v>0</v>
      </c>
      <c r="F134" s="70">
        <f t="shared" si="24"/>
        <v>0</v>
      </c>
      <c r="G134" s="70">
        <f t="shared" si="25"/>
        <v>0</v>
      </c>
      <c r="H134" s="73">
        <f t="shared" si="26"/>
        <v>0</v>
      </c>
      <c r="I134" s="127">
        <f t="shared" si="27"/>
        <v>0</v>
      </c>
      <c r="J134" s="69">
        <f t="shared" si="28"/>
        <v>0</v>
      </c>
      <c r="K134" s="69"/>
      <c r="L134" s="150"/>
      <c r="M134" s="69">
        <f t="shared" si="29"/>
        <v>0</v>
      </c>
      <c r="N134" s="150"/>
      <c r="O134" s="69">
        <f t="shared" si="30"/>
        <v>0</v>
      </c>
      <c r="P134" s="69">
        <f t="shared" si="31"/>
        <v>0</v>
      </c>
      <c r="Q134" s="1"/>
    </row>
    <row r="135" spans="2:17" ht="12.5">
      <c r="B135" s="9" t="str">
        <f t="shared" si="19"/>
        <v/>
      </c>
      <c r="C135" s="64">
        <f>IF(D93="","-",+C134+1)</f>
        <v>2044</v>
      </c>
      <c r="D135" s="65">
        <v>0</v>
      </c>
      <c r="E135" s="71">
        <f>IF(+J96&lt;F134,J96,D135)</f>
        <v>0</v>
      </c>
      <c r="F135" s="70">
        <f t="shared" si="24"/>
        <v>0</v>
      </c>
      <c r="G135" s="70">
        <f t="shared" si="25"/>
        <v>0</v>
      </c>
      <c r="H135" s="73">
        <f t="shared" si="26"/>
        <v>0</v>
      </c>
      <c r="I135" s="127">
        <f t="shared" si="27"/>
        <v>0</v>
      </c>
      <c r="J135" s="69">
        <f t="shared" si="28"/>
        <v>0</v>
      </c>
      <c r="K135" s="69"/>
      <c r="L135" s="150"/>
      <c r="M135" s="69">
        <f t="shared" si="29"/>
        <v>0</v>
      </c>
      <c r="N135" s="150"/>
      <c r="O135" s="69">
        <f t="shared" si="30"/>
        <v>0</v>
      </c>
      <c r="P135" s="69">
        <f t="shared" si="31"/>
        <v>0</v>
      </c>
      <c r="Q135" s="1"/>
    </row>
    <row r="136" spans="2:17" ht="12.5">
      <c r="B136" s="9" t="str">
        <f t="shared" si="19"/>
        <v/>
      </c>
      <c r="C136" s="64">
        <f>IF(D93="","-",+C135+1)</f>
        <v>2045</v>
      </c>
      <c r="D136" s="65">
        <v>0</v>
      </c>
      <c r="E136" s="71">
        <f>IF(+J96&lt;F135,J96,D136)</f>
        <v>0</v>
      </c>
      <c r="F136" s="70">
        <f t="shared" si="24"/>
        <v>0</v>
      </c>
      <c r="G136" s="70">
        <f t="shared" si="25"/>
        <v>0</v>
      </c>
      <c r="H136" s="73">
        <f t="shared" si="26"/>
        <v>0</v>
      </c>
      <c r="I136" s="127">
        <f t="shared" si="27"/>
        <v>0</v>
      </c>
      <c r="J136" s="69">
        <f t="shared" si="28"/>
        <v>0</v>
      </c>
      <c r="K136" s="69"/>
      <c r="L136" s="150"/>
      <c r="M136" s="69">
        <f t="shared" si="29"/>
        <v>0</v>
      </c>
      <c r="N136" s="150"/>
      <c r="O136" s="69">
        <f t="shared" si="30"/>
        <v>0</v>
      </c>
      <c r="P136" s="69">
        <f t="shared" si="31"/>
        <v>0</v>
      </c>
      <c r="Q136" s="1"/>
    </row>
    <row r="137" spans="2:17" ht="12.5">
      <c r="B137" s="9" t="str">
        <f t="shared" si="19"/>
        <v/>
      </c>
      <c r="C137" s="64">
        <f>IF(D93="","-",+C136+1)</f>
        <v>2046</v>
      </c>
      <c r="D137" s="65">
        <v>0</v>
      </c>
      <c r="E137" s="71">
        <f>IF(+J96&lt;F136,J96,D137)</f>
        <v>0</v>
      </c>
      <c r="F137" s="70">
        <f t="shared" si="24"/>
        <v>0</v>
      </c>
      <c r="G137" s="70">
        <f t="shared" si="25"/>
        <v>0</v>
      </c>
      <c r="H137" s="73">
        <f t="shared" si="26"/>
        <v>0</v>
      </c>
      <c r="I137" s="127">
        <f t="shared" si="27"/>
        <v>0</v>
      </c>
      <c r="J137" s="69">
        <f t="shared" si="28"/>
        <v>0</v>
      </c>
      <c r="K137" s="69"/>
      <c r="L137" s="150"/>
      <c r="M137" s="69">
        <f t="shared" si="29"/>
        <v>0</v>
      </c>
      <c r="N137" s="150"/>
      <c r="O137" s="69">
        <f t="shared" si="30"/>
        <v>0</v>
      </c>
      <c r="P137" s="69">
        <f t="shared" si="31"/>
        <v>0</v>
      </c>
      <c r="Q137" s="1"/>
    </row>
    <row r="138" spans="2:17" ht="12.5">
      <c r="B138" s="9" t="str">
        <f t="shared" si="19"/>
        <v/>
      </c>
      <c r="C138" s="64">
        <f>IF(D93="","-",+C137+1)</f>
        <v>2047</v>
      </c>
      <c r="D138" s="65">
        <v>0</v>
      </c>
      <c r="E138" s="71">
        <f>IF(+J96&lt;F137,J96,D138)</f>
        <v>0</v>
      </c>
      <c r="F138" s="70">
        <f t="shared" si="24"/>
        <v>0</v>
      </c>
      <c r="G138" s="70">
        <f t="shared" si="25"/>
        <v>0</v>
      </c>
      <c r="H138" s="73">
        <f t="shared" si="26"/>
        <v>0</v>
      </c>
      <c r="I138" s="127">
        <f t="shared" si="27"/>
        <v>0</v>
      </c>
      <c r="J138" s="69">
        <f t="shared" si="28"/>
        <v>0</v>
      </c>
      <c r="K138" s="69"/>
      <c r="L138" s="150"/>
      <c r="M138" s="69">
        <f t="shared" si="29"/>
        <v>0</v>
      </c>
      <c r="N138" s="150"/>
      <c r="O138" s="69">
        <f t="shared" si="30"/>
        <v>0</v>
      </c>
      <c r="P138" s="69">
        <f t="shared" si="31"/>
        <v>0</v>
      </c>
      <c r="Q138" s="1"/>
    </row>
    <row r="139" spans="2:17" ht="12.5">
      <c r="B139" s="9" t="str">
        <f t="shared" si="19"/>
        <v/>
      </c>
      <c r="C139" s="64">
        <f>IF(D93="","-",+C138+1)</f>
        <v>2048</v>
      </c>
      <c r="D139" s="65">
        <v>0</v>
      </c>
      <c r="E139" s="71">
        <f>IF(+J96&lt;F138,J96,D139)</f>
        <v>0</v>
      </c>
      <c r="F139" s="70">
        <f t="shared" si="24"/>
        <v>0</v>
      </c>
      <c r="G139" s="70">
        <f t="shared" si="25"/>
        <v>0</v>
      </c>
      <c r="H139" s="73">
        <f t="shared" si="26"/>
        <v>0</v>
      </c>
      <c r="I139" s="127">
        <f t="shared" si="27"/>
        <v>0</v>
      </c>
      <c r="J139" s="69">
        <f t="shared" si="28"/>
        <v>0</v>
      </c>
      <c r="K139" s="69"/>
      <c r="L139" s="150"/>
      <c r="M139" s="69">
        <f t="shared" si="29"/>
        <v>0</v>
      </c>
      <c r="N139" s="150"/>
      <c r="O139" s="69">
        <f t="shared" si="30"/>
        <v>0</v>
      </c>
      <c r="P139" s="69">
        <f t="shared" si="31"/>
        <v>0</v>
      </c>
      <c r="Q139" s="1"/>
    </row>
    <row r="140" spans="2:17" ht="12.5">
      <c r="B140" s="9" t="str">
        <f t="shared" si="19"/>
        <v/>
      </c>
      <c r="C140" s="64">
        <f>IF(D93="","-",+C139+1)</f>
        <v>2049</v>
      </c>
      <c r="D140" s="65">
        <v>0</v>
      </c>
      <c r="E140" s="71">
        <f>IF(+J96&lt;F139,J96,D140)</f>
        <v>0</v>
      </c>
      <c r="F140" s="70">
        <f t="shared" si="24"/>
        <v>0</v>
      </c>
      <c r="G140" s="70">
        <f t="shared" si="25"/>
        <v>0</v>
      </c>
      <c r="H140" s="73">
        <f t="shared" si="26"/>
        <v>0</v>
      </c>
      <c r="I140" s="127">
        <f t="shared" si="27"/>
        <v>0</v>
      </c>
      <c r="J140" s="69">
        <f t="shared" si="28"/>
        <v>0</v>
      </c>
      <c r="K140" s="69"/>
      <c r="L140" s="150"/>
      <c r="M140" s="69">
        <f t="shared" si="29"/>
        <v>0</v>
      </c>
      <c r="N140" s="150"/>
      <c r="O140" s="69">
        <f t="shared" si="30"/>
        <v>0</v>
      </c>
      <c r="P140" s="69">
        <f t="shared" si="31"/>
        <v>0</v>
      </c>
      <c r="Q140" s="1"/>
    </row>
    <row r="141" spans="2:17" ht="12.5">
      <c r="B141" s="9" t="str">
        <f t="shared" si="19"/>
        <v/>
      </c>
      <c r="C141" s="64">
        <f>IF(D93="","-",+C140+1)</f>
        <v>2050</v>
      </c>
      <c r="D141" s="65">
        <v>0</v>
      </c>
      <c r="E141" s="71">
        <f>IF(+J96&lt;F140,J96,D141)</f>
        <v>0</v>
      </c>
      <c r="F141" s="70">
        <f t="shared" si="24"/>
        <v>0</v>
      </c>
      <c r="G141" s="70">
        <f t="shared" si="25"/>
        <v>0</v>
      </c>
      <c r="H141" s="73">
        <f t="shared" si="26"/>
        <v>0</v>
      </c>
      <c r="I141" s="127">
        <f t="shared" si="27"/>
        <v>0</v>
      </c>
      <c r="J141" s="69">
        <f t="shared" si="28"/>
        <v>0</v>
      </c>
      <c r="K141" s="69"/>
      <c r="L141" s="150"/>
      <c r="M141" s="69">
        <f t="shared" si="29"/>
        <v>0</v>
      </c>
      <c r="N141" s="150"/>
      <c r="O141" s="69">
        <f t="shared" si="30"/>
        <v>0</v>
      </c>
      <c r="P141" s="69">
        <f t="shared" si="31"/>
        <v>0</v>
      </c>
      <c r="Q141" s="1"/>
    </row>
    <row r="142" spans="2:17" ht="12.5">
      <c r="B142" s="9" t="str">
        <f t="shared" si="19"/>
        <v/>
      </c>
      <c r="C142" s="64">
        <f>IF(D93="","-",+C141+1)</f>
        <v>2051</v>
      </c>
      <c r="D142" s="65">
        <v>0</v>
      </c>
      <c r="E142" s="71">
        <f>IF(+J96&lt;F141,J96,D142)</f>
        <v>0</v>
      </c>
      <c r="F142" s="70">
        <f t="shared" si="24"/>
        <v>0</v>
      </c>
      <c r="G142" s="70">
        <f t="shared" si="25"/>
        <v>0</v>
      </c>
      <c r="H142" s="73">
        <f t="shared" si="26"/>
        <v>0</v>
      </c>
      <c r="I142" s="127">
        <f t="shared" si="27"/>
        <v>0</v>
      </c>
      <c r="J142" s="69">
        <f t="shared" si="28"/>
        <v>0</v>
      </c>
      <c r="K142" s="69"/>
      <c r="L142" s="150"/>
      <c r="M142" s="69">
        <f t="shared" si="29"/>
        <v>0</v>
      </c>
      <c r="N142" s="150"/>
      <c r="O142" s="69">
        <f t="shared" si="30"/>
        <v>0</v>
      </c>
      <c r="P142" s="69">
        <f t="shared" si="31"/>
        <v>0</v>
      </c>
      <c r="Q142" s="1"/>
    </row>
    <row r="143" spans="2:17" ht="12.5">
      <c r="B143" s="9" t="str">
        <f t="shared" si="19"/>
        <v/>
      </c>
      <c r="C143" s="64">
        <f>IF(D93="","-",+C142+1)</f>
        <v>2052</v>
      </c>
      <c r="D143" s="65">
        <v>0</v>
      </c>
      <c r="E143" s="71">
        <f>IF(+J96&lt;F142,J96,D143)</f>
        <v>0</v>
      </c>
      <c r="F143" s="70">
        <f t="shared" si="24"/>
        <v>0</v>
      </c>
      <c r="G143" s="70">
        <f t="shared" si="25"/>
        <v>0</v>
      </c>
      <c r="H143" s="73">
        <f t="shared" si="26"/>
        <v>0</v>
      </c>
      <c r="I143" s="127">
        <f t="shared" si="27"/>
        <v>0</v>
      </c>
      <c r="J143" s="69">
        <f t="shared" si="28"/>
        <v>0</v>
      </c>
      <c r="K143" s="69"/>
      <c r="L143" s="150"/>
      <c r="M143" s="69">
        <f t="shared" si="29"/>
        <v>0</v>
      </c>
      <c r="N143" s="150"/>
      <c r="O143" s="69">
        <f t="shared" si="30"/>
        <v>0</v>
      </c>
      <c r="P143" s="69">
        <f t="shared" si="31"/>
        <v>0</v>
      </c>
      <c r="Q143" s="1"/>
    </row>
    <row r="144" spans="2:17" ht="12.5">
      <c r="B144" s="9" t="str">
        <f t="shared" si="19"/>
        <v/>
      </c>
      <c r="C144" s="64">
        <f>IF(D93="","-",+C143+1)</f>
        <v>2053</v>
      </c>
      <c r="D144" s="65">
        <v>0</v>
      </c>
      <c r="E144" s="71">
        <f>IF(+J96&lt;F143,J96,D144)</f>
        <v>0</v>
      </c>
      <c r="F144" s="70">
        <f t="shared" si="24"/>
        <v>0</v>
      </c>
      <c r="G144" s="70">
        <f t="shared" si="25"/>
        <v>0</v>
      </c>
      <c r="H144" s="73">
        <f t="shared" si="26"/>
        <v>0</v>
      </c>
      <c r="I144" s="127">
        <f t="shared" si="27"/>
        <v>0</v>
      </c>
      <c r="J144" s="69">
        <f t="shared" si="28"/>
        <v>0</v>
      </c>
      <c r="K144" s="69"/>
      <c r="L144" s="150"/>
      <c r="M144" s="69">
        <f t="shared" si="29"/>
        <v>0</v>
      </c>
      <c r="N144" s="150"/>
      <c r="O144" s="69">
        <f t="shared" si="30"/>
        <v>0</v>
      </c>
      <c r="P144" s="69">
        <f t="shared" si="31"/>
        <v>0</v>
      </c>
      <c r="Q144" s="1"/>
    </row>
    <row r="145" spans="2:17" ht="12.5">
      <c r="B145" s="9" t="str">
        <f t="shared" si="19"/>
        <v/>
      </c>
      <c r="C145" s="64">
        <f>IF(D93="","-",+C144+1)</f>
        <v>2054</v>
      </c>
      <c r="D145" s="65">
        <v>0</v>
      </c>
      <c r="E145" s="71">
        <f>IF(+J96&lt;F144,J96,D145)</f>
        <v>0</v>
      </c>
      <c r="F145" s="70">
        <f t="shared" si="24"/>
        <v>0</v>
      </c>
      <c r="G145" s="70">
        <f t="shared" si="25"/>
        <v>0</v>
      </c>
      <c r="H145" s="73">
        <f t="shared" si="26"/>
        <v>0</v>
      </c>
      <c r="I145" s="127">
        <f t="shared" si="27"/>
        <v>0</v>
      </c>
      <c r="J145" s="69">
        <f t="shared" si="28"/>
        <v>0</v>
      </c>
      <c r="K145" s="69"/>
      <c r="L145" s="150"/>
      <c r="M145" s="69">
        <f t="shared" si="29"/>
        <v>0</v>
      </c>
      <c r="N145" s="150"/>
      <c r="O145" s="69">
        <f t="shared" si="30"/>
        <v>0</v>
      </c>
      <c r="P145" s="69">
        <f t="shared" si="31"/>
        <v>0</v>
      </c>
      <c r="Q145" s="1"/>
    </row>
    <row r="146" spans="2:17" ht="12.5">
      <c r="B146" s="9" t="str">
        <f t="shared" si="19"/>
        <v/>
      </c>
      <c r="C146" s="64">
        <f>IF(D93="","-",+C145+1)</f>
        <v>2055</v>
      </c>
      <c r="D146" s="65">
        <v>0</v>
      </c>
      <c r="E146" s="71">
        <f>IF(+J96&lt;F145,J96,D146)</f>
        <v>0</v>
      </c>
      <c r="F146" s="70">
        <f t="shared" si="24"/>
        <v>0</v>
      </c>
      <c r="G146" s="70">
        <f t="shared" si="25"/>
        <v>0</v>
      </c>
      <c r="H146" s="73">
        <f t="shared" si="26"/>
        <v>0</v>
      </c>
      <c r="I146" s="127">
        <f t="shared" si="27"/>
        <v>0</v>
      </c>
      <c r="J146" s="69">
        <f t="shared" si="28"/>
        <v>0</v>
      </c>
      <c r="K146" s="69"/>
      <c r="L146" s="150"/>
      <c r="M146" s="69">
        <f t="shared" si="29"/>
        <v>0</v>
      </c>
      <c r="N146" s="150"/>
      <c r="O146" s="69">
        <f t="shared" si="30"/>
        <v>0</v>
      </c>
      <c r="P146" s="69">
        <f t="shared" si="31"/>
        <v>0</v>
      </c>
      <c r="Q146" s="1"/>
    </row>
    <row r="147" spans="2:17" ht="12.5">
      <c r="B147" s="9" t="str">
        <f t="shared" si="19"/>
        <v/>
      </c>
      <c r="C147" s="64">
        <f>IF(D93="","-",+C146+1)</f>
        <v>2056</v>
      </c>
      <c r="D147" s="65">
        <v>0</v>
      </c>
      <c r="E147" s="71">
        <f>IF(+J96&lt;F146,J96,D147)</f>
        <v>0</v>
      </c>
      <c r="F147" s="70">
        <f t="shared" si="24"/>
        <v>0</v>
      </c>
      <c r="G147" s="70">
        <f t="shared" si="25"/>
        <v>0</v>
      </c>
      <c r="H147" s="73">
        <f t="shared" si="26"/>
        <v>0</v>
      </c>
      <c r="I147" s="127">
        <f t="shared" si="27"/>
        <v>0</v>
      </c>
      <c r="J147" s="69">
        <f t="shared" si="28"/>
        <v>0</v>
      </c>
      <c r="K147" s="69"/>
      <c r="L147" s="150"/>
      <c r="M147" s="69">
        <f t="shared" si="29"/>
        <v>0</v>
      </c>
      <c r="N147" s="150"/>
      <c r="O147" s="69">
        <f t="shared" si="30"/>
        <v>0</v>
      </c>
      <c r="P147" s="69">
        <f t="shared" si="31"/>
        <v>0</v>
      </c>
      <c r="Q147" s="1"/>
    </row>
    <row r="148" spans="2:17" ht="12.5">
      <c r="B148" s="9" t="str">
        <f t="shared" si="19"/>
        <v/>
      </c>
      <c r="C148" s="64">
        <f>IF(D93="","-",+C147+1)</f>
        <v>2057</v>
      </c>
      <c r="D148" s="65">
        <v>0</v>
      </c>
      <c r="E148" s="71">
        <f>IF(+J96&lt;F147,J96,D148)</f>
        <v>0</v>
      </c>
      <c r="F148" s="70">
        <f t="shared" si="24"/>
        <v>0</v>
      </c>
      <c r="G148" s="70">
        <f t="shared" si="25"/>
        <v>0</v>
      </c>
      <c r="H148" s="73">
        <f t="shared" si="26"/>
        <v>0</v>
      </c>
      <c r="I148" s="127">
        <f t="shared" si="27"/>
        <v>0</v>
      </c>
      <c r="J148" s="69">
        <f t="shared" si="28"/>
        <v>0</v>
      </c>
      <c r="K148" s="69"/>
      <c r="L148" s="150"/>
      <c r="M148" s="69">
        <f t="shared" si="29"/>
        <v>0</v>
      </c>
      <c r="N148" s="150"/>
      <c r="O148" s="69">
        <f t="shared" si="30"/>
        <v>0</v>
      </c>
      <c r="P148" s="69">
        <f t="shared" si="31"/>
        <v>0</v>
      </c>
      <c r="Q148" s="1"/>
    </row>
    <row r="149" spans="2:17" ht="12.5">
      <c r="B149" s="9" t="str">
        <f t="shared" si="19"/>
        <v/>
      </c>
      <c r="C149" s="64">
        <f>IF(D93="","-",+C148+1)</f>
        <v>2058</v>
      </c>
      <c r="D149" s="65">
        <v>0</v>
      </c>
      <c r="E149" s="71">
        <f>IF(+J96&lt;F148,J96,D149)</f>
        <v>0</v>
      </c>
      <c r="F149" s="70">
        <f t="shared" si="24"/>
        <v>0</v>
      </c>
      <c r="G149" s="70">
        <f t="shared" si="25"/>
        <v>0</v>
      </c>
      <c r="H149" s="73">
        <f t="shared" si="26"/>
        <v>0</v>
      </c>
      <c r="I149" s="127">
        <f t="shared" si="27"/>
        <v>0</v>
      </c>
      <c r="J149" s="69">
        <f t="shared" si="28"/>
        <v>0</v>
      </c>
      <c r="K149" s="69"/>
      <c r="L149" s="150"/>
      <c r="M149" s="69">
        <f t="shared" si="29"/>
        <v>0</v>
      </c>
      <c r="N149" s="150"/>
      <c r="O149" s="69">
        <f t="shared" si="30"/>
        <v>0</v>
      </c>
      <c r="P149" s="69">
        <f t="shared" si="31"/>
        <v>0</v>
      </c>
      <c r="Q149" s="1"/>
    </row>
    <row r="150" spans="2:17" ht="12.5">
      <c r="B150" s="9" t="str">
        <f t="shared" si="19"/>
        <v/>
      </c>
      <c r="C150" s="64">
        <f>IF(D93="","-",+C149+1)</f>
        <v>2059</v>
      </c>
      <c r="D150" s="65">
        <v>0</v>
      </c>
      <c r="E150" s="71">
        <f>IF(+J96&lt;F149,J96,D150)</f>
        <v>0</v>
      </c>
      <c r="F150" s="70">
        <f t="shared" si="24"/>
        <v>0</v>
      </c>
      <c r="G150" s="70">
        <f t="shared" si="25"/>
        <v>0</v>
      </c>
      <c r="H150" s="73">
        <f t="shared" si="26"/>
        <v>0</v>
      </c>
      <c r="I150" s="127">
        <f t="shared" si="27"/>
        <v>0</v>
      </c>
      <c r="J150" s="69">
        <f t="shared" si="28"/>
        <v>0</v>
      </c>
      <c r="K150" s="69"/>
      <c r="L150" s="150"/>
      <c r="M150" s="69">
        <f t="shared" si="29"/>
        <v>0</v>
      </c>
      <c r="N150" s="150"/>
      <c r="O150" s="69">
        <f t="shared" si="30"/>
        <v>0</v>
      </c>
      <c r="P150" s="69">
        <f t="shared" si="31"/>
        <v>0</v>
      </c>
      <c r="Q150" s="1"/>
    </row>
    <row r="151" spans="2:17" ht="12.5">
      <c r="B151" s="9" t="str">
        <f t="shared" si="19"/>
        <v/>
      </c>
      <c r="C151" s="64">
        <f>IF(D93="","-",+C150+1)</f>
        <v>2060</v>
      </c>
      <c r="D151" s="65">
        <v>0</v>
      </c>
      <c r="E151" s="71">
        <f>IF(+J96&lt;F150,J96,D151)</f>
        <v>0</v>
      </c>
      <c r="F151" s="70">
        <f t="shared" si="24"/>
        <v>0</v>
      </c>
      <c r="G151" s="70">
        <f t="shared" si="25"/>
        <v>0</v>
      </c>
      <c r="H151" s="73">
        <f t="shared" si="26"/>
        <v>0</v>
      </c>
      <c r="I151" s="127">
        <f t="shared" si="27"/>
        <v>0</v>
      </c>
      <c r="J151" s="69">
        <f t="shared" si="28"/>
        <v>0</v>
      </c>
      <c r="K151" s="69"/>
      <c r="L151" s="150"/>
      <c r="M151" s="69">
        <f t="shared" si="29"/>
        <v>0</v>
      </c>
      <c r="N151" s="150"/>
      <c r="O151" s="69">
        <f t="shared" si="30"/>
        <v>0</v>
      </c>
      <c r="P151" s="69">
        <f t="shared" si="31"/>
        <v>0</v>
      </c>
      <c r="Q151" s="1"/>
    </row>
    <row r="152" spans="2:17" ht="12.5">
      <c r="B152" s="9" t="str">
        <f t="shared" si="19"/>
        <v/>
      </c>
      <c r="C152" s="64">
        <f>IF(D93="","-",+C151+1)</f>
        <v>2061</v>
      </c>
      <c r="D152" s="65">
        <v>0</v>
      </c>
      <c r="E152" s="71">
        <f>IF(+J96&lt;F151,J96,D152)</f>
        <v>0</v>
      </c>
      <c r="F152" s="70">
        <f t="shared" si="24"/>
        <v>0</v>
      </c>
      <c r="G152" s="70">
        <f t="shared" si="25"/>
        <v>0</v>
      </c>
      <c r="H152" s="73">
        <f t="shared" si="26"/>
        <v>0</v>
      </c>
      <c r="I152" s="127">
        <f t="shared" si="27"/>
        <v>0</v>
      </c>
      <c r="J152" s="69">
        <f t="shared" si="28"/>
        <v>0</v>
      </c>
      <c r="K152" s="69"/>
      <c r="L152" s="150"/>
      <c r="M152" s="69">
        <f t="shared" si="29"/>
        <v>0</v>
      </c>
      <c r="N152" s="150"/>
      <c r="O152" s="69">
        <f t="shared" si="30"/>
        <v>0</v>
      </c>
      <c r="P152" s="69">
        <f t="shared" si="31"/>
        <v>0</v>
      </c>
      <c r="Q152" s="1"/>
    </row>
    <row r="153" spans="2:17" ht="12.5">
      <c r="B153" s="9" t="str">
        <f t="shared" si="19"/>
        <v/>
      </c>
      <c r="C153" s="64">
        <f>IF(D93="","-",+C152+1)</f>
        <v>2062</v>
      </c>
      <c r="D153" s="65">
        <v>0</v>
      </c>
      <c r="E153" s="71">
        <f>IF(+J96&lt;F152,J96,D153)</f>
        <v>0</v>
      </c>
      <c r="F153" s="70">
        <f t="shared" si="24"/>
        <v>0</v>
      </c>
      <c r="G153" s="70">
        <f t="shared" si="25"/>
        <v>0</v>
      </c>
      <c r="H153" s="73">
        <f t="shared" si="26"/>
        <v>0</v>
      </c>
      <c r="I153" s="127">
        <f t="shared" si="27"/>
        <v>0</v>
      </c>
      <c r="J153" s="69">
        <f t="shared" si="28"/>
        <v>0</v>
      </c>
      <c r="K153" s="69"/>
      <c r="L153" s="150"/>
      <c r="M153" s="69">
        <f t="shared" si="29"/>
        <v>0</v>
      </c>
      <c r="N153" s="150"/>
      <c r="O153" s="69">
        <f t="shared" si="30"/>
        <v>0</v>
      </c>
      <c r="P153" s="69">
        <f t="shared" si="31"/>
        <v>0</v>
      </c>
      <c r="Q153" s="1"/>
    </row>
    <row r="154" spans="2:17" ht="13" thickBot="1">
      <c r="B154" s="9" t="str">
        <f t="shared" si="19"/>
        <v/>
      </c>
      <c r="C154" s="74">
        <f>IF(D93="","-",+C153+1)</f>
        <v>2063</v>
      </c>
      <c r="D154" s="102">
        <v>0</v>
      </c>
      <c r="E154" s="76">
        <f>IF(+J96&lt;F153,J96,D154)</f>
        <v>0</v>
      </c>
      <c r="F154" s="75">
        <f t="shared" si="24"/>
        <v>0</v>
      </c>
      <c r="G154" s="75">
        <f t="shared" si="25"/>
        <v>0</v>
      </c>
      <c r="H154" s="77">
        <f t="shared" si="26"/>
        <v>0</v>
      </c>
      <c r="I154" s="128">
        <f t="shared" si="27"/>
        <v>0</v>
      </c>
      <c r="J154" s="79">
        <f t="shared" si="28"/>
        <v>0</v>
      </c>
      <c r="K154" s="69"/>
      <c r="L154" s="151"/>
      <c r="M154" s="79">
        <f t="shared" si="29"/>
        <v>0</v>
      </c>
      <c r="N154" s="151"/>
      <c r="O154" s="79">
        <f t="shared" si="30"/>
        <v>0</v>
      </c>
      <c r="P154" s="79">
        <f t="shared" si="31"/>
        <v>0</v>
      </c>
      <c r="Q154" s="1"/>
    </row>
    <row r="155" spans="2:17" ht="12.5">
      <c r="C155" s="65" t="s">
        <v>78</v>
      </c>
      <c r="D155" s="22"/>
      <c r="E155" s="22"/>
      <c r="F155" s="22"/>
      <c r="G155" s="22"/>
      <c r="H155" s="22"/>
      <c r="I155" s="22"/>
      <c r="J155" s="22">
        <f>SUM(J99:J154)</f>
        <v>0</v>
      </c>
      <c r="K155" s="22"/>
      <c r="L155" s="22"/>
      <c r="M155" s="22"/>
      <c r="N155" s="22"/>
      <c r="O155" s="22"/>
      <c r="P155" s="1"/>
      <c r="Q155" s="1"/>
    </row>
    <row r="156" spans="2:17" ht="12.5"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  <c r="Q156" s="1"/>
    </row>
    <row r="157" spans="2:17" ht="12.5">
      <c r="C157" s="103" t="s">
        <v>92</v>
      </c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  <c r="Q157" s="1"/>
    </row>
    <row r="158" spans="2:17" ht="12.5"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  <c r="Q158" s="1"/>
    </row>
    <row r="159" spans="2:17" ht="13">
      <c r="C159" s="80" t="s">
        <v>97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  <c r="Q159" s="1"/>
    </row>
    <row r="160" spans="2:17" ht="13">
      <c r="C160" s="104" t="s">
        <v>79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  <c r="Q160" s="1"/>
    </row>
    <row r="161" spans="3:17" ht="13">
      <c r="C161" s="104" t="s">
        <v>80</v>
      </c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  <c r="Q161" s="1"/>
    </row>
    <row r="162" spans="3:17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12" t="s">
        <v>131</v>
      </c>
      <c r="Q162" s="1"/>
    </row>
  </sheetData>
  <phoneticPr fontId="0" type="noConversion"/>
  <conditionalFormatting sqref="C17:C72">
    <cfRule type="cellIs" dxfId="121" priority="1" stopIfTrue="1" operator="equal">
      <formula>$I$10</formula>
    </cfRule>
  </conditionalFormatting>
  <conditionalFormatting sqref="C99:C154">
    <cfRule type="cellIs" dxfId="12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Q162"/>
  <sheetViews>
    <sheetView view="pageBreakPreview" topLeftCell="A79" zoomScale="75" zoomScaleNormal="100" zoomScaleSheetLayoutView="75" workbookViewId="0">
      <selection activeCell="F110" sqref="F11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21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166805.4048847931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166805.4048847931</v>
      </c>
      <c r="O6" s="269"/>
      <c r="P6" s="269"/>
    </row>
    <row r="7" spans="1:17" ht="13.5" thickBot="1">
      <c r="C7" s="467" t="s">
        <v>48</v>
      </c>
      <c r="D7" s="620" t="s">
        <v>261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248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1642817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39114.690476190473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2389000</v>
      </c>
      <c r="E17" s="509">
        <v>31434.210526315794</v>
      </c>
      <c r="F17" s="508">
        <v>2357565.789473684</v>
      </c>
      <c r="G17" s="509">
        <v>370369.65443341201</v>
      </c>
      <c r="H17" s="510">
        <v>370369.65443341201</v>
      </c>
      <c r="I17" s="517">
        <v>0</v>
      </c>
      <c r="J17" s="511"/>
      <c r="K17" s="512">
        <f t="shared" ref="K17:K22" si="0">G17</f>
        <v>370369.65443341201</v>
      </c>
      <c r="L17" s="597">
        <f t="shared" ref="L17:L48" si="1">IF(K17&lt;&gt;0,+G17-K17,0)</f>
        <v>0</v>
      </c>
      <c r="M17" s="512">
        <f t="shared" ref="M17:M22" si="2">H17</f>
        <v>370369.65443341201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1578368.7894736843</v>
      </c>
      <c r="E18" s="516">
        <v>39263.487804878052</v>
      </c>
      <c r="F18" s="515">
        <v>1539105.3016688062</v>
      </c>
      <c r="G18" s="516">
        <v>279659.70688308566</v>
      </c>
      <c r="H18" s="510">
        <v>279659.70688308566</v>
      </c>
      <c r="I18" s="517">
        <v>0</v>
      </c>
      <c r="J18" s="511"/>
      <c r="K18" s="518">
        <f t="shared" si="0"/>
        <v>279659.70688308566</v>
      </c>
      <c r="L18" s="519">
        <f t="shared" si="1"/>
        <v>0</v>
      </c>
      <c r="M18" s="518">
        <f t="shared" si="2"/>
        <v>279659.70688308566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2012</v>
      </c>
      <c r="D19" s="515">
        <v>1568274.3016688062</v>
      </c>
      <c r="E19" s="516">
        <v>39023.142857142855</v>
      </c>
      <c r="F19" s="515">
        <v>1529251.1588116633</v>
      </c>
      <c r="G19" s="516">
        <v>266453.58939381945</v>
      </c>
      <c r="H19" s="510">
        <v>266453.58939381945</v>
      </c>
      <c r="I19" s="517">
        <v>0</v>
      </c>
      <c r="J19" s="511"/>
      <c r="K19" s="518">
        <f t="shared" si="0"/>
        <v>266453.58939381945</v>
      </c>
      <c r="L19" s="519">
        <f t="shared" si="1"/>
        <v>0</v>
      </c>
      <c r="M19" s="518">
        <f t="shared" si="2"/>
        <v>266453.58939381945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1529251.1588116633</v>
      </c>
      <c r="E20" s="609">
        <v>39023.142857142855</v>
      </c>
      <c r="F20" s="608">
        <v>1490228.0159545203</v>
      </c>
      <c r="G20" s="609">
        <v>247635.81443822815</v>
      </c>
      <c r="H20" s="610">
        <v>247635.81443822815</v>
      </c>
      <c r="I20" s="596">
        <v>0</v>
      </c>
      <c r="J20" s="511"/>
      <c r="K20" s="518">
        <f t="shared" si="0"/>
        <v>247635.81443822815</v>
      </c>
      <c r="L20" s="519">
        <f t="shared" ref="L20:L25" si="6">IF(K20&lt;&gt;0,+G20-K20,0)</f>
        <v>0</v>
      </c>
      <c r="M20" s="518">
        <f t="shared" si="2"/>
        <v>247635.81443822815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1490228.0159545203</v>
      </c>
      <c r="E21" s="609">
        <v>39023.142857142855</v>
      </c>
      <c r="F21" s="608">
        <v>1451204.8730973774</v>
      </c>
      <c r="G21" s="609">
        <v>234805.92986157897</v>
      </c>
      <c r="H21" s="610">
        <v>234805.92986157897</v>
      </c>
      <c r="I21" s="596">
        <v>0</v>
      </c>
      <c r="J21" s="511"/>
      <c r="K21" s="518">
        <f t="shared" si="0"/>
        <v>234805.92986157897</v>
      </c>
      <c r="L21" s="519">
        <f t="shared" si="6"/>
        <v>0</v>
      </c>
      <c r="M21" s="518">
        <f t="shared" si="2"/>
        <v>234805.92986157897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2015</v>
      </c>
      <c r="D22" s="608">
        <v>1455049.8730973776</v>
      </c>
      <c r="E22" s="609">
        <v>39114.690476190473</v>
      </c>
      <c r="F22" s="608">
        <v>1415935.1826211871</v>
      </c>
      <c r="G22" s="609">
        <v>225600.1518969718</v>
      </c>
      <c r="H22" s="610">
        <v>225600.1518969718</v>
      </c>
      <c r="I22" s="511">
        <v>0</v>
      </c>
      <c r="J22" s="511"/>
      <c r="K22" s="518">
        <f t="shared" si="0"/>
        <v>225600.1518969718</v>
      </c>
      <c r="L22" s="519">
        <f t="shared" si="6"/>
        <v>0</v>
      </c>
      <c r="M22" s="518">
        <f t="shared" si="2"/>
        <v>225600.1518969718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1415935.1826211871</v>
      </c>
      <c r="E23" s="609">
        <v>39114.690476190473</v>
      </c>
      <c r="F23" s="608">
        <v>1376820.4921449965</v>
      </c>
      <c r="G23" s="609">
        <v>218211.46569994657</v>
      </c>
      <c r="H23" s="610">
        <v>218211.46569994657</v>
      </c>
      <c r="I23" s="511">
        <f t="shared" ref="I23:I48" si="9">H23-G23</f>
        <v>0</v>
      </c>
      <c r="J23" s="511"/>
      <c r="K23" s="518">
        <f>G23</f>
        <v>218211.46569994657</v>
      </c>
      <c r="L23" s="519">
        <f t="shared" si="6"/>
        <v>0</v>
      </c>
      <c r="M23" s="518">
        <f>H23</f>
        <v>218211.46569994657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1376820.4921449965</v>
      </c>
      <c r="E24" s="609">
        <v>38205.046511627908</v>
      </c>
      <c r="F24" s="608">
        <v>1338615.4456333686</v>
      </c>
      <c r="G24" s="609">
        <v>206416.1656138415</v>
      </c>
      <c r="H24" s="610">
        <v>206416.1656138415</v>
      </c>
      <c r="I24" s="511">
        <f t="shared" si="9"/>
        <v>0</v>
      </c>
      <c r="J24" s="511"/>
      <c r="K24" s="518">
        <f>G24</f>
        <v>206416.1656138415</v>
      </c>
      <c r="L24" s="519">
        <f t="shared" si="6"/>
        <v>0</v>
      </c>
      <c r="M24" s="518">
        <f>H24</f>
        <v>206416.1656138415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1338615.4456333686</v>
      </c>
      <c r="E25" s="609">
        <v>40068.707317073167</v>
      </c>
      <c r="F25" s="608">
        <v>1298546.7383162954</v>
      </c>
      <c r="G25" s="609">
        <v>207652.58306545476</v>
      </c>
      <c r="H25" s="610">
        <v>207652.58306545476</v>
      </c>
      <c r="I25" s="511">
        <f t="shared" si="9"/>
        <v>0</v>
      </c>
      <c r="J25" s="511"/>
      <c r="K25" s="518">
        <f>G25</f>
        <v>207652.58306545476</v>
      </c>
      <c r="L25" s="519">
        <f t="shared" si="6"/>
        <v>0</v>
      </c>
      <c r="M25" s="518">
        <f>H25</f>
        <v>207652.58306545476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1298546.7383162954</v>
      </c>
      <c r="E26" s="609">
        <v>40068.707317073167</v>
      </c>
      <c r="F26" s="608">
        <v>1258478.0309992223</v>
      </c>
      <c r="G26" s="609">
        <v>202560.08681377117</v>
      </c>
      <c r="H26" s="610">
        <v>202560.08681377117</v>
      </c>
      <c r="I26" s="511">
        <f t="shared" si="9"/>
        <v>0</v>
      </c>
      <c r="J26" s="511"/>
      <c r="K26" s="518">
        <f>G26</f>
        <v>202560.08681377117</v>
      </c>
      <c r="L26" s="519">
        <f t="shared" ref="L26" si="10">IF(K26&lt;&gt;0,+G26-K26,0)</f>
        <v>0</v>
      </c>
      <c r="M26" s="518">
        <f>H26</f>
        <v>202560.08681377117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08">
        <v>1258478.0309992223</v>
      </c>
      <c r="E27" s="609">
        <v>40068.707317073167</v>
      </c>
      <c r="F27" s="608">
        <v>1218409.3236821492</v>
      </c>
      <c r="G27" s="609">
        <v>166805.4048847931</v>
      </c>
      <c r="H27" s="610">
        <v>166805.4048847931</v>
      </c>
      <c r="I27" s="511">
        <f t="shared" si="9"/>
        <v>0</v>
      </c>
      <c r="J27" s="511"/>
      <c r="K27" s="518">
        <f>G27</f>
        <v>166805.4048847931</v>
      </c>
      <c r="L27" s="519">
        <f t="shared" ref="L27" si="11">IF(K27&lt;&gt;0,+G27-K27,0)</f>
        <v>0</v>
      </c>
      <c r="M27" s="518">
        <f>H27</f>
        <v>166805.4048847931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2021</v>
      </c>
      <c r="D28" s="523">
        <f>IF(F27+SUM(E$17:E27)=D$10,F27,D$10-SUM(E$17:E27))</f>
        <v>1218409.3236821492</v>
      </c>
      <c r="E28" s="522">
        <f>IF(+I14&lt;F27,I14,D28)</f>
        <v>39114.690476190473</v>
      </c>
      <c r="F28" s="523">
        <f t="shared" ref="F28:F48" si="12">+D28-E28</f>
        <v>1179294.6332059586</v>
      </c>
      <c r="G28" s="524">
        <f t="shared" ref="G28:G55" si="13">+I$12*((D28+F28)/2)+E28</f>
        <v>167173.62965235268</v>
      </c>
      <c r="H28" s="491">
        <f t="shared" ref="H28:H55" si="14">+I$13*((D28+F28)/2)+E28</f>
        <v>167173.62965235268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2022</v>
      </c>
      <c r="D29" s="523">
        <f>IF(F28+SUM(E$17:E28)=D$10,F28,D$10-SUM(E$17:E28))</f>
        <v>1179294.6332059586</v>
      </c>
      <c r="E29" s="522">
        <f>IF(+I14&lt;F28,I14,D29)</f>
        <v>39114.690476190473</v>
      </c>
      <c r="F29" s="523">
        <f t="shared" si="12"/>
        <v>1140179.9427297681</v>
      </c>
      <c r="G29" s="524">
        <f t="shared" si="13"/>
        <v>162995.47767141683</v>
      </c>
      <c r="H29" s="491">
        <f t="shared" si="14"/>
        <v>162995.47767141683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1140179.9427297681</v>
      </c>
      <c r="E30" s="522">
        <f>IF(+I14&lt;F29,I14,D30)</f>
        <v>39114.690476190473</v>
      </c>
      <c r="F30" s="523">
        <f t="shared" si="12"/>
        <v>1101065.2522535776</v>
      </c>
      <c r="G30" s="524">
        <f t="shared" si="13"/>
        <v>158817.32569048097</v>
      </c>
      <c r="H30" s="491">
        <f t="shared" si="14"/>
        <v>158817.32569048097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1101065.2522535776</v>
      </c>
      <c r="E31" s="522">
        <f>IF(+I14&lt;F30,I14,D31)</f>
        <v>39114.690476190473</v>
      </c>
      <c r="F31" s="523">
        <f t="shared" si="12"/>
        <v>1061950.561777387</v>
      </c>
      <c r="G31" s="524">
        <f t="shared" si="13"/>
        <v>154639.17370954514</v>
      </c>
      <c r="H31" s="491">
        <f t="shared" si="14"/>
        <v>154639.17370954514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1061950.561777387</v>
      </c>
      <c r="E32" s="522">
        <f>IF(+I14&lt;F31,I14,D32)</f>
        <v>39114.690476190473</v>
      </c>
      <c r="F32" s="523">
        <f t="shared" si="12"/>
        <v>1022835.8713011965</v>
      </c>
      <c r="G32" s="524">
        <f t="shared" si="13"/>
        <v>150461.02172860928</v>
      </c>
      <c r="H32" s="491">
        <f t="shared" si="14"/>
        <v>150461.02172860928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1022835.8713011965</v>
      </c>
      <c r="E33" s="522">
        <f>IF(+I14&lt;F32,I14,D33)</f>
        <v>39114.690476190473</v>
      </c>
      <c r="F33" s="523">
        <f t="shared" si="12"/>
        <v>983721.18082500598</v>
      </c>
      <c r="G33" s="524">
        <f t="shared" si="13"/>
        <v>146282.86974767339</v>
      </c>
      <c r="H33" s="491">
        <f t="shared" si="14"/>
        <v>146282.86974767339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983721.18082500598</v>
      </c>
      <c r="E34" s="522">
        <f>IF(+I14&lt;F33,I14,D34)</f>
        <v>39114.690476190473</v>
      </c>
      <c r="F34" s="523">
        <f t="shared" si="12"/>
        <v>944606.49034881545</v>
      </c>
      <c r="G34" s="524">
        <f t="shared" si="13"/>
        <v>142104.71776673757</v>
      </c>
      <c r="H34" s="491">
        <f t="shared" si="14"/>
        <v>142104.71776673757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944606.49034881545</v>
      </c>
      <c r="E35" s="522">
        <f>IF(+I14&lt;F34,I14,D35)</f>
        <v>39114.690476190473</v>
      </c>
      <c r="F35" s="523">
        <f t="shared" si="12"/>
        <v>905491.79987262492</v>
      </c>
      <c r="G35" s="524">
        <f t="shared" si="13"/>
        <v>137926.56578580168</v>
      </c>
      <c r="H35" s="491">
        <f t="shared" si="14"/>
        <v>137926.56578580168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905491.79987262492</v>
      </c>
      <c r="E36" s="522">
        <f>IF(+I14&lt;F35,I14,D36)</f>
        <v>39114.690476190473</v>
      </c>
      <c r="F36" s="523">
        <f t="shared" si="12"/>
        <v>866377.10939643439</v>
      </c>
      <c r="G36" s="524">
        <f t="shared" si="13"/>
        <v>133748.41380486585</v>
      </c>
      <c r="H36" s="491">
        <f t="shared" si="14"/>
        <v>133748.41380486585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866377.10939643439</v>
      </c>
      <c r="E37" s="522">
        <f>IF(+I14&lt;F36,I14,D37)</f>
        <v>39114.690476190473</v>
      </c>
      <c r="F37" s="523">
        <f t="shared" si="12"/>
        <v>827262.41892024386</v>
      </c>
      <c r="G37" s="524">
        <f t="shared" si="13"/>
        <v>129570.26182392998</v>
      </c>
      <c r="H37" s="491">
        <f t="shared" si="14"/>
        <v>129570.26182392998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827262.41892024386</v>
      </c>
      <c r="E38" s="522">
        <f>IF(+I14&lt;F37,I14,D38)</f>
        <v>39114.690476190473</v>
      </c>
      <c r="F38" s="523">
        <f t="shared" si="12"/>
        <v>788147.72844405333</v>
      </c>
      <c r="G38" s="524">
        <f t="shared" si="13"/>
        <v>125392.10984299412</v>
      </c>
      <c r="H38" s="491">
        <f t="shared" si="14"/>
        <v>125392.10984299412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788147.72844405333</v>
      </c>
      <c r="E39" s="522">
        <f>IF(+I14&lt;F38,I14,D39)</f>
        <v>39114.690476190473</v>
      </c>
      <c r="F39" s="523">
        <f t="shared" si="12"/>
        <v>749033.03796786279</v>
      </c>
      <c r="G39" s="524">
        <f t="shared" si="13"/>
        <v>121213.95786205826</v>
      </c>
      <c r="H39" s="491">
        <f t="shared" si="14"/>
        <v>121213.95786205826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749033.03796786279</v>
      </c>
      <c r="E40" s="522">
        <f>IF(+I14&lt;F39,I14,D40)</f>
        <v>39114.690476190473</v>
      </c>
      <c r="F40" s="523">
        <f t="shared" si="12"/>
        <v>709918.34749167226</v>
      </c>
      <c r="G40" s="524">
        <f t="shared" si="13"/>
        <v>117035.8058811224</v>
      </c>
      <c r="H40" s="491">
        <f t="shared" si="14"/>
        <v>117035.8058811224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709918.34749167226</v>
      </c>
      <c r="E41" s="522">
        <f>IF(+I14&lt;F40,I14,D41)</f>
        <v>39114.690476190473</v>
      </c>
      <c r="F41" s="523">
        <f t="shared" si="12"/>
        <v>670803.65701548173</v>
      </c>
      <c r="G41" s="524">
        <f t="shared" si="13"/>
        <v>112857.65390018656</v>
      </c>
      <c r="H41" s="491">
        <f t="shared" si="14"/>
        <v>112857.65390018656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670803.65701548173</v>
      </c>
      <c r="E42" s="522">
        <f>IF(+I14&lt;F41,I14,D42)</f>
        <v>39114.690476190473</v>
      </c>
      <c r="F42" s="523">
        <f t="shared" si="12"/>
        <v>631688.9665392912</v>
      </c>
      <c r="G42" s="524">
        <f t="shared" si="13"/>
        <v>108679.5019192507</v>
      </c>
      <c r="H42" s="491">
        <f t="shared" si="14"/>
        <v>108679.5019192507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631688.9665392912</v>
      </c>
      <c r="E43" s="522">
        <f>IF(+I14&lt;F42,I14,D43)</f>
        <v>39114.690476190473</v>
      </c>
      <c r="F43" s="523">
        <f t="shared" si="12"/>
        <v>592574.27606310067</v>
      </c>
      <c r="G43" s="524">
        <f t="shared" si="13"/>
        <v>104501.34993831484</v>
      </c>
      <c r="H43" s="491">
        <f t="shared" si="14"/>
        <v>104501.34993831484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592574.27606310067</v>
      </c>
      <c r="E44" s="522">
        <f>IF(+I14&lt;F43,I14,D44)</f>
        <v>39114.690476190473</v>
      </c>
      <c r="F44" s="523">
        <f t="shared" si="12"/>
        <v>553459.58558691014</v>
      </c>
      <c r="G44" s="524">
        <f t="shared" si="13"/>
        <v>100323.19795737899</v>
      </c>
      <c r="H44" s="491">
        <f t="shared" si="14"/>
        <v>100323.19795737899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553459.58558691014</v>
      </c>
      <c r="E45" s="522">
        <f>IF(+I14&lt;F44,I14,D45)</f>
        <v>39114.690476190473</v>
      </c>
      <c r="F45" s="523">
        <f t="shared" si="12"/>
        <v>514344.89511071966</v>
      </c>
      <c r="G45" s="524">
        <f t="shared" si="13"/>
        <v>96145.045976443129</v>
      </c>
      <c r="H45" s="491">
        <f t="shared" si="14"/>
        <v>96145.045976443129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514344.89511071966</v>
      </c>
      <c r="E46" s="522">
        <f>IF(+I14&lt;F45,I14,D46)</f>
        <v>39114.690476190473</v>
      </c>
      <c r="F46" s="523">
        <f t="shared" si="12"/>
        <v>475230.20463452919</v>
      </c>
      <c r="G46" s="524">
        <f t="shared" si="13"/>
        <v>91966.893995507271</v>
      </c>
      <c r="H46" s="491">
        <f t="shared" si="14"/>
        <v>91966.893995507271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475230.20463452919</v>
      </c>
      <c r="E47" s="522">
        <f>IF(+I14&lt;F46,I14,D47)</f>
        <v>39114.690476190473</v>
      </c>
      <c r="F47" s="523">
        <f t="shared" si="12"/>
        <v>436115.51415833872</v>
      </c>
      <c r="G47" s="524">
        <f t="shared" si="13"/>
        <v>87788.742014571428</v>
      </c>
      <c r="H47" s="491">
        <f t="shared" si="14"/>
        <v>87788.742014571428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436115.51415833872</v>
      </c>
      <c r="E48" s="522">
        <f>IF(+I14&lt;F47,I14,D48)</f>
        <v>39114.690476190473</v>
      </c>
      <c r="F48" s="523">
        <f t="shared" si="12"/>
        <v>397000.82368214824</v>
      </c>
      <c r="G48" s="524">
        <f t="shared" si="13"/>
        <v>83610.590033635584</v>
      </c>
      <c r="H48" s="491">
        <f t="shared" si="14"/>
        <v>83610.590033635584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397000.82368214824</v>
      </c>
      <c r="E49" s="522">
        <f>IF(+I14&lt;F48,I14,D49)</f>
        <v>39114.690476190473</v>
      </c>
      <c r="F49" s="523">
        <f t="shared" ref="F49:F72" si="15">+D49-E49</f>
        <v>357886.13320595777</v>
      </c>
      <c r="G49" s="524">
        <f t="shared" si="13"/>
        <v>79432.438052699727</v>
      </c>
      <c r="H49" s="491">
        <f t="shared" si="14"/>
        <v>79432.438052699727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357886.13320595777</v>
      </c>
      <c r="E50" s="522">
        <f>IF(+I14&lt;F49,I14,D50)</f>
        <v>39114.690476190473</v>
      </c>
      <c r="F50" s="523">
        <f t="shared" si="15"/>
        <v>318771.4427297673</v>
      </c>
      <c r="G50" s="524">
        <f t="shared" si="13"/>
        <v>75254.286071763883</v>
      </c>
      <c r="H50" s="491">
        <f t="shared" si="14"/>
        <v>75254.286071763883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318771.4427297673</v>
      </c>
      <c r="E51" s="522">
        <f>IF(+I14&lt;F50,I14,D51)</f>
        <v>39114.690476190473</v>
      </c>
      <c r="F51" s="523">
        <f t="shared" si="15"/>
        <v>279656.75225357682</v>
      </c>
      <c r="G51" s="524">
        <f t="shared" si="13"/>
        <v>71076.134090828025</v>
      </c>
      <c r="H51" s="491">
        <f t="shared" si="14"/>
        <v>71076.134090828025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279656.75225357682</v>
      </c>
      <c r="E52" s="522">
        <f>IF(+I14&lt;F51,I14,D52)</f>
        <v>39114.690476190473</v>
      </c>
      <c r="F52" s="523">
        <f t="shared" si="15"/>
        <v>240542.06177738635</v>
      </c>
      <c r="G52" s="524">
        <f t="shared" si="13"/>
        <v>66897.982109892182</v>
      </c>
      <c r="H52" s="491">
        <f t="shared" si="14"/>
        <v>66897.982109892182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240542.06177738635</v>
      </c>
      <c r="E53" s="522">
        <f>IF(+I14&lt;F52,I14,D53)</f>
        <v>39114.690476190473</v>
      </c>
      <c r="F53" s="523">
        <f t="shared" si="15"/>
        <v>201427.37130119588</v>
      </c>
      <c r="G53" s="524">
        <f t="shared" si="13"/>
        <v>62719.830128956324</v>
      </c>
      <c r="H53" s="491">
        <f t="shared" si="14"/>
        <v>62719.830128956324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201427.37130119588</v>
      </c>
      <c r="E54" s="522">
        <f>IF(+I14&lt;F53,I14,D54)</f>
        <v>39114.690476190473</v>
      </c>
      <c r="F54" s="523">
        <f t="shared" si="15"/>
        <v>162312.6808250054</v>
      </c>
      <c r="G54" s="524">
        <f t="shared" si="13"/>
        <v>58541.678148020474</v>
      </c>
      <c r="H54" s="491">
        <f t="shared" si="14"/>
        <v>58541.678148020474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162312.6808250054</v>
      </c>
      <c r="E55" s="522">
        <f>IF(+I14&lt;F54,I14,D55)</f>
        <v>39114.690476190473</v>
      </c>
      <c r="F55" s="523">
        <f t="shared" si="15"/>
        <v>123197.99034881493</v>
      </c>
      <c r="G55" s="524">
        <f t="shared" si="13"/>
        <v>54363.526167084623</v>
      </c>
      <c r="H55" s="491">
        <f t="shared" si="14"/>
        <v>54363.526167084623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123197.99034881493</v>
      </c>
      <c r="E56" s="522">
        <f>IF(+I14&lt;F55,I14,D56)</f>
        <v>39114.690476190473</v>
      </c>
      <c r="F56" s="523">
        <f t="shared" si="15"/>
        <v>84083.299872624455</v>
      </c>
      <c r="G56" s="524">
        <f t="shared" ref="G56:G72" si="20">+I$12*((D56+F56)/2)+E56</f>
        <v>50185.374186148772</v>
      </c>
      <c r="H56" s="491">
        <f t="shared" ref="H56:H72" si="21">+I$13*((D56+F56)/2)+E56</f>
        <v>50185.374186148772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84083.299872624455</v>
      </c>
      <c r="E57" s="522">
        <f>IF(+I14&lt;F56,I14,D57)</f>
        <v>39114.690476190473</v>
      </c>
      <c r="F57" s="523">
        <f t="shared" si="15"/>
        <v>44968.609396433982</v>
      </c>
      <c r="G57" s="524">
        <f t="shared" si="20"/>
        <v>46007.222205212922</v>
      </c>
      <c r="H57" s="491">
        <f t="shared" si="21"/>
        <v>46007.222205212922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44968.609396433982</v>
      </c>
      <c r="E58" s="522">
        <f>IF(+I14&lt;F57,I14,D58)</f>
        <v>39114.690476190473</v>
      </c>
      <c r="F58" s="523">
        <f t="shared" si="15"/>
        <v>5853.9189202435082</v>
      </c>
      <c r="G58" s="524">
        <f t="shared" si="20"/>
        <v>41829.070224277071</v>
      </c>
      <c r="H58" s="491">
        <f t="shared" si="21"/>
        <v>41829.070224277071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5853.9189202435082</v>
      </c>
      <c r="E59" s="522">
        <f>IF(+I14&lt;F58,I14,D59)</f>
        <v>5853.9189202435082</v>
      </c>
      <c r="F59" s="523">
        <f t="shared" si="15"/>
        <v>0</v>
      </c>
      <c r="G59" s="524">
        <f t="shared" si="20"/>
        <v>6166.5707990528454</v>
      </c>
      <c r="H59" s="491">
        <f t="shared" si="21"/>
        <v>6166.5707990528454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20"/>
        <v>0</v>
      </c>
      <c r="H60" s="491">
        <f t="shared" si="21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20"/>
        <v>0</v>
      </c>
      <c r="H61" s="491">
        <f t="shared" si="21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20"/>
        <v>0</v>
      </c>
      <c r="H62" s="491">
        <f t="shared" si="21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20"/>
        <v>0</v>
      </c>
      <c r="H63" s="491">
        <f t="shared" si="21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20"/>
        <v>0</v>
      </c>
      <c r="H64" s="491">
        <f t="shared" si="21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20"/>
        <v>0</v>
      </c>
      <c r="H65" s="491">
        <f t="shared" si="21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20"/>
        <v>0</v>
      </c>
      <c r="H66" s="491">
        <f t="shared" si="21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20"/>
        <v>0</v>
      </c>
      <c r="H67" s="491">
        <f t="shared" si="21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20"/>
        <v>0</v>
      </c>
      <c r="H68" s="491">
        <f t="shared" si="21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20"/>
        <v>0</v>
      </c>
      <c r="H69" s="491">
        <f t="shared" si="21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20"/>
        <v>0</v>
      </c>
      <c r="H70" s="491">
        <f t="shared" si="21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20"/>
        <v>0</v>
      </c>
      <c r="H71" s="491">
        <f t="shared" si="21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20"/>
        <v>0</v>
      </c>
      <c r="H72" s="471">
        <f t="shared" si="21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1642817.0000000005</v>
      </c>
      <c r="F73" s="375"/>
      <c r="G73" s="375">
        <f>SUM(G17:G72)</f>
        <v>5871878.971871716</v>
      </c>
      <c r="H73" s="375">
        <f>SUM(H17:H72)</f>
        <v>5871878.971871716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21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166805.4048847931</v>
      </c>
      <c r="N87" s="546">
        <f>IF(J92&lt;D11,0,VLOOKUP(J92,C17:O72,11))</f>
        <v>166805.4048847931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173978.90382541961</v>
      </c>
      <c r="N88" s="550">
        <f>IF(J92&lt;D11,0,VLOOKUP(J92,C99:P154,7))</f>
        <v>173978.90382541961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Reconductor 4 mi. of McNabb-Turk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7173.4989406265086</v>
      </c>
      <c r="N89" s="555">
        <f>+N88-N87</f>
        <v>7173.4989406265086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TP2006077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1642817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39114.690476190473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19631.743902439026</v>
      </c>
      <c r="F99" s="515">
        <v>1590171.256097561</v>
      </c>
      <c r="G99" s="574">
        <v>795085.62804878049</v>
      </c>
      <c r="H99" s="575">
        <v>150889.3151810994</v>
      </c>
      <c r="I99" s="576">
        <v>150889.3151810994</v>
      </c>
      <c r="J99" s="613">
        <f t="shared" ref="J99:J130" si="22">+I99-H99</f>
        <v>0</v>
      </c>
      <c r="K99" s="514"/>
      <c r="L99" s="512">
        <f t="shared" ref="L99:L104" si="23">H99</f>
        <v>150889.3151810994</v>
      </c>
      <c r="M99" s="597">
        <f t="shared" ref="M99:M130" si="24">IF(L99&lt;&gt;0,+H99-L99,0)</f>
        <v>0</v>
      </c>
      <c r="N99" s="512">
        <f t="shared" ref="N99:N104" si="25">I99</f>
        <v>150889.3151810994</v>
      </c>
      <c r="O99" s="513">
        <f t="shared" ref="O99:O130" si="26">IF(N99&lt;&gt;0,+I99-N99,0)</f>
        <v>0</v>
      </c>
      <c r="P99" s="513">
        <f t="shared" ref="P99:P130" si="27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2011</v>
      </c>
      <c r="D100" s="508">
        <v>1619340.256097561</v>
      </c>
      <c r="E100" s="516">
        <v>39023.142857142855</v>
      </c>
      <c r="F100" s="515">
        <v>1580317.113240418</v>
      </c>
      <c r="G100" s="515">
        <v>1599828.6846689894</v>
      </c>
      <c r="H100" s="516">
        <v>279605.22250297031</v>
      </c>
      <c r="I100" s="510">
        <v>279605.22250297031</v>
      </c>
      <c r="J100" s="613">
        <f t="shared" si="22"/>
        <v>0</v>
      </c>
      <c r="K100" s="514"/>
      <c r="L100" s="518">
        <f t="shared" si="23"/>
        <v>279605.22250297031</v>
      </c>
      <c r="M100" s="519">
        <f t="shared" si="24"/>
        <v>0</v>
      </c>
      <c r="N100" s="518">
        <f t="shared" si="25"/>
        <v>279605.22250297031</v>
      </c>
      <c r="O100" s="514">
        <f t="shared" si="26"/>
        <v>0</v>
      </c>
      <c r="P100" s="514">
        <f t="shared" si="27"/>
        <v>0</v>
      </c>
      <c r="Q100" s="269"/>
    </row>
    <row r="101" spans="1:17" ht="12.5">
      <c r="B101" s="195" t="str">
        <f t="shared" ref="B101:B154" si="28">IF(D101=F100,"","IU")</f>
        <v/>
      </c>
      <c r="C101" s="507">
        <f>IF(D93="","-",+C100+1)</f>
        <v>2012</v>
      </c>
      <c r="D101" s="508">
        <v>1580317.113240418</v>
      </c>
      <c r="E101" s="516">
        <v>39023.142857142855</v>
      </c>
      <c r="F101" s="515">
        <v>1541293.9703832751</v>
      </c>
      <c r="G101" s="515">
        <v>1560805.5418118467</v>
      </c>
      <c r="H101" s="516">
        <v>268701.81510397862</v>
      </c>
      <c r="I101" s="510">
        <v>268701.81510397862</v>
      </c>
      <c r="J101" s="613">
        <f t="shared" si="22"/>
        <v>0</v>
      </c>
      <c r="K101" s="514"/>
      <c r="L101" s="518">
        <f t="shared" si="23"/>
        <v>268701.81510397862</v>
      </c>
      <c r="M101" s="519">
        <f t="shared" si="24"/>
        <v>0</v>
      </c>
      <c r="N101" s="518">
        <f t="shared" si="25"/>
        <v>268701.81510397862</v>
      </c>
      <c r="O101" s="514">
        <f t="shared" si="26"/>
        <v>0</v>
      </c>
      <c r="P101" s="514">
        <f t="shared" si="27"/>
        <v>0</v>
      </c>
      <c r="Q101" s="269"/>
    </row>
    <row r="102" spans="1:17" ht="12.5">
      <c r="B102" s="195" t="str">
        <f t="shared" si="28"/>
        <v>IU</v>
      </c>
      <c r="C102" s="507">
        <f>IF(D93="","-",+C101+1)</f>
        <v>2013</v>
      </c>
      <c r="D102" s="508">
        <v>1541294</v>
      </c>
      <c r="E102" s="516">
        <v>39023</v>
      </c>
      <c r="F102" s="515">
        <v>1502271</v>
      </c>
      <c r="G102" s="515">
        <v>1521782.5</v>
      </c>
      <c r="H102" s="516">
        <v>244907.54496972694</v>
      </c>
      <c r="I102" s="510">
        <v>244907.54496972694</v>
      </c>
      <c r="J102" s="613">
        <f t="shared" si="22"/>
        <v>0</v>
      </c>
      <c r="K102" s="514"/>
      <c r="L102" s="518">
        <f t="shared" si="23"/>
        <v>244907.54496972694</v>
      </c>
      <c r="M102" s="519">
        <f t="shared" ref="M102:M107" si="29">IF(L102&lt;&gt;0,+H102-L102,0)</f>
        <v>0</v>
      </c>
      <c r="N102" s="518">
        <f t="shared" si="25"/>
        <v>244907.54496972694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8"/>
        <v>IU</v>
      </c>
      <c r="C103" s="507">
        <f>IF(D93="","-",+C102+1)</f>
        <v>2014</v>
      </c>
      <c r="D103" s="508">
        <v>1506115.9703832753</v>
      </c>
      <c r="E103" s="516">
        <v>39114.690476190473</v>
      </c>
      <c r="F103" s="515">
        <v>1467001.2799070848</v>
      </c>
      <c r="G103" s="515">
        <v>1486558.6251451802</v>
      </c>
      <c r="H103" s="516">
        <v>241172.88194864732</v>
      </c>
      <c r="I103" s="510">
        <v>241172.88194864732</v>
      </c>
      <c r="J103" s="514">
        <v>0</v>
      </c>
      <c r="K103" s="514"/>
      <c r="L103" s="518">
        <f t="shared" si="23"/>
        <v>241172.88194864732</v>
      </c>
      <c r="M103" s="519">
        <f t="shared" si="29"/>
        <v>0</v>
      </c>
      <c r="N103" s="518">
        <f t="shared" si="25"/>
        <v>241172.88194864732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8"/>
        <v/>
      </c>
      <c r="C104" s="507">
        <f>IF(D93="","-",+C103+1)</f>
        <v>2015</v>
      </c>
      <c r="D104" s="508">
        <v>1467001.2799070848</v>
      </c>
      <c r="E104" s="516">
        <v>39114.690476190473</v>
      </c>
      <c r="F104" s="515">
        <v>1427886.5894308942</v>
      </c>
      <c r="G104" s="515">
        <v>1447443.9346689894</v>
      </c>
      <c r="H104" s="516">
        <v>229842.75353448547</v>
      </c>
      <c r="I104" s="510">
        <v>229842.75353448547</v>
      </c>
      <c r="J104" s="514">
        <f t="shared" si="22"/>
        <v>0</v>
      </c>
      <c r="K104" s="514"/>
      <c r="L104" s="518">
        <f t="shared" si="23"/>
        <v>229842.75353448547</v>
      </c>
      <c r="M104" s="519">
        <f t="shared" si="29"/>
        <v>0</v>
      </c>
      <c r="N104" s="518">
        <f t="shared" si="25"/>
        <v>229842.75353448547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8"/>
        <v/>
      </c>
      <c r="C105" s="507">
        <f>IF(D93="","-",+C104+1)</f>
        <v>2016</v>
      </c>
      <c r="D105" s="508">
        <v>1427886.5894308942</v>
      </c>
      <c r="E105" s="516">
        <v>38205.046511627908</v>
      </c>
      <c r="F105" s="515">
        <v>1389681.5429192663</v>
      </c>
      <c r="G105" s="515">
        <v>1408784.0661750804</v>
      </c>
      <c r="H105" s="516">
        <v>217050.16721338526</v>
      </c>
      <c r="I105" s="510">
        <v>217050.16721338526</v>
      </c>
      <c r="J105" s="514">
        <f t="shared" si="22"/>
        <v>0</v>
      </c>
      <c r="K105" s="514"/>
      <c r="L105" s="518">
        <f>H105</f>
        <v>217050.16721338526</v>
      </c>
      <c r="M105" s="519">
        <f t="shared" si="29"/>
        <v>0</v>
      </c>
      <c r="N105" s="518">
        <f>I105</f>
        <v>217050.16721338526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28"/>
        <v/>
      </c>
      <c r="C106" s="507">
        <f>IF(D93="","-",+C105+1)</f>
        <v>2017</v>
      </c>
      <c r="D106" s="508">
        <v>1389681.5429192663</v>
      </c>
      <c r="E106" s="516">
        <v>39114.690476190473</v>
      </c>
      <c r="F106" s="515">
        <v>1350566.8524430757</v>
      </c>
      <c r="G106" s="515">
        <v>1370124.1976811709</v>
      </c>
      <c r="H106" s="516">
        <v>205545.67397661868</v>
      </c>
      <c r="I106" s="510">
        <v>205545.67397661868</v>
      </c>
      <c r="J106" s="514">
        <f t="shared" si="22"/>
        <v>0</v>
      </c>
      <c r="K106" s="514"/>
      <c r="L106" s="518">
        <f>H106</f>
        <v>205545.67397661868</v>
      </c>
      <c r="M106" s="519">
        <f t="shared" si="29"/>
        <v>0</v>
      </c>
      <c r="N106" s="518">
        <f>I106</f>
        <v>205545.67397661868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28"/>
        <v/>
      </c>
      <c r="C107" s="507">
        <f>IF(D93="","-",+C106+1)</f>
        <v>2018</v>
      </c>
      <c r="D107" s="508">
        <v>1350566.8524430757</v>
      </c>
      <c r="E107" s="516">
        <v>39114.690476190473</v>
      </c>
      <c r="F107" s="515">
        <v>1311452.1619668852</v>
      </c>
      <c r="G107" s="515">
        <v>1331009.5072049806</v>
      </c>
      <c r="H107" s="516">
        <v>179675.39820677435</v>
      </c>
      <c r="I107" s="510">
        <v>179675.39820677435</v>
      </c>
      <c r="J107" s="514">
        <f t="shared" si="22"/>
        <v>0</v>
      </c>
      <c r="K107" s="514"/>
      <c r="L107" s="518">
        <f>H107</f>
        <v>179675.39820677435</v>
      </c>
      <c r="M107" s="519">
        <f t="shared" si="29"/>
        <v>0</v>
      </c>
      <c r="N107" s="518">
        <f>I107</f>
        <v>179675.39820677435</v>
      </c>
      <c r="O107" s="514">
        <f t="shared" si="26"/>
        <v>0</v>
      </c>
      <c r="P107" s="514">
        <f t="shared" si="27"/>
        <v>0</v>
      </c>
      <c r="Q107" s="269"/>
    </row>
    <row r="108" spans="1:17" ht="12.5">
      <c r="B108" s="195" t="str">
        <f t="shared" si="28"/>
        <v/>
      </c>
      <c r="C108" s="507">
        <f>IF(D93="","-",+C107+1)</f>
        <v>2019</v>
      </c>
      <c r="D108" s="508">
        <v>1311452.1619668852</v>
      </c>
      <c r="E108" s="516">
        <v>38205.046511627908</v>
      </c>
      <c r="F108" s="515">
        <v>1273247.1154552572</v>
      </c>
      <c r="G108" s="515">
        <v>1292349.6387110711</v>
      </c>
      <c r="H108" s="516">
        <v>176538.85816269691</v>
      </c>
      <c r="I108" s="510">
        <v>176538.85816269691</v>
      </c>
      <c r="J108" s="514">
        <f t="shared" si="22"/>
        <v>0</v>
      </c>
      <c r="K108" s="514"/>
      <c r="L108" s="518">
        <f>H108</f>
        <v>176538.85816269691</v>
      </c>
      <c r="M108" s="519">
        <f t="shared" ref="M108" si="30">IF(L108&lt;&gt;0,+H108-L108,0)</f>
        <v>0</v>
      </c>
      <c r="N108" s="518">
        <f>I108</f>
        <v>176538.85816269691</v>
      </c>
      <c r="O108" s="514">
        <f t="shared" si="26"/>
        <v>0</v>
      </c>
      <c r="P108" s="514">
        <f t="shared" si="27"/>
        <v>0</v>
      </c>
      <c r="Q108" s="269"/>
    </row>
    <row r="109" spans="1:17" ht="12.5">
      <c r="B109" s="195" t="str">
        <f t="shared" si="28"/>
        <v/>
      </c>
      <c r="C109" s="507">
        <f>IF(D93="","-",+C108+1)</f>
        <v>2020</v>
      </c>
      <c r="D109" s="374">
        <f>IF(F108+SUM(E$99:E108)=D$92,F108,D$92-SUM(E$99:E108))</f>
        <v>1273247.1154552572</v>
      </c>
      <c r="E109" s="522">
        <f>IF(+J96&lt;F108,J96,D109)</f>
        <v>39114.690476190473</v>
      </c>
      <c r="F109" s="523">
        <f t="shared" ref="F109:F131" si="31">+D109-E109</f>
        <v>1234132.4249790667</v>
      </c>
      <c r="G109" s="523">
        <f t="shared" ref="G109:G130" si="32">+(F109+D109)/2</f>
        <v>1253689.7702171621</v>
      </c>
      <c r="H109" s="526">
        <f t="shared" ref="H109:H130" si="33">+J$94*G109+E109</f>
        <v>173978.90382541961</v>
      </c>
      <c r="I109" s="577">
        <f t="shared" ref="I109:I130" si="34">+J$95*G109+E109</f>
        <v>173978.90382541961</v>
      </c>
      <c r="J109" s="514">
        <f t="shared" si="22"/>
        <v>0</v>
      </c>
      <c r="K109" s="514"/>
      <c r="L109" s="525"/>
      <c r="M109" s="514">
        <f t="shared" si="24"/>
        <v>0</v>
      </c>
      <c r="N109" s="525"/>
      <c r="O109" s="514">
        <f t="shared" si="26"/>
        <v>0</v>
      </c>
      <c r="P109" s="514">
        <f t="shared" si="27"/>
        <v>0</v>
      </c>
      <c r="Q109" s="269"/>
    </row>
    <row r="110" spans="1:17" ht="12.5">
      <c r="B110" s="195" t="str">
        <f t="shared" si="28"/>
        <v/>
      </c>
      <c r="C110" s="507">
        <f>IF(D93="","-",+C109+1)</f>
        <v>2021</v>
      </c>
      <c r="D110" s="374">
        <f>IF(F109+SUM(E$99:E109)=D$92,F109,D$92-SUM(E$99:E109))</f>
        <v>1234132.4249790667</v>
      </c>
      <c r="E110" s="522">
        <f>IF(+J96&lt;F109,J96,D110)</f>
        <v>39114.690476190473</v>
      </c>
      <c r="F110" s="523">
        <f t="shared" si="31"/>
        <v>1195017.7345028762</v>
      </c>
      <c r="G110" s="523">
        <f t="shared" si="32"/>
        <v>1214575.0797409713</v>
      </c>
      <c r="H110" s="526">
        <f t="shared" si="33"/>
        <v>169771.18666381566</v>
      </c>
      <c r="I110" s="577">
        <f t="shared" si="34"/>
        <v>169771.18666381566</v>
      </c>
      <c r="J110" s="514">
        <f t="shared" si="22"/>
        <v>0</v>
      </c>
      <c r="K110" s="514"/>
      <c r="L110" s="525"/>
      <c r="M110" s="514">
        <f t="shared" si="24"/>
        <v>0</v>
      </c>
      <c r="N110" s="525"/>
      <c r="O110" s="514">
        <f t="shared" si="26"/>
        <v>0</v>
      </c>
      <c r="P110" s="514">
        <f t="shared" si="27"/>
        <v>0</v>
      </c>
      <c r="Q110" s="269"/>
    </row>
    <row r="111" spans="1:17" ht="12.5">
      <c r="B111" s="195" t="str">
        <f t="shared" si="28"/>
        <v/>
      </c>
      <c r="C111" s="507">
        <f>IF(D93="","-",+C110+1)</f>
        <v>2022</v>
      </c>
      <c r="D111" s="374">
        <f>IF(F110+SUM(E$99:E110)=D$92,F110,D$92-SUM(E$99:E110))</f>
        <v>1195017.7345028762</v>
      </c>
      <c r="E111" s="522">
        <f>IF(+J96&lt;F110,J96,D111)</f>
        <v>39114.690476190473</v>
      </c>
      <c r="F111" s="523">
        <f t="shared" si="31"/>
        <v>1155903.0440266856</v>
      </c>
      <c r="G111" s="523">
        <f t="shared" si="32"/>
        <v>1175460.389264781</v>
      </c>
      <c r="H111" s="526">
        <f t="shared" si="33"/>
        <v>165563.46950221178</v>
      </c>
      <c r="I111" s="577">
        <f t="shared" si="34"/>
        <v>165563.46950221178</v>
      </c>
      <c r="J111" s="514">
        <f t="shared" si="22"/>
        <v>0</v>
      </c>
      <c r="K111" s="514"/>
      <c r="L111" s="525"/>
      <c r="M111" s="514">
        <f t="shared" si="24"/>
        <v>0</v>
      </c>
      <c r="N111" s="525"/>
      <c r="O111" s="514">
        <f t="shared" si="26"/>
        <v>0</v>
      </c>
      <c r="P111" s="514">
        <f t="shared" si="27"/>
        <v>0</v>
      </c>
      <c r="Q111" s="269"/>
    </row>
    <row r="112" spans="1:17" ht="12.5">
      <c r="B112" s="195" t="str">
        <f t="shared" si="28"/>
        <v/>
      </c>
      <c r="C112" s="507">
        <f>IF(D93="","-",+C111+1)</f>
        <v>2023</v>
      </c>
      <c r="D112" s="374">
        <f>IF(F111+SUM(E$99:E111)=D$92,F111,D$92-SUM(E$99:E111))</f>
        <v>1155903.0440266856</v>
      </c>
      <c r="E112" s="522">
        <f>IF(+J96&lt;F111,J96,D112)</f>
        <v>39114.690476190473</v>
      </c>
      <c r="F112" s="523">
        <f t="shared" si="31"/>
        <v>1116788.3535504951</v>
      </c>
      <c r="G112" s="523">
        <f t="shared" si="32"/>
        <v>1136345.6987885903</v>
      </c>
      <c r="H112" s="526">
        <f t="shared" si="33"/>
        <v>161355.75234060784</v>
      </c>
      <c r="I112" s="577">
        <f t="shared" si="34"/>
        <v>161355.75234060784</v>
      </c>
      <c r="J112" s="514">
        <f t="shared" si="22"/>
        <v>0</v>
      </c>
      <c r="K112" s="514"/>
      <c r="L112" s="525"/>
      <c r="M112" s="514">
        <f t="shared" si="24"/>
        <v>0</v>
      </c>
      <c r="N112" s="525"/>
      <c r="O112" s="514">
        <f t="shared" si="26"/>
        <v>0</v>
      </c>
      <c r="P112" s="514">
        <f t="shared" si="27"/>
        <v>0</v>
      </c>
      <c r="Q112" s="269"/>
    </row>
    <row r="113" spans="2:17" ht="12.5">
      <c r="B113" s="195" t="str">
        <f t="shared" si="28"/>
        <v/>
      </c>
      <c r="C113" s="507">
        <f>IF(D93="","-",+C112+1)</f>
        <v>2024</v>
      </c>
      <c r="D113" s="374">
        <f>IF(F112+SUM(E$99:E112)=D$92,F112,D$92-SUM(E$99:E112))</f>
        <v>1116788.3535504951</v>
      </c>
      <c r="E113" s="522">
        <f>IF(+J96&lt;F112,J96,D113)</f>
        <v>39114.690476190473</v>
      </c>
      <c r="F113" s="523">
        <f t="shared" si="31"/>
        <v>1077673.6630743046</v>
      </c>
      <c r="G113" s="523">
        <f t="shared" si="32"/>
        <v>1097231.0083124</v>
      </c>
      <c r="H113" s="526">
        <f t="shared" si="33"/>
        <v>157148.03517900396</v>
      </c>
      <c r="I113" s="577">
        <f t="shared" si="34"/>
        <v>157148.03517900396</v>
      </c>
      <c r="J113" s="514">
        <f t="shared" si="22"/>
        <v>0</v>
      </c>
      <c r="K113" s="514"/>
      <c r="L113" s="525"/>
      <c r="M113" s="514">
        <f t="shared" si="24"/>
        <v>0</v>
      </c>
      <c r="N113" s="525"/>
      <c r="O113" s="514">
        <f t="shared" si="26"/>
        <v>0</v>
      </c>
      <c r="P113" s="514">
        <f t="shared" si="27"/>
        <v>0</v>
      </c>
      <c r="Q113" s="269"/>
    </row>
    <row r="114" spans="2:17" ht="12.5">
      <c r="B114" s="195" t="str">
        <f t="shared" si="28"/>
        <v/>
      </c>
      <c r="C114" s="507">
        <f>IF(D93="","-",+C113+1)</f>
        <v>2025</v>
      </c>
      <c r="D114" s="374">
        <f>IF(F113+SUM(E$99:E113)=D$92,F113,D$92-SUM(E$99:E113))</f>
        <v>1077673.6630743046</v>
      </c>
      <c r="E114" s="522">
        <f>IF(+J96&lt;F113,J96,D114)</f>
        <v>39114.690476190473</v>
      </c>
      <c r="F114" s="523">
        <f t="shared" si="31"/>
        <v>1038558.9725981141</v>
      </c>
      <c r="G114" s="523">
        <f t="shared" si="32"/>
        <v>1058116.3178362092</v>
      </c>
      <c r="H114" s="526">
        <f t="shared" si="33"/>
        <v>152940.31801740002</v>
      </c>
      <c r="I114" s="577">
        <f t="shared" si="34"/>
        <v>152940.31801740002</v>
      </c>
      <c r="J114" s="514">
        <f t="shared" si="22"/>
        <v>0</v>
      </c>
      <c r="K114" s="514"/>
      <c r="L114" s="525"/>
      <c r="M114" s="514">
        <f t="shared" si="24"/>
        <v>0</v>
      </c>
      <c r="N114" s="525"/>
      <c r="O114" s="514">
        <f t="shared" si="26"/>
        <v>0</v>
      </c>
      <c r="P114" s="514">
        <f t="shared" si="27"/>
        <v>0</v>
      </c>
      <c r="Q114" s="269"/>
    </row>
    <row r="115" spans="2:17" ht="12.5">
      <c r="B115" s="195" t="str">
        <f t="shared" si="28"/>
        <v/>
      </c>
      <c r="C115" s="507">
        <f>IF(D93="","-",+C114+1)</f>
        <v>2026</v>
      </c>
      <c r="D115" s="374">
        <f>IF(F114+SUM(E$99:E114)=D$92,F114,D$92-SUM(E$99:E114))</f>
        <v>1038558.9725981141</v>
      </c>
      <c r="E115" s="522">
        <f>IF(+J96&lt;F114,J96,D115)</f>
        <v>39114.690476190473</v>
      </c>
      <c r="F115" s="523">
        <f t="shared" si="31"/>
        <v>999444.28212192352</v>
      </c>
      <c r="G115" s="523">
        <f t="shared" si="32"/>
        <v>1019001.6273600188</v>
      </c>
      <c r="H115" s="526">
        <f t="shared" si="33"/>
        <v>148732.6008557961</v>
      </c>
      <c r="I115" s="577">
        <f t="shared" si="34"/>
        <v>148732.6008557961</v>
      </c>
      <c r="J115" s="514">
        <f t="shared" si="22"/>
        <v>0</v>
      </c>
      <c r="K115" s="514"/>
      <c r="L115" s="525"/>
      <c r="M115" s="514">
        <f t="shared" si="24"/>
        <v>0</v>
      </c>
      <c r="N115" s="525"/>
      <c r="O115" s="514">
        <f t="shared" si="26"/>
        <v>0</v>
      </c>
      <c r="P115" s="514">
        <f t="shared" si="27"/>
        <v>0</v>
      </c>
      <c r="Q115" s="269"/>
    </row>
    <row r="116" spans="2:17" ht="12.5">
      <c r="B116" s="195" t="str">
        <f t="shared" si="28"/>
        <v/>
      </c>
      <c r="C116" s="507">
        <f>IF(D93="","-",+C115+1)</f>
        <v>2027</v>
      </c>
      <c r="D116" s="374">
        <f>IF(F115+SUM(E$99:E115)=D$92,F115,D$92-SUM(E$99:E115))</f>
        <v>999444.28212192352</v>
      </c>
      <c r="E116" s="522">
        <f>IF(+J96&lt;F115,J96,D116)</f>
        <v>39114.690476190473</v>
      </c>
      <c r="F116" s="523">
        <f t="shared" si="31"/>
        <v>960329.59164573299</v>
      </c>
      <c r="G116" s="523">
        <f t="shared" si="32"/>
        <v>979886.93688382825</v>
      </c>
      <c r="H116" s="526">
        <f t="shared" si="33"/>
        <v>144524.88369419219</v>
      </c>
      <c r="I116" s="577">
        <f t="shared" si="34"/>
        <v>144524.88369419219</v>
      </c>
      <c r="J116" s="514">
        <f t="shared" si="22"/>
        <v>0</v>
      </c>
      <c r="K116" s="514"/>
      <c r="L116" s="525"/>
      <c r="M116" s="514">
        <f t="shared" si="24"/>
        <v>0</v>
      </c>
      <c r="N116" s="525"/>
      <c r="O116" s="514">
        <f t="shared" si="26"/>
        <v>0</v>
      </c>
      <c r="P116" s="514">
        <f t="shared" si="27"/>
        <v>0</v>
      </c>
      <c r="Q116" s="269"/>
    </row>
    <row r="117" spans="2:17" ht="12.5">
      <c r="B117" s="195" t="str">
        <f t="shared" si="28"/>
        <v/>
      </c>
      <c r="C117" s="507">
        <f>IF(D93="","-",+C116+1)</f>
        <v>2028</v>
      </c>
      <c r="D117" s="374">
        <f>IF(F116+SUM(E$99:E116)=D$92,F116,D$92-SUM(E$99:E116))</f>
        <v>960329.59164573299</v>
      </c>
      <c r="E117" s="522">
        <f>IF(+J96&lt;F116,J96,D117)</f>
        <v>39114.690476190473</v>
      </c>
      <c r="F117" s="523">
        <f t="shared" si="31"/>
        <v>921214.90116954246</v>
      </c>
      <c r="G117" s="523">
        <f t="shared" si="32"/>
        <v>940772.24640763772</v>
      </c>
      <c r="H117" s="526">
        <f t="shared" si="33"/>
        <v>140317.16653258828</v>
      </c>
      <c r="I117" s="577">
        <f t="shared" si="34"/>
        <v>140317.16653258828</v>
      </c>
      <c r="J117" s="514">
        <f t="shared" si="22"/>
        <v>0</v>
      </c>
      <c r="K117" s="514"/>
      <c r="L117" s="525"/>
      <c r="M117" s="514">
        <f t="shared" si="24"/>
        <v>0</v>
      </c>
      <c r="N117" s="525"/>
      <c r="O117" s="514">
        <f t="shared" si="26"/>
        <v>0</v>
      </c>
      <c r="P117" s="514">
        <f t="shared" si="27"/>
        <v>0</v>
      </c>
      <c r="Q117" s="269"/>
    </row>
    <row r="118" spans="2:17" ht="12.5">
      <c r="B118" s="195" t="str">
        <f t="shared" si="28"/>
        <v/>
      </c>
      <c r="C118" s="507">
        <f>IF(D93="","-",+C117+1)</f>
        <v>2029</v>
      </c>
      <c r="D118" s="374">
        <f>IF(F117+SUM(E$99:E117)=D$92,F117,D$92-SUM(E$99:E117))</f>
        <v>921214.90116954246</v>
      </c>
      <c r="E118" s="522">
        <f>IF(+J96&lt;F117,J96,D118)</f>
        <v>39114.690476190473</v>
      </c>
      <c r="F118" s="523">
        <f t="shared" si="31"/>
        <v>882100.21069335192</v>
      </c>
      <c r="G118" s="523">
        <f t="shared" si="32"/>
        <v>901657.55593144719</v>
      </c>
      <c r="H118" s="526">
        <f t="shared" si="33"/>
        <v>136109.44937098437</v>
      </c>
      <c r="I118" s="577">
        <f t="shared" si="34"/>
        <v>136109.44937098437</v>
      </c>
      <c r="J118" s="514">
        <f t="shared" si="22"/>
        <v>0</v>
      </c>
      <c r="K118" s="514"/>
      <c r="L118" s="525"/>
      <c r="M118" s="514">
        <f t="shared" si="24"/>
        <v>0</v>
      </c>
      <c r="N118" s="525"/>
      <c r="O118" s="514">
        <f t="shared" si="26"/>
        <v>0</v>
      </c>
      <c r="P118" s="514">
        <f t="shared" si="27"/>
        <v>0</v>
      </c>
      <c r="Q118" s="269"/>
    </row>
    <row r="119" spans="2:17" ht="12.5">
      <c r="B119" s="195" t="str">
        <f t="shared" si="28"/>
        <v/>
      </c>
      <c r="C119" s="507">
        <f>IF(D93="","-",+C118+1)</f>
        <v>2030</v>
      </c>
      <c r="D119" s="374">
        <f>IF(F118+SUM(E$99:E118)=D$92,F118,D$92-SUM(E$99:E118))</f>
        <v>882100.21069335192</v>
      </c>
      <c r="E119" s="522">
        <f>IF(+J96&lt;F118,J96,D119)</f>
        <v>39114.690476190473</v>
      </c>
      <c r="F119" s="523">
        <f t="shared" si="31"/>
        <v>842985.52021716139</v>
      </c>
      <c r="G119" s="523">
        <f t="shared" si="32"/>
        <v>862542.86545525666</v>
      </c>
      <c r="H119" s="526">
        <f t="shared" si="33"/>
        <v>131901.73220938045</v>
      </c>
      <c r="I119" s="577">
        <f t="shared" si="34"/>
        <v>131901.73220938045</v>
      </c>
      <c r="J119" s="514">
        <f t="shared" si="22"/>
        <v>0</v>
      </c>
      <c r="K119" s="514"/>
      <c r="L119" s="525"/>
      <c r="M119" s="514">
        <f t="shared" si="24"/>
        <v>0</v>
      </c>
      <c r="N119" s="525"/>
      <c r="O119" s="514">
        <f t="shared" si="26"/>
        <v>0</v>
      </c>
      <c r="P119" s="514">
        <f t="shared" si="27"/>
        <v>0</v>
      </c>
      <c r="Q119" s="269"/>
    </row>
    <row r="120" spans="2:17" ht="12.5">
      <c r="B120" s="195" t="str">
        <f t="shared" si="28"/>
        <v/>
      </c>
      <c r="C120" s="507">
        <f>IF(D93="","-",+C119+1)</f>
        <v>2031</v>
      </c>
      <c r="D120" s="374">
        <f>IF(F119+SUM(E$99:E119)=D$92,F119,D$92-SUM(E$99:E119))</f>
        <v>842985.52021716139</v>
      </c>
      <c r="E120" s="522">
        <f>IF(+J96&lt;F119,J96,D120)</f>
        <v>39114.690476190473</v>
      </c>
      <c r="F120" s="523">
        <f t="shared" si="31"/>
        <v>803870.82974097086</v>
      </c>
      <c r="G120" s="523">
        <f t="shared" si="32"/>
        <v>823428.17497906613</v>
      </c>
      <c r="H120" s="526">
        <f t="shared" si="33"/>
        <v>127694.01504777654</v>
      </c>
      <c r="I120" s="577">
        <f t="shared" si="34"/>
        <v>127694.01504777654</v>
      </c>
      <c r="J120" s="514">
        <f t="shared" si="22"/>
        <v>0</v>
      </c>
      <c r="K120" s="514"/>
      <c r="L120" s="525"/>
      <c r="M120" s="514">
        <f t="shared" si="24"/>
        <v>0</v>
      </c>
      <c r="N120" s="525"/>
      <c r="O120" s="514">
        <f t="shared" si="26"/>
        <v>0</v>
      </c>
      <c r="P120" s="514">
        <f t="shared" si="27"/>
        <v>0</v>
      </c>
      <c r="Q120" s="269"/>
    </row>
    <row r="121" spans="2:17" ht="12.5">
      <c r="B121" s="195" t="str">
        <f t="shared" si="28"/>
        <v/>
      </c>
      <c r="C121" s="507">
        <f>IF(D93="","-",+C120+1)</f>
        <v>2032</v>
      </c>
      <c r="D121" s="374">
        <f>IF(F120+SUM(E$99:E120)=D$92,F120,D$92-SUM(E$99:E120))</f>
        <v>803870.82974097086</v>
      </c>
      <c r="E121" s="522">
        <f>IF(+J96&lt;F120,J96,D121)</f>
        <v>39114.690476190473</v>
      </c>
      <c r="F121" s="523">
        <f t="shared" si="31"/>
        <v>764756.13926478033</v>
      </c>
      <c r="G121" s="523">
        <f t="shared" si="32"/>
        <v>784313.4845028756</v>
      </c>
      <c r="H121" s="526">
        <f t="shared" si="33"/>
        <v>123486.29788617263</v>
      </c>
      <c r="I121" s="577">
        <f t="shared" si="34"/>
        <v>123486.29788617263</v>
      </c>
      <c r="J121" s="514">
        <f t="shared" si="22"/>
        <v>0</v>
      </c>
      <c r="K121" s="514"/>
      <c r="L121" s="525"/>
      <c r="M121" s="514">
        <f t="shared" si="24"/>
        <v>0</v>
      </c>
      <c r="N121" s="525"/>
      <c r="O121" s="514">
        <f t="shared" si="26"/>
        <v>0</v>
      </c>
      <c r="P121" s="514">
        <f t="shared" si="27"/>
        <v>0</v>
      </c>
      <c r="Q121" s="269"/>
    </row>
    <row r="122" spans="2:17" ht="12.5">
      <c r="B122" s="195" t="str">
        <f t="shared" si="28"/>
        <v/>
      </c>
      <c r="C122" s="507">
        <f>IF(D93="","-",+C121+1)</f>
        <v>2033</v>
      </c>
      <c r="D122" s="374">
        <f>IF(F121+SUM(E$99:E121)=D$92,F121,D$92-SUM(E$99:E121))</f>
        <v>764756.13926478033</v>
      </c>
      <c r="E122" s="522">
        <f>IF(+J96&lt;F121,J96,D122)</f>
        <v>39114.690476190473</v>
      </c>
      <c r="F122" s="523">
        <f t="shared" si="31"/>
        <v>725641.4487885898</v>
      </c>
      <c r="G122" s="523">
        <f t="shared" si="32"/>
        <v>745198.79402668506</v>
      </c>
      <c r="H122" s="526">
        <f t="shared" si="33"/>
        <v>119278.5807245687</v>
      </c>
      <c r="I122" s="577">
        <f t="shared" si="34"/>
        <v>119278.5807245687</v>
      </c>
      <c r="J122" s="514">
        <f t="shared" si="22"/>
        <v>0</v>
      </c>
      <c r="K122" s="514"/>
      <c r="L122" s="525"/>
      <c r="M122" s="514">
        <f t="shared" si="24"/>
        <v>0</v>
      </c>
      <c r="N122" s="525"/>
      <c r="O122" s="514">
        <f t="shared" si="26"/>
        <v>0</v>
      </c>
      <c r="P122" s="514">
        <f t="shared" si="27"/>
        <v>0</v>
      </c>
      <c r="Q122" s="269"/>
    </row>
    <row r="123" spans="2:17" ht="12.5">
      <c r="B123" s="195" t="str">
        <f t="shared" si="28"/>
        <v/>
      </c>
      <c r="C123" s="507">
        <f>IF(D93="","-",+C122+1)</f>
        <v>2034</v>
      </c>
      <c r="D123" s="374">
        <f>IF(F122+SUM(E$99:E122)=D$92,F122,D$92-SUM(E$99:E122))</f>
        <v>725641.4487885898</v>
      </c>
      <c r="E123" s="522">
        <f>IF(+J96&lt;F122,J96,D123)</f>
        <v>39114.690476190473</v>
      </c>
      <c r="F123" s="523">
        <f t="shared" si="31"/>
        <v>686526.75831239927</v>
      </c>
      <c r="G123" s="523">
        <f t="shared" si="32"/>
        <v>706084.10355049453</v>
      </c>
      <c r="H123" s="526">
        <f t="shared" si="33"/>
        <v>115070.86356296479</v>
      </c>
      <c r="I123" s="577">
        <f t="shared" si="34"/>
        <v>115070.86356296479</v>
      </c>
      <c r="J123" s="514">
        <f t="shared" si="22"/>
        <v>0</v>
      </c>
      <c r="K123" s="514"/>
      <c r="L123" s="525"/>
      <c r="M123" s="514">
        <f t="shared" si="24"/>
        <v>0</v>
      </c>
      <c r="N123" s="525"/>
      <c r="O123" s="514">
        <f t="shared" si="26"/>
        <v>0</v>
      </c>
      <c r="P123" s="514">
        <f t="shared" si="27"/>
        <v>0</v>
      </c>
      <c r="Q123" s="269"/>
    </row>
    <row r="124" spans="2:17" ht="12.5">
      <c r="B124" s="195" t="str">
        <f t="shared" si="28"/>
        <v/>
      </c>
      <c r="C124" s="507">
        <f>IF(D93="","-",+C123+1)</f>
        <v>2035</v>
      </c>
      <c r="D124" s="374">
        <f>IF(F123+SUM(E$99:E123)=D$92,F123,D$92-SUM(E$99:E123))</f>
        <v>686526.75831239927</v>
      </c>
      <c r="E124" s="522">
        <f>IF(+J96&lt;F123,J96,D124)</f>
        <v>39114.690476190473</v>
      </c>
      <c r="F124" s="523">
        <f t="shared" si="31"/>
        <v>647412.06783620873</v>
      </c>
      <c r="G124" s="523">
        <f t="shared" si="32"/>
        <v>666969.413074304</v>
      </c>
      <c r="H124" s="526">
        <f t="shared" si="33"/>
        <v>110863.14640136088</v>
      </c>
      <c r="I124" s="577">
        <f t="shared" si="34"/>
        <v>110863.14640136088</v>
      </c>
      <c r="J124" s="514">
        <f t="shared" si="22"/>
        <v>0</v>
      </c>
      <c r="K124" s="514"/>
      <c r="L124" s="525"/>
      <c r="M124" s="514">
        <f t="shared" si="24"/>
        <v>0</v>
      </c>
      <c r="N124" s="525"/>
      <c r="O124" s="514">
        <f t="shared" si="26"/>
        <v>0</v>
      </c>
      <c r="P124" s="514">
        <f t="shared" si="27"/>
        <v>0</v>
      </c>
      <c r="Q124" s="269"/>
    </row>
    <row r="125" spans="2:17" ht="12.5">
      <c r="B125" s="195" t="str">
        <f t="shared" si="28"/>
        <v/>
      </c>
      <c r="C125" s="507">
        <f>IF(D93="","-",+C124+1)</f>
        <v>2036</v>
      </c>
      <c r="D125" s="374">
        <f>IF(F124+SUM(E$99:E124)=D$92,F124,D$92-SUM(E$99:E124))</f>
        <v>647412.06783620873</v>
      </c>
      <c r="E125" s="522">
        <f>IF(+J96&lt;F124,J96,D125)</f>
        <v>39114.690476190473</v>
      </c>
      <c r="F125" s="523">
        <f t="shared" si="31"/>
        <v>608297.3773600182</v>
      </c>
      <c r="G125" s="523">
        <f t="shared" si="32"/>
        <v>627854.72259811347</v>
      </c>
      <c r="H125" s="526">
        <f t="shared" si="33"/>
        <v>106655.42923975697</v>
      </c>
      <c r="I125" s="577">
        <f t="shared" si="34"/>
        <v>106655.42923975697</v>
      </c>
      <c r="J125" s="514">
        <f t="shared" si="22"/>
        <v>0</v>
      </c>
      <c r="K125" s="514"/>
      <c r="L125" s="525"/>
      <c r="M125" s="514">
        <f t="shared" si="24"/>
        <v>0</v>
      </c>
      <c r="N125" s="525"/>
      <c r="O125" s="514">
        <f t="shared" si="26"/>
        <v>0</v>
      </c>
      <c r="P125" s="514">
        <f t="shared" si="27"/>
        <v>0</v>
      </c>
      <c r="Q125" s="269"/>
    </row>
    <row r="126" spans="2:17" ht="12.5">
      <c r="B126" s="195" t="str">
        <f t="shared" si="28"/>
        <v/>
      </c>
      <c r="C126" s="507">
        <f>IF(D93="","-",+C125+1)</f>
        <v>2037</v>
      </c>
      <c r="D126" s="374">
        <f>IF(F125+SUM(E$99:E125)=D$92,F125,D$92-SUM(E$99:E125))</f>
        <v>608297.3773600182</v>
      </c>
      <c r="E126" s="522">
        <f>IF(+J96&lt;F125,J96,D126)</f>
        <v>39114.690476190473</v>
      </c>
      <c r="F126" s="523">
        <f t="shared" si="31"/>
        <v>569182.68688382767</v>
      </c>
      <c r="G126" s="523">
        <f t="shared" si="32"/>
        <v>588740.03212192294</v>
      </c>
      <c r="H126" s="526">
        <f t="shared" si="33"/>
        <v>102447.71207815305</v>
      </c>
      <c r="I126" s="577">
        <f t="shared" si="34"/>
        <v>102447.71207815305</v>
      </c>
      <c r="J126" s="514">
        <f t="shared" si="22"/>
        <v>0</v>
      </c>
      <c r="K126" s="514"/>
      <c r="L126" s="525"/>
      <c r="M126" s="514">
        <f t="shared" si="24"/>
        <v>0</v>
      </c>
      <c r="N126" s="525"/>
      <c r="O126" s="514">
        <f t="shared" si="26"/>
        <v>0</v>
      </c>
      <c r="P126" s="514">
        <f t="shared" si="27"/>
        <v>0</v>
      </c>
      <c r="Q126" s="269"/>
    </row>
    <row r="127" spans="2:17" ht="12.5">
      <c r="B127" s="195" t="str">
        <f t="shared" si="28"/>
        <v/>
      </c>
      <c r="C127" s="507">
        <f>IF(D93="","-",+C126+1)</f>
        <v>2038</v>
      </c>
      <c r="D127" s="374">
        <f>IF(F126+SUM(E$99:E126)=D$92,F126,D$92-SUM(E$99:E126))</f>
        <v>569182.68688382767</v>
      </c>
      <c r="E127" s="522">
        <f>IF(+J96&lt;F126,J96,D127)</f>
        <v>39114.690476190473</v>
      </c>
      <c r="F127" s="523">
        <f t="shared" si="31"/>
        <v>530067.99640763714</v>
      </c>
      <c r="G127" s="523">
        <f t="shared" si="32"/>
        <v>549625.34164573241</v>
      </c>
      <c r="H127" s="526">
        <f t="shared" si="33"/>
        <v>98239.994916549127</v>
      </c>
      <c r="I127" s="577">
        <f t="shared" si="34"/>
        <v>98239.994916549127</v>
      </c>
      <c r="J127" s="514">
        <f t="shared" si="22"/>
        <v>0</v>
      </c>
      <c r="K127" s="514"/>
      <c r="L127" s="525"/>
      <c r="M127" s="514">
        <f t="shared" si="24"/>
        <v>0</v>
      </c>
      <c r="N127" s="525"/>
      <c r="O127" s="514">
        <f t="shared" si="26"/>
        <v>0</v>
      </c>
      <c r="P127" s="514">
        <f t="shared" si="27"/>
        <v>0</v>
      </c>
      <c r="Q127" s="269"/>
    </row>
    <row r="128" spans="2:17" ht="12.5">
      <c r="B128" s="195" t="str">
        <f t="shared" si="28"/>
        <v/>
      </c>
      <c r="C128" s="507">
        <f>IF(D93="","-",+C127+1)</f>
        <v>2039</v>
      </c>
      <c r="D128" s="374">
        <f>IF(F127+SUM(E$99:E127)=D$92,F127,D$92-SUM(E$99:E127))</f>
        <v>530067.99640763714</v>
      </c>
      <c r="E128" s="522">
        <f>IF(+J96&lt;F127,J96,D128)</f>
        <v>39114.690476190473</v>
      </c>
      <c r="F128" s="523">
        <f t="shared" si="31"/>
        <v>490953.30593144667</v>
      </c>
      <c r="G128" s="523">
        <f t="shared" si="32"/>
        <v>510510.65116954187</v>
      </c>
      <c r="H128" s="526">
        <f t="shared" si="33"/>
        <v>94032.277754945215</v>
      </c>
      <c r="I128" s="577">
        <f t="shared" si="34"/>
        <v>94032.277754945215</v>
      </c>
      <c r="J128" s="514">
        <f t="shared" si="22"/>
        <v>0</v>
      </c>
      <c r="K128" s="514"/>
      <c r="L128" s="525"/>
      <c r="M128" s="514">
        <f t="shared" si="24"/>
        <v>0</v>
      </c>
      <c r="N128" s="525"/>
      <c r="O128" s="514">
        <f t="shared" si="26"/>
        <v>0</v>
      </c>
      <c r="P128" s="514">
        <f t="shared" si="27"/>
        <v>0</v>
      </c>
      <c r="Q128" s="269"/>
    </row>
    <row r="129" spans="2:17" ht="12.5">
      <c r="B129" s="195" t="str">
        <f t="shared" si="28"/>
        <v/>
      </c>
      <c r="C129" s="507">
        <f>IF(D93="","-",+C128+1)</f>
        <v>2040</v>
      </c>
      <c r="D129" s="374">
        <f>IF(F128+SUM(E$99:E128)=D$92,F128,D$92-SUM(E$99:E128))</f>
        <v>490953.30593144667</v>
      </c>
      <c r="E129" s="522">
        <f>IF(+J96&lt;F128,J96,D129)</f>
        <v>39114.690476190473</v>
      </c>
      <c r="F129" s="523">
        <f t="shared" si="31"/>
        <v>451838.61545525619</v>
      </c>
      <c r="G129" s="523">
        <f t="shared" si="32"/>
        <v>471395.96069335146</v>
      </c>
      <c r="H129" s="526">
        <f t="shared" si="33"/>
        <v>89824.560593341332</v>
      </c>
      <c r="I129" s="577">
        <f t="shared" si="34"/>
        <v>89824.560593341332</v>
      </c>
      <c r="J129" s="514">
        <f t="shared" si="22"/>
        <v>0</v>
      </c>
      <c r="K129" s="514"/>
      <c r="L129" s="525"/>
      <c r="M129" s="514">
        <f t="shared" si="24"/>
        <v>0</v>
      </c>
      <c r="N129" s="525"/>
      <c r="O129" s="514">
        <f t="shared" si="26"/>
        <v>0</v>
      </c>
      <c r="P129" s="514">
        <f t="shared" si="27"/>
        <v>0</v>
      </c>
      <c r="Q129" s="269"/>
    </row>
    <row r="130" spans="2:17" ht="12.5">
      <c r="B130" s="195" t="str">
        <f t="shared" si="28"/>
        <v/>
      </c>
      <c r="C130" s="507">
        <f>IF(D93="","-",+C129+1)</f>
        <v>2041</v>
      </c>
      <c r="D130" s="374">
        <f>IF(F129+SUM(E$99:E129)=D$92,F129,D$92-SUM(E$99:E129))</f>
        <v>451838.61545525619</v>
      </c>
      <c r="E130" s="522">
        <f>IF(+J96&lt;F129,J96,D130)</f>
        <v>39114.690476190473</v>
      </c>
      <c r="F130" s="523">
        <f t="shared" si="31"/>
        <v>412723.92497906572</v>
      </c>
      <c r="G130" s="523">
        <f t="shared" si="32"/>
        <v>432281.27021716093</v>
      </c>
      <c r="H130" s="526">
        <f t="shared" si="33"/>
        <v>85616.843431737405</v>
      </c>
      <c r="I130" s="577">
        <f t="shared" si="34"/>
        <v>85616.843431737405</v>
      </c>
      <c r="J130" s="514">
        <f t="shared" si="22"/>
        <v>0</v>
      </c>
      <c r="K130" s="514"/>
      <c r="L130" s="525"/>
      <c r="M130" s="514">
        <f t="shared" si="24"/>
        <v>0</v>
      </c>
      <c r="N130" s="525"/>
      <c r="O130" s="514">
        <f t="shared" si="26"/>
        <v>0</v>
      </c>
      <c r="P130" s="514">
        <f t="shared" si="27"/>
        <v>0</v>
      </c>
      <c r="Q130" s="269"/>
    </row>
    <row r="131" spans="2:17" ht="12.5">
      <c r="B131" s="195" t="str">
        <f t="shared" si="28"/>
        <v/>
      </c>
      <c r="C131" s="507">
        <f>IF(D93="","-",+C130+1)</f>
        <v>2042</v>
      </c>
      <c r="D131" s="374">
        <f>IF(F130+SUM(E$99:E130)=D$92,F130,D$92-SUM(E$99:E130))</f>
        <v>412723.92497906572</v>
      </c>
      <c r="E131" s="522">
        <f>IF(+J96&lt;F130,J96,D131)</f>
        <v>39114.690476190473</v>
      </c>
      <c r="F131" s="523">
        <f t="shared" si="31"/>
        <v>373609.23450287525</v>
      </c>
      <c r="G131" s="523">
        <f t="shared" ref="G131:G154" si="35">+(F131+D131)/2</f>
        <v>393166.57974097051</v>
      </c>
      <c r="H131" s="526">
        <f t="shared" ref="H131:H154" si="36">+J$94*G131+E131</f>
        <v>81409.126270133507</v>
      </c>
      <c r="I131" s="577">
        <f t="shared" ref="I131:I154" si="37">+J$95*G131+E131</f>
        <v>81409.126270133507</v>
      </c>
      <c r="J131" s="514">
        <f t="shared" ref="J131:J154" si="38">+I131-H131</f>
        <v>0</v>
      </c>
      <c r="K131" s="514"/>
      <c r="L131" s="525"/>
      <c r="M131" s="514">
        <f t="shared" ref="M131:M154" si="39">IF(L131&lt;&gt;0,+H131-L131,0)</f>
        <v>0</v>
      </c>
      <c r="N131" s="525"/>
      <c r="O131" s="514">
        <f t="shared" ref="O131:O154" si="40">IF(N131&lt;&gt;0,+I131-N131,0)</f>
        <v>0</v>
      </c>
      <c r="P131" s="514">
        <f t="shared" ref="P131:P154" si="41">+O131-M131</f>
        <v>0</v>
      </c>
      <c r="Q131" s="269"/>
    </row>
    <row r="132" spans="2:17" ht="12.5">
      <c r="B132" s="195" t="str">
        <f t="shared" si="28"/>
        <v/>
      </c>
      <c r="C132" s="507">
        <f>IF(D93="","-",+C131+1)</f>
        <v>2043</v>
      </c>
      <c r="D132" s="374">
        <f>IF(F131+SUM(E$99:E131)=D$92,F131,D$92-SUM(E$99:E131))</f>
        <v>373609.23450287525</v>
      </c>
      <c r="E132" s="522">
        <f>IF(+J96&lt;F131,J96,D132)</f>
        <v>39114.690476190473</v>
      </c>
      <c r="F132" s="523">
        <f t="shared" ref="F132:F154" si="42">+D132-E132</f>
        <v>334494.54402668477</v>
      </c>
      <c r="G132" s="523">
        <f t="shared" si="35"/>
        <v>354051.88926477998</v>
      </c>
      <c r="H132" s="526">
        <f t="shared" si="36"/>
        <v>77201.409108529595</v>
      </c>
      <c r="I132" s="577">
        <f t="shared" si="37"/>
        <v>77201.409108529595</v>
      </c>
      <c r="J132" s="514">
        <f t="shared" si="38"/>
        <v>0</v>
      </c>
      <c r="K132" s="514"/>
      <c r="L132" s="525"/>
      <c r="M132" s="514">
        <f t="shared" si="39"/>
        <v>0</v>
      </c>
      <c r="N132" s="525"/>
      <c r="O132" s="514">
        <f t="shared" si="40"/>
        <v>0</v>
      </c>
      <c r="P132" s="514">
        <f t="shared" si="41"/>
        <v>0</v>
      </c>
      <c r="Q132" s="269"/>
    </row>
    <row r="133" spans="2:17" ht="12.5">
      <c r="B133" s="195" t="str">
        <f t="shared" si="28"/>
        <v/>
      </c>
      <c r="C133" s="507">
        <f>IF(D93="","-",+C132+1)</f>
        <v>2044</v>
      </c>
      <c r="D133" s="374">
        <f>IF(F132+SUM(E$99:E132)=D$92,F132,D$92-SUM(E$99:E132))</f>
        <v>334494.54402668477</v>
      </c>
      <c r="E133" s="522">
        <f>IF(+J96&lt;F132,J96,D133)</f>
        <v>39114.690476190473</v>
      </c>
      <c r="F133" s="523">
        <f t="shared" si="42"/>
        <v>295379.8535504943</v>
      </c>
      <c r="G133" s="523">
        <f t="shared" si="35"/>
        <v>314937.19878858957</v>
      </c>
      <c r="H133" s="526">
        <f t="shared" si="36"/>
        <v>72993.691946925683</v>
      </c>
      <c r="I133" s="577">
        <f t="shared" si="37"/>
        <v>72993.691946925683</v>
      </c>
      <c r="J133" s="514">
        <f t="shared" si="38"/>
        <v>0</v>
      </c>
      <c r="K133" s="514"/>
      <c r="L133" s="525"/>
      <c r="M133" s="514">
        <f t="shared" si="39"/>
        <v>0</v>
      </c>
      <c r="N133" s="525"/>
      <c r="O133" s="514">
        <f t="shared" si="40"/>
        <v>0</v>
      </c>
      <c r="P133" s="514">
        <f t="shared" si="41"/>
        <v>0</v>
      </c>
      <c r="Q133" s="269"/>
    </row>
    <row r="134" spans="2:17" ht="12.5">
      <c r="B134" s="195" t="str">
        <f t="shared" si="28"/>
        <v/>
      </c>
      <c r="C134" s="507">
        <f>IF(D93="","-",+C133+1)</f>
        <v>2045</v>
      </c>
      <c r="D134" s="374">
        <f>IF(F133+SUM(E$99:E133)=D$92,F133,D$92-SUM(E$99:E133))</f>
        <v>295379.8535504943</v>
      </c>
      <c r="E134" s="522">
        <f>IF(+J96&lt;F133,J96,D134)</f>
        <v>39114.690476190473</v>
      </c>
      <c r="F134" s="523">
        <f t="shared" si="42"/>
        <v>256265.16307430383</v>
      </c>
      <c r="G134" s="523">
        <f t="shared" si="35"/>
        <v>275822.50831239903</v>
      </c>
      <c r="H134" s="526">
        <f t="shared" si="36"/>
        <v>68785.97478532177</v>
      </c>
      <c r="I134" s="577">
        <f t="shared" si="37"/>
        <v>68785.97478532177</v>
      </c>
      <c r="J134" s="514">
        <f t="shared" si="38"/>
        <v>0</v>
      </c>
      <c r="K134" s="514"/>
      <c r="L134" s="525"/>
      <c r="M134" s="514">
        <f t="shared" si="39"/>
        <v>0</v>
      </c>
      <c r="N134" s="525"/>
      <c r="O134" s="514">
        <f t="shared" si="40"/>
        <v>0</v>
      </c>
      <c r="P134" s="514">
        <f t="shared" si="41"/>
        <v>0</v>
      </c>
      <c r="Q134" s="269"/>
    </row>
    <row r="135" spans="2:17" ht="12.5">
      <c r="B135" s="195" t="str">
        <f t="shared" si="28"/>
        <v/>
      </c>
      <c r="C135" s="507">
        <f>IF(D93="","-",+C134+1)</f>
        <v>2046</v>
      </c>
      <c r="D135" s="374">
        <f>IF(F134+SUM(E$99:E134)=D$92,F134,D$92-SUM(E$99:E134))</f>
        <v>256265.16307430383</v>
      </c>
      <c r="E135" s="522">
        <f>IF(+J96&lt;F134,J96,D135)</f>
        <v>39114.690476190473</v>
      </c>
      <c r="F135" s="523">
        <f t="shared" si="42"/>
        <v>217150.47259811335</v>
      </c>
      <c r="G135" s="523">
        <f t="shared" si="35"/>
        <v>236707.81783620859</v>
      </c>
      <c r="H135" s="526">
        <f t="shared" si="36"/>
        <v>64578.257623717873</v>
      </c>
      <c r="I135" s="577">
        <f t="shared" si="37"/>
        <v>64578.257623717873</v>
      </c>
      <c r="J135" s="514">
        <f t="shared" si="38"/>
        <v>0</v>
      </c>
      <c r="K135" s="514"/>
      <c r="L135" s="525"/>
      <c r="M135" s="514">
        <f t="shared" si="39"/>
        <v>0</v>
      </c>
      <c r="N135" s="525"/>
      <c r="O135" s="514">
        <f t="shared" si="40"/>
        <v>0</v>
      </c>
      <c r="P135" s="514">
        <f t="shared" si="41"/>
        <v>0</v>
      </c>
      <c r="Q135" s="269"/>
    </row>
    <row r="136" spans="2:17" ht="12.5">
      <c r="B136" s="195" t="str">
        <f t="shared" si="28"/>
        <v/>
      </c>
      <c r="C136" s="507">
        <f>IF(D93="","-",+C135+1)</f>
        <v>2047</v>
      </c>
      <c r="D136" s="374">
        <f>IF(F135+SUM(E$99:E135)=D$92,F135,D$92-SUM(E$99:E135))</f>
        <v>217150.47259811335</v>
      </c>
      <c r="E136" s="522">
        <f>IF(+J96&lt;F135,J96,D136)</f>
        <v>39114.690476190473</v>
      </c>
      <c r="F136" s="523">
        <f t="shared" si="42"/>
        <v>178035.78212192288</v>
      </c>
      <c r="G136" s="523">
        <f t="shared" si="35"/>
        <v>197593.12736001812</v>
      </c>
      <c r="H136" s="526">
        <f t="shared" si="36"/>
        <v>60370.540462113961</v>
      </c>
      <c r="I136" s="577">
        <f t="shared" si="37"/>
        <v>60370.540462113961</v>
      </c>
      <c r="J136" s="514">
        <f t="shared" si="38"/>
        <v>0</v>
      </c>
      <c r="K136" s="514"/>
      <c r="L136" s="525"/>
      <c r="M136" s="514">
        <f t="shared" si="39"/>
        <v>0</v>
      </c>
      <c r="N136" s="525"/>
      <c r="O136" s="514">
        <f t="shared" si="40"/>
        <v>0</v>
      </c>
      <c r="P136" s="514">
        <f t="shared" si="41"/>
        <v>0</v>
      </c>
      <c r="Q136" s="269"/>
    </row>
    <row r="137" spans="2:17" ht="12.5">
      <c r="B137" s="195" t="str">
        <f t="shared" si="28"/>
        <v/>
      </c>
      <c r="C137" s="507">
        <f>IF(D93="","-",+C136+1)</f>
        <v>2048</v>
      </c>
      <c r="D137" s="374">
        <f>IF(F136+SUM(E$99:E136)=D$92,F136,D$92-SUM(E$99:E136))</f>
        <v>178035.78212192288</v>
      </c>
      <c r="E137" s="522">
        <f>IF(+J96&lt;F136,J96,D137)</f>
        <v>39114.690476190473</v>
      </c>
      <c r="F137" s="523">
        <f t="shared" si="42"/>
        <v>138921.09164573241</v>
      </c>
      <c r="G137" s="523">
        <f t="shared" si="35"/>
        <v>158478.43688382764</v>
      </c>
      <c r="H137" s="526">
        <f t="shared" si="36"/>
        <v>56162.823300510056</v>
      </c>
      <c r="I137" s="577">
        <f t="shared" si="37"/>
        <v>56162.823300510056</v>
      </c>
      <c r="J137" s="514">
        <f t="shared" si="38"/>
        <v>0</v>
      </c>
      <c r="K137" s="514"/>
      <c r="L137" s="525"/>
      <c r="M137" s="514">
        <f t="shared" si="39"/>
        <v>0</v>
      </c>
      <c r="N137" s="525"/>
      <c r="O137" s="514">
        <f t="shared" si="40"/>
        <v>0</v>
      </c>
      <c r="P137" s="514">
        <f t="shared" si="41"/>
        <v>0</v>
      </c>
      <c r="Q137" s="269"/>
    </row>
    <row r="138" spans="2:17" ht="12.5">
      <c r="B138" s="195" t="str">
        <f t="shared" si="28"/>
        <v/>
      </c>
      <c r="C138" s="507">
        <f>IF(D93="","-",+C137+1)</f>
        <v>2049</v>
      </c>
      <c r="D138" s="374">
        <f>IF(F137+SUM(E$99:E137)=D$92,F137,D$92-SUM(E$99:E137))</f>
        <v>138921.09164573241</v>
      </c>
      <c r="E138" s="522">
        <f>IF(+J96&lt;F137,J96,D138)</f>
        <v>39114.690476190473</v>
      </c>
      <c r="F138" s="523">
        <f t="shared" si="42"/>
        <v>99806.401169541932</v>
      </c>
      <c r="G138" s="523">
        <f t="shared" si="35"/>
        <v>119363.74640763717</v>
      </c>
      <c r="H138" s="526">
        <f t="shared" si="36"/>
        <v>51955.106138906151</v>
      </c>
      <c r="I138" s="577">
        <f t="shared" si="37"/>
        <v>51955.106138906151</v>
      </c>
      <c r="J138" s="514">
        <f t="shared" si="38"/>
        <v>0</v>
      </c>
      <c r="K138" s="514"/>
      <c r="L138" s="525"/>
      <c r="M138" s="514">
        <f t="shared" si="39"/>
        <v>0</v>
      </c>
      <c r="N138" s="525"/>
      <c r="O138" s="514">
        <f t="shared" si="40"/>
        <v>0</v>
      </c>
      <c r="P138" s="514">
        <f t="shared" si="41"/>
        <v>0</v>
      </c>
      <c r="Q138" s="269"/>
    </row>
    <row r="139" spans="2:17" ht="12.5">
      <c r="B139" s="195" t="str">
        <f t="shared" si="28"/>
        <v/>
      </c>
      <c r="C139" s="507">
        <f>IF(D93="","-",+C138+1)</f>
        <v>2050</v>
      </c>
      <c r="D139" s="374">
        <f>IF(F138+SUM(E$99:E138)=D$92,F138,D$92-SUM(E$99:E138))</f>
        <v>99806.401169541932</v>
      </c>
      <c r="E139" s="522">
        <f>IF(+J96&lt;F138,J96,D139)</f>
        <v>39114.690476190473</v>
      </c>
      <c r="F139" s="523">
        <f t="shared" si="42"/>
        <v>60691.710693351459</v>
      </c>
      <c r="G139" s="523">
        <f t="shared" si="35"/>
        <v>80249.055931446695</v>
      </c>
      <c r="H139" s="526">
        <f t="shared" si="36"/>
        <v>47747.388977302238</v>
      </c>
      <c r="I139" s="577">
        <f t="shared" si="37"/>
        <v>47747.388977302238</v>
      </c>
      <c r="J139" s="514">
        <f t="shared" si="38"/>
        <v>0</v>
      </c>
      <c r="K139" s="514"/>
      <c r="L139" s="525"/>
      <c r="M139" s="514">
        <f t="shared" si="39"/>
        <v>0</v>
      </c>
      <c r="N139" s="525"/>
      <c r="O139" s="514">
        <f t="shared" si="40"/>
        <v>0</v>
      </c>
      <c r="P139" s="514">
        <f t="shared" si="41"/>
        <v>0</v>
      </c>
      <c r="Q139" s="269"/>
    </row>
    <row r="140" spans="2:17" ht="12.5">
      <c r="B140" s="195" t="str">
        <f t="shared" si="28"/>
        <v/>
      </c>
      <c r="C140" s="507">
        <f>IF(D93="","-",+C139+1)</f>
        <v>2051</v>
      </c>
      <c r="D140" s="374">
        <f>IF(F139+SUM(E$99:E139)=D$92,F139,D$92-SUM(E$99:E139))</f>
        <v>60691.710693351459</v>
      </c>
      <c r="E140" s="522">
        <f>IF(+J96&lt;F139,J96,D140)</f>
        <v>39114.690476190473</v>
      </c>
      <c r="F140" s="523">
        <f t="shared" si="42"/>
        <v>21577.020217160985</v>
      </c>
      <c r="G140" s="523">
        <f t="shared" si="35"/>
        <v>41134.365455256222</v>
      </c>
      <c r="H140" s="526">
        <f t="shared" si="36"/>
        <v>43539.671815698333</v>
      </c>
      <c r="I140" s="577">
        <f t="shared" si="37"/>
        <v>43539.671815698333</v>
      </c>
      <c r="J140" s="514">
        <f t="shared" si="38"/>
        <v>0</v>
      </c>
      <c r="K140" s="514"/>
      <c r="L140" s="525"/>
      <c r="M140" s="514">
        <f t="shared" si="39"/>
        <v>0</v>
      </c>
      <c r="N140" s="525"/>
      <c r="O140" s="514">
        <f t="shared" si="40"/>
        <v>0</v>
      </c>
      <c r="P140" s="514">
        <f t="shared" si="41"/>
        <v>0</v>
      </c>
      <c r="Q140" s="269"/>
    </row>
    <row r="141" spans="2:17" ht="12.5">
      <c r="B141" s="195" t="str">
        <f t="shared" si="28"/>
        <v/>
      </c>
      <c r="C141" s="507">
        <f>IF(D93="","-",+C140+1)</f>
        <v>2052</v>
      </c>
      <c r="D141" s="374">
        <f>IF(F140+SUM(E$99:E140)=D$92,F140,D$92-SUM(E$99:E140))</f>
        <v>21577.020217160985</v>
      </c>
      <c r="E141" s="522">
        <f>IF(+J96&lt;F140,J96,D141)</f>
        <v>21577.020217160985</v>
      </c>
      <c r="F141" s="523">
        <f t="shared" si="42"/>
        <v>0</v>
      </c>
      <c r="G141" s="523">
        <f t="shared" si="35"/>
        <v>10788.510108580493</v>
      </c>
      <c r="H141" s="526">
        <f t="shared" si="36"/>
        <v>22737.581596513937</v>
      </c>
      <c r="I141" s="577">
        <f t="shared" si="37"/>
        <v>22737.581596513937</v>
      </c>
      <c r="J141" s="514">
        <f t="shared" si="38"/>
        <v>0</v>
      </c>
      <c r="K141" s="514"/>
      <c r="L141" s="525"/>
      <c r="M141" s="514">
        <f t="shared" si="39"/>
        <v>0</v>
      </c>
      <c r="N141" s="525"/>
      <c r="O141" s="514">
        <f t="shared" si="40"/>
        <v>0</v>
      </c>
      <c r="P141" s="514">
        <f t="shared" si="41"/>
        <v>0</v>
      </c>
      <c r="Q141" s="269"/>
    </row>
    <row r="142" spans="2:17" ht="12.5">
      <c r="B142" s="195" t="str">
        <f t="shared" si="28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2"/>
        <v>0</v>
      </c>
      <c r="G142" s="523">
        <f t="shared" si="35"/>
        <v>0</v>
      </c>
      <c r="H142" s="526">
        <f t="shared" si="36"/>
        <v>0</v>
      </c>
      <c r="I142" s="577">
        <f t="shared" si="37"/>
        <v>0</v>
      </c>
      <c r="J142" s="514">
        <f t="shared" si="38"/>
        <v>0</v>
      </c>
      <c r="K142" s="514"/>
      <c r="L142" s="525"/>
      <c r="M142" s="514">
        <f t="shared" si="39"/>
        <v>0</v>
      </c>
      <c r="N142" s="525"/>
      <c r="O142" s="514">
        <f t="shared" si="40"/>
        <v>0</v>
      </c>
      <c r="P142" s="514">
        <f t="shared" si="41"/>
        <v>0</v>
      </c>
      <c r="Q142" s="269"/>
    </row>
    <row r="143" spans="2:17" ht="12.5">
      <c r="B143" s="195" t="str">
        <f t="shared" si="28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2"/>
        <v>0</v>
      </c>
      <c r="G143" s="523">
        <f t="shared" si="35"/>
        <v>0</v>
      </c>
      <c r="H143" s="526">
        <f t="shared" si="36"/>
        <v>0</v>
      </c>
      <c r="I143" s="577">
        <f t="shared" si="37"/>
        <v>0</v>
      </c>
      <c r="J143" s="514">
        <f t="shared" si="38"/>
        <v>0</v>
      </c>
      <c r="K143" s="514"/>
      <c r="L143" s="525"/>
      <c r="M143" s="514">
        <f t="shared" si="39"/>
        <v>0</v>
      </c>
      <c r="N143" s="525"/>
      <c r="O143" s="514">
        <f t="shared" si="40"/>
        <v>0</v>
      </c>
      <c r="P143" s="514">
        <f t="shared" si="41"/>
        <v>0</v>
      </c>
      <c r="Q143" s="269"/>
    </row>
    <row r="144" spans="2:17" ht="12.5">
      <c r="B144" s="195" t="str">
        <f t="shared" si="28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2"/>
        <v>0</v>
      </c>
      <c r="G144" s="523">
        <f t="shared" si="35"/>
        <v>0</v>
      </c>
      <c r="H144" s="526">
        <f t="shared" si="36"/>
        <v>0</v>
      </c>
      <c r="I144" s="577">
        <f t="shared" si="37"/>
        <v>0</v>
      </c>
      <c r="J144" s="514">
        <f t="shared" si="38"/>
        <v>0</v>
      </c>
      <c r="K144" s="514"/>
      <c r="L144" s="525"/>
      <c r="M144" s="514">
        <f t="shared" si="39"/>
        <v>0</v>
      </c>
      <c r="N144" s="525"/>
      <c r="O144" s="514">
        <f t="shared" si="40"/>
        <v>0</v>
      </c>
      <c r="P144" s="514">
        <f t="shared" si="41"/>
        <v>0</v>
      </c>
      <c r="Q144" s="269"/>
    </row>
    <row r="145" spans="2:17" ht="12.5">
      <c r="B145" s="195" t="str">
        <f t="shared" si="28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2"/>
        <v>0</v>
      </c>
      <c r="G145" s="523">
        <f t="shared" si="35"/>
        <v>0</v>
      </c>
      <c r="H145" s="526">
        <f t="shared" si="36"/>
        <v>0</v>
      </c>
      <c r="I145" s="577">
        <f t="shared" si="37"/>
        <v>0</v>
      </c>
      <c r="J145" s="514">
        <f t="shared" si="38"/>
        <v>0</v>
      </c>
      <c r="K145" s="514"/>
      <c r="L145" s="525"/>
      <c r="M145" s="514">
        <f t="shared" si="39"/>
        <v>0</v>
      </c>
      <c r="N145" s="525"/>
      <c r="O145" s="514">
        <f t="shared" si="40"/>
        <v>0</v>
      </c>
      <c r="P145" s="514">
        <f t="shared" si="41"/>
        <v>0</v>
      </c>
      <c r="Q145" s="269"/>
    </row>
    <row r="146" spans="2:17" ht="12.5">
      <c r="B146" s="195" t="str">
        <f t="shared" si="28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2"/>
        <v>0</v>
      </c>
      <c r="G146" s="523">
        <f t="shared" si="35"/>
        <v>0</v>
      </c>
      <c r="H146" s="526">
        <f t="shared" si="36"/>
        <v>0</v>
      </c>
      <c r="I146" s="577">
        <f t="shared" si="37"/>
        <v>0</v>
      </c>
      <c r="J146" s="514">
        <f t="shared" si="38"/>
        <v>0</v>
      </c>
      <c r="K146" s="514"/>
      <c r="L146" s="525"/>
      <c r="M146" s="514">
        <f t="shared" si="39"/>
        <v>0</v>
      </c>
      <c r="N146" s="525"/>
      <c r="O146" s="514">
        <f t="shared" si="40"/>
        <v>0</v>
      </c>
      <c r="P146" s="514">
        <f t="shared" si="41"/>
        <v>0</v>
      </c>
      <c r="Q146" s="269"/>
    </row>
    <row r="147" spans="2:17" ht="12.5">
      <c r="B147" s="195" t="str">
        <f t="shared" si="28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2"/>
        <v>0</v>
      </c>
      <c r="G147" s="523">
        <f t="shared" si="35"/>
        <v>0</v>
      </c>
      <c r="H147" s="526">
        <f t="shared" si="36"/>
        <v>0</v>
      </c>
      <c r="I147" s="577">
        <f t="shared" si="37"/>
        <v>0</v>
      </c>
      <c r="J147" s="514">
        <f t="shared" si="38"/>
        <v>0</v>
      </c>
      <c r="K147" s="514"/>
      <c r="L147" s="525"/>
      <c r="M147" s="514">
        <f t="shared" si="39"/>
        <v>0</v>
      </c>
      <c r="N147" s="525"/>
      <c r="O147" s="514">
        <f t="shared" si="40"/>
        <v>0</v>
      </c>
      <c r="P147" s="514">
        <f t="shared" si="41"/>
        <v>0</v>
      </c>
      <c r="Q147" s="269"/>
    </row>
    <row r="148" spans="2:17" ht="12.5">
      <c r="B148" s="195" t="str">
        <f t="shared" si="28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2"/>
        <v>0</v>
      </c>
      <c r="G148" s="523">
        <f t="shared" si="35"/>
        <v>0</v>
      </c>
      <c r="H148" s="526">
        <f t="shared" si="36"/>
        <v>0</v>
      </c>
      <c r="I148" s="577">
        <f t="shared" si="37"/>
        <v>0</v>
      </c>
      <c r="J148" s="514">
        <f t="shared" si="38"/>
        <v>0</v>
      </c>
      <c r="K148" s="514"/>
      <c r="L148" s="525"/>
      <c r="M148" s="514">
        <f t="shared" si="39"/>
        <v>0</v>
      </c>
      <c r="N148" s="525"/>
      <c r="O148" s="514">
        <f t="shared" si="40"/>
        <v>0</v>
      </c>
      <c r="P148" s="514">
        <f t="shared" si="41"/>
        <v>0</v>
      </c>
      <c r="Q148" s="269"/>
    </row>
    <row r="149" spans="2:17" ht="12.5">
      <c r="B149" s="195" t="str">
        <f t="shared" si="28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2"/>
        <v>0</v>
      </c>
      <c r="G149" s="523">
        <f t="shared" si="35"/>
        <v>0</v>
      </c>
      <c r="H149" s="526">
        <f t="shared" si="36"/>
        <v>0</v>
      </c>
      <c r="I149" s="577">
        <f t="shared" si="37"/>
        <v>0</v>
      </c>
      <c r="J149" s="514">
        <f t="shared" si="38"/>
        <v>0</v>
      </c>
      <c r="K149" s="514"/>
      <c r="L149" s="525"/>
      <c r="M149" s="514">
        <f t="shared" si="39"/>
        <v>0</v>
      </c>
      <c r="N149" s="525"/>
      <c r="O149" s="514">
        <f t="shared" si="40"/>
        <v>0</v>
      </c>
      <c r="P149" s="514">
        <f t="shared" si="41"/>
        <v>0</v>
      </c>
      <c r="Q149" s="269"/>
    </row>
    <row r="150" spans="2:17" ht="12.5">
      <c r="B150" s="195" t="str">
        <f t="shared" si="28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2"/>
        <v>0</v>
      </c>
      <c r="G150" s="523">
        <f t="shared" si="35"/>
        <v>0</v>
      </c>
      <c r="H150" s="526">
        <f t="shared" si="36"/>
        <v>0</v>
      </c>
      <c r="I150" s="577">
        <f t="shared" si="37"/>
        <v>0</v>
      </c>
      <c r="J150" s="514">
        <f t="shared" si="38"/>
        <v>0</v>
      </c>
      <c r="K150" s="514"/>
      <c r="L150" s="525"/>
      <c r="M150" s="514">
        <f t="shared" si="39"/>
        <v>0</v>
      </c>
      <c r="N150" s="525"/>
      <c r="O150" s="514">
        <f t="shared" si="40"/>
        <v>0</v>
      </c>
      <c r="P150" s="514">
        <f t="shared" si="41"/>
        <v>0</v>
      </c>
      <c r="Q150" s="269"/>
    </row>
    <row r="151" spans="2:17" ht="12.5">
      <c r="B151" s="195" t="str">
        <f t="shared" si="28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2"/>
        <v>0</v>
      </c>
      <c r="G151" s="523">
        <f t="shared" si="35"/>
        <v>0</v>
      </c>
      <c r="H151" s="526">
        <f t="shared" si="36"/>
        <v>0</v>
      </c>
      <c r="I151" s="577">
        <f t="shared" si="37"/>
        <v>0</v>
      </c>
      <c r="J151" s="514">
        <f t="shared" si="38"/>
        <v>0</v>
      </c>
      <c r="K151" s="514"/>
      <c r="L151" s="525"/>
      <c r="M151" s="514">
        <f t="shared" si="39"/>
        <v>0</v>
      </c>
      <c r="N151" s="525"/>
      <c r="O151" s="514">
        <f t="shared" si="40"/>
        <v>0</v>
      </c>
      <c r="P151" s="514">
        <f t="shared" si="41"/>
        <v>0</v>
      </c>
      <c r="Q151" s="269"/>
    </row>
    <row r="152" spans="2:17" ht="12.5">
      <c r="B152" s="195" t="str">
        <f t="shared" si="28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2"/>
        <v>0</v>
      </c>
      <c r="G152" s="523">
        <f t="shared" si="35"/>
        <v>0</v>
      </c>
      <c r="H152" s="526">
        <f t="shared" si="36"/>
        <v>0</v>
      </c>
      <c r="I152" s="577">
        <f t="shared" si="37"/>
        <v>0</v>
      </c>
      <c r="J152" s="514">
        <f t="shared" si="38"/>
        <v>0</v>
      </c>
      <c r="K152" s="514"/>
      <c r="L152" s="525"/>
      <c r="M152" s="514">
        <f t="shared" si="39"/>
        <v>0</v>
      </c>
      <c r="N152" s="525"/>
      <c r="O152" s="514">
        <f t="shared" si="40"/>
        <v>0</v>
      </c>
      <c r="P152" s="514">
        <f t="shared" si="41"/>
        <v>0</v>
      </c>
      <c r="Q152" s="269"/>
    </row>
    <row r="153" spans="2:17" ht="12.5">
      <c r="B153" s="195" t="str">
        <f t="shared" si="28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2"/>
        <v>0</v>
      </c>
      <c r="G153" s="523">
        <f t="shared" si="35"/>
        <v>0</v>
      </c>
      <c r="H153" s="526">
        <f t="shared" si="36"/>
        <v>0</v>
      </c>
      <c r="I153" s="577">
        <f t="shared" si="37"/>
        <v>0</v>
      </c>
      <c r="J153" s="514">
        <f t="shared" si="38"/>
        <v>0</v>
      </c>
      <c r="K153" s="514"/>
      <c r="L153" s="525"/>
      <c r="M153" s="514">
        <f t="shared" si="39"/>
        <v>0</v>
      </c>
      <c r="N153" s="525"/>
      <c r="O153" s="514">
        <f t="shared" si="40"/>
        <v>0</v>
      </c>
      <c r="P153" s="514">
        <f t="shared" si="41"/>
        <v>0</v>
      </c>
      <c r="Q153" s="269"/>
    </row>
    <row r="154" spans="2:17" ht="13" thickBot="1">
      <c r="B154" s="195" t="str">
        <f t="shared" si="28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2"/>
        <v>0</v>
      </c>
      <c r="G154" s="528">
        <f t="shared" si="35"/>
        <v>0</v>
      </c>
      <c r="H154" s="530">
        <f t="shared" si="36"/>
        <v>0</v>
      </c>
      <c r="I154" s="579">
        <f t="shared" si="37"/>
        <v>0</v>
      </c>
      <c r="J154" s="533">
        <f t="shared" si="38"/>
        <v>0</v>
      </c>
      <c r="K154" s="514"/>
      <c r="L154" s="532"/>
      <c r="M154" s="533">
        <f t="shared" si="39"/>
        <v>0</v>
      </c>
      <c r="N154" s="532"/>
      <c r="O154" s="533">
        <f t="shared" si="40"/>
        <v>0</v>
      </c>
      <c r="P154" s="533">
        <f t="shared" si="41"/>
        <v>0</v>
      </c>
      <c r="Q154" s="269"/>
    </row>
    <row r="155" spans="2:17" ht="12.5">
      <c r="C155" s="374" t="s">
        <v>78</v>
      </c>
      <c r="D155" s="375"/>
      <c r="E155" s="375">
        <f>SUM(E99:E154)</f>
        <v>1642817</v>
      </c>
      <c r="F155" s="375"/>
      <c r="G155" s="375"/>
      <c r="H155" s="375">
        <f>SUM(H99:H154)</f>
        <v>5696964.4226547834</v>
      </c>
      <c r="I155" s="375">
        <f>SUM(I99:I154)</f>
        <v>5696964.4226547834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9" priority="1" stopIfTrue="1" operator="equal">
      <formula>$I$10</formula>
    </cfRule>
  </conditionalFormatting>
  <conditionalFormatting sqref="C99:C154">
    <cfRule type="cellIs" dxfId="11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Q162"/>
  <sheetViews>
    <sheetView view="pageBreakPreview" topLeftCell="A79" zoomScale="75" zoomScaleNormal="100" zoomScaleSheetLayoutView="75" workbookViewId="0">
      <selection activeCell="G107" sqref="G10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22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21018.000423487403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21018.000423487403</v>
      </c>
      <c r="O6" s="269"/>
      <c r="P6" s="269"/>
    </row>
    <row r="7" spans="1:17" ht="13.5" thickBot="1">
      <c r="C7" s="467" t="s">
        <v>48</v>
      </c>
      <c r="D7" s="620" t="s">
        <v>262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249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205882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4901.9523809523807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187900</v>
      </c>
      <c r="E17" s="509">
        <v>2472.3684210526317</v>
      </c>
      <c r="F17" s="508">
        <v>185427.63157894736</v>
      </c>
      <c r="G17" s="509">
        <v>29130.371732121435</v>
      </c>
      <c r="H17" s="510">
        <v>29130.371732121435</v>
      </c>
      <c r="I17" s="517">
        <v>0</v>
      </c>
      <c r="J17" s="511"/>
      <c r="K17" s="512">
        <f t="shared" ref="K17:K22" si="0">G17</f>
        <v>29130.371732121435</v>
      </c>
      <c r="L17" s="597">
        <f t="shared" ref="L17:L48" si="1">IF(K17&lt;&gt;0,+G17-K17,0)</f>
        <v>0</v>
      </c>
      <c r="M17" s="512">
        <f t="shared" ref="M17:M22" si="2">H17</f>
        <v>29130.371732121435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212527.63157894736</v>
      </c>
      <c r="E18" s="516">
        <v>5243.9024390243903</v>
      </c>
      <c r="F18" s="515">
        <v>207283.72913992297</v>
      </c>
      <c r="G18" s="516">
        <v>37620.000882476787</v>
      </c>
      <c r="H18" s="510">
        <v>37620.000882476787</v>
      </c>
      <c r="I18" s="517">
        <v>0</v>
      </c>
      <c r="J18" s="511"/>
      <c r="K18" s="518">
        <f t="shared" si="0"/>
        <v>37620.000882476787</v>
      </c>
      <c r="L18" s="519">
        <f t="shared" si="1"/>
        <v>0</v>
      </c>
      <c r="M18" s="518">
        <f t="shared" si="2"/>
        <v>37620.000882476787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2012</v>
      </c>
      <c r="D19" s="515">
        <v>198165.72913992297</v>
      </c>
      <c r="E19" s="516">
        <v>4901.9523809523807</v>
      </c>
      <c r="F19" s="515">
        <v>193263.77675897061</v>
      </c>
      <c r="G19" s="516">
        <v>33644.168330497712</v>
      </c>
      <c r="H19" s="510">
        <v>33644.168330497712</v>
      </c>
      <c r="I19" s="517">
        <v>0</v>
      </c>
      <c r="J19" s="511"/>
      <c r="K19" s="518">
        <f t="shared" si="0"/>
        <v>33644.168330497712</v>
      </c>
      <c r="L19" s="519">
        <f t="shared" si="1"/>
        <v>0</v>
      </c>
      <c r="M19" s="518">
        <f t="shared" si="2"/>
        <v>33644.168330497712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193263.77675897061</v>
      </c>
      <c r="E20" s="609">
        <v>4901.9523809523807</v>
      </c>
      <c r="F20" s="608">
        <v>188361.82437801824</v>
      </c>
      <c r="G20" s="609">
        <v>31270.174550105858</v>
      </c>
      <c r="H20" s="610">
        <v>31270.174550105858</v>
      </c>
      <c r="I20" s="596">
        <v>0</v>
      </c>
      <c r="J20" s="511"/>
      <c r="K20" s="518">
        <f t="shared" si="0"/>
        <v>31270.174550105858</v>
      </c>
      <c r="L20" s="519">
        <f t="shared" ref="L20:L25" si="6">IF(K20&lt;&gt;0,+G20-K20,0)</f>
        <v>0</v>
      </c>
      <c r="M20" s="518">
        <f t="shared" si="2"/>
        <v>31270.174550105858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188361.82437801824</v>
      </c>
      <c r="E21" s="609">
        <v>4901.9523809523807</v>
      </c>
      <c r="F21" s="608">
        <v>183459.87199706587</v>
      </c>
      <c r="G21" s="609">
        <v>29652.616955555495</v>
      </c>
      <c r="H21" s="610">
        <v>29652.616955555495</v>
      </c>
      <c r="I21" s="596">
        <v>0</v>
      </c>
      <c r="J21" s="511"/>
      <c r="K21" s="518">
        <f t="shared" si="0"/>
        <v>29652.616955555495</v>
      </c>
      <c r="L21" s="519">
        <f t="shared" si="6"/>
        <v>0</v>
      </c>
      <c r="M21" s="518">
        <f t="shared" si="2"/>
        <v>29652.616955555495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08">
        <v>183459.87199706587</v>
      </c>
      <c r="E22" s="609">
        <v>4901.9523809523807</v>
      </c>
      <c r="F22" s="608">
        <v>178557.9196161135</v>
      </c>
      <c r="G22" s="609">
        <v>28418.887646522533</v>
      </c>
      <c r="H22" s="610">
        <v>28418.887646522533</v>
      </c>
      <c r="I22" s="511">
        <v>0</v>
      </c>
      <c r="J22" s="511"/>
      <c r="K22" s="518">
        <f t="shared" si="0"/>
        <v>28418.887646522533</v>
      </c>
      <c r="L22" s="519">
        <f t="shared" si="6"/>
        <v>0</v>
      </c>
      <c r="M22" s="518">
        <f t="shared" si="2"/>
        <v>28418.887646522533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178557.9196161135</v>
      </c>
      <c r="E23" s="609">
        <v>4901.9523809523807</v>
      </c>
      <c r="F23" s="608">
        <v>173655.96723516114</v>
      </c>
      <c r="G23" s="609">
        <v>27491.116260788254</v>
      </c>
      <c r="H23" s="610">
        <v>27491.116260788254</v>
      </c>
      <c r="I23" s="511">
        <f t="shared" ref="I23:I48" si="9">H23-G23</f>
        <v>0</v>
      </c>
      <c r="J23" s="511"/>
      <c r="K23" s="518">
        <f>G23</f>
        <v>27491.116260788254</v>
      </c>
      <c r="L23" s="519">
        <f t="shared" si="6"/>
        <v>0</v>
      </c>
      <c r="M23" s="518">
        <f>H23</f>
        <v>27491.116260788254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173655.96723516114</v>
      </c>
      <c r="E24" s="609">
        <v>4787.9534883720926</v>
      </c>
      <c r="F24" s="608">
        <v>168868.01374678905</v>
      </c>
      <c r="G24" s="609">
        <v>26006.03540248935</v>
      </c>
      <c r="H24" s="610">
        <v>26006.03540248935</v>
      </c>
      <c r="I24" s="511">
        <f t="shared" si="9"/>
        <v>0</v>
      </c>
      <c r="J24" s="511"/>
      <c r="K24" s="518">
        <f>G24</f>
        <v>26006.03540248935</v>
      </c>
      <c r="L24" s="519">
        <f t="shared" si="6"/>
        <v>0</v>
      </c>
      <c r="M24" s="518">
        <f>H24</f>
        <v>26006.03540248935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168868.01374678905</v>
      </c>
      <c r="E25" s="609">
        <v>5021.5121951219517</v>
      </c>
      <c r="F25" s="608">
        <v>163846.50155166708</v>
      </c>
      <c r="G25" s="609">
        <v>26164.537956226875</v>
      </c>
      <c r="H25" s="610">
        <v>26164.537956226875</v>
      </c>
      <c r="I25" s="511">
        <f t="shared" si="9"/>
        <v>0</v>
      </c>
      <c r="J25" s="511"/>
      <c r="K25" s="518">
        <f>G25</f>
        <v>26164.537956226875</v>
      </c>
      <c r="L25" s="519">
        <f t="shared" si="6"/>
        <v>0</v>
      </c>
      <c r="M25" s="518">
        <f>H25</f>
        <v>26164.537956226875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163846.50155166708</v>
      </c>
      <c r="E26" s="609">
        <v>5021.5121951219517</v>
      </c>
      <c r="F26" s="608">
        <v>158824.98935654512</v>
      </c>
      <c r="G26" s="609">
        <v>25526.333388530584</v>
      </c>
      <c r="H26" s="610">
        <v>25526.333388530584</v>
      </c>
      <c r="I26" s="511">
        <f t="shared" si="9"/>
        <v>0</v>
      </c>
      <c r="J26" s="511"/>
      <c r="K26" s="518">
        <f>G26</f>
        <v>25526.333388530584</v>
      </c>
      <c r="L26" s="519">
        <f t="shared" ref="L26" si="10">IF(K26&lt;&gt;0,+G26-K26,0)</f>
        <v>0</v>
      </c>
      <c r="M26" s="518">
        <f>H26</f>
        <v>25526.333388530584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08">
        <v>158824.98935654512</v>
      </c>
      <c r="E27" s="609">
        <v>5021.5121951219517</v>
      </c>
      <c r="F27" s="608">
        <v>153803.47716142316</v>
      </c>
      <c r="G27" s="609">
        <v>21018.000423487403</v>
      </c>
      <c r="H27" s="610">
        <v>21018.000423487403</v>
      </c>
      <c r="I27" s="511">
        <f t="shared" si="9"/>
        <v>0</v>
      </c>
      <c r="J27" s="511"/>
      <c r="K27" s="518">
        <f>G27</f>
        <v>21018.000423487403</v>
      </c>
      <c r="L27" s="519">
        <f t="shared" ref="L27" si="11">IF(K27&lt;&gt;0,+G27-K27,0)</f>
        <v>0</v>
      </c>
      <c r="M27" s="518">
        <f>H27</f>
        <v>21018.000423487403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2021</v>
      </c>
      <c r="D28" s="523">
        <f>IF(F27+SUM(E$17:E27)=D$10,F27,D$10-SUM(E$17:E27))</f>
        <v>153803.47716142316</v>
      </c>
      <c r="E28" s="522">
        <f>IF(+I14&lt;F27,I14,D28)</f>
        <v>4901.9523809523807</v>
      </c>
      <c r="F28" s="523">
        <f t="shared" ref="F28:F48" si="12">+D28-E28</f>
        <v>148901.52478047079</v>
      </c>
      <c r="G28" s="524">
        <f t="shared" ref="G28:G55" si="13">+I$12*((D28+F28)/2)+E28</f>
        <v>21069.119858253267</v>
      </c>
      <c r="H28" s="491">
        <f t="shared" ref="H28:H55" si="14">+I$13*((D28+F28)/2)+E28</f>
        <v>21069.119858253267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2022</v>
      </c>
      <c r="D29" s="523">
        <f>IF(F28+SUM(E$17:E28)=D$10,F28,D$10-SUM(E$17:E28))</f>
        <v>148901.52478047079</v>
      </c>
      <c r="E29" s="522">
        <f>IF(+I14&lt;F28,I14,D29)</f>
        <v>4901.9523809523807</v>
      </c>
      <c r="F29" s="523">
        <f t="shared" si="12"/>
        <v>143999.57239951842</v>
      </c>
      <c r="G29" s="524">
        <f t="shared" si="13"/>
        <v>20545.503237449469</v>
      </c>
      <c r="H29" s="491">
        <f t="shared" si="14"/>
        <v>20545.503237449469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143999.57239951842</v>
      </c>
      <c r="E30" s="522">
        <f>IF(+I14&lt;F29,I14,D30)</f>
        <v>4901.9523809523807</v>
      </c>
      <c r="F30" s="523">
        <f t="shared" si="12"/>
        <v>139097.62001856606</v>
      </c>
      <c r="G30" s="524">
        <f t="shared" si="13"/>
        <v>20021.886616645672</v>
      </c>
      <c r="H30" s="491">
        <f t="shared" si="14"/>
        <v>20021.886616645672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139097.62001856606</v>
      </c>
      <c r="E31" s="522">
        <f>IF(+I14&lt;F30,I14,D31)</f>
        <v>4901.9523809523807</v>
      </c>
      <c r="F31" s="523">
        <f t="shared" si="12"/>
        <v>134195.66763761369</v>
      </c>
      <c r="G31" s="524">
        <f t="shared" si="13"/>
        <v>19498.269995841874</v>
      </c>
      <c r="H31" s="491">
        <f t="shared" si="14"/>
        <v>19498.269995841874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134195.66763761369</v>
      </c>
      <c r="E32" s="522">
        <f>IF(+I14&lt;F31,I14,D32)</f>
        <v>4901.9523809523807</v>
      </c>
      <c r="F32" s="523">
        <f t="shared" si="12"/>
        <v>129293.71525666131</v>
      </c>
      <c r="G32" s="524">
        <f t="shared" si="13"/>
        <v>18974.653375038077</v>
      </c>
      <c r="H32" s="491">
        <f t="shared" si="14"/>
        <v>18974.653375038077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129293.71525666131</v>
      </c>
      <c r="E33" s="522">
        <f>IF(+I14&lt;F32,I14,D33)</f>
        <v>4901.9523809523807</v>
      </c>
      <c r="F33" s="523">
        <f t="shared" si="12"/>
        <v>124391.76287570893</v>
      </c>
      <c r="G33" s="524">
        <f t="shared" si="13"/>
        <v>18451.036754234276</v>
      </c>
      <c r="H33" s="491">
        <f t="shared" si="14"/>
        <v>18451.036754234276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124391.76287570893</v>
      </c>
      <c r="E34" s="522">
        <f>IF(+I14&lt;F33,I14,D34)</f>
        <v>4901.9523809523807</v>
      </c>
      <c r="F34" s="523">
        <f t="shared" si="12"/>
        <v>119489.81049475654</v>
      </c>
      <c r="G34" s="524">
        <f t="shared" si="13"/>
        <v>17927.420133430478</v>
      </c>
      <c r="H34" s="491">
        <f t="shared" si="14"/>
        <v>17927.420133430478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119489.81049475654</v>
      </c>
      <c r="E35" s="522">
        <f>IF(+I14&lt;F34,I14,D35)</f>
        <v>4901.9523809523807</v>
      </c>
      <c r="F35" s="523">
        <f t="shared" si="12"/>
        <v>114587.85811380416</v>
      </c>
      <c r="G35" s="524">
        <f t="shared" si="13"/>
        <v>17403.803512626677</v>
      </c>
      <c r="H35" s="491">
        <f t="shared" si="14"/>
        <v>17403.803512626677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114587.85811380416</v>
      </c>
      <c r="E36" s="522">
        <f>IF(+I14&lt;F35,I14,D36)</f>
        <v>4901.9523809523807</v>
      </c>
      <c r="F36" s="523">
        <f t="shared" si="12"/>
        <v>109685.90573285178</v>
      </c>
      <c r="G36" s="524">
        <f t="shared" si="13"/>
        <v>16880.186891822879</v>
      </c>
      <c r="H36" s="491">
        <f t="shared" si="14"/>
        <v>16880.186891822879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109685.90573285178</v>
      </c>
      <c r="E37" s="522">
        <f>IF(+I14&lt;F36,I14,D37)</f>
        <v>4901.9523809523807</v>
      </c>
      <c r="F37" s="523">
        <f t="shared" si="12"/>
        <v>104783.9533518994</v>
      </c>
      <c r="G37" s="524">
        <f t="shared" si="13"/>
        <v>16356.570271019078</v>
      </c>
      <c r="H37" s="491">
        <f t="shared" si="14"/>
        <v>16356.570271019078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104783.9533518994</v>
      </c>
      <c r="E38" s="522">
        <f>IF(+I14&lt;F37,I14,D38)</f>
        <v>4901.9523809523807</v>
      </c>
      <c r="F38" s="523">
        <f t="shared" si="12"/>
        <v>99882.000970947018</v>
      </c>
      <c r="G38" s="524">
        <f t="shared" si="13"/>
        <v>15832.953650215281</v>
      </c>
      <c r="H38" s="491">
        <f t="shared" si="14"/>
        <v>15832.953650215281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99882.000970947018</v>
      </c>
      <c r="E39" s="522">
        <f>IF(+I14&lt;F38,I14,D39)</f>
        <v>4901.9523809523807</v>
      </c>
      <c r="F39" s="523">
        <f t="shared" si="12"/>
        <v>94980.048589994636</v>
      </c>
      <c r="G39" s="524">
        <f t="shared" si="13"/>
        <v>15309.337029411479</v>
      </c>
      <c r="H39" s="491">
        <f t="shared" si="14"/>
        <v>15309.337029411479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94980.048589994636</v>
      </c>
      <c r="E40" s="522">
        <f>IF(+I14&lt;F39,I14,D40)</f>
        <v>4901.9523809523807</v>
      </c>
      <c r="F40" s="523">
        <f t="shared" si="12"/>
        <v>90078.096209042254</v>
      </c>
      <c r="G40" s="524">
        <f t="shared" si="13"/>
        <v>14785.720408607682</v>
      </c>
      <c r="H40" s="491">
        <f t="shared" si="14"/>
        <v>14785.720408607682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90078.096209042254</v>
      </c>
      <c r="E41" s="522">
        <f>IF(+I14&lt;F40,I14,D41)</f>
        <v>4901.9523809523807</v>
      </c>
      <c r="F41" s="523">
        <f t="shared" si="12"/>
        <v>85176.143828089873</v>
      </c>
      <c r="G41" s="524">
        <f t="shared" si="13"/>
        <v>14262.103787803881</v>
      </c>
      <c r="H41" s="491">
        <f t="shared" si="14"/>
        <v>14262.103787803881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85176.143828089873</v>
      </c>
      <c r="E42" s="522">
        <f>IF(+I14&lt;F41,I14,D42)</f>
        <v>4901.9523809523807</v>
      </c>
      <c r="F42" s="523">
        <f t="shared" si="12"/>
        <v>80274.191447137491</v>
      </c>
      <c r="G42" s="524">
        <f t="shared" si="13"/>
        <v>13738.487167000083</v>
      </c>
      <c r="H42" s="491">
        <f t="shared" si="14"/>
        <v>13738.487167000083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80274.191447137491</v>
      </c>
      <c r="E43" s="522">
        <f>IF(+I14&lt;F42,I14,D43)</f>
        <v>4901.9523809523807</v>
      </c>
      <c r="F43" s="523">
        <f t="shared" si="12"/>
        <v>75372.23906618511</v>
      </c>
      <c r="G43" s="524">
        <f t="shared" si="13"/>
        <v>13214.870546196285</v>
      </c>
      <c r="H43" s="491">
        <f t="shared" si="14"/>
        <v>13214.870546196285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75372.23906618511</v>
      </c>
      <c r="E44" s="522">
        <f>IF(+I14&lt;F43,I14,D44)</f>
        <v>4901.9523809523807</v>
      </c>
      <c r="F44" s="523">
        <f t="shared" si="12"/>
        <v>70470.286685232728</v>
      </c>
      <c r="G44" s="524">
        <f t="shared" si="13"/>
        <v>12691.253925392486</v>
      </c>
      <c r="H44" s="491">
        <f t="shared" si="14"/>
        <v>12691.253925392486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70470.286685232728</v>
      </c>
      <c r="E45" s="522">
        <f>IF(+I14&lt;F44,I14,D45)</f>
        <v>4901.9523809523807</v>
      </c>
      <c r="F45" s="523">
        <f t="shared" si="12"/>
        <v>65568.334304280346</v>
      </c>
      <c r="G45" s="524">
        <f t="shared" si="13"/>
        <v>12167.637304588687</v>
      </c>
      <c r="H45" s="491">
        <f t="shared" si="14"/>
        <v>12167.637304588687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65568.334304280346</v>
      </c>
      <c r="E46" s="522">
        <f>IF(+I14&lt;F45,I14,D46)</f>
        <v>4901.9523809523807</v>
      </c>
      <c r="F46" s="523">
        <f t="shared" si="12"/>
        <v>60666.381923327965</v>
      </c>
      <c r="G46" s="524">
        <f t="shared" si="13"/>
        <v>11644.020683784887</v>
      </c>
      <c r="H46" s="491">
        <f t="shared" si="14"/>
        <v>11644.020683784887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60666.381923327965</v>
      </c>
      <c r="E47" s="522">
        <f>IF(+I14&lt;F46,I14,D47)</f>
        <v>4901.9523809523807</v>
      </c>
      <c r="F47" s="523">
        <f t="shared" si="12"/>
        <v>55764.429542375583</v>
      </c>
      <c r="G47" s="524">
        <f t="shared" si="13"/>
        <v>11120.404062981088</v>
      </c>
      <c r="H47" s="491">
        <f t="shared" si="14"/>
        <v>11120.404062981088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55764.429542375583</v>
      </c>
      <c r="E48" s="522">
        <f>IF(+I14&lt;F47,I14,D48)</f>
        <v>4901.9523809523807</v>
      </c>
      <c r="F48" s="523">
        <f t="shared" si="12"/>
        <v>50862.477161423201</v>
      </c>
      <c r="G48" s="524">
        <f t="shared" si="13"/>
        <v>10596.787442177289</v>
      </c>
      <c r="H48" s="491">
        <f t="shared" si="14"/>
        <v>10596.787442177289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50862.477161423201</v>
      </c>
      <c r="E49" s="522">
        <f>IF(+I14&lt;F48,I14,D49)</f>
        <v>4901.9523809523807</v>
      </c>
      <c r="F49" s="523">
        <f t="shared" ref="F49:F72" si="15">+D49-E49</f>
        <v>45960.52478047082</v>
      </c>
      <c r="G49" s="524">
        <f t="shared" si="13"/>
        <v>10073.170821373489</v>
      </c>
      <c r="H49" s="491">
        <f t="shared" si="14"/>
        <v>10073.170821373489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45960.52478047082</v>
      </c>
      <c r="E50" s="522">
        <f>IF(+I14&lt;F49,I14,D50)</f>
        <v>4901.9523809523807</v>
      </c>
      <c r="F50" s="523">
        <f t="shared" si="15"/>
        <v>41058.572399518438</v>
      </c>
      <c r="G50" s="524">
        <f t="shared" si="13"/>
        <v>9549.5542005696916</v>
      </c>
      <c r="H50" s="491">
        <f t="shared" si="14"/>
        <v>9549.5542005696916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41058.572399518438</v>
      </c>
      <c r="E51" s="522">
        <f>IF(+I14&lt;F50,I14,D51)</f>
        <v>4901.9523809523807</v>
      </c>
      <c r="F51" s="523">
        <f t="shared" si="15"/>
        <v>36156.620018566056</v>
      </c>
      <c r="G51" s="524">
        <f t="shared" si="13"/>
        <v>9025.9375797658904</v>
      </c>
      <c r="H51" s="491">
        <f t="shared" si="14"/>
        <v>9025.9375797658904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36156.620018566056</v>
      </c>
      <c r="E52" s="522">
        <f>IF(+I14&lt;F51,I14,D52)</f>
        <v>4901.9523809523807</v>
      </c>
      <c r="F52" s="523">
        <f t="shared" si="15"/>
        <v>31254.667637613675</v>
      </c>
      <c r="G52" s="524">
        <f t="shared" si="13"/>
        <v>8502.3209589620928</v>
      </c>
      <c r="H52" s="491">
        <f t="shared" si="14"/>
        <v>8502.3209589620928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31254.667637613675</v>
      </c>
      <c r="E53" s="522">
        <f>IF(+I14&lt;F52,I14,D53)</f>
        <v>4901.9523809523807</v>
      </c>
      <c r="F53" s="523">
        <f t="shared" si="15"/>
        <v>26352.715256661293</v>
      </c>
      <c r="G53" s="524">
        <f t="shared" si="13"/>
        <v>7978.7043381582935</v>
      </c>
      <c r="H53" s="491">
        <f t="shared" si="14"/>
        <v>7978.7043381582935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26352.715256661293</v>
      </c>
      <c r="E54" s="522">
        <f>IF(+I14&lt;F53,I14,D54)</f>
        <v>4901.9523809523807</v>
      </c>
      <c r="F54" s="523">
        <f t="shared" si="15"/>
        <v>21450.762875708911</v>
      </c>
      <c r="G54" s="524">
        <f t="shared" si="13"/>
        <v>7455.0877173544941</v>
      </c>
      <c r="H54" s="491">
        <f t="shared" si="14"/>
        <v>7455.0877173544941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21450.762875708911</v>
      </c>
      <c r="E55" s="522">
        <f>IF(+I14&lt;F54,I14,D55)</f>
        <v>4901.9523809523807</v>
      </c>
      <c r="F55" s="523">
        <f t="shared" si="15"/>
        <v>16548.81049475653</v>
      </c>
      <c r="G55" s="524">
        <f t="shared" si="13"/>
        <v>6931.4710965506947</v>
      </c>
      <c r="H55" s="491">
        <f t="shared" si="14"/>
        <v>6931.4710965506947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16548.81049475653</v>
      </c>
      <c r="E56" s="522">
        <f>IF(+I14&lt;F55,I14,D56)</f>
        <v>4901.9523809523807</v>
      </c>
      <c r="F56" s="523">
        <f t="shared" si="15"/>
        <v>11646.858113804148</v>
      </c>
      <c r="G56" s="524">
        <f t="shared" ref="G56:G72" si="20">+I$12*((D56+F56)/2)+E56</f>
        <v>6407.8544757468953</v>
      </c>
      <c r="H56" s="491">
        <f t="shared" ref="H56:H72" si="21">+I$13*((D56+F56)/2)+E56</f>
        <v>6407.8544757468953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11646.858113804148</v>
      </c>
      <c r="E57" s="522">
        <f>IF(+I14&lt;F56,I14,D57)</f>
        <v>4901.9523809523807</v>
      </c>
      <c r="F57" s="523">
        <f t="shared" si="15"/>
        <v>6744.9057328517674</v>
      </c>
      <c r="G57" s="524">
        <f t="shared" si="20"/>
        <v>5884.237854943096</v>
      </c>
      <c r="H57" s="491">
        <f t="shared" si="21"/>
        <v>5884.237854943096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6744.9057328517674</v>
      </c>
      <c r="E58" s="522">
        <f>IF(+I14&lt;F57,I14,D58)</f>
        <v>4901.9523809523807</v>
      </c>
      <c r="F58" s="523">
        <f t="shared" si="15"/>
        <v>1842.9533518993867</v>
      </c>
      <c r="G58" s="524">
        <f t="shared" si="20"/>
        <v>5360.6212341392975</v>
      </c>
      <c r="H58" s="491">
        <f t="shared" si="21"/>
        <v>5360.6212341392975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1842.9533518993867</v>
      </c>
      <c r="E59" s="522">
        <f>IF(+I14&lt;F58,I14,D59)</f>
        <v>1842.9533518993867</v>
      </c>
      <c r="F59" s="523">
        <f t="shared" si="15"/>
        <v>0</v>
      </c>
      <c r="G59" s="524">
        <f t="shared" si="20"/>
        <v>1941.3836232918952</v>
      </c>
      <c r="H59" s="491">
        <f t="shared" si="21"/>
        <v>1941.3836232918952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20"/>
        <v>0</v>
      </c>
      <c r="H60" s="491">
        <f t="shared" si="21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20"/>
        <v>0</v>
      </c>
      <c r="H61" s="491">
        <f t="shared" si="21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20"/>
        <v>0</v>
      </c>
      <c r="H62" s="491">
        <f t="shared" si="21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20"/>
        <v>0</v>
      </c>
      <c r="H63" s="491">
        <f t="shared" si="21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20"/>
        <v>0</v>
      </c>
      <c r="H64" s="491">
        <f t="shared" si="21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20"/>
        <v>0</v>
      </c>
      <c r="H65" s="491">
        <f t="shared" si="21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20"/>
        <v>0</v>
      </c>
      <c r="H66" s="491">
        <f t="shared" si="21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20"/>
        <v>0</v>
      </c>
      <c r="H67" s="491">
        <f t="shared" si="21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20"/>
        <v>0</v>
      </c>
      <c r="H68" s="491">
        <f t="shared" si="21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20"/>
        <v>0</v>
      </c>
      <c r="H69" s="491">
        <f t="shared" si="21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20"/>
        <v>0</v>
      </c>
      <c r="H70" s="491">
        <f t="shared" si="21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20"/>
        <v>0</v>
      </c>
      <c r="H71" s="491">
        <f t="shared" si="21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20"/>
        <v>0</v>
      </c>
      <c r="H72" s="471">
        <f t="shared" si="21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205881.99999999988</v>
      </c>
      <c r="F73" s="375"/>
      <c r="G73" s="375">
        <f>SUM(G17:G72)</f>
        <v>727544.61408417905</v>
      </c>
      <c r="H73" s="375">
        <f>SUM(H17:H72)</f>
        <v>727544.61408417905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22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21018.000423487403</v>
      </c>
      <c r="N87" s="546">
        <f>IF(J92&lt;D11,0,VLOOKUP(J92,C17:O72,11))</f>
        <v>21018.000423487403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21782.384276733683</v>
      </c>
      <c r="N88" s="550">
        <f>IF(J92&lt;D11,0,VLOOKUP(J92,C99:P154,7))</f>
        <v>21782.384276733683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Longwood: r&amp;r switches, upgrade bus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764.38385324627961</v>
      </c>
      <c r="N89" s="555">
        <f>+N88-N87</f>
        <v>764.38385324627961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TP2008014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205882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4901.9523809523807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2621.9512195121952</v>
      </c>
      <c r="F99" s="515">
        <v>212378.04878048779</v>
      </c>
      <c r="G99" s="574">
        <v>106189.0243902439</v>
      </c>
      <c r="H99" s="575">
        <v>20152.28121946373</v>
      </c>
      <c r="I99" s="576">
        <v>20152.28121946373</v>
      </c>
      <c r="J99" s="613">
        <f t="shared" ref="J99:J130" si="22">+I99-H99</f>
        <v>0</v>
      </c>
      <c r="K99" s="514"/>
      <c r="L99" s="512">
        <f t="shared" ref="L99:L104" si="23">H99</f>
        <v>20152.28121946373</v>
      </c>
      <c r="M99" s="597">
        <f t="shared" ref="M99:M130" si="24">IF(L99&lt;&gt;0,+H99-L99,0)</f>
        <v>0</v>
      </c>
      <c r="N99" s="512">
        <f t="shared" ref="N99:N104" si="25">I99</f>
        <v>20152.28121946373</v>
      </c>
      <c r="O99" s="513">
        <f t="shared" ref="O99:O130" si="26">IF(N99&lt;&gt;0,+I99-N99,0)</f>
        <v>0</v>
      </c>
      <c r="P99" s="513">
        <f t="shared" ref="P99:P130" si="27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2011</v>
      </c>
      <c r="D100" s="508">
        <v>203260.04878048779</v>
      </c>
      <c r="E100" s="516">
        <v>4901.9523809523807</v>
      </c>
      <c r="F100" s="515">
        <v>198358.09639953543</v>
      </c>
      <c r="G100" s="515">
        <v>200809.07259001161</v>
      </c>
      <c r="H100" s="516">
        <v>35099.600890705573</v>
      </c>
      <c r="I100" s="510">
        <v>35099.600890705573</v>
      </c>
      <c r="J100" s="613">
        <f t="shared" si="22"/>
        <v>0</v>
      </c>
      <c r="K100" s="514"/>
      <c r="L100" s="518">
        <f t="shared" si="23"/>
        <v>35099.600890705573</v>
      </c>
      <c r="M100" s="519">
        <f t="shared" si="24"/>
        <v>0</v>
      </c>
      <c r="N100" s="518">
        <f t="shared" si="25"/>
        <v>35099.600890705573</v>
      </c>
      <c r="O100" s="514">
        <f t="shared" si="26"/>
        <v>0</v>
      </c>
      <c r="P100" s="514">
        <f t="shared" si="27"/>
        <v>0</v>
      </c>
      <c r="Q100" s="269"/>
    </row>
    <row r="101" spans="1:17" ht="12.5">
      <c r="B101" s="195" t="str">
        <f t="shared" ref="B101:B154" si="28">IF(D101=F100,"","IU")</f>
        <v/>
      </c>
      <c r="C101" s="507">
        <f>IF(D93="","-",+C100+1)</f>
        <v>2012</v>
      </c>
      <c r="D101" s="508">
        <v>198358.09639953543</v>
      </c>
      <c r="E101" s="516">
        <v>4901.9523809523807</v>
      </c>
      <c r="F101" s="515">
        <v>193456.14401858306</v>
      </c>
      <c r="G101" s="515">
        <v>195907.12020905924</v>
      </c>
      <c r="H101" s="516">
        <v>33730.455386576738</v>
      </c>
      <c r="I101" s="510">
        <v>33730.455386576738</v>
      </c>
      <c r="J101" s="613">
        <f t="shared" si="22"/>
        <v>0</v>
      </c>
      <c r="K101" s="514"/>
      <c r="L101" s="518">
        <f t="shared" si="23"/>
        <v>33730.455386576738</v>
      </c>
      <c r="M101" s="519">
        <f t="shared" si="24"/>
        <v>0</v>
      </c>
      <c r="N101" s="518">
        <f t="shared" si="25"/>
        <v>33730.455386576738</v>
      </c>
      <c r="O101" s="514">
        <f t="shared" si="26"/>
        <v>0</v>
      </c>
      <c r="P101" s="514">
        <f t="shared" si="27"/>
        <v>0</v>
      </c>
      <c r="Q101" s="269"/>
    </row>
    <row r="102" spans="1:17" ht="12.5">
      <c r="B102" s="195" t="str">
        <f t="shared" si="28"/>
        <v/>
      </c>
      <c r="C102" s="507">
        <f>IF(D93="","-",+C101+1)</f>
        <v>2013</v>
      </c>
      <c r="D102" s="508">
        <v>193456.14401858306</v>
      </c>
      <c r="E102" s="516">
        <v>4901.9523809523807</v>
      </c>
      <c r="F102" s="515">
        <v>188554.19163763069</v>
      </c>
      <c r="G102" s="515">
        <v>191005.16782810687</v>
      </c>
      <c r="H102" s="516">
        <v>30743.366686318692</v>
      </c>
      <c r="I102" s="510">
        <v>30743.366686318692</v>
      </c>
      <c r="J102" s="613">
        <v>0</v>
      </c>
      <c r="K102" s="514"/>
      <c r="L102" s="518">
        <f t="shared" si="23"/>
        <v>30743.366686318692</v>
      </c>
      <c r="M102" s="519">
        <f t="shared" ref="M102:M107" si="29">IF(L102&lt;&gt;0,+H102-L102,0)</f>
        <v>0</v>
      </c>
      <c r="N102" s="518">
        <f t="shared" si="25"/>
        <v>30743.366686318692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8"/>
        <v/>
      </c>
      <c r="C103" s="507">
        <f>IF(D93="","-",+C102+1)</f>
        <v>2014</v>
      </c>
      <c r="D103" s="508">
        <v>188554.19163763069</v>
      </c>
      <c r="E103" s="516">
        <v>4901.9523809523807</v>
      </c>
      <c r="F103" s="515">
        <v>183652.23925667832</v>
      </c>
      <c r="G103" s="515">
        <v>186103.21544715451</v>
      </c>
      <c r="H103" s="516">
        <v>30197.745297823447</v>
      </c>
      <c r="I103" s="510">
        <v>30197.745297823447</v>
      </c>
      <c r="J103" s="514">
        <v>0</v>
      </c>
      <c r="K103" s="514"/>
      <c r="L103" s="518">
        <f t="shared" si="23"/>
        <v>30197.745297823447</v>
      </c>
      <c r="M103" s="519">
        <f t="shared" si="29"/>
        <v>0</v>
      </c>
      <c r="N103" s="518">
        <f t="shared" si="25"/>
        <v>30197.745297823447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8"/>
        <v/>
      </c>
      <c r="C104" s="507">
        <f>IF(D93="","-",+C103+1)</f>
        <v>2015</v>
      </c>
      <c r="D104" s="508">
        <v>183652.23925667832</v>
      </c>
      <c r="E104" s="516">
        <v>4901.9523809523807</v>
      </c>
      <c r="F104" s="515">
        <v>178750.28687572596</v>
      </c>
      <c r="G104" s="515">
        <v>181201.26306620214</v>
      </c>
      <c r="H104" s="516">
        <v>28778.63948471695</v>
      </c>
      <c r="I104" s="510">
        <v>28778.63948471695</v>
      </c>
      <c r="J104" s="514">
        <f t="shared" si="22"/>
        <v>0</v>
      </c>
      <c r="K104" s="514"/>
      <c r="L104" s="518">
        <f t="shared" si="23"/>
        <v>28778.63948471695</v>
      </c>
      <c r="M104" s="519">
        <f t="shared" si="29"/>
        <v>0</v>
      </c>
      <c r="N104" s="518">
        <f t="shared" si="25"/>
        <v>28778.63948471695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8"/>
        <v/>
      </c>
      <c r="C105" s="507">
        <f>IF(D93="","-",+C104+1)</f>
        <v>2016</v>
      </c>
      <c r="D105" s="508">
        <v>178750.28687572596</v>
      </c>
      <c r="E105" s="516">
        <v>4787.9534883720926</v>
      </c>
      <c r="F105" s="515">
        <v>173962.33338735386</v>
      </c>
      <c r="G105" s="515">
        <v>176356.31013153991</v>
      </c>
      <c r="H105" s="516">
        <v>27176.384994149808</v>
      </c>
      <c r="I105" s="510">
        <v>27176.384994149808</v>
      </c>
      <c r="J105" s="514">
        <f t="shared" si="22"/>
        <v>0</v>
      </c>
      <c r="K105" s="514"/>
      <c r="L105" s="518">
        <f>H105</f>
        <v>27176.384994149808</v>
      </c>
      <c r="M105" s="519">
        <f t="shared" si="29"/>
        <v>0</v>
      </c>
      <c r="N105" s="518">
        <f>I105</f>
        <v>27176.384994149808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28"/>
        <v/>
      </c>
      <c r="C106" s="507">
        <f>IF(D93="","-",+C105+1)</f>
        <v>2017</v>
      </c>
      <c r="D106" s="508">
        <v>173962.33338735386</v>
      </c>
      <c r="E106" s="516">
        <v>4901.9523809523807</v>
      </c>
      <c r="F106" s="515">
        <v>169060.3810064015</v>
      </c>
      <c r="G106" s="515">
        <v>171511.35719687768</v>
      </c>
      <c r="H106" s="516">
        <v>25735.686949015238</v>
      </c>
      <c r="I106" s="510">
        <v>25735.686949015238</v>
      </c>
      <c r="J106" s="514">
        <f t="shared" si="22"/>
        <v>0</v>
      </c>
      <c r="K106" s="514"/>
      <c r="L106" s="518">
        <f>H106</f>
        <v>25735.686949015238</v>
      </c>
      <c r="M106" s="519">
        <f t="shared" si="29"/>
        <v>0</v>
      </c>
      <c r="N106" s="518">
        <f>I106</f>
        <v>25735.686949015238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28"/>
        <v/>
      </c>
      <c r="C107" s="507">
        <f>IF(D93="","-",+C106+1)</f>
        <v>2018</v>
      </c>
      <c r="D107" s="508">
        <v>169060.3810064015</v>
      </c>
      <c r="E107" s="516">
        <v>4901.9523809523807</v>
      </c>
      <c r="F107" s="515">
        <v>164158.42862544913</v>
      </c>
      <c r="G107" s="515">
        <v>166609.40481592531</v>
      </c>
      <c r="H107" s="516">
        <v>22496.669570219787</v>
      </c>
      <c r="I107" s="510">
        <v>22496.669570219787</v>
      </c>
      <c r="J107" s="514">
        <f t="shared" si="22"/>
        <v>0</v>
      </c>
      <c r="K107" s="514"/>
      <c r="L107" s="518">
        <f>H107</f>
        <v>22496.669570219787</v>
      </c>
      <c r="M107" s="519">
        <f t="shared" si="29"/>
        <v>0</v>
      </c>
      <c r="N107" s="518">
        <f>I107</f>
        <v>22496.669570219787</v>
      </c>
      <c r="O107" s="514">
        <f t="shared" si="26"/>
        <v>0</v>
      </c>
      <c r="P107" s="514">
        <f t="shared" si="27"/>
        <v>0</v>
      </c>
      <c r="Q107" s="269"/>
    </row>
    <row r="108" spans="1:17" ht="12.5">
      <c r="B108" s="195" t="str">
        <f t="shared" si="28"/>
        <v/>
      </c>
      <c r="C108" s="507">
        <f>IF(D93="","-",+C107+1)</f>
        <v>2019</v>
      </c>
      <c r="D108" s="508">
        <v>164158.42862544913</v>
      </c>
      <c r="E108" s="516">
        <v>4787.9534883720926</v>
      </c>
      <c r="F108" s="515">
        <v>159370.47513707704</v>
      </c>
      <c r="G108" s="515">
        <v>161764.45188126308</v>
      </c>
      <c r="H108" s="516">
        <v>22103.308828819529</v>
      </c>
      <c r="I108" s="510">
        <v>22103.308828819529</v>
      </c>
      <c r="J108" s="514">
        <f t="shared" si="22"/>
        <v>0</v>
      </c>
      <c r="K108" s="514"/>
      <c r="L108" s="518">
        <f>H108</f>
        <v>22103.308828819529</v>
      </c>
      <c r="M108" s="519">
        <f t="shared" ref="M108" si="30">IF(L108&lt;&gt;0,+H108-L108,0)</f>
        <v>0</v>
      </c>
      <c r="N108" s="518">
        <f>I108</f>
        <v>22103.308828819529</v>
      </c>
      <c r="O108" s="514">
        <f t="shared" si="26"/>
        <v>0</v>
      </c>
      <c r="P108" s="514">
        <f t="shared" si="27"/>
        <v>0</v>
      </c>
      <c r="Q108" s="269"/>
    </row>
    <row r="109" spans="1:17" ht="12.5">
      <c r="B109" s="195" t="str">
        <f t="shared" si="28"/>
        <v/>
      </c>
      <c r="C109" s="507">
        <f>IF(D93="","-",+C108+1)</f>
        <v>2020</v>
      </c>
      <c r="D109" s="374">
        <f>IF(F108+SUM(E$99:E108)=D$92,F108,D$92-SUM(E$99:E108))</f>
        <v>159370.47513707704</v>
      </c>
      <c r="E109" s="522">
        <f>IF(+J96&lt;F108,J96,D109)</f>
        <v>4901.9523809523807</v>
      </c>
      <c r="F109" s="523">
        <f t="shared" ref="F109:F131" si="31">+D109-E109</f>
        <v>154468.52275612467</v>
      </c>
      <c r="G109" s="523">
        <f t="shared" ref="G109:G130" si="32">+(F109+D109)/2</f>
        <v>156919.49894660086</v>
      </c>
      <c r="H109" s="526">
        <f t="shared" ref="H109:H130" si="33">+J$94*G109+E109</f>
        <v>21782.384276733683</v>
      </c>
      <c r="I109" s="577">
        <f t="shared" ref="I109:I130" si="34">+J$95*G109+E109</f>
        <v>21782.384276733683</v>
      </c>
      <c r="J109" s="514">
        <f t="shared" si="22"/>
        <v>0</v>
      </c>
      <c r="K109" s="514"/>
      <c r="L109" s="525"/>
      <c r="M109" s="514">
        <f t="shared" si="24"/>
        <v>0</v>
      </c>
      <c r="N109" s="525"/>
      <c r="O109" s="514">
        <f t="shared" si="26"/>
        <v>0</v>
      </c>
      <c r="P109" s="514">
        <f t="shared" si="27"/>
        <v>0</v>
      </c>
      <c r="Q109" s="269"/>
    </row>
    <row r="110" spans="1:17" ht="12.5">
      <c r="B110" s="195" t="str">
        <f t="shared" si="28"/>
        <v/>
      </c>
      <c r="C110" s="507">
        <f>IF(D93="","-",+C109+1)</f>
        <v>2021</v>
      </c>
      <c r="D110" s="374">
        <f>IF(F109+SUM(E$99:E109)=D$92,F109,D$92-SUM(E$99:E109))</f>
        <v>154468.52275612467</v>
      </c>
      <c r="E110" s="522">
        <f>IF(+J96&lt;F109,J96,D110)</f>
        <v>4901.9523809523807</v>
      </c>
      <c r="F110" s="523">
        <f t="shared" si="31"/>
        <v>149566.5703751723</v>
      </c>
      <c r="G110" s="523">
        <f t="shared" si="32"/>
        <v>152017.54656564849</v>
      </c>
      <c r="H110" s="526">
        <f t="shared" si="33"/>
        <v>21255.062472378522</v>
      </c>
      <c r="I110" s="577">
        <f t="shared" si="34"/>
        <v>21255.062472378522</v>
      </c>
      <c r="J110" s="514">
        <f t="shared" si="22"/>
        <v>0</v>
      </c>
      <c r="K110" s="514"/>
      <c r="L110" s="525"/>
      <c r="M110" s="514">
        <f t="shared" si="24"/>
        <v>0</v>
      </c>
      <c r="N110" s="525"/>
      <c r="O110" s="514">
        <f t="shared" si="26"/>
        <v>0</v>
      </c>
      <c r="P110" s="514">
        <f t="shared" si="27"/>
        <v>0</v>
      </c>
      <c r="Q110" s="269"/>
    </row>
    <row r="111" spans="1:17" ht="12.5">
      <c r="B111" s="195" t="str">
        <f t="shared" si="28"/>
        <v/>
      </c>
      <c r="C111" s="507">
        <f>IF(D93="","-",+C110+1)</f>
        <v>2022</v>
      </c>
      <c r="D111" s="374">
        <f>IF(F110+SUM(E$99:E110)=D$92,F110,D$92-SUM(E$99:E110))</f>
        <v>149566.5703751723</v>
      </c>
      <c r="E111" s="522">
        <f>IF(+J96&lt;F110,J96,D111)</f>
        <v>4901.9523809523807</v>
      </c>
      <c r="F111" s="523">
        <f t="shared" si="31"/>
        <v>144664.61799421994</v>
      </c>
      <c r="G111" s="523">
        <f t="shared" si="32"/>
        <v>147115.59418469612</v>
      </c>
      <c r="H111" s="526">
        <f t="shared" si="33"/>
        <v>20727.740668023358</v>
      </c>
      <c r="I111" s="577">
        <f t="shared" si="34"/>
        <v>20727.740668023358</v>
      </c>
      <c r="J111" s="514">
        <f t="shared" si="22"/>
        <v>0</v>
      </c>
      <c r="K111" s="514"/>
      <c r="L111" s="525"/>
      <c r="M111" s="514">
        <f t="shared" si="24"/>
        <v>0</v>
      </c>
      <c r="N111" s="525"/>
      <c r="O111" s="514">
        <f t="shared" si="26"/>
        <v>0</v>
      </c>
      <c r="P111" s="514">
        <f t="shared" si="27"/>
        <v>0</v>
      </c>
      <c r="Q111" s="269"/>
    </row>
    <row r="112" spans="1:17" ht="12.5">
      <c r="B112" s="195" t="str">
        <f t="shared" si="28"/>
        <v/>
      </c>
      <c r="C112" s="507">
        <f>IF(D93="","-",+C111+1)</f>
        <v>2023</v>
      </c>
      <c r="D112" s="374">
        <f>IF(F111+SUM(E$99:E111)=D$92,F111,D$92-SUM(E$99:E111))</f>
        <v>144664.61799421994</v>
      </c>
      <c r="E112" s="522">
        <f>IF(+J96&lt;F111,J96,D112)</f>
        <v>4901.9523809523807</v>
      </c>
      <c r="F112" s="523">
        <f t="shared" si="31"/>
        <v>139762.66561326757</v>
      </c>
      <c r="G112" s="523">
        <f t="shared" si="32"/>
        <v>142213.64180374375</v>
      </c>
      <c r="H112" s="526">
        <f t="shared" si="33"/>
        <v>20200.418863668197</v>
      </c>
      <c r="I112" s="577">
        <f t="shared" si="34"/>
        <v>20200.418863668197</v>
      </c>
      <c r="J112" s="514">
        <f t="shared" si="22"/>
        <v>0</v>
      </c>
      <c r="K112" s="514"/>
      <c r="L112" s="525"/>
      <c r="M112" s="514">
        <f t="shared" si="24"/>
        <v>0</v>
      </c>
      <c r="N112" s="525"/>
      <c r="O112" s="514">
        <f t="shared" si="26"/>
        <v>0</v>
      </c>
      <c r="P112" s="514">
        <f t="shared" si="27"/>
        <v>0</v>
      </c>
      <c r="Q112" s="269"/>
    </row>
    <row r="113" spans="2:17" ht="12.5">
      <c r="B113" s="195" t="str">
        <f t="shared" si="28"/>
        <v/>
      </c>
      <c r="C113" s="507">
        <f>IF(D93="","-",+C112+1)</f>
        <v>2024</v>
      </c>
      <c r="D113" s="374">
        <f>IF(F112+SUM(E$99:E112)=D$92,F112,D$92-SUM(E$99:E112))</f>
        <v>139762.66561326757</v>
      </c>
      <c r="E113" s="522">
        <f>IF(+J96&lt;F112,J96,D113)</f>
        <v>4901.9523809523807</v>
      </c>
      <c r="F113" s="523">
        <f t="shared" si="31"/>
        <v>134860.7132323152</v>
      </c>
      <c r="G113" s="523">
        <f t="shared" si="32"/>
        <v>137311.68942279139</v>
      </c>
      <c r="H113" s="526">
        <f t="shared" si="33"/>
        <v>19673.097059313037</v>
      </c>
      <c r="I113" s="577">
        <f t="shared" si="34"/>
        <v>19673.097059313037</v>
      </c>
      <c r="J113" s="514">
        <f t="shared" si="22"/>
        <v>0</v>
      </c>
      <c r="K113" s="514"/>
      <c r="L113" s="525"/>
      <c r="M113" s="514">
        <f t="shared" si="24"/>
        <v>0</v>
      </c>
      <c r="N113" s="525"/>
      <c r="O113" s="514">
        <f t="shared" si="26"/>
        <v>0</v>
      </c>
      <c r="P113" s="514">
        <f t="shared" si="27"/>
        <v>0</v>
      </c>
      <c r="Q113" s="269"/>
    </row>
    <row r="114" spans="2:17" ht="12.5">
      <c r="B114" s="195" t="str">
        <f t="shared" si="28"/>
        <v/>
      </c>
      <c r="C114" s="507">
        <f>IF(D93="","-",+C113+1)</f>
        <v>2025</v>
      </c>
      <c r="D114" s="374">
        <f>IF(F113+SUM(E$99:E113)=D$92,F113,D$92-SUM(E$99:E113))</f>
        <v>134860.7132323152</v>
      </c>
      <c r="E114" s="522">
        <f>IF(+J96&lt;F113,J96,D114)</f>
        <v>4901.9523809523807</v>
      </c>
      <c r="F114" s="523">
        <f t="shared" si="31"/>
        <v>129958.76085136282</v>
      </c>
      <c r="G114" s="523">
        <f t="shared" si="32"/>
        <v>132409.73704183902</v>
      </c>
      <c r="H114" s="526">
        <f t="shared" si="33"/>
        <v>19145.775254957876</v>
      </c>
      <c r="I114" s="577">
        <f t="shared" si="34"/>
        <v>19145.775254957876</v>
      </c>
      <c r="J114" s="514">
        <f t="shared" si="22"/>
        <v>0</v>
      </c>
      <c r="K114" s="514"/>
      <c r="L114" s="525"/>
      <c r="M114" s="514">
        <f t="shared" si="24"/>
        <v>0</v>
      </c>
      <c r="N114" s="525"/>
      <c r="O114" s="514">
        <f t="shared" si="26"/>
        <v>0</v>
      </c>
      <c r="P114" s="514">
        <f t="shared" si="27"/>
        <v>0</v>
      </c>
      <c r="Q114" s="269"/>
    </row>
    <row r="115" spans="2:17" ht="12.5">
      <c r="B115" s="195" t="str">
        <f t="shared" si="28"/>
        <v/>
      </c>
      <c r="C115" s="507">
        <f>IF(D93="","-",+C114+1)</f>
        <v>2026</v>
      </c>
      <c r="D115" s="374">
        <f>IF(F114+SUM(E$99:E114)=D$92,F114,D$92-SUM(E$99:E114))</f>
        <v>129958.76085136282</v>
      </c>
      <c r="E115" s="522">
        <f>IF(+J96&lt;F114,J96,D115)</f>
        <v>4901.9523809523807</v>
      </c>
      <c r="F115" s="523">
        <f t="shared" si="31"/>
        <v>125056.80847041044</v>
      </c>
      <c r="G115" s="523">
        <f t="shared" si="32"/>
        <v>127507.78466088662</v>
      </c>
      <c r="H115" s="526">
        <f t="shared" si="33"/>
        <v>18618.453450602708</v>
      </c>
      <c r="I115" s="577">
        <f t="shared" si="34"/>
        <v>18618.453450602708</v>
      </c>
      <c r="J115" s="514">
        <f t="shared" si="22"/>
        <v>0</v>
      </c>
      <c r="K115" s="514"/>
      <c r="L115" s="525"/>
      <c r="M115" s="514">
        <f t="shared" si="24"/>
        <v>0</v>
      </c>
      <c r="N115" s="525"/>
      <c r="O115" s="514">
        <f t="shared" si="26"/>
        <v>0</v>
      </c>
      <c r="P115" s="514">
        <f t="shared" si="27"/>
        <v>0</v>
      </c>
      <c r="Q115" s="269"/>
    </row>
    <row r="116" spans="2:17" ht="12.5">
      <c r="B116" s="195" t="str">
        <f t="shared" si="28"/>
        <v/>
      </c>
      <c r="C116" s="507">
        <f>IF(D93="","-",+C115+1)</f>
        <v>2027</v>
      </c>
      <c r="D116" s="374">
        <f>IF(F115+SUM(E$99:E115)=D$92,F115,D$92-SUM(E$99:E115))</f>
        <v>125056.80847041044</v>
      </c>
      <c r="E116" s="522">
        <f>IF(+J96&lt;F115,J96,D116)</f>
        <v>4901.9523809523807</v>
      </c>
      <c r="F116" s="523">
        <f t="shared" si="31"/>
        <v>120154.85608945806</v>
      </c>
      <c r="G116" s="523">
        <f t="shared" si="32"/>
        <v>122605.83227993426</v>
      </c>
      <c r="H116" s="526">
        <f t="shared" si="33"/>
        <v>18091.131646247548</v>
      </c>
      <c r="I116" s="577">
        <f t="shared" si="34"/>
        <v>18091.131646247548</v>
      </c>
      <c r="J116" s="514">
        <f t="shared" si="22"/>
        <v>0</v>
      </c>
      <c r="K116" s="514"/>
      <c r="L116" s="525"/>
      <c r="M116" s="514">
        <f t="shared" si="24"/>
        <v>0</v>
      </c>
      <c r="N116" s="525"/>
      <c r="O116" s="514">
        <f t="shared" si="26"/>
        <v>0</v>
      </c>
      <c r="P116" s="514">
        <f t="shared" si="27"/>
        <v>0</v>
      </c>
      <c r="Q116" s="269"/>
    </row>
    <row r="117" spans="2:17" ht="12.5">
      <c r="B117" s="195" t="str">
        <f t="shared" si="28"/>
        <v/>
      </c>
      <c r="C117" s="507">
        <f>IF(D93="","-",+C116+1)</f>
        <v>2028</v>
      </c>
      <c r="D117" s="374">
        <f>IF(F116+SUM(E$99:E116)=D$92,F116,D$92-SUM(E$99:E116))</f>
        <v>120154.85608945806</v>
      </c>
      <c r="E117" s="522">
        <f>IF(+J96&lt;F116,J96,D117)</f>
        <v>4901.9523809523807</v>
      </c>
      <c r="F117" s="523">
        <f t="shared" si="31"/>
        <v>115252.90370850568</v>
      </c>
      <c r="G117" s="523">
        <f t="shared" si="32"/>
        <v>117703.87989898186</v>
      </c>
      <c r="H117" s="526">
        <f t="shared" si="33"/>
        <v>17563.809841892384</v>
      </c>
      <c r="I117" s="577">
        <f t="shared" si="34"/>
        <v>17563.809841892384</v>
      </c>
      <c r="J117" s="514">
        <f t="shared" si="22"/>
        <v>0</v>
      </c>
      <c r="K117" s="514"/>
      <c r="L117" s="525"/>
      <c r="M117" s="514">
        <f t="shared" si="24"/>
        <v>0</v>
      </c>
      <c r="N117" s="525"/>
      <c r="O117" s="514">
        <f t="shared" si="26"/>
        <v>0</v>
      </c>
      <c r="P117" s="514">
        <f t="shared" si="27"/>
        <v>0</v>
      </c>
      <c r="Q117" s="269"/>
    </row>
    <row r="118" spans="2:17" ht="12.5">
      <c r="B118" s="195" t="str">
        <f t="shared" si="28"/>
        <v/>
      </c>
      <c r="C118" s="507">
        <f>IF(D93="","-",+C117+1)</f>
        <v>2029</v>
      </c>
      <c r="D118" s="374">
        <f>IF(F117+SUM(E$99:E117)=D$92,F117,D$92-SUM(E$99:E117))</f>
        <v>115252.90370850568</v>
      </c>
      <c r="E118" s="522">
        <f>IF(+J96&lt;F117,J96,D118)</f>
        <v>4901.9523809523807</v>
      </c>
      <c r="F118" s="523">
        <f t="shared" si="31"/>
        <v>110350.9513275533</v>
      </c>
      <c r="G118" s="523">
        <f t="shared" si="32"/>
        <v>112801.92751802949</v>
      </c>
      <c r="H118" s="526">
        <f t="shared" si="33"/>
        <v>17036.488037537223</v>
      </c>
      <c r="I118" s="577">
        <f t="shared" si="34"/>
        <v>17036.488037537223</v>
      </c>
      <c r="J118" s="514">
        <f t="shared" si="22"/>
        <v>0</v>
      </c>
      <c r="K118" s="514"/>
      <c r="L118" s="525"/>
      <c r="M118" s="514">
        <f t="shared" si="24"/>
        <v>0</v>
      </c>
      <c r="N118" s="525"/>
      <c r="O118" s="514">
        <f t="shared" si="26"/>
        <v>0</v>
      </c>
      <c r="P118" s="514">
        <f t="shared" si="27"/>
        <v>0</v>
      </c>
      <c r="Q118" s="269"/>
    </row>
    <row r="119" spans="2:17" ht="12.5">
      <c r="B119" s="195" t="str">
        <f t="shared" si="28"/>
        <v/>
      </c>
      <c r="C119" s="507">
        <f>IF(D93="","-",+C118+1)</f>
        <v>2030</v>
      </c>
      <c r="D119" s="374">
        <f>IF(F118+SUM(E$99:E118)=D$92,F118,D$92-SUM(E$99:E118))</f>
        <v>110350.9513275533</v>
      </c>
      <c r="E119" s="522">
        <f>IF(+J96&lt;F118,J96,D119)</f>
        <v>4901.9523809523807</v>
      </c>
      <c r="F119" s="523">
        <f t="shared" si="31"/>
        <v>105448.99894660091</v>
      </c>
      <c r="G119" s="523">
        <f t="shared" si="32"/>
        <v>107899.9751370771</v>
      </c>
      <c r="H119" s="526">
        <f t="shared" si="33"/>
        <v>16509.166233182059</v>
      </c>
      <c r="I119" s="577">
        <f t="shared" si="34"/>
        <v>16509.166233182059</v>
      </c>
      <c r="J119" s="514">
        <f t="shared" si="22"/>
        <v>0</v>
      </c>
      <c r="K119" s="514"/>
      <c r="L119" s="525"/>
      <c r="M119" s="514">
        <f t="shared" si="24"/>
        <v>0</v>
      </c>
      <c r="N119" s="525"/>
      <c r="O119" s="514">
        <f t="shared" si="26"/>
        <v>0</v>
      </c>
      <c r="P119" s="514">
        <f t="shared" si="27"/>
        <v>0</v>
      </c>
      <c r="Q119" s="269"/>
    </row>
    <row r="120" spans="2:17" ht="12.5">
      <c r="B120" s="195" t="str">
        <f t="shared" si="28"/>
        <v/>
      </c>
      <c r="C120" s="507">
        <f>IF(D93="","-",+C119+1)</f>
        <v>2031</v>
      </c>
      <c r="D120" s="374">
        <f>IF(F119+SUM(E$99:E119)=D$92,F119,D$92-SUM(E$99:E119))</f>
        <v>105448.99894660091</v>
      </c>
      <c r="E120" s="522">
        <f>IF(+J96&lt;F119,J96,D120)</f>
        <v>4901.9523809523807</v>
      </c>
      <c r="F120" s="523">
        <f t="shared" si="31"/>
        <v>100547.04656564853</v>
      </c>
      <c r="G120" s="523">
        <f t="shared" si="32"/>
        <v>102998.02275612473</v>
      </c>
      <c r="H120" s="526">
        <f t="shared" si="33"/>
        <v>15981.844428826895</v>
      </c>
      <c r="I120" s="577">
        <f t="shared" si="34"/>
        <v>15981.844428826895</v>
      </c>
      <c r="J120" s="514">
        <f t="shared" si="22"/>
        <v>0</v>
      </c>
      <c r="K120" s="514"/>
      <c r="L120" s="525"/>
      <c r="M120" s="514">
        <f t="shared" si="24"/>
        <v>0</v>
      </c>
      <c r="N120" s="525"/>
      <c r="O120" s="514">
        <f t="shared" si="26"/>
        <v>0</v>
      </c>
      <c r="P120" s="514">
        <f t="shared" si="27"/>
        <v>0</v>
      </c>
      <c r="Q120" s="269"/>
    </row>
    <row r="121" spans="2:17" ht="12.5">
      <c r="B121" s="195" t="str">
        <f t="shared" si="28"/>
        <v/>
      </c>
      <c r="C121" s="507">
        <f>IF(D93="","-",+C120+1)</f>
        <v>2032</v>
      </c>
      <c r="D121" s="374">
        <f>IF(F120+SUM(E$99:E120)=D$92,F120,D$92-SUM(E$99:E120))</f>
        <v>100547.04656564853</v>
      </c>
      <c r="E121" s="522">
        <f>IF(+J96&lt;F120,J96,D121)</f>
        <v>4901.9523809523807</v>
      </c>
      <c r="F121" s="523">
        <f t="shared" si="31"/>
        <v>95645.09418469615</v>
      </c>
      <c r="G121" s="523">
        <f t="shared" si="32"/>
        <v>98096.070375172334</v>
      </c>
      <c r="H121" s="526">
        <f t="shared" si="33"/>
        <v>15454.522624471731</v>
      </c>
      <c r="I121" s="577">
        <f t="shared" si="34"/>
        <v>15454.522624471731</v>
      </c>
      <c r="J121" s="514">
        <f t="shared" si="22"/>
        <v>0</v>
      </c>
      <c r="K121" s="514"/>
      <c r="L121" s="525"/>
      <c r="M121" s="514">
        <f t="shared" si="24"/>
        <v>0</v>
      </c>
      <c r="N121" s="525"/>
      <c r="O121" s="514">
        <f t="shared" si="26"/>
        <v>0</v>
      </c>
      <c r="P121" s="514">
        <f t="shared" si="27"/>
        <v>0</v>
      </c>
      <c r="Q121" s="269"/>
    </row>
    <row r="122" spans="2:17" ht="12.5">
      <c r="B122" s="195" t="str">
        <f t="shared" si="28"/>
        <v/>
      </c>
      <c r="C122" s="507">
        <f>IF(D93="","-",+C121+1)</f>
        <v>2033</v>
      </c>
      <c r="D122" s="374">
        <f>IF(F121+SUM(E$99:E121)=D$92,F121,D$92-SUM(E$99:E121))</f>
        <v>95645.09418469615</v>
      </c>
      <c r="E122" s="522">
        <f>IF(+J96&lt;F121,J96,D122)</f>
        <v>4901.9523809523807</v>
      </c>
      <c r="F122" s="523">
        <f t="shared" si="31"/>
        <v>90743.141803743769</v>
      </c>
      <c r="G122" s="523">
        <f t="shared" si="32"/>
        <v>93194.117994219967</v>
      </c>
      <c r="H122" s="526">
        <f t="shared" si="33"/>
        <v>14927.20082011657</v>
      </c>
      <c r="I122" s="577">
        <f t="shared" si="34"/>
        <v>14927.20082011657</v>
      </c>
      <c r="J122" s="514">
        <f t="shared" si="22"/>
        <v>0</v>
      </c>
      <c r="K122" s="514"/>
      <c r="L122" s="525"/>
      <c r="M122" s="514">
        <f t="shared" si="24"/>
        <v>0</v>
      </c>
      <c r="N122" s="525"/>
      <c r="O122" s="514">
        <f t="shared" si="26"/>
        <v>0</v>
      </c>
      <c r="P122" s="514">
        <f t="shared" si="27"/>
        <v>0</v>
      </c>
      <c r="Q122" s="269"/>
    </row>
    <row r="123" spans="2:17" ht="12.5">
      <c r="B123" s="195" t="str">
        <f t="shared" si="28"/>
        <v/>
      </c>
      <c r="C123" s="507">
        <f>IF(D93="","-",+C122+1)</f>
        <v>2034</v>
      </c>
      <c r="D123" s="374">
        <f>IF(F122+SUM(E$99:E122)=D$92,F122,D$92-SUM(E$99:E122))</f>
        <v>90743.141803743769</v>
      </c>
      <c r="E123" s="522">
        <f>IF(+J96&lt;F122,J96,D123)</f>
        <v>4901.9523809523807</v>
      </c>
      <c r="F123" s="523">
        <f t="shared" si="31"/>
        <v>85841.189422791387</v>
      </c>
      <c r="G123" s="523">
        <f t="shared" si="32"/>
        <v>88292.165613267571</v>
      </c>
      <c r="H123" s="526">
        <f t="shared" si="33"/>
        <v>14399.879015761406</v>
      </c>
      <c r="I123" s="577">
        <f t="shared" si="34"/>
        <v>14399.879015761406</v>
      </c>
      <c r="J123" s="514">
        <f t="shared" si="22"/>
        <v>0</v>
      </c>
      <c r="K123" s="514"/>
      <c r="L123" s="525"/>
      <c r="M123" s="514">
        <f t="shared" si="24"/>
        <v>0</v>
      </c>
      <c r="N123" s="525"/>
      <c r="O123" s="514">
        <f t="shared" si="26"/>
        <v>0</v>
      </c>
      <c r="P123" s="514">
        <f t="shared" si="27"/>
        <v>0</v>
      </c>
      <c r="Q123" s="269"/>
    </row>
    <row r="124" spans="2:17" ht="12.5">
      <c r="B124" s="195" t="str">
        <f t="shared" si="28"/>
        <v/>
      </c>
      <c r="C124" s="507">
        <f>IF(D93="","-",+C123+1)</f>
        <v>2035</v>
      </c>
      <c r="D124" s="374">
        <f>IF(F123+SUM(E$99:E123)=D$92,F123,D$92-SUM(E$99:E123))</f>
        <v>85841.189422791387</v>
      </c>
      <c r="E124" s="522">
        <f>IF(+J96&lt;F123,J96,D124)</f>
        <v>4901.9523809523807</v>
      </c>
      <c r="F124" s="523">
        <f t="shared" si="31"/>
        <v>80939.237041839006</v>
      </c>
      <c r="G124" s="523">
        <f t="shared" si="32"/>
        <v>83390.213232315204</v>
      </c>
      <c r="H124" s="526">
        <f t="shared" si="33"/>
        <v>13872.557211406245</v>
      </c>
      <c r="I124" s="577">
        <f t="shared" si="34"/>
        <v>13872.557211406245</v>
      </c>
      <c r="J124" s="514">
        <f t="shared" si="22"/>
        <v>0</v>
      </c>
      <c r="K124" s="514"/>
      <c r="L124" s="525"/>
      <c r="M124" s="514">
        <f t="shared" si="24"/>
        <v>0</v>
      </c>
      <c r="N124" s="525"/>
      <c r="O124" s="514">
        <f t="shared" si="26"/>
        <v>0</v>
      </c>
      <c r="P124" s="514">
        <f t="shared" si="27"/>
        <v>0</v>
      </c>
      <c r="Q124" s="269"/>
    </row>
    <row r="125" spans="2:17" ht="12.5">
      <c r="B125" s="195" t="str">
        <f t="shared" si="28"/>
        <v/>
      </c>
      <c r="C125" s="507">
        <f>IF(D93="","-",+C124+1)</f>
        <v>2036</v>
      </c>
      <c r="D125" s="374">
        <f>IF(F124+SUM(E$99:E124)=D$92,F124,D$92-SUM(E$99:E124))</f>
        <v>80939.237041839006</v>
      </c>
      <c r="E125" s="522">
        <f>IF(+J96&lt;F124,J96,D125)</f>
        <v>4901.9523809523807</v>
      </c>
      <c r="F125" s="523">
        <f t="shared" si="31"/>
        <v>76037.284660886624</v>
      </c>
      <c r="G125" s="523">
        <f t="shared" si="32"/>
        <v>78488.260851362807</v>
      </c>
      <c r="H125" s="526">
        <f t="shared" si="33"/>
        <v>13345.235407051081</v>
      </c>
      <c r="I125" s="577">
        <f t="shared" si="34"/>
        <v>13345.235407051081</v>
      </c>
      <c r="J125" s="514">
        <f t="shared" si="22"/>
        <v>0</v>
      </c>
      <c r="K125" s="514"/>
      <c r="L125" s="525"/>
      <c r="M125" s="514">
        <f t="shared" si="24"/>
        <v>0</v>
      </c>
      <c r="N125" s="525"/>
      <c r="O125" s="514">
        <f t="shared" si="26"/>
        <v>0</v>
      </c>
      <c r="P125" s="514">
        <f t="shared" si="27"/>
        <v>0</v>
      </c>
      <c r="Q125" s="269"/>
    </row>
    <row r="126" spans="2:17" ht="12.5">
      <c r="B126" s="195" t="str">
        <f t="shared" si="28"/>
        <v/>
      </c>
      <c r="C126" s="507">
        <f>IF(D93="","-",+C125+1)</f>
        <v>2037</v>
      </c>
      <c r="D126" s="374">
        <f>IF(F125+SUM(E$99:E125)=D$92,F125,D$92-SUM(E$99:E125))</f>
        <v>76037.284660886624</v>
      </c>
      <c r="E126" s="522">
        <f>IF(+J96&lt;F125,J96,D126)</f>
        <v>4901.9523809523807</v>
      </c>
      <c r="F126" s="523">
        <f t="shared" si="31"/>
        <v>71135.332279934242</v>
      </c>
      <c r="G126" s="523">
        <f t="shared" si="32"/>
        <v>73586.30847041044</v>
      </c>
      <c r="H126" s="526">
        <f t="shared" si="33"/>
        <v>12817.913602695917</v>
      </c>
      <c r="I126" s="577">
        <f t="shared" si="34"/>
        <v>12817.913602695917</v>
      </c>
      <c r="J126" s="514">
        <f t="shared" si="22"/>
        <v>0</v>
      </c>
      <c r="K126" s="514"/>
      <c r="L126" s="525"/>
      <c r="M126" s="514">
        <f t="shared" si="24"/>
        <v>0</v>
      </c>
      <c r="N126" s="525"/>
      <c r="O126" s="514">
        <f t="shared" si="26"/>
        <v>0</v>
      </c>
      <c r="P126" s="514">
        <f t="shared" si="27"/>
        <v>0</v>
      </c>
      <c r="Q126" s="269"/>
    </row>
    <row r="127" spans="2:17" ht="12.5">
      <c r="B127" s="195" t="str">
        <f t="shared" si="28"/>
        <v/>
      </c>
      <c r="C127" s="507">
        <f>IF(D93="","-",+C126+1)</f>
        <v>2038</v>
      </c>
      <c r="D127" s="374">
        <f>IF(F126+SUM(E$99:E126)=D$92,F126,D$92-SUM(E$99:E126))</f>
        <v>71135.332279934242</v>
      </c>
      <c r="E127" s="522">
        <f>IF(+J96&lt;F126,J96,D127)</f>
        <v>4901.9523809523807</v>
      </c>
      <c r="F127" s="523">
        <f t="shared" si="31"/>
        <v>66233.379898981861</v>
      </c>
      <c r="G127" s="523">
        <f t="shared" si="32"/>
        <v>68684.356089458044</v>
      </c>
      <c r="H127" s="526">
        <f t="shared" si="33"/>
        <v>12290.591798340753</v>
      </c>
      <c r="I127" s="577">
        <f t="shared" si="34"/>
        <v>12290.591798340753</v>
      </c>
      <c r="J127" s="514">
        <f t="shared" si="22"/>
        <v>0</v>
      </c>
      <c r="K127" s="514"/>
      <c r="L127" s="525"/>
      <c r="M127" s="514">
        <f t="shared" si="24"/>
        <v>0</v>
      </c>
      <c r="N127" s="525"/>
      <c r="O127" s="514">
        <f t="shared" si="26"/>
        <v>0</v>
      </c>
      <c r="P127" s="514">
        <f t="shared" si="27"/>
        <v>0</v>
      </c>
      <c r="Q127" s="269"/>
    </row>
    <row r="128" spans="2:17" ht="12.5">
      <c r="B128" s="195" t="str">
        <f t="shared" si="28"/>
        <v/>
      </c>
      <c r="C128" s="507">
        <f>IF(D93="","-",+C127+1)</f>
        <v>2039</v>
      </c>
      <c r="D128" s="374">
        <f>IF(F127+SUM(E$99:E127)=D$92,F127,D$92-SUM(E$99:E127))</f>
        <v>66233.379898981861</v>
      </c>
      <c r="E128" s="522">
        <f>IF(+J96&lt;F127,J96,D128)</f>
        <v>4901.9523809523807</v>
      </c>
      <c r="F128" s="523">
        <f t="shared" si="31"/>
        <v>61331.427518029479</v>
      </c>
      <c r="G128" s="523">
        <f t="shared" si="32"/>
        <v>63782.40370850567</v>
      </c>
      <c r="H128" s="526">
        <f t="shared" si="33"/>
        <v>11763.269993985592</v>
      </c>
      <c r="I128" s="577">
        <f t="shared" si="34"/>
        <v>11763.269993985592</v>
      </c>
      <c r="J128" s="514">
        <f t="shared" si="22"/>
        <v>0</v>
      </c>
      <c r="K128" s="514"/>
      <c r="L128" s="525"/>
      <c r="M128" s="514">
        <f t="shared" si="24"/>
        <v>0</v>
      </c>
      <c r="N128" s="525"/>
      <c r="O128" s="514">
        <f t="shared" si="26"/>
        <v>0</v>
      </c>
      <c r="P128" s="514">
        <f t="shared" si="27"/>
        <v>0</v>
      </c>
      <c r="Q128" s="269"/>
    </row>
    <row r="129" spans="2:17" ht="12.5">
      <c r="B129" s="195" t="str">
        <f t="shared" si="28"/>
        <v/>
      </c>
      <c r="C129" s="507">
        <f>IF(D93="","-",+C128+1)</f>
        <v>2040</v>
      </c>
      <c r="D129" s="374">
        <f>IF(F128+SUM(E$99:E128)=D$92,F128,D$92-SUM(E$99:E128))</f>
        <v>61331.427518029479</v>
      </c>
      <c r="E129" s="522">
        <f>IF(+J96&lt;F128,J96,D129)</f>
        <v>4901.9523809523807</v>
      </c>
      <c r="F129" s="523">
        <f t="shared" si="31"/>
        <v>56429.475137077097</v>
      </c>
      <c r="G129" s="523">
        <f t="shared" si="32"/>
        <v>58880.451327553288</v>
      </c>
      <c r="H129" s="526">
        <f t="shared" si="33"/>
        <v>11235.948189630428</v>
      </c>
      <c r="I129" s="577">
        <f t="shared" si="34"/>
        <v>11235.948189630428</v>
      </c>
      <c r="J129" s="514">
        <f t="shared" si="22"/>
        <v>0</v>
      </c>
      <c r="K129" s="514"/>
      <c r="L129" s="525"/>
      <c r="M129" s="514">
        <f t="shared" si="24"/>
        <v>0</v>
      </c>
      <c r="N129" s="525"/>
      <c r="O129" s="514">
        <f t="shared" si="26"/>
        <v>0</v>
      </c>
      <c r="P129" s="514">
        <f t="shared" si="27"/>
        <v>0</v>
      </c>
      <c r="Q129" s="269"/>
    </row>
    <row r="130" spans="2:17" ht="12.5">
      <c r="B130" s="195" t="str">
        <f t="shared" si="28"/>
        <v/>
      </c>
      <c r="C130" s="507">
        <f>IF(D93="","-",+C129+1)</f>
        <v>2041</v>
      </c>
      <c r="D130" s="374">
        <f>IF(F129+SUM(E$99:E129)=D$92,F129,D$92-SUM(E$99:E129))</f>
        <v>56429.475137077097</v>
      </c>
      <c r="E130" s="522">
        <f>IF(+J96&lt;F129,J96,D130)</f>
        <v>4901.9523809523807</v>
      </c>
      <c r="F130" s="523">
        <f t="shared" si="31"/>
        <v>51527.522756124716</v>
      </c>
      <c r="G130" s="523">
        <f t="shared" si="32"/>
        <v>53978.498946600906</v>
      </c>
      <c r="H130" s="526">
        <f t="shared" si="33"/>
        <v>10708.626385275264</v>
      </c>
      <c r="I130" s="577">
        <f t="shared" si="34"/>
        <v>10708.626385275264</v>
      </c>
      <c r="J130" s="514">
        <f t="shared" si="22"/>
        <v>0</v>
      </c>
      <c r="K130" s="514"/>
      <c r="L130" s="525"/>
      <c r="M130" s="514">
        <f t="shared" si="24"/>
        <v>0</v>
      </c>
      <c r="N130" s="525"/>
      <c r="O130" s="514">
        <f t="shared" si="26"/>
        <v>0</v>
      </c>
      <c r="P130" s="514">
        <f t="shared" si="27"/>
        <v>0</v>
      </c>
      <c r="Q130" s="269"/>
    </row>
    <row r="131" spans="2:17" ht="12.5">
      <c r="B131" s="195" t="str">
        <f t="shared" si="28"/>
        <v/>
      </c>
      <c r="C131" s="507">
        <f>IF(D93="","-",+C130+1)</f>
        <v>2042</v>
      </c>
      <c r="D131" s="374">
        <f>IF(F130+SUM(E$99:E130)=D$92,F130,D$92-SUM(E$99:E130))</f>
        <v>51527.522756124716</v>
      </c>
      <c r="E131" s="522">
        <f>IF(+J96&lt;F130,J96,D131)</f>
        <v>4901.9523809523807</v>
      </c>
      <c r="F131" s="523">
        <f t="shared" si="31"/>
        <v>46625.570375172334</v>
      </c>
      <c r="G131" s="523">
        <f t="shared" ref="G131:G154" si="35">+(F131+D131)/2</f>
        <v>49076.546565648525</v>
      </c>
      <c r="H131" s="526">
        <f t="shared" ref="H131:H154" si="36">+J$94*G131+E131</f>
        <v>10181.304580920101</v>
      </c>
      <c r="I131" s="577">
        <f t="shared" ref="I131:I154" si="37">+J$95*G131+E131</f>
        <v>10181.304580920101</v>
      </c>
      <c r="J131" s="514">
        <f t="shared" ref="J131:J154" si="38">+I131-H131</f>
        <v>0</v>
      </c>
      <c r="K131" s="514"/>
      <c r="L131" s="525"/>
      <c r="M131" s="514">
        <f t="shared" ref="M131:M154" si="39">IF(L131&lt;&gt;0,+H131-L131,0)</f>
        <v>0</v>
      </c>
      <c r="N131" s="525"/>
      <c r="O131" s="514">
        <f t="shared" ref="O131:O154" si="40">IF(N131&lt;&gt;0,+I131-N131,0)</f>
        <v>0</v>
      </c>
      <c r="P131" s="514">
        <f t="shared" ref="P131:P154" si="41">+O131-M131</f>
        <v>0</v>
      </c>
      <c r="Q131" s="269"/>
    </row>
    <row r="132" spans="2:17" ht="12.5">
      <c r="B132" s="195" t="str">
        <f t="shared" si="28"/>
        <v/>
      </c>
      <c r="C132" s="507">
        <f>IF(D93="","-",+C131+1)</f>
        <v>2043</v>
      </c>
      <c r="D132" s="374">
        <f>IF(F131+SUM(E$99:E131)=D$92,F131,D$92-SUM(E$99:E131))</f>
        <v>46625.570375172334</v>
      </c>
      <c r="E132" s="522">
        <f>IF(+J96&lt;F131,J96,D132)</f>
        <v>4901.9523809523807</v>
      </c>
      <c r="F132" s="523">
        <f t="shared" ref="F132:F154" si="42">+D132-E132</f>
        <v>41723.617994219952</v>
      </c>
      <c r="G132" s="523">
        <f t="shared" si="35"/>
        <v>44174.594184696143</v>
      </c>
      <c r="H132" s="526">
        <f t="shared" si="36"/>
        <v>9653.9827765649388</v>
      </c>
      <c r="I132" s="577">
        <f t="shared" si="37"/>
        <v>9653.9827765649388</v>
      </c>
      <c r="J132" s="514">
        <f t="shared" si="38"/>
        <v>0</v>
      </c>
      <c r="K132" s="514"/>
      <c r="L132" s="525"/>
      <c r="M132" s="514">
        <f t="shared" si="39"/>
        <v>0</v>
      </c>
      <c r="N132" s="525"/>
      <c r="O132" s="514">
        <f t="shared" si="40"/>
        <v>0</v>
      </c>
      <c r="P132" s="514">
        <f t="shared" si="41"/>
        <v>0</v>
      </c>
      <c r="Q132" s="269"/>
    </row>
    <row r="133" spans="2:17" ht="12.5">
      <c r="B133" s="195" t="str">
        <f t="shared" si="28"/>
        <v/>
      </c>
      <c r="C133" s="507">
        <f>IF(D93="","-",+C132+1)</f>
        <v>2044</v>
      </c>
      <c r="D133" s="374">
        <f>IF(F132+SUM(E$99:E132)=D$92,F132,D$92-SUM(E$99:E132))</f>
        <v>41723.617994219952</v>
      </c>
      <c r="E133" s="522">
        <f>IF(+J96&lt;F132,J96,D133)</f>
        <v>4901.9523809523807</v>
      </c>
      <c r="F133" s="523">
        <f t="shared" si="42"/>
        <v>36821.665613267571</v>
      </c>
      <c r="G133" s="523">
        <f t="shared" si="35"/>
        <v>39272.641803743762</v>
      </c>
      <c r="H133" s="526">
        <f t="shared" si="36"/>
        <v>9126.6609722097746</v>
      </c>
      <c r="I133" s="577">
        <f t="shared" si="37"/>
        <v>9126.6609722097746</v>
      </c>
      <c r="J133" s="514">
        <f t="shared" si="38"/>
        <v>0</v>
      </c>
      <c r="K133" s="514"/>
      <c r="L133" s="525"/>
      <c r="M133" s="514">
        <f t="shared" si="39"/>
        <v>0</v>
      </c>
      <c r="N133" s="525"/>
      <c r="O133" s="514">
        <f t="shared" si="40"/>
        <v>0</v>
      </c>
      <c r="P133" s="514">
        <f t="shared" si="41"/>
        <v>0</v>
      </c>
      <c r="Q133" s="269"/>
    </row>
    <row r="134" spans="2:17" ht="12.5">
      <c r="B134" s="195" t="str">
        <f t="shared" si="28"/>
        <v/>
      </c>
      <c r="C134" s="507">
        <f>IF(D93="","-",+C133+1)</f>
        <v>2045</v>
      </c>
      <c r="D134" s="374">
        <f>IF(F133+SUM(E$99:E133)=D$92,F133,D$92-SUM(E$99:E133))</f>
        <v>36821.665613267571</v>
      </c>
      <c r="E134" s="522">
        <f>IF(+J96&lt;F133,J96,D134)</f>
        <v>4901.9523809523807</v>
      </c>
      <c r="F134" s="523">
        <f t="shared" si="42"/>
        <v>31919.713232315189</v>
      </c>
      <c r="G134" s="523">
        <f t="shared" si="35"/>
        <v>34370.68942279138</v>
      </c>
      <c r="H134" s="526">
        <f t="shared" si="36"/>
        <v>8599.3391678546122</v>
      </c>
      <c r="I134" s="577">
        <f t="shared" si="37"/>
        <v>8599.3391678546122</v>
      </c>
      <c r="J134" s="514">
        <f t="shared" si="38"/>
        <v>0</v>
      </c>
      <c r="K134" s="514"/>
      <c r="L134" s="525"/>
      <c r="M134" s="514">
        <f t="shared" si="39"/>
        <v>0</v>
      </c>
      <c r="N134" s="525"/>
      <c r="O134" s="514">
        <f t="shared" si="40"/>
        <v>0</v>
      </c>
      <c r="P134" s="514">
        <f t="shared" si="41"/>
        <v>0</v>
      </c>
      <c r="Q134" s="269"/>
    </row>
    <row r="135" spans="2:17" ht="12.5">
      <c r="B135" s="195" t="str">
        <f t="shared" si="28"/>
        <v/>
      </c>
      <c r="C135" s="507">
        <f>IF(D93="","-",+C134+1)</f>
        <v>2046</v>
      </c>
      <c r="D135" s="374">
        <f>IF(F134+SUM(E$99:E134)=D$92,F134,D$92-SUM(E$99:E134))</f>
        <v>31919.713232315189</v>
      </c>
      <c r="E135" s="522">
        <f>IF(+J96&lt;F134,J96,D135)</f>
        <v>4901.9523809523807</v>
      </c>
      <c r="F135" s="523">
        <f t="shared" si="42"/>
        <v>27017.760851362807</v>
      </c>
      <c r="G135" s="523">
        <f t="shared" si="35"/>
        <v>29468.737041838998</v>
      </c>
      <c r="H135" s="526">
        <f t="shared" si="36"/>
        <v>8072.0173634994489</v>
      </c>
      <c r="I135" s="577">
        <f t="shared" si="37"/>
        <v>8072.0173634994489</v>
      </c>
      <c r="J135" s="514">
        <f t="shared" si="38"/>
        <v>0</v>
      </c>
      <c r="K135" s="514"/>
      <c r="L135" s="525"/>
      <c r="M135" s="514">
        <f t="shared" si="39"/>
        <v>0</v>
      </c>
      <c r="N135" s="525"/>
      <c r="O135" s="514">
        <f t="shared" si="40"/>
        <v>0</v>
      </c>
      <c r="P135" s="514">
        <f t="shared" si="41"/>
        <v>0</v>
      </c>
      <c r="Q135" s="269"/>
    </row>
    <row r="136" spans="2:17" ht="12.5">
      <c r="B136" s="195" t="str">
        <f t="shared" si="28"/>
        <v/>
      </c>
      <c r="C136" s="507">
        <f>IF(D93="","-",+C135+1)</f>
        <v>2047</v>
      </c>
      <c r="D136" s="374">
        <f>IF(F135+SUM(E$99:E135)=D$92,F135,D$92-SUM(E$99:E135))</f>
        <v>27017.760851362807</v>
      </c>
      <c r="E136" s="522">
        <f>IF(+J96&lt;F135,J96,D136)</f>
        <v>4901.9523809523807</v>
      </c>
      <c r="F136" s="523">
        <f t="shared" si="42"/>
        <v>22115.808470410426</v>
      </c>
      <c r="G136" s="523">
        <f t="shared" si="35"/>
        <v>24566.784660886617</v>
      </c>
      <c r="H136" s="526">
        <f t="shared" si="36"/>
        <v>7544.6955591442857</v>
      </c>
      <c r="I136" s="577">
        <f t="shared" si="37"/>
        <v>7544.6955591442857</v>
      </c>
      <c r="J136" s="514">
        <f t="shared" si="38"/>
        <v>0</v>
      </c>
      <c r="K136" s="514"/>
      <c r="L136" s="525"/>
      <c r="M136" s="514">
        <f t="shared" si="39"/>
        <v>0</v>
      </c>
      <c r="N136" s="525"/>
      <c r="O136" s="514">
        <f t="shared" si="40"/>
        <v>0</v>
      </c>
      <c r="P136" s="514">
        <f t="shared" si="41"/>
        <v>0</v>
      </c>
      <c r="Q136" s="269"/>
    </row>
    <row r="137" spans="2:17" ht="12.5">
      <c r="B137" s="195" t="str">
        <f t="shared" si="28"/>
        <v/>
      </c>
      <c r="C137" s="507">
        <f>IF(D93="","-",+C136+1)</f>
        <v>2048</v>
      </c>
      <c r="D137" s="374">
        <f>IF(F136+SUM(E$99:E136)=D$92,F136,D$92-SUM(E$99:E136))</f>
        <v>22115.808470410426</v>
      </c>
      <c r="E137" s="522">
        <f>IF(+J96&lt;F136,J96,D137)</f>
        <v>4901.9523809523807</v>
      </c>
      <c r="F137" s="523">
        <f t="shared" si="42"/>
        <v>17213.856089458044</v>
      </c>
      <c r="G137" s="523">
        <f t="shared" si="35"/>
        <v>19664.832279934235</v>
      </c>
      <c r="H137" s="526">
        <f t="shared" si="36"/>
        <v>7017.3737547891233</v>
      </c>
      <c r="I137" s="577">
        <f t="shared" si="37"/>
        <v>7017.3737547891233</v>
      </c>
      <c r="J137" s="514">
        <f t="shared" si="38"/>
        <v>0</v>
      </c>
      <c r="K137" s="514"/>
      <c r="L137" s="525"/>
      <c r="M137" s="514">
        <f t="shared" si="39"/>
        <v>0</v>
      </c>
      <c r="N137" s="525"/>
      <c r="O137" s="514">
        <f t="shared" si="40"/>
        <v>0</v>
      </c>
      <c r="P137" s="514">
        <f t="shared" si="41"/>
        <v>0</v>
      </c>
      <c r="Q137" s="269"/>
    </row>
    <row r="138" spans="2:17" ht="12.5">
      <c r="B138" s="195" t="str">
        <f t="shared" si="28"/>
        <v/>
      </c>
      <c r="C138" s="507">
        <f>IF(D93="","-",+C137+1)</f>
        <v>2049</v>
      </c>
      <c r="D138" s="374">
        <f>IF(F137+SUM(E$99:E137)=D$92,F137,D$92-SUM(E$99:E137))</f>
        <v>17213.856089458044</v>
      </c>
      <c r="E138" s="522">
        <f>IF(+J96&lt;F137,J96,D138)</f>
        <v>4901.9523809523807</v>
      </c>
      <c r="F138" s="523">
        <f t="shared" si="42"/>
        <v>12311.903708505663</v>
      </c>
      <c r="G138" s="523">
        <f t="shared" si="35"/>
        <v>14762.879898981853</v>
      </c>
      <c r="H138" s="526">
        <f t="shared" si="36"/>
        <v>6490.05195043396</v>
      </c>
      <c r="I138" s="577">
        <f t="shared" si="37"/>
        <v>6490.05195043396</v>
      </c>
      <c r="J138" s="514">
        <f t="shared" si="38"/>
        <v>0</v>
      </c>
      <c r="K138" s="514"/>
      <c r="L138" s="525"/>
      <c r="M138" s="514">
        <f t="shared" si="39"/>
        <v>0</v>
      </c>
      <c r="N138" s="525"/>
      <c r="O138" s="514">
        <f t="shared" si="40"/>
        <v>0</v>
      </c>
      <c r="P138" s="514">
        <f t="shared" si="41"/>
        <v>0</v>
      </c>
      <c r="Q138" s="269"/>
    </row>
    <row r="139" spans="2:17" ht="12.5">
      <c r="B139" s="195" t="str">
        <f t="shared" si="28"/>
        <v/>
      </c>
      <c r="C139" s="507">
        <f>IF(D93="","-",+C138+1)</f>
        <v>2050</v>
      </c>
      <c r="D139" s="374">
        <f>IF(F138+SUM(E$99:E138)=D$92,F138,D$92-SUM(E$99:E138))</f>
        <v>12311.903708505663</v>
      </c>
      <c r="E139" s="522">
        <f>IF(+J96&lt;F138,J96,D139)</f>
        <v>4901.9523809523807</v>
      </c>
      <c r="F139" s="523">
        <f t="shared" si="42"/>
        <v>7409.9513275532818</v>
      </c>
      <c r="G139" s="523">
        <f t="shared" si="35"/>
        <v>9860.9275180294717</v>
      </c>
      <c r="H139" s="526">
        <f t="shared" si="36"/>
        <v>5962.7301460787967</v>
      </c>
      <c r="I139" s="577">
        <f t="shared" si="37"/>
        <v>5962.7301460787967</v>
      </c>
      <c r="J139" s="514">
        <f t="shared" si="38"/>
        <v>0</v>
      </c>
      <c r="K139" s="514"/>
      <c r="L139" s="525"/>
      <c r="M139" s="514">
        <f t="shared" si="39"/>
        <v>0</v>
      </c>
      <c r="N139" s="525"/>
      <c r="O139" s="514">
        <f t="shared" si="40"/>
        <v>0</v>
      </c>
      <c r="P139" s="514">
        <f t="shared" si="41"/>
        <v>0</v>
      </c>
      <c r="Q139" s="269"/>
    </row>
    <row r="140" spans="2:17" ht="12.5">
      <c r="B140" s="195" t="str">
        <f t="shared" si="28"/>
        <v/>
      </c>
      <c r="C140" s="507">
        <f>IF(D93="","-",+C139+1)</f>
        <v>2051</v>
      </c>
      <c r="D140" s="374">
        <f>IF(F139+SUM(E$99:E139)=D$92,F139,D$92-SUM(E$99:E139))</f>
        <v>7409.9513275532818</v>
      </c>
      <c r="E140" s="522">
        <f>IF(+J96&lt;F139,J96,D140)</f>
        <v>4901.9523809523807</v>
      </c>
      <c r="F140" s="523">
        <f t="shared" si="42"/>
        <v>2507.998946600901</v>
      </c>
      <c r="G140" s="523">
        <f t="shared" si="35"/>
        <v>4958.9751370770919</v>
      </c>
      <c r="H140" s="526">
        <f t="shared" si="36"/>
        <v>5435.4083417236343</v>
      </c>
      <c r="I140" s="577">
        <f t="shared" si="37"/>
        <v>5435.4083417236343</v>
      </c>
      <c r="J140" s="514">
        <f t="shared" si="38"/>
        <v>0</v>
      </c>
      <c r="K140" s="514"/>
      <c r="L140" s="525"/>
      <c r="M140" s="514">
        <f t="shared" si="39"/>
        <v>0</v>
      </c>
      <c r="N140" s="525"/>
      <c r="O140" s="514">
        <f t="shared" si="40"/>
        <v>0</v>
      </c>
      <c r="P140" s="514">
        <f t="shared" si="41"/>
        <v>0</v>
      </c>
      <c r="Q140" s="269"/>
    </row>
    <row r="141" spans="2:17" ht="12.5">
      <c r="B141" s="195" t="str">
        <f t="shared" si="28"/>
        <v/>
      </c>
      <c r="C141" s="507">
        <f>IF(D93="","-",+C140+1)</f>
        <v>2052</v>
      </c>
      <c r="D141" s="374">
        <f>IF(F140+SUM(E$99:E140)=D$92,F140,D$92-SUM(E$99:E140))</f>
        <v>2507.998946600901</v>
      </c>
      <c r="E141" s="522">
        <f>IF(+J96&lt;F140,J96,D141)</f>
        <v>2507.998946600901</v>
      </c>
      <c r="F141" s="523">
        <f t="shared" si="42"/>
        <v>0</v>
      </c>
      <c r="G141" s="523">
        <f t="shared" si="35"/>
        <v>1253.9994733004505</v>
      </c>
      <c r="H141" s="526">
        <f t="shared" si="36"/>
        <v>2642.8964758977368</v>
      </c>
      <c r="I141" s="577">
        <f t="shared" si="37"/>
        <v>2642.8964758977368</v>
      </c>
      <c r="J141" s="514">
        <f t="shared" si="38"/>
        <v>0</v>
      </c>
      <c r="K141" s="514"/>
      <c r="L141" s="525"/>
      <c r="M141" s="514">
        <f t="shared" si="39"/>
        <v>0</v>
      </c>
      <c r="N141" s="525"/>
      <c r="O141" s="514">
        <f t="shared" si="40"/>
        <v>0</v>
      </c>
      <c r="P141" s="514">
        <f t="shared" si="41"/>
        <v>0</v>
      </c>
      <c r="Q141" s="269"/>
    </row>
    <row r="142" spans="2:17" ht="12.5">
      <c r="B142" s="195" t="str">
        <f t="shared" si="28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2"/>
        <v>0</v>
      </c>
      <c r="G142" s="523">
        <f t="shared" si="35"/>
        <v>0</v>
      </c>
      <c r="H142" s="526">
        <f t="shared" si="36"/>
        <v>0</v>
      </c>
      <c r="I142" s="577">
        <f t="shared" si="37"/>
        <v>0</v>
      </c>
      <c r="J142" s="514">
        <f t="shared" si="38"/>
        <v>0</v>
      </c>
      <c r="K142" s="514"/>
      <c r="L142" s="525"/>
      <c r="M142" s="514">
        <f t="shared" si="39"/>
        <v>0</v>
      </c>
      <c r="N142" s="525"/>
      <c r="O142" s="514">
        <f t="shared" si="40"/>
        <v>0</v>
      </c>
      <c r="P142" s="514">
        <f t="shared" si="41"/>
        <v>0</v>
      </c>
      <c r="Q142" s="269"/>
    </row>
    <row r="143" spans="2:17" ht="12.5">
      <c r="B143" s="195" t="str">
        <f t="shared" si="28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2"/>
        <v>0</v>
      </c>
      <c r="G143" s="523">
        <f t="shared" si="35"/>
        <v>0</v>
      </c>
      <c r="H143" s="526">
        <f t="shared" si="36"/>
        <v>0</v>
      </c>
      <c r="I143" s="577">
        <f t="shared" si="37"/>
        <v>0</v>
      </c>
      <c r="J143" s="514">
        <f t="shared" si="38"/>
        <v>0</v>
      </c>
      <c r="K143" s="514"/>
      <c r="L143" s="525"/>
      <c r="M143" s="514">
        <f t="shared" si="39"/>
        <v>0</v>
      </c>
      <c r="N143" s="525"/>
      <c r="O143" s="514">
        <f t="shared" si="40"/>
        <v>0</v>
      </c>
      <c r="P143" s="514">
        <f t="shared" si="41"/>
        <v>0</v>
      </c>
      <c r="Q143" s="269"/>
    </row>
    <row r="144" spans="2:17" ht="12.5">
      <c r="B144" s="195" t="str">
        <f t="shared" si="28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2"/>
        <v>0</v>
      </c>
      <c r="G144" s="523">
        <f t="shared" si="35"/>
        <v>0</v>
      </c>
      <c r="H144" s="526">
        <f t="shared" si="36"/>
        <v>0</v>
      </c>
      <c r="I144" s="577">
        <f t="shared" si="37"/>
        <v>0</v>
      </c>
      <c r="J144" s="514">
        <f t="shared" si="38"/>
        <v>0</v>
      </c>
      <c r="K144" s="514"/>
      <c r="L144" s="525"/>
      <c r="M144" s="514">
        <f t="shared" si="39"/>
        <v>0</v>
      </c>
      <c r="N144" s="525"/>
      <c r="O144" s="514">
        <f t="shared" si="40"/>
        <v>0</v>
      </c>
      <c r="P144" s="514">
        <f t="shared" si="41"/>
        <v>0</v>
      </c>
      <c r="Q144" s="269"/>
    </row>
    <row r="145" spans="2:17" ht="12.5">
      <c r="B145" s="195" t="str">
        <f t="shared" si="28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2"/>
        <v>0</v>
      </c>
      <c r="G145" s="523">
        <f t="shared" si="35"/>
        <v>0</v>
      </c>
      <c r="H145" s="526">
        <f t="shared" si="36"/>
        <v>0</v>
      </c>
      <c r="I145" s="577">
        <f t="shared" si="37"/>
        <v>0</v>
      </c>
      <c r="J145" s="514">
        <f t="shared" si="38"/>
        <v>0</v>
      </c>
      <c r="K145" s="514"/>
      <c r="L145" s="525"/>
      <c r="M145" s="514">
        <f t="shared" si="39"/>
        <v>0</v>
      </c>
      <c r="N145" s="525"/>
      <c r="O145" s="514">
        <f t="shared" si="40"/>
        <v>0</v>
      </c>
      <c r="P145" s="514">
        <f t="shared" si="41"/>
        <v>0</v>
      </c>
      <c r="Q145" s="269"/>
    </row>
    <row r="146" spans="2:17" ht="12.5">
      <c r="B146" s="195" t="str">
        <f t="shared" si="28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2"/>
        <v>0</v>
      </c>
      <c r="G146" s="523">
        <f t="shared" si="35"/>
        <v>0</v>
      </c>
      <c r="H146" s="526">
        <f t="shared" si="36"/>
        <v>0</v>
      </c>
      <c r="I146" s="577">
        <f t="shared" si="37"/>
        <v>0</v>
      </c>
      <c r="J146" s="514">
        <f t="shared" si="38"/>
        <v>0</v>
      </c>
      <c r="K146" s="514"/>
      <c r="L146" s="525"/>
      <c r="M146" s="514">
        <f t="shared" si="39"/>
        <v>0</v>
      </c>
      <c r="N146" s="525"/>
      <c r="O146" s="514">
        <f t="shared" si="40"/>
        <v>0</v>
      </c>
      <c r="P146" s="514">
        <f t="shared" si="41"/>
        <v>0</v>
      </c>
      <c r="Q146" s="269"/>
    </row>
    <row r="147" spans="2:17" ht="12.5">
      <c r="B147" s="195" t="str">
        <f t="shared" si="28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2"/>
        <v>0</v>
      </c>
      <c r="G147" s="523">
        <f t="shared" si="35"/>
        <v>0</v>
      </c>
      <c r="H147" s="526">
        <f t="shared" si="36"/>
        <v>0</v>
      </c>
      <c r="I147" s="577">
        <f t="shared" si="37"/>
        <v>0</v>
      </c>
      <c r="J147" s="514">
        <f t="shared" si="38"/>
        <v>0</v>
      </c>
      <c r="K147" s="514"/>
      <c r="L147" s="525"/>
      <c r="M147" s="514">
        <f t="shared" si="39"/>
        <v>0</v>
      </c>
      <c r="N147" s="525"/>
      <c r="O147" s="514">
        <f t="shared" si="40"/>
        <v>0</v>
      </c>
      <c r="P147" s="514">
        <f t="shared" si="41"/>
        <v>0</v>
      </c>
      <c r="Q147" s="269"/>
    </row>
    <row r="148" spans="2:17" ht="12.5">
      <c r="B148" s="195" t="str">
        <f t="shared" si="28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2"/>
        <v>0</v>
      </c>
      <c r="G148" s="523">
        <f t="shared" si="35"/>
        <v>0</v>
      </c>
      <c r="H148" s="526">
        <f t="shared" si="36"/>
        <v>0</v>
      </c>
      <c r="I148" s="577">
        <f t="shared" si="37"/>
        <v>0</v>
      </c>
      <c r="J148" s="514">
        <f t="shared" si="38"/>
        <v>0</v>
      </c>
      <c r="K148" s="514"/>
      <c r="L148" s="525"/>
      <c r="M148" s="514">
        <f t="shared" si="39"/>
        <v>0</v>
      </c>
      <c r="N148" s="525"/>
      <c r="O148" s="514">
        <f t="shared" si="40"/>
        <v>0</v>
      </c>
      <c r="P148" s="514">
        <f t="shared" si="41"/>
        <v>0</v>
      </c>
      <c r="Q148" s="269"/>
    </row>
    <row r="149" spans="2:17" ht="12.5">
      <c r="B149" s="195" t="str">
        <f t="shared" si="28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2"/>
        <v>0</v>
      </c>
      <c r="G149" s="523">
        <f t="shared" si="35"/>
        <v>0</v>
      </c>
      <c r="H149" s="526">
        <f t="shared" si="36"/>
        <v>0</v>
      </c>
      <c r="I149" s="577">
        <f t="shared" si="37"/>
        <v>0</v>
      </c>
      <c r="J149" s="514">
        <f t="shared" si="38"/>
        <v>0</v>
      </c>
      <c r="K149" s="514"/>
      <c r="L149" s="525"/>
      <c r="M149" s="514">
        <f t="shared" si="39"/>
        <v>0</v>
      </c>
      <c r="N149" s="525"/>
      <c r="O149" s="514">
        <f t="shared" si="40"/>
        <v>0</v>
      </c>
      <c r="P149" s="514">
        <f t="shared" si="41"/>
        <v>0</v>
      </c>
      <c r="Q149" s="269"/>
    </row>
    <row r="150" spans="2:17" ht="12.5">
      <c r="B150" s="195" t="str">
        <f t="shared" si="28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2"/>
        <v>0</v>
      </c>
      <c r="G150" s="523">
        <f t="shared" si="35"/>
        <v>0</v>
      </c>
      <c r="H150" s="526">
        <f t="shared" si="36"/>
        <v>0</v>
      </c>
      <c r="I150" s="577">
        <f t="shared" si="37"/>
        <v>0</v>
      </c>
      <c r="J150" s="514">
        <f t="shared" si="38"/>
        <v>0</v>
      </c>
      <c r="K150" s="514"/>
      <c r="L150" s="525"/>
      <c r="M150" s="514">
        <f t="shared" si="39"/>
        <v>0</v>
      </c>
      <c r="N150" s="525"/>
      <c r="O150" s="514">
        <f t="shared" si="40"/>
        <v>0</v>
      </c>
      <c r="P150" s="514">
        <f t="shared" si="41"/>
        <v>0</v>
      </c>
      <c r="Q150" s="269"/>
    </row>
    <row r="151" spans="2:17" ht="12.5">
      <c r="B151" s="195" t="str">
        <f t="shared" si="28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2"/>
        <v>0</v>
      </c>
      <c r="G151" s="523">
        <f t="shared" si="35"/>
        <v>0</v>
      </c>
      <c r="H151" s="526">
        <f t="shared" si="36"/>
        <v>0</v>
      </c>
      <c r="I151" s="577">
        <f t="shared" si="37"/>
        <v>0</v>
      </c>
      <c r="J151" s="514">
        <f t="shared" si="38"/>
        <v>0</v>
      </c>
      <c r="K151" s="514"/>
      <c r="L151" s="525"/>
      <c r="M151" s="514">
        <f t="shared" si="39"/>
        <v>0</v>
      </c>
      <c r="N151" s="525"/>
      <c r="O151" s="514">
        <f t="shared" si="40"/>
        <v>0</v>
      </c>
      <c r="P151" s="514">
        <f t="shared" si="41"/>
        <v>0</v>
      </c>
      <c r="Q151" s="269"/>
    </row>
    <row r="152" spans="2:17" ht="12.5">
      <c r="B152" s="195" t="str">
        <f t="shared" si="28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2"/>
        <v>0</v>
      </c>
      <c r="G152" s="523">
        <f t="shared" si="35"/>
        <v>0</v>
      </c>
      <c r="H152" s="526">
        <f t="shared" si="36"/>
        <v>0</v>
      </c>
      <c r="I152" s="577">
        <f t="shared" si="37"/>
        <v>0</v>
      </c>
      <c r="J152" s="514">
        <f t="shared" si="38"/>
        <v>0</v>
      </c>
      <c r="K152" s="514"/>
      <c r="L152" s="525"/>
      <c r="M152" s="514">
        <f t="shared" si="39"/>
        <v>0</v>
      </c>
      <c r="N152" s="525"/>
      <c r="O152" s="514">
        <f t="shared" si="40"/>
        <v>0</v>
      </c>
      <c r="P152" s="514">
        <f t="shared" si="41"/>
        <v>0</v>
      </c>
      <c r="Q152" s="269"/>
    </row>
    <row r="153" spans="2:17" ht="12.5">
      <c r="B153" s="195" t="str">
        <f t="shared" si="28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2"/>
        <v>0</v>
      </c>
      <c r="G153" s="523">
        <f t="shared" si="35"/>
        <v>0</v>
      </c>
      <c r="H153" s="526">
        <f t="shared" si="36"/>
        <v>0</v>
      </c>
      <c r="I153" s="577">
        <f t="shared" si="37"/>
        <v>0</v>
      </c>
      <c r="J153" s="514">
        <f t="shared" si="38"/>
        <v>0</v>
      </c>
      <c r="K153" s="514"/>
      <c r="L153" s="525"/>
      <c r="M153" s="514">
        <f t="shared" si="39"/>
        <v>0</v>
      </c>
      <c r="N153" s="525"/>
      <c r="O153" s="514">
        <f t="shared" si="40"/>
        <v>0</v>
      </c>
      <c r="P153" s="514">
        <f t="shared" si="41"/>
        <v>0</v>
      </c>
      <c r="Q153" s="269"/>
    </row>
    <row r="154" spans="2:17" ht="13" thickBot="1">
      <c r="B154" s="195" t="str">
        <f t="shared" si="28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2"/>
        <v>0</v>
      </c>
      <c r="G154" s="528">
        <f t="shared" si="35"/>
        <v>0</v>
      </c>
      <c r="H154" s="530">
        <f t="shared" si="36"/>
        <v>0</v>
      </c>
      <c r="I154" s="579">
        <f t="shared" si="37"/>
        <v>0</v>
      </c>
      <c r="J154" s="533">
        <f t="shared" si="38"/>
        <v>0</v>
      </c>
      <c r="K154" s="514"/>
      <c r="L154" s="532"/>
      <c r="M154" s="533">
        <f t="shared" si="39"/>
        <v>0</v>
      </c>
      <c r="N154" s="532"/>
      <c r="O154" s="533">
        <f t="shared" si="40"/>
        <v>0</v>
      </c>
      <c r="P154" s="533">
        <f t="shared" si="41"/>
        <v>0</v>
      </c>
      <c r="Q154" s="269"/>
    </row>
    <row r="155" spans="2:17" ht="12.5">
      <c r="C155" s="374" t="s">
        <v>78</v>
      </c>
      <c r="D155" s="375"/>
      <c r="E155" s="375">
        <f>SUM(E99:E154)</f>
        <v>205881.99999999997</v>
      </c>
      <c r="F155" s="375"/>
      <c r="G155" s="375"/>
      <c r="H155" s="375">
        <f>SUM(H99:H154)</f>
        <v>714341.71767902444</v>
      </c>
      <c r="I155" s="375">
        <f>SUM(I99:I154)</f>
        <v>714341.71767902444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7" priority="1" stopIfTrue="1" operator="equal">
      <formula>$I$10</formula>
    </cfRule>
  </conditionalFormatting>
  <conditionalFormatting sqref="C99:C154">
    <cfRule type="cellIs" dxfId="11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Q1048576"/>
  <sheetViews>
    <sheetView view="pageBreakPreview" topLeftCell="A79" zoomScale="75" zoomScaleNormal="100" zoomScaleSheetLayoutView="75" workbookViewId="0">
      <selection activeCell="E112" sqref="E11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23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489431.31850985193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489431.31850985193</v>
      </c>
      <c r="O6" s="269"/>
      <c r="P6" s="269"/>
    </row>
    <row r="7" spans="1:17" ht="13.5" thickBot="1">
      <c r="C7" s="467" t="s">
        <v>48</v>
      </c>
      <c r="D7" s="620" t="s">
        <v>250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251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4795139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114169.97619047618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4839000</v>
      </c>
      <c r="E17" s="509">
        <v>63671.052631578947</v>
      </c>
      <c r="F17" s="508">
        <v>4775328.9473684207</v>
      </c>
      <c r="G17" s="509">
        <v>750196.21507043985</v>
      </c>
      <c r="H17" s="510">
        <v>750196.21507043985</v>
      </c>
      <c r="I17" s="517">
        <v>0</v>
      </c>
      <c r="J17" s="511"/>
      <c r="K17" s="512">
        <f t="shared" ref="K17:K22" si="0">G17</f>
        <v>750196.21507043985</v>
      </c>
      <c r="L17" s="597">
        <f t="shared" ref="L17:L48" si="1">IF(K17&lt;&gt;0,+G17-K17,0)</f>
        <v>0</v>
      </c>
      <c r="M17" s="512">
        <f t="shared" ref="M17:M22" si="2">H17</f>
        <v>750196.21507043985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4731467.9473684207</v>
      </c>
      <c r="E18" s="516">
        <v>116954.60975609756</v>
      </c>
      <c r="F18" s="515">
        <v>4614513.3376123235</v>
      </c>
      <c r="G18" s="516">
        <v>837705.52786752849</v>
      </c>
      <c r="H18" s="510">
        <v>837705.52786752849</v>
      </c>
      <c r="I18" s="517">
        <v>0</v>
      </c>
      <c r="J18" s="511"/>
      <c r="K18" s="518">
        <f t="shared" si="0"/>
        <v>837705.52786752849</v>
      </c>
      <c r="L18" s="519">
        <f t="shared" si="1"/>
        <v>0</v>
      </c>
      <c r="M18" s="518">
        <f t="shared" si="2"/>
        <v>837705.52786752849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515">
        <v>4614513.3376123235</v>
      </c>
      <c r="E19" s="516">
        <v>114169.97619047618</v>
      </c>
      <c r="F19" s="515">
        <v>4500343.3614218477</v>
      </c>
      <c r="G19" s="516">
        <v>783461.67125244555</v>
      </c>
      <c r="H19" s="510">
        <v>783461.67125244555</v>
      </c>
      <c r="I19" s="517">
        <v>0</v>
      </c>
      <c r="J19" s="511"/>
      <c r="K19" s="518">
        <f t="shared" si="0"/>
        <v>783461.67125244555</v>
      </c>
      <c r="L19" s="519">
        <f t="shared" si="1"/>
        <v>0</v>
      </c>
      <c r="M19" s="518">
        <f t="shared" si="2"/>
        <v>783461.67125244555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4500343.3614218477</v>
      </c>
      <c r="E20" s="609">
        <v>114169.97619047618</v>
      </c>
      <c r="F20" s="608">
        <v>4386173.385231372</v>
      </c>
      <c r="G20" s="609">
        <v>728177.58986755938</v>
      </c>
      <c r="H20" s="610">
        <v>728177.58986755938</v>
      </c>
      <c r="I20" s="596">
        <v>0</v>
      </c>
      <c r="J20" s="511"/>
      <c r="K20" s="518">
        <f t="shared" si="0"/>
        <v>728177.58986755938</v>
      </c>
      <c r="L20" s="519">
        <f t="shared" ref="L20:L25" si="6">IF(K20&lt;&gt;0,+G20-K20,0)</f>
        <v>0</v>
      </c>
      <c r="M20" s="518">
        <f t="shared" si="2"/>
        <v>728177.58986755938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4386173.385231372</v>
      </c>
      <c r="E21" s="609">
        <v>114169.97619047618</v>
      </c>
      <c r="F21" s="608">
        <v>4272003.4090408962</v>
      </c>
      <c r="G21" s="609">
        <v>690508.12734989321</v>
      </c>
      <c r="H21" s="610">
        <v>690508.12734989321</v>
      </c>
      <c r="I21" s="596">
        <v>0</v>
      </c>
      <c r="J21" s="511"/>
      <c r="K21" s="518">
        <f t="shared" si="0"/>
        <v>690508.12734989321</v>
      </c>
      <c r="L21" s="519">
        <f t="shared" si="6"/>
        <v>0</v>
      </c>
      <c r="M21" s="518">
        <f t="shared" si="2"/>
        <v>690508.12734989321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08">
        <v>4272003.4090408962</v>
      </c>
      <c r="E22" s="609">
        <v>114169.97619047618</v>
      </c>
      <c r="F22" s="608">
        <v>4157833.43285042</v>
      </c>
      <c r="G22" s="609">
        <v>661776.60095170466</v>
      </c>
      <c r="H22" s="610">
        <v>661776.60095170466</v>
      </c>
      <c r="I22" s="511">
        <v>0</v>
      </c>
      <c r="J22" s="511"/>
      <c r="K22" s="518">
        <f t="shared" si="0"/>
        <v>661776.60095170466</v>
      </c>
      <c r="L22" s="519">
        <f t="shared" si="6"/>
        <v>0</v>
      </c>
      <c r="M22" s="518">
        <f t="shared" si="2"/>
        <v>661776.60095170466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4157833.43285042</v>
      </c>
      <c r="E23" s="609">
        <v>114169.97619047618</v>
      </c>
      <c r="F23" s="608">
        <v>4043663.4566599438</v>
      </c>
      <c r="G23" s="609">
        <v>640169.61761771492</v>
      </c>
      <c r="H23" s="610">
        <v>640169.61761771492</v>
      </c>
      <c r="I23" s="511">
        <f t="shared" ref="I23:I48" si="9">H23-G23</f>
        <v>0</v>
      </c>
      <c r="J23" s="511"/>
      <c r="K23" s="518">
        <f>G23</f>
        <v>640169.61761771492</v>
      </c>
      <c r="L23" s="519">
        <f t="shared" si="6"/>
        <v>0</v>
      </c>
      <c r="M23" s="518">
        <f>H23</f>
        <v>640169.61761771492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4043663.4566599438</v>
      </c>
      <c r="E24" s="609">
        <v>111514.86046511628</v>
      </c>
      <c r="F24" s="608">
        <v>3932148.5961948275</v>
      </c>
      <c r="G24" s="609">
        <v>605586.64190337458</v>
      </c>
      <c r="H24" s="610">
        <v>605586.64190337458</v>
      </c>
      <c r="I24" s="511">
        <f t="shared" si="9"/>
        <v>0</v>
      </c>
      <c r="J24" s="511"/>
      <c r="K24" s="518">
        <f>G24</f>
        <v>605586.64190337458</v>
      </c>
      <c r="L24" s="519">
        <f t="shared" si="6"/>
        <v>0</v>
      </c>
      <c r="M24" s="518">
        <f>H24</f>
        <v>605586.64190337458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3932148.5961948275</v>
      </c>
      <c r="E25" s="609">
        <v>116954.60975609756</v>
      </c>
      <c r="F25" s="608">
        <v>3815193.9864387298</v>
      </c>
      <c r="G25" s="609">
        <v>609275.37207027047</v>
      </c>
      <c r="H25" s="610">
        <v>609275.37207027047</v>
      </c>
      <c r="I25" s="511">
        <f t="shared" si="9"/>
        <v>0</v>
      </c>
      <c r="J25" s="511"/>
      <c r="K25" s="518">
        <f>G25</f>
        <v>609275.37207027047</v>
      </c>
      <c r="L25" s="519">
        <f t="shared" si="6"/>
        <v>0</v>
      </c>
      <c r="M25" s="518">
        <f>H25</f>
        <v>609275.37207027047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3815193.9864387298</v>
      </c>
      <c r="E26" s="609">
        <v>116954.60975609756</v>
      </c>
      <c r="F26" s="608">
        <v>3698239.3766826321</v>
      </c>
      <c r="G26" s="609">
        <v>594411.13132781303</v>
      </c>
      <c r="H26" s="610">
        <v>594411.13132781303</v>
      </c>
      <c r="I26" s="511">
        <f t="shared" si="9"/>
        <v>0</v>
      </c>
      <c r="J26" s="511"/>
      <c r="K26" s="518">
        <f>G26</f>
        <v>594411.13132781303</v>
      </c>
      <c r="L26" s="519">
        <f t="shared" ref="L26" si="10">IF(K26&lt;&gt;0,+G26-K26,0)</f>
        <v>0</v>
      </c>
      <c r="M26" s="518">
        <f>H26</f>
        <v>594411.13132781303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08">
        <v>3698239.3766826321</v>
      </c>
      <c r="E27" s="609">
        <v>116954.60975609756</v>
      </c>
      <c r="F27" s="608">
        <v>3581284.7669265345</v>
      </c>
      <c r="G27" s="609">
        <v>489431.31850985193</v>
      </c>
      <c r="H27" s="610">
        <v>489431.31850985193</v>
      </c>
      <c r="I27" s="511">
        <f t="shared" si="9"/>
        <v>0</v>
      </c>
      <c r="J27" s="511"/>
      <c r="K27" s="518">
        <f>G27</f>
        <v>489431.31850985193</v>
      </c>
      <c r="L27" s="519">
        <f t="shared" ref="L27" si="11">IF(K27&lt;&gt;0,+G27-K27,0)</f>
        <v>0</v>
      </c>
      <c r="M27" s="518">
        <f>H27</f>
        <v>489431.31850985193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2021</v>
      </c>
      <c r="D28" s="523">
        <f>IF(F27+SUM(E$17:E27)=D$10,F27,D$10-SUM(E$17:E27))</f>
        <v>3581284.7669265345</v>
      </c>
      <c r="E28" s="522">
        <f>IF(+I14&lt;F27,I14,D28)</f>
        <v>114169.97619047618</v>
      </c>
      <c r="F28" s="523">
        <f t="shared" ref="F28:F48" si="12">+D28-E28</f>
        <v>3467114.7907360583</v>
      </c>
      <c r="G28" s="524">
        <f t="shared" ref="G28:G55" si="13">+I$12*((D28+F28)/2)+E28</f>
        <v>490617.85569244274</v>
      </c>
      <c r="H28" s="491">
        <f t="shared" ref="H28:H55" si="14">+I$13*((D28+F28)/2)+E28</f>
        <v>490617.85569244274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2022</v>
      </c>
      <c r="D29" s="523">
        <f>IF(F28+SUM(E$17:E28)=D$10,F28,D$10-SUM(E$17:E28))</f>
        <v>3467114.7907360583</v>
      </c>
      <c r="E29" s="522">
        <f>IF(+I14&lt;F28,I14,D29)</f>
        <v>114169.97619047618</v>
      </c>
      <c r="F29" s="523">
        <f t="shared" si="12"/>
        <v>3352944.814545582</v>
      </c>
      <c r="G29" s="524">
        <f t="shared" si="13"/>
        <v>478422.45017149125</v>
      </c>
      <c r="H29" s="491">
        <f t="shared" si="14"/>
        <v>478422.45017149125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3352944.814545582</v>
      </c>
      <c r="E30" s="522">
        <f>IF(+I14&lt;F29,I14,D30)</f>
        <v>114169.97619047618</v>
      </c>
      <c r="F30" s="523">
        <f t="shared" si="12"/>
        <v>3238774.8383551058</v>
      </c>
      <c r="G30" s="524">
        <f t="shared" si="13"/>
        <v>466227.04465053999</v>
      </c>
      <c r="H30" s="491">
        <f t="shared" si="14"/>
        <v>466227.04465053999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3238774.8383551058</v>
      </c>
      <c r="E31" s="522">
        <f>IF(+I14&lt;F30,I14,D31)</f>
        <v>114169.97619047618</v>
      </c>
      <c r="F31" s="523">
        <f t="shared" si="12"/>
        <v>3124604.8621646296</v>
      </c>
      <c r="G31" s="524">
        <f t="shared" si="13"/>
        <v>454031.6391295885</v>
      </c>
      <c r="H31" s="491">
        <f t="shared" si="14"/>
        <v>454031.6391295885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3124604.8621646296</v>
      </c>
      <c r="E32" s="522">
        <f>IF(+I14&lt;F31,I14,D32)</f>
        <v>114169.97619047618</v>
      </c>
      <c r="F32" s="523">
        <f t="shared" si="12"/>
        <v>3010434.8859741534</v>
      </c>
      <c r="G32" s="524">
        <f t="shared" si="13"/>
        <v>441836.23360863724</v>
      </c>
      <c r="H32" s="491">
        <f t="shared" si="14"/>
        <v>441836.23360863724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3010434.8859741534</v>
      </c>
      <c r="E33" s="522">
        <f>IF(+I14&lt;F32,I14,D33)</f>
        <v>114169.97619047618</v>
      </c>
      <c r="F33" s="523">
        <f t="shared" si="12"/>
        <v>2896264.9097836772</v>
      </c>
      <c r="G33" s="524">
        <f t="shared" si="13"/>
        <v>429640.82808768586</v>
      </c>
      <c r="H33" s="491">
        <f t="shared" si="14"/>
        <v>429640.82808768586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2896264.9097836772</v>
      </c>
      <c r="E34" s="522">
        <f>IF(+I14&lt;F33,I14,D34)</f>
        <v>114169.97619047618</v>
      </c>
      <c r="F34" s="523">
        <f t="shared" si="12"/>
        <v>2782094.933593201</v>
      </c>
      <c r="G34" s="524">
        <f t="shared" si="13"/>
        <v>417445.42256673449</v>
      </c>
      <c r="H34" s="491">
        <f t="shared" si="14"/>
        <v>417445.42256673449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2782094.933593201</v>
      </c>
      <c r="E35" s="522">
        <f>IF(+I14&lt;F34,I14,D35)</f>
        <v>114169.97619047618</v>
      </c>
      <c r="F35" s="523">
        <f t="shared" si="12"/>
        <v>2667924.9574027248</v>
      </c>
      <c r="G35" s="524">
        <f t="shared" si="13"/>
        <v>405250.01704578311</v>
      </c>
      <c r="H35" s="491">
        <f t="shared" si="14"/>
        <v>405250.01704578311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2667924.9574027248</v>
      </c>
      <c r="E36" s="522">
        <f>IF(+I14&lt;F35,I14,D36)</f>
        <v>114169.97619047618</v>
      </c>
      <c r="F36" s="523">
        <f t="shared" si="12"/>
        <v>2553754.9812122486</v>
      </c>
      <c r="G36" s="524">
        <f t="shared" si="13"/>
        <v>393054.61152483174</v>
      </c>
      <c r="H36" s="491">
        <f t="shared" si="14"/>
        <v>393054.61152483174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2553754.9812122486</v>
      </c>
      <c r="E37" s="522">
        <f>IF(+I14&lt;F36,I14,D37)</f>
        <v>114169.97619047618</v>
      </c>
      <c r="F37" s="523">
        <f t="shared" si="12"/>
        <v>2439585.0050217723</v>
      </c>
      <c r="G37" s="524">
        <f t="shared" si="13"/>
        <v>380859.20600388036</v>
      </c>
      <c r="H37" s="491">
        <f t="shared" si="14"/>
        <v>380859.20600388036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2439585.0050217723</v>
      </c>
      <c r="E38" s="522">
        <f>IF(+I14&lt;F37,I14,D38)</f>
        <v>114169.97619047618</v>
      </c>
      <c r="F38" s="523">
        <f t="shared" si="12"/>
        <v>2325415.0288312961</v>
      </c>
      <c r="G38" s="524">
        <f t="shared" si="13"/>
        <v>368663.80048292904</v>
      </c>
      <c r="H38" s="491">
        <f t="shared" si="14"/>
        <v>368663.80048292904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2325415.0288312961</v>
      </c>
      <c r="E39" s="522">
        <f>IF(+I14&lt;F38,I14,D39)</f>
        <v>114169.97619047618</v>
      </c>
      <c r="F39" s="523">
        <f t="shared" si="12"/>
        <v>2211245.0526408199</v>
      </c>
      <c r="G39" s="524">
        <f t="shared" si="13"/>
        <v>356468.39496197761</v>
      </c>
      <c r="H39" s="491">
        <f t="shared" si="14"/>
        <v>356468.39496197761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2211245.0526408199</v>
      </c>
      <c r="E40" s="522">
        <f>IF(+I14&lt;F39,I14,D40)</f>
        <v>114169.97619047618</v>
      </c>
      <c r="F40" s="523">
        <f t="shared" si="12"/>
        <v>2097075.0764503437</v>
      </c>
      <c r="G40" s="524">
        <f t="shared" si="13"/>
        <v>344272.98944102629</v>
      </c>
      <c r="H40" s="491">
        <f t="shared" si="14"/>
        <v>344272.98944102629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2097075.0764503437</v>
      </c>
      <c r="E41" s="522">
        <f>IF(+I14&lt;F40,I14,D41)</f>
        <v>114169.97619047618</v>
      </c>
      <c r="F41" s="523">
        <f t="shared" si="12"/>
        <v>1982905.1002598675</v>
      </c>
      <c r="G41" s="524">
        <f t="shared" si="13"/>
        <v>332077.58392007492</v>
      </c>
      <c r="H41" s="491">
        <f t="shared" si="14"/>
        <v>332077.58392007492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1982905.1002598675</v>
      </c>
      <c r="E42" s="522">
        <f>IF(+I14&lt;F41,I14,D42)</f>
        <v>114169.97619047618</v>
      </c>
      <c r="F42" s="523">
        <f t="shared" si="12"/>
        <v>1868735.1240693913</v>
      </c>
      <c r="G42" s="524">
        <f t="shared" si="13"/>
        <v>319882.17839912354</v>
      </c>
      <c r="H42" s="491">
        <f t="shared" si="14"/>
        <v>319882.17839912354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1868735.1240693913</v>
      </c>
      <c r="E43" s="522">
        <f>IF(+I14&lt;F42,I14,D43)</f>
        <v>114169.97619047618</v>
      </c>
      <c r="F43" s="523">
        <f t="shared" si="12"/>
        <v>1754565.1478789151</v>
      </c>
      <c r="G43" s="524">
        <f t="shared" si="13"/>
        <v>307686.77287817223</v>
      </c>
      <c r="H43" s="491">
        <f t="shared" si="14"/>
        <v>307686.77287817223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1754565.1478789151</v>
      </c>
      <c r="E44" s="522">
        <f>IF(+I14&lt;F43,I14,D44)</f>
        <v>114169.97619047618</v>
      </c>
      <c r="F44" s="523">
        <f t="shared" si="12"/>
        <v>1640395.1716884389</v>
      </c>
      <c r="G44" s="524">
        <f t="shared" si="13"/>
        <v>295491.36735722085</v>
      </c>
      <c r="H44" s="491">
        <f t="shared" si="14"/>
        <v>295491.36735722085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1640395.1716884389</v>
      </c>
      <c r="E45" s="522">
        <f>IF(+I14&lt;F44,I14,D45)</f>
        <v>114169.97619047618</v>
      </c>
      <c r="F45" s="523">
        <f t="shared" si="12"/>
        <v>1526225.1954979626</v>
      </c>
      <c r="G45" s="524">
        <f t="shared" si="13"/>
        <v>283295.96183626947</v>
      </c>
      <c r="H45" s="491">
        <f t="shared" si="14"/>
        <v>283295.96183626947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1526225.1954979626</v>
      </c>
      <c r="E46" s="522">
        <f>IF(+I14&lt;F45,I14,D46)</f>
        <v>114169.97619047618</v>
      </c>
      <c r="F46" s="523">
        <f t="shared" si="12"/>
        <v>1412055.2193074864</v>
      </c>
      <c r="G46" s="524">
        <f t="shared" si="13"/>
        <v>271100.5563153181</v>
      </c>
      <c r="H46" s="491">
        <f t="shared" si="14"/>
        <v>271100.5563153181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1412055.2193074864</v>
      </c>
      <c r="E47" s="522">
        <f>IF(+I14&lt;F46,I14,D47)</f>
        <v>114169.97619047618</v>
      </c>
      <c r="F47" s="523">
        <f t="shared" si="12"/>
        <v>1297885.2431170102</v>
      </c>
      <c r="G47" s="524">
        <f t="shared" si="13"/>
        <v>258905.15079436672</v>
      </c>
      <c r="H47" s="491">
        <f t="shared" si="14"/>
        <v>258905.15079436672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1297885.2431170102</v>
      </c>
      <c r="E48" s="522">
        <f>IF(+I14&lt;F47,I14,D48)</f>
        <v>114169.97619047618</v>
      </c>
      <c r="F48" s="523">
        <f t="shared" si="12"/>
        <v>1183715.266926534</v>
      </c>
      <c r="G48" s="524">
        <f t="shared" si="13"/>
        <v>246709.74527341535</v>
      </c>
      <c r="H48" s="491">
        <f t="shared" si="14"/>
        <v>246709.74527341535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1183715.266926534</v>
      </c>
      <c r="E49" s="522">
        <f>IF(+I14&lt;F48,I14,D49)</f>
        <v>114169.97619047618</v>
      </c>
      <c r="F49" s="523">
        <f t="shared" ref="F49:F72" si="15">+D49-E49</f>
        <v>1069545.2907360578</v>
      </c>
      <c r="G49" s="524">
        <f t="shared" si="13"/>
        <v>234514.339752464</v>
      </c>
      <c r="H49" s="491">
        <f t="shared" si="14"/>
        <v>234514.339752464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1069545.2907360578</v>
      </c>
      <c r="E50" s="522">
        <f>IF(+I14&lt;F49,I14,D50)</f>
        <v>114169.97619047618</v>
      </c>
      <c r="F50" s="523">
        <f t="shared" si="15"/>
        <v>955375.31454558158</v>
      </c>
      <c r="G50" s="524">
        <f t="shared" si="13"/>
        <v>222318.93423151263</v>
      </c>
      <c r="H50" s="491">
        <f t="shared" si="14"/>
        <v>222318.93423151263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955375.31454558158</v>
      </c>
      <c r="E51" s="522">
        <f>IF(+I14&lt;F50,I14,D51)</f>
        <v>114169.97619047618</v>
      </c>
      <c r="F51" s="523">
        <f t="shared" si="15"/>
        <v>841205.33835510537</v>
      </c>
      <c r="G51" s="524">
        <f t="shared" si="13"/>
        <v>210123.52871056128</v>
      </c>
      <c r="H51" s="491">
        <f t="shared" si="14"/>
        <v>210123.52871056128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841205.33835510537</v>
      </c>
      <c r="E52" s="522">
        <f>IF(+I14&lt;F51,I14,D52)</f>
        <v>114169.97619047618</v>
      </c>
      <c r="F52" s="523">
        <f t="shared" si="15"/>
        <v>727035.36216462916</v>
      </c>
      <c r="G52" s="524">
        <f t="shared" si="13"/>
        <v>197928.12318960991</v>
      </c>
      <c r="H52" s="491">
        <f t="shared" si="14"/>
        <v>197928.12318960991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727035.36216462916</v>
      </c>
      <c r="E53" s="522">
        <f>IF(+I14&lt;F52,I14,D53)</f>
        <v>114169.97619047618</v>
      </c>
      <c r="F53" s="523">
        <f t="shared" si="15"/>
        <v>612865.38597415294</v>
      </c>
      <c r="G53" s="524">
        <f t="shared" si="13"/>
        <v>185732.71766865853</v>
      </c>
      <c r="H53" s="491">
        <f t="shared" si="14"/>
        <v>185732.71766865853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612865.38597415294</v>
      </c>
      <c r="E54" s="522">
        <f>IF(+I14&lt;F53,I14,D54)</f>
        <v>114169.97619047618</v>
      </c>
      <c r="F54" s="523">
        <f t="shared" si="15"/>
        <v>498695.40978367673</v>
      </c>
      <c r="G54" s="524">
        <f t="shared" si="13"/>
        <v>173537.31214770715</v>
      </c>
      <c r="H54" s="491">
        <f t="shared" si="14"/>
        <v>173537.31214770715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498695.40978367673</v>
      </c>
      <c r="E55" s="522">
        <f>IF(+I14&lt;F54,I14,D55)</f>
        <v>114169.97619047618</v>
      </c>
      <c r="F55" s="523">
        <f t="shared" si="15"/>
        <v>384525.43359320052</v>
      </c>
      <c r="G55" s="524">
        <f t="shared" si="13"/>
        <v>161341.90662675581</v>
      </c>
      <c r="H55" s="491">
        <f t="shared" si="14"/>
        <v>161341.90662675581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384525.43359320052</v>
      </c>
      <c r="E56" s="522">
        <f>IF(+I14&lt;F55,I14,D56)</f>
        <v>114169.97619047618</v>
      </c>
      <c r="F56" s="523">
        <f t="shared" si="15"/>
        <v>270355.45740272431</v>
      </c>
      <c r="G56" s="524">
        <f t="shared" ref="G56:G72" si="20">+I$12*((D56+F56)/2)+E56</f>
        <v>149146.50110580443</v>
      </c>
      <c r="H56" s="491">
        <f t="shared" ref="H56:H72" si="21">+I$13*((D56+F56)/2)+E56</f>
        <v>149146.50110580443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270355.45740272431</v>
      </c>
      <c r="E57" s="522">
        <f>IF(+I14&lt;F56,I14,D57)</f>
        <v>114169.97619047618</v>
      </c>
      <c r="F57" s="523">
        <f t="shared" si="15"/>
        <v>156185.48121224812</v>
      </c>
      <c r="G57" s="524">
        <f t="shared" si="20"/>
        <v>136951.09558485309</v>
      </c>
      <c r="H57" s="491">
        <f t="shared" si="21"/>
        <v>136951.09558485309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156185.48121224812</v>
      </c>
      <c r="E58" s="522">
        <f>IF(+I14&lt;F57,I14,D58)</f>
        <v>114169.97619047618</v>
      </c>
      <c r="F58" s="523">
        <f t="shared" si="15"/>
        <v>42015.50502177194</v>
      </c>
      <c r="G58" s="524">
        <f t="shared" si="20"/>
        <v>124755.69006390171</v>
      </c>
      <c r="H58" s="491">
        <f t="shared" si="21"/>
        <v>124755.69006390171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42015.50502177194</v>
      </c>
      <c r="E59" s="522">
        <f>IF(+I14&lt;F58,I14,D59)</f>
        <v>42015.50502177194</v>
      </c>
      <c r="F59" s="523">
        <f t="shared" si="15"/>
        <v>0</v>
      </c>
      <c r="G59" s="524">
        <f t="shared" si="20"/>
        <v>44259.510578246867</v>
      </c>
      <c r="H59" s="491">
        <f t="shared" si="21"/>
        <v>44259.510578246867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20"/>
        <v>0</v>
      </c>
      <c r="H60" s="491">
        <f t="shared" si="21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20"/>
        <v>0</v>
      </c>
      <c r="H61" s="491">
        <f t="shared" si="21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20"/>
        <v>0</v>
      </c>
      <c r="H62" s="491">
        <f t="shared" si="21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20"/>
        <v>0</v>
      </c>
      <c r="H63" s="491">
        <f t="shared" si="21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20"/>
        <v>0</v>
      </c>
      <c r="H64" s="491">
        <f t="shared" si="21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20"/>
        <v>0</v>
      </c>
      <c r="H65" s="491">
        <f t="shared" si="21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20"/>
        <v>0</v>
      </c>
      <c r="H66" s="491">
        <f t="shared" si="21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20"/>
        <v>0</v>
      </c>
      <c r="H67" s="491">
        <f t="shared" si="21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20"/>
        <v>0</v>
      </c>
      <c r="H68" s="491">
        <f t="shared" si="21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20"/>
        <v>0</v>
      </c>
      <c r="H69" s="491">
        <f t="shared" si="21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20"/>
        <v>0</v>
      </c>
      <c r="H70" s="491">
        <f t="shared" si="21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20"/>
        <v>0</v>
      </c>
      <c r="H71" s="491">
        <f t="shared" si="21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20"/>
        <v>0</v>
      </c>
      <c r="H72" s="471">
        <f t="shared" si="21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4795138.9999999991</v>
      </c>
      <c r="F73" s="375"/>
      <c r="G73" s="375">
        <f>SUM(G17:G72)</f>
        <v>16973249.283590175</v>
      </c>
      <c r="H73" s="375">
        <f>SUM(H17:H72)</f>
        <v>16973249.283590175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23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489431.31850985193</v>
      </c>
      <c r="N87" s="546">
        <f>IF(J92&lt;D11,0,VLOOKUP(J92,C17:O72,11))</f>
        <v>489431.31850985193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507605.90193719347</v>
      </c>
      <c r="N88" s="550">
        <f>IF(J92&lt;D11,0,VLOOKUP(J92,C99:P154,7))</f>
        <v>507605.90193719347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Reconductor: Greggton-Lake Lamond &amp; Quitman-Westwood 69 kV lines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18174.583427341538</v>
      </c>
      <c r="N89" s="555">
        <f>+N88-N87</f>
        <v>18174.583427341538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4795139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114169.97619047618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58477.304878048781</v>
      </c>
      <c r="F99" s="515">
        <v>4736661.6951219514</v>
      </c>
      <c r="G99" s="574">
        <v>2368330.8475609757</v>
      </c>
      <c r="H99" s="575">
        <v>449455.76564845629</v>
      </c>
      <c r="I99" s="576">
        <v>449455.76564845629</v>
      </c>
      <c r="J99" s="613">
        <f t="shared" ref="J99:J130" si="22">+I99-H99</f>
        <v>0</v>
      </c>
      <c r="K99" s="514"/>
      <c r="L99" s="512">
        <f t="shared" ref="L99:L104" si="23">H99</f>
        <v>449455.76564845629</v>
      </c>
      <c r="M99" s="597">
        <f t="shared" ref="M99:M130" si="24">IF(L99&lt;&gt;0,+H99-L99,0)</f>
        <v>0</v>
      </c>
      <c r="N99" s="512">
        <f t="shared" ref="N99:N104" si="25">I99</f>
        <v>449455.76564845629</v>
      </c>
      <c r="O99" s="513">
        <f t="shared" ref="O99:O130" si="26">IF(N99&lt;&gt;0,+I99-N99,0)</f>
        <v>0</v>
      </c>
      <c r="P99" s="513">
        <f t="shared" ref="P99:P130" si="27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2011</v>
      </c>
      <c r="D100" s="508">
        <v>4736661.6951219514</v>
      </c>
      <c r="E100" s="516">
        <v>114169.97619047618</v>
      </c>
      <c r="F100" s="515">
        <v>4622491.7189314757</v>
      </c>
      <c r="G100" s="515">
        <v>4679576.7070267135</v>
      </c>
      <c r="H100" s="516">
        <v>817884.25936798821</v>
      </c>
      <c r="I100" s="510">
        <v>817884.25936798821</v>
      </c>
      <c r="J100" s="613">
        <f t="shared" si="22"/>
        <v>0</v>
      </c>
      <c r="K100" s="514"/>
      <c r="L100" s="518">
        <f t="shared" si="23"/>
        <v>817884.25936798821</v>
      </c>
      <c r="M100" s="519">
        <f t="shared" si="24"/>
        <v>0</v>
      </c>
      <c r="N100" s="518">
        <f t="shared" si="25"/>
        <v>817884.25936798821</v>
      </c>
      <c r="O100" s="514">
        <f t="shared" si="26"/>
        <v>0</v>
      </c>
      <c r="P100" s="514">
        <f t="shared" si="27"/>
        <v>0</v>
      </c>
      <c r="Q100" s="269"/>
    </row>
    <row r="101" spans="1:17" ht="12.5">
      <c r="B101" s="195" t="str">
        <f t="shared" ref="B101:B154" si="28">IF(D101=F100,"","IU")</f>
        <v/>
      </c>
      <c r="C101" s="507">
        <f>IF(D93="","-",+C100+1)</f>
        <v>2012</v>
      </c>
      <c r="D101" s="508">
        <v>4622491.7189314757</v>
      </c>
      <c r="E101" s="516">
        <v>114169.97619047618</v>
      </c>
      <c r="F101" s="515">
        <v>4508321.7427409999</v>
      </c>
      <c r="G101" s="515">
        <v>4565406.7308362378</v>
      </c>
      <c r="H101" s="516">
        <v>785987.52688164287</v>
      </c>
      <c r="I101" s="510">
        <v>785987.52688164287</v>
      </c>
      <c r="J101" s="613">
        <f t="shared" si="22"/>
        <v>0</v>
      </c>
      <c r="K101" s="514"/>
      <c r="L101" s="518">
        <f t="shared" si="23"/>
        <v>785987.52688164287</v>
      </c>
      <c r="M101" s="519">
        <f t="shared" si="24"/>
        <v>0</v>
      </c>
      <c r="N101" s="518">
        <f t="shared" si="25"/>
        <v>785987.52688164287</v>
      </c>
      <c r="O101" s="514">
        <f t="shared" si="26"/>
        <v>0</v>
      </c>
      <c r="P101" s="514">
        <f t="shared" si="27"/>
        <v>0</v>
      </c>
      <c r="Q101" s="269"/>
    </row>
    <row r="102" spans="1:17" ht="12.5">
      <c r="B102" s="195" t="str">
        <f t="shared" si="28"/>
        <v/>
      </c>
      <c r="C102" s="507">
        <f>IF(D93="","-",+C101+1)</f>
        <v>2013</v>
      </c>
      <c r="D102" s="508">
        <v>4508321.7427409999</v>
      </c>
      <c r="E102" s="516">
        <v>114169.97619047618</v>
      </c>
      <c r="F102" s="515">
        <v>4394151.7665505242</v>
      </c>
      <c r="G102" s="515">
        <v>4451236.754645762</v>
      </c>
      <c r="H102" s="516">
        <v>716385.37410888227</v>
      </c>
      <c r="I102" s="510">
        <v>716385.37410888227</v>
      </c>
      <c r="J102" s="613">
        <v>0</v>
      </c>
      <c r="K102" s="514"/>
      <c r="L102" s="518">
        <f t="shared" si="23"/>
        <v>716385.37410888227</v>
      </c>
      <c r="M102" s="519">
        <f t="shared" ref="M102:M107" si="29">IF(L102&lt;&gt;0,+H102-L102,0)</f>
        <v>0</v>
      </c>
      <c r="N102" s="518">
        <f t="shared" si="25"/>
        <v>716385.37410888227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8"/>
        <v/>
      </c>
      <c r="C103" s="507">
        <f>IF(D93="","-",+C102+1)</f>
        <v>2014</v>
      </c>
      <c r="D103" s="508">
        <v>4394151.7665505242</v>
      </c>
      <c r="E103" s="516">
        <v>114169.97619047618</v>
      </c>
      <c r="F103" s="515">
        <v>4279981.7903600484</v>
      </c>
      <c r="G103" s="515">
        <v>4337066.7784552863</v>
      </c>
      <c r="H103" s="516">
        <v>703679.09794769238</v>
      </c>
      <c r="I103" s="510">
        <v>703679.09794769238</v>
      </c>
      <c r="J103" s="514">
        <v>0</v>
      </c>
      <c r="K103" s="514"/>
      <c r="L103" s="518">
        <f t="shared" si="23"/>
        <v>703679.09794769238</v>
      </c>
      <c r="M103" s="519">
        <f t="shared" si="29"/>
        <v>0</v>
      </c>
      <c r="N103" s="518">
        <f t="shared" si="25"/>
        <v>703679.09794769238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8"/>
        <v/>
      </c>
      <c r="C104" s="507">
        <f>IF(D93="","-",+C103+1)</f>
        <v>2015</v>
      </c>
      <c r="D104" s="508">
        <v>4279981.7903600484</v>
      </c>
      <c r="E104" s="516">
        <v>114169.97619047618</v>
      </c>
      <c r="F104" s="515">
        <v>4165811.8141695722</v>
      </c>
      <c r="G104" s="515">
        <v>4222896.8022648105</v>
      </c>
      <c r="H104" s="516">
        <v>670616.34920679952</v>
      </c>
      <c r="I104" s="510">
        <v>670616.34920679952</v>
      </c>
      <c r="J104" s="514">
        <f t="shared" si="22"/>
        <v>0</v>
      </c>
      <c r="K104" s="514"/>
      <c r="L104" s="518">
        <f t="shared" si="23"/>
        <v>670616.34920679952</v>
      </c>
      <c r="M104" s="519">
        <f t="shared" si="29"/>
        <v>0</v>
      </c>
      <c r="N104" s="518">
        <f t="shared" si="25"/>
        <v>670616.34920679952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8"/>
        <v/>
      </c>
      <c r="C105" s="507">
        <f>IF(D93="","-",+C104+1)</f>
        <v>2016</v>
      </c>
      <c r="D105" s="508">
        <v>4165811.8141695722</v>
      </c>
      <c r="E105" s="516">
        <v>111514.86046511628</v>
      </c>
      <c r="F105" s="515">
        <v>4054296.9537044559</v>
      </c>
      <c r="G105" s="515">
        <v>4110054.3839370143</v>
      </c>
      <c r="H105" s="516">
        <v>633286.2163704508</v>
      </c>
      <c r="I105" s="510">
        <v>633286.2163704508</v>
      </c>
      <c r="J105" s="514">
        <f t="shared" si="22"/>
        <v>0</v>
      </c>
      <c r="K105" s="514"/>
      <c r="L105" s="518">
        <f>H105</f>
        <v>633286.2163704508</v>
      </c>
      <c r="M105" s="519">
        <f t="shared" si="29"/>
        <v>0</v>
      </c>
      <c r="N105" s="518">
        <f>I105</f>
        <v>633286.2163704508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28"/>
        <v/>
      </c>
      <c r="C106" s="507">
        <f>IF(D93="","-",+C105+1)</f>
        <v>2017</v>
      </c>
      <c r="D106" s="508">
        <v>4054296.9537044559</v>
      </c>
      <c r="E106" s="516">
        <v>114169.97619047618</v>
      </c>
      <c r="F106" s="515">
        <v>3940126.9775139797</v>
      </c>
      <c r="G106" s="515">
        <v>3997211.965609218</v>
      </c>
      <c r="H106" s="516">
        <v>599717.14032488305</v>
      </c>
      <c r="I106" s="510">
        <v>599717.14032488305</v>
      </c>
      <c r="J106" s="514">
        <f t="shared" si="22"/>
        <v>0</v>
      </c>
      <c r="K106" s="514"/>
      <c r="L106" s="518">
        <f>H106</f>
        <v>599717.14032488305</v>
      </c>
      <c r="M106" s="519">
        <f t="shared" si="29"/>
        <v>0</v>
      </c>
      <c r="N106" s="518">
        <f>I106</f>
        <v>599717.14032488305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28"/>
        <v/>
      </c>
      <c r="C107" s="507">
        <f>IF(D93="","-",+C106+1)</f>
        <v>2018</v>
      </c>
      <c r="D107" s="508">
        <v>3940126.9775139797</v>
      </c>
      <c r="E107" s="516">
        <v>114169.97619047618</v>
      </c>
      <c r="F107" s="515">
        <v>3825957.0013235034</v>
      </c>
      <c r="G107" s="515">
        <v>3883041.9894187413</v>
      </c>
      <c r="H107" s="516">
        <v>524237.01720389316</v>
      </c>
      <c r="I107" s="510">
        <v>524237.01720389316</v>
      </c>
      <c r="J107" s="514">
        <f t="shared" si="22"/>
        <v>0</v>
      </c>
      <c r="K107" s="514"/>
      <c r="L107" s="518">
        <f>H107</f>
        <v>524237.01720389316</v>
      </c>
      <c r="M107" s="519">
        <f t="shared" si="29"/>
        <v>0</v>
      </c>
      <c r="N107" s="518">
        <f>I107</f>
        <v>524237.01720389316</v>
      </c>
      <c r="O107" s="514">
        <f t="shared" si="26"/>
        <v>0</v>
      </c>
      <c r="P107" s="514">
        <f t="shared" si="27"/>
        <v>0</v>
      </c>
      <c r="Q107" s="269"/>
    </row>
    <row r="108" spans="1:17" ht="12.5">
      <c r="B108" s="195" t="str">
        <f t="shared" si="28"/>
        <v/>
      </c>
      <c r="C108" s="507">
        <f>IF(D93="","-",+C107+1)</f>
        <v>2019</v>
      </c>
      <c r="D108" s="508">
        <v>3825957.0013235034</v>
      </c>
      <c r="E108" s="516">
        <v>111514.86046511628</v>
      </c>
      <c r="F108" s="515">
        <v>3714442.1408583871</v>
      </c>
      <c r="G108" s="515">
        <v>3770199.571090945</v>
      </c>
      <c r="H108" s="516">
        <v>515079.08312733757</v>
      </c>
      <c r="I108" s="510">
        <v>515079.08312733757</v>
      </c>
      <c r="J108" s="514">
        <f t="shared" si="22"/>
        <v>0</v>
      </c>
      <c r="K108" s="514"/>
      <c r="L108" s="518">
        <f>H108</f>
        <v>515079.08312733757</v>
      </c>
      <c r="M108" s="519">
        <f t="shared" ref="M108" si="30">IF(L108&lt;&gt;0,+H108-L108,0)</f>
        <v>0</v>
      </c>
      <c r="N108" s="518">
        <f>I108</f>
        <v>515079.08312733757</v>
      </c>
      <c r="O108" s="514">
        <f t="shared" si="26"/>
        <v>0</v>
      </c>
      <c r="P108" s="514">
        <f t="shared" si="27"/>
        <v>0</v>
      </c>
      <c r="Q108" s="269"/>
    </row>
    <row r="109" spans="1:17" ht="12.5">
      <c r="B109" s="195" t="str">
        <f t="shared" si="28"/>
        <v/>
      </c>
      <c r="C109" s="507">
        <f>IF(D93="","-",+C108+1)</f>
        <v>2020</v>
      </c>
      <c r="D109" s="374">
        <f>IF(F108+SUM(E$99:E108)=D$92,F108,D$92-SUM(E$99:E108))</f>
        <v>3714442.1408583871</v>
      </c>
      <c r="E109" s="522">
        <f>IF(+J96&lt;F108,J96,D109)</f>
        <v>114169.97619047618</v>
      </c>
      <c r="F109" s="523">
        <f t="shared" ref="F109:F131" si="31">+D109-E109</f>
        <v>3600272.1646679109</v>
      </c>
      <c r="G109" s="523">
        <f t="shared" ref="G109:G130" si="32">+(F109+D109)/2</f>
        <v>3657357.1527631488</v>
      </c>
      <c r="H109" s="526">
        <f t="shared" ref="H109:H130" si="33">+J$94*G109+E109</f>
        <v>507605.90193719347</v>
      </c>
      <c r="I109" s="577">
        <f t="shared" ref="I109:I130" si="34">+J$95*G109+E109</f>
        <v>507605.90193719347</v>
      </c>
      <c r="J109" s="514">
        <f t="shared" si="22"/>
        <v>0</v>
      </c>
      <c r="K109" s="514"/>
      <c r="L109" s="525"/>
      <c r="M109" s="514">
        <f t="shared" si="24"/>
        <v>0</v>
      </c>
      <c r="N109" s="525"/>
      <c r="O109" s="514">
        <f t="shared" si="26"/>
        <v>0</v>
      </c>
      <c r="P109" s="514">
        <f t="shared" si="27"/>
        <v>0</v>
      </c>
      <c r="Q109" s="269"/>
    </row>
    <row r="110" spans="1:17" ht="12.5">
      <c r="B110" s="195" t="str">
        <f t="shared" si="28"/>
        <v/>
      </c>
      <c r="C110" s="507">
        <f>IF(D93="","-",+C109+1)</f>
        <v>2021</v>
      </c>
      <c r="D110" s="374">
        <f>IF(F109+SUM(E$99:E109)=D$92,F109,D$92-SUM(E$99:E109))</f>
        <v>3600272.1646679109</v>
      </c>
      <c r="E110" s="522">
        <f>IF(+J96&lt;F109,J96,D110)</f>
        <v>114169.97619047618</v>
      </c>
      <c r="F110" s="523">
        <f t="shared" si="31"/>
        <v>3486102.1884774347</v>
      </c>
      <c r="G110" s="523">
        <f t="shared" si="32"/>
        <v>3543187.176572673</v>
      </c>
      <c r="H110" s="526">
        <f t="shared" si="33"/>
        <v>495324.20004186605</v>
      </c>
      <c r="I110" s="577">
        <f t="shared" si="34"/>
        <v>495324.20004186605</v>
      </c>
      <c r="J110" s="514">
        <f t="shared" si="22"/>
        <v>0</v>
      </c>
      <c r="K110" s="514"/>
      <c r="L110" s="525"/>
      <c r="M110" s="514">
        <f t="shared" si="24"/>
        <v>0</v>
      </c>
      <c r="N110" s="525"/>
      <c r="O110" s="514">
        <f t="shared" si="26"/>
        <v>0</v>
      </c>
      <c r="P110" s="514">
        <f t="shared" si="27"/>
        <v>0</v>
      </c>
      <c r="Q110" s="269"/>
    </row>
    <row r="111" spans="1:17" ht="12.5">
      <c r="B111" s="195" t="str">
        <f t="shared" si="28"/>
        <v/>
      </c>
      <c r="C111" s="507">
        <f>IF(D93="","-",+C110+1)</f>
        <v>2022</v>
      </c>
      <c r="D111" s="374">
        <f>IF(F110+SUM(E$99:E110)=D$92,F110,D$92-SUM(E$99:E110))</f>
        <v>3486102.1884774347</v>
      </c>
      <c r="E111" s="522">
        <f>IF(+J96&lt;F110,J96,D111)</f>
        <v>114169.97619047618</v>
      </c>
      <c r="F111" s="523">
        <f t="shared" si="31"/>
        <v>3371932.2122869585</v>
      </c>
      <c r="G111" s="523">
        <f t="shared" si="32"/>
        <v>3429017.2003821963</v>
      </c>
      <c r="H111" s="526">
        <f t="shared" si="33"/>
        <v>483042.49814653851</v>
      </c>
      <c r="I111" s="577">
        <f t="shared" si="34"/>
        <v>483042.49814653851</v>
      </c>
      <c r="J111" s="514">
        <f t="shared" si="22"/>
        <v>0</v>
      </c>
      <c r="K111" s="514"/>
      <c r="L111" s="525"/>
      <c r="M111" s="514">
        <f t="shared" si="24"/>
        <v>0</v>
      </c>
      <c r="N111" s="525"/>
      <c r="O111" s="514">
        <f t="shared" si="26"/>
        <v>0</v>
      </c>
      <c r="P111" s="514">
        <f t="shared" si="27"/>
        <v>0</v>
      </c>
      <c r="Q111" s="269"/>
    </row>
    <row r="112" spans="1:17" ht="12.5">
      <c r="B112" s="195" t="str">
        <f t="shared" si="28"/>
        <v/>
      </c>
      <c r="C112" s="507">
        <f>IF(D93="","-",+C111+1)</f>
        <v>2023</v>
      </c>
      <c r="D112" s="374">
        <f>IF(F111+SUM(E$99:E111)=D$92,F111,D$92-SUM(E$99:E111))</f>
        <v>3371932.2122869585</v>
      </c>
      <c r="E112" s="522">
        <f>IF(+J96&lt;F111,J96,D112)</f>
        <v>114169.97619047618</v>
      </c>
      <c r="F112" s="523">
        <f t="shared" si="31"/>
        <v>3257762.2360964823</v>
      </c>
      <c r="G112" s="523">
        <f t="shared" si="32"/>
        <v>3314847.2241917206</v>
      </c>
      <c r="H112" s="526">
        <f t="shared" si="33"/>
        <v>470760.79625121108</v>
      </c>
      <c r="I112" s="577">
        <f t="shared" si="34"/>
        <v>470760.79625121108</v>
      </c>
      <c r="J112" s="514">
        <f t="shared" si="22"/>
        <v>0</v>
      </c>
      <c r="K112" s="514"/>
      <c r="L112" s="525"/>
      <c r="M112" s="514">
        <f t="shared" si="24"/>
        <v>0</v>
      </c>
      <c r="N112" s="525"/>
      <c r="O112" s="514">
        <f t="shared" si="26"/>
        <v>0</v>
      </c>
      <c r="P112" s="514">
        <f t="shared" si="27"/>
        <v>0</v>
      </c>
      <c r="Q112" s="269"/>
    </row>
    <row r="113" spans="2:17" ht="12.5">
      <c r="B113" s="195" t="str">
        <f t="shared" si="28"/>
        <v/>
      </c>
      <c r="C113" s="507">
        <f>IF(D93="","-",+C112+1)</f>
        <v>2024</v>
      </c>
      <c r="D113" s="374">
        <f>IF(F112+SUM(E$99:E112)=D$92,F112,D$92-SUM(E$99:E112))</f>
        <v>3257762.2360964823</v>
      </c>
      <c r="E113" s="522">
        <f>IF(+J96&lt;F112,J96,D113)</f>
        <v>114169.97619047618</v>
      </c>
      <c r="F113" s="523">
        <f t="shared" si="31"/>
        <v>3143592.259906006</v>
      </c>
      <c r="G113" s="523">
        <f t="shared" si="32"/>
        <v>3200677.2480012439</v>
      </c>
      <c r="H113" s="526">
        <f t="shared" si="33"/>
        <v>458479.09435588354</v>
      </c>
      <c r="I113" s="577">
        <f t="shared" si="34"/>
        <v>458479.09435588354</v>
      </c>
      <c r="J113" s="514">
        <f t="shared" si="22"/>
        <v>0</v>
      </c>
      <c r="K113" s="514"/>
      <c r="L113" s="525"/>
      <c r="M113" s="514">
        <f t="shared" si="24"/>
        <v>0</v>
      </c>
      <c r="N113" s="525"/>
      <c r="O113" s="514">
        <f t="shared" si="26"/>
        <v>0</v>
      </c>
      <c r="P113" s="514">
        <f t="shared" si="27"/>
        <v>0</v>
      </c>
      <c r="Q113" s="269"/>
    </row>
    <row r="114" spans="2:17" ht="12.5">
      <c r="B114" s="195" t="str">
        <f t="shared" si="28"/>
        <v/>
      </c>
      <c r="C114" s="507">
        <f>IF(D93="","-",+C113+1)</f>
        <v>2025</v>
      </c>
      <c r="D114" s="374">
        <f>IF(F113+SUM(E$99:E113)=D$92,F113,D$92-SUM(E$99:E113))</f>
        <v>3143592.259906006</v>
      </c>
      <c r="E114" s="522">
        <f>IF(+J96&lt;F113,J96,D114)</f>
        <v>114169.97619047618</v>
      </c>
      <c r="F114" s="523">
        <f t="shared" si="31"/>
        <v>3029422.2837155298</v>
      </c>
      <c r="G114" s="523">
        <f t="shared" si="32"/>
        <v>3086507.2718107682</v>
      </c>
      <c r="H114" s="526">
        <f t="shared" si="33"/>
        <v>446197.39246055612</v>
      </c>
      <c r="I114" s="577">
        <f t="shared" si="34"/>
        <v>446197.39246055612</v>
      </c>
      <c r="J114" s="514">
        <f t="shared" si="22"/>
        <v>0</v>
      </c>
      <c r="K114" s="514"/>
      <c r="L114" s="525"/>
      <c r="M114" s="514">
        <f t="shared" si="24"/>
        <v>0</v>
      </c>
      <c r="N114" s="525"/>
      <c r="O114" s="514">
        <f t="shared" si="26"/>
        <v>0</v>
      </c>
      <c r="P114" s="514">
        <f t="shared" si="27"/>
        <v>0</v>
      </c>
      <c r="Q114" s="269"/>
    </row>
    <row r="115" spans="2:17" ht="12.5">
      <c r="B115" s="195" t="str">
        <f t="shared" si="28"/>
        <v/>
      </c>
      <c r="C115" s="507">
        <f>IF(D93="","-",+C114+1)</f>
        <v>2026</v>
      </c>
      <c r="D115" s="374">
        <f>IF(F114+SUM(E$99:E114)=D$92,F114,D$92-SUM(E$99:E114))</f>
        <v>3029422.2837155298</v>
      </c>
      <c r="E115" s="522">
        <f>IF(+J96&lt;F114,J96,D115)</f>
        <v>114169.97619047618</v>
      </c>
      <c r="F115" s="523">
        <f t="shared" si="31"/>
        <v>2915252.3075250536</v>
      </c>
      <c r="G115" s="523">
        <f t="shared" si="32"/>
        <v>2972337.2956202915</v>
      </c>
      <c r="H115" s="526">
        <f t="shared" si="33"/>
        <v>433915.69056522858</v>
      </c>
      <c r="I115" s="577">
        <f t="shared" si="34"/>
        <v>433915.69056522858</v>
      </c>
      <c r="J115" s="514">
        <f t="shared" si="22"/>
        <v>0</v>
      </c>
      <c r="K115" s="514"/>
      <c r="L115" s="525"/>
      <c r="M115" s="514">
        <f t="shared" si="24"/>
        <v>0</v>
      </c>
      <c r="N115" s="525"/>
      <c r="O115" s="514">
        <f t="shared" si="26"/>
        <v>0</v>
      </c>
      <c r="P115" s="514">
        <f t="shared" si="27"/>
        <v>0</v>
      </c>
      <c r="Q115" s="269"/>
    </row>
    <row r="116" spans="2:17" ht="12.5">
      <c r="B116" s="195" t="str">
        <f t="shared" si="28"/>
        <v/>
      </c>
      <c r="C116" s="507">
        <f>IF(D93="","-",+C115+1)</f>
        <v>2027</v>
      </c>
      <c r="D116" s="374">
        <f>IF(F115+SUM(E$99:E115)=D$92,F115,D$92-SUM(E$99:E115))</f>
        <v>2915252.3075250536</v>
      </c>
      <c r="E116" s="522">
        <f>IF(+J96&lt;F115,J96,D116)</f>
        <v>114169.97619047618</v>
      </c>
      <c r="F116" s="523">
        <f t="shared" si="31"/>
        <v>2801082.3313345774</v>
      </c>
      <c r="G116" s="523">
        <f t="shared" si="32"/>
        <v>2858167.3194298157</v>
      </c>
      <c r="H116" s="526">
        <f t="shared" si="33"/>
        <v>421633.98866990115</v>
      </c>
      <c r="I116" s="577">
        <f t="shared" si="34"/>
        <v>421633.98866990115</v>
      </c>
      <c r="J116" s="514">
        <f t="shared" si="22"/>
        <v>0</v>
      </c>
      <c r="K116" s="514"/>
      <c r="L116" s="525"/>
      <c r="M116" s="514">
        <f t="shared" si="24"/>
        <v>0</v>
      </c>
      <c r="N116" s="525"/>
      <c r="O116" s="514">
        <f t="shared" si="26"/>
        <v>0</v>
      </c>
      <c r="P116" s="514">
        <f t="shared" si="27"/>
        <v>0</v>
      </c>
      <c r="Q116" s="269"/>
    </row>
    <row r="117" spans="2:17" ht="12.5">
      <c r="B117" s="195" t="str">
        <f t="shared" si="28"/>
        <v/>
      </c>
      <c r="C117" s="507">
        <f>IF(D93="","-",+C116+1)</f>
        <v>2028</v>
      </c>
      <c r="D117" s="374">
        <f>IF(F116+SUM(E$99:E116)=D$92,F116,D$92-SUM(E$99:E116))</f>
        <v>2801082.3313345774</v>
      </c>
      <c r="E117" s="522">
        <f>IF(+J96&lt;F116,J96,D117)</f>
        <v>114169.97619047618</v>
      </c>
      <c r="F117" s="523">
        <f t="shared" si="31"/>
        <v>2686912.3551441012</v>
      </c>
      <c r="G117" s="523">
        <f t="shared" si="32"/>
        <v>2743997.3432393391</v>
      </c>
      <c r="H117" s="526">
        <f t="shared" si="33"/>
        <v>409352.28677457361</v>
      </c>
      <c r="I117" s="577">
        <f t="shared" si="34"/>
        <v>409352.28677457361</v>
      </c>
      <c r="J117" s="514">
        <f t="shared" si="22"/>
        <v>0</v>
      </c>
      <c r="K117" s="514"/>
      <c r="L117" s="525"/>
      <c r="M117" s="514">
        <f t="shared" si="24"/>
        <v>0</v>
      </c>
      <c r="N117" s="525"/>
      <c r="O117" s="514">
        <f t="shared" si="26"/>
        <v>0</v>
      </c>
      <c r="P117" s="514">
        <f t="shared" si="27"/>
        <v>0</v>
      </c>
      <c r="Q117" s="269"/>
    </row>
    <row r="118" spans="2:17" ht="12.5">
      <c r="B118" s="195" t="str">
        <f t="shared" si="28"/>
        <v/>
      </c>
      <c r="C118" s="507">
        <f>IF(D93="","-",+C117+1)</f>
        <v>2029</v>
      </c>
      <c r="D118" s="374">
        <f>IF(F117+SUM(E$99:E117)=D$92,F117,D$92-SUM(E$99:E117))</f>
        <v>2686912.3551441012</v>
      </c>
      <c r="E118" s="522">
        <f>IF(+J96&lt;F117,J96,D118)</f>
        <v>114169.97619047618</v>
      </c>
      <c r="F118" s="523">
        <f t="shared" si="31"/>
        <v>2572742.378953625</v>
      </c>
      <c r="G118" s="523">
        <f t="shared" si="32"/>
        <v>2629827.3670488633</v>
      </c>
      <c r="H118" s="526">
        <f t="shared" si="33"/>
        <v>397070.58487924619</v>
      </c>
      <c r="I118" s="577">
        <f t="shared" si="34"/>
        <v>397070.58487924619</v>
      </c>
      <c r="J118" s="514">
        <f t="shared" si="22"/>
        <v>0</v>
      </c>
      <c r="K118" s="514"/>
      <c r="L118" s="525"/>
      <c r="M118" s="514">
        <f t="shared" si="24"/>
        <v>0</v>
      </c>
      <c r="N118" s="525"/>
      <c r="O118" s="514">
        <f t="shared" si="26"/>
        <v>0</v>
      </c>
      <c r="P118" s="514">
        <f t="shared" si="27"/>
        <v>0</v>
      </c>
      <c r="Q118" s="269"/>
    </row>
    <row r="119" spans="2:17" ht="12.5">
      <c r="B119" s="195" t="str">
        <f t="shared" si="28"/>
        <v/>
      </c>
      <c r="C119" s="507">
        <f>IF(D93="","-",+C118+1)</f>
        <v>2030</v>
      </c>
      <c r="D119" s="374">
        <f>IF(F118+SUM(E$99:E118)=D$92,F118,D$92-SUM(E$99:E118))</f>
        <v>2572742.378953625</v>
      </c>
      <c r="E119" s="522">
        <f>IF(+J96&lt;F118,J96,D119)</f>
        <v>114169.97619047618</v>
      </c>
      <c r="F119" s="523">
        <f t="shared" si="31"/>
        <v>2458572.4027631488</v>
      </c>
      <c r="G119" s="523">
        <f t="shared" si="32"/>
        <v>2515657.3908583866</v>
      </c>
      <c r="H119" s="526">
        <f t="shared" si="33"/>
        <v>384788.88298391865</v>
      </c>
      <c r="I119" s="577">
        <f t="shared" si="34"/>
        <v>384788.88298391865</v>
      </c>
      <c r="J119" s="514">
        <f t="shared" si="22"/>
        <v>0</v>
      </c>
      <c r="K119" s="514"/>
      <c r="L119" s="525"/>
      <c r="M119" s="514">
        <f t="shared" si="24"/>
        <v>0</v>
      </c>
      <c r="N119" s="525"/>
      <c r="O119" s="514">
        <f t="shared" si="26"/>
        <v>0</v>
      </c>
      <c r="P119" s="514">
        <f t="shared" si="27"/>
        <v>0</v>
      </c>
      <c r="Q119" s="269"/>
    </row>
    <row r="120" spans="2:17" ht="12.5">
      <c r="B120" s="195" t="str">
        <f t="shared" si="28"/>
        <v/>
      </c>
      <c r="C120" s="507">
        <f>IF(D93="","-",+C119+1)</f>
        <v>2031</v>
      </c>
      <c r="D120" s="374">
        <f>IF(F119+SUM(E$99:E119)=D$92,F119,D$92-SUM(E$99:E119))</f>
        <v>2458572.4027631488</v>
      </c>
      <c r="E120" s="522">
        <f>IF(+J96&lt;F119,J96,D120)</f>
        <v>114169.97619047618</v>
      </c>
      <c r="F120" s="523">
        <f t="shared" si="31"/>
        <v>2344402.4265726726</v>
      </c>
      <c r="G120" s="523">
        <f t="shared" si="32"/>
        <v>2401487.4146679109</v>
      </c>
      <c r="H120" s="526">
        <f t="shared" si="33"/>
        <v>372507.18108859129</v>
      </c>
      <c r="I120" s="577">
        <f t="shared" si="34"/>
        <v>372507.18108859129</v>
      </c>
      <c r="J120" s="514">
        <f t="shared" si="22"/>
        <v>0</v>
      </c>
      <c r="K120" s="514"/>
      <c r="L120" s="525"/>
      <c r="M120" s="514">
        <f t="shared" si="24"/>
        <v>0</v>
      </c>
      <c r="N120" s="525"/>
      <c r="O120" s="514">
        <f t="shared" si="26"/>
        <v>0</v>
      </c>
      <c r="P120" s="514">
        <f t="shared" si="27"/>
        <v>0</v>
      </c>
      <c r="Q120" s="269"/>
    </row>
    <row r="121" spans="2:17" ht="12.5">
      <c r="B121" s="195" t="str">
        <f t="shared" si="28"/>
        <v/>
      </c>
      <c r="C121" s="507">
        <f>IF(D93="","-",+C120+1)</f>
        <v>2032</v>
      </c>
      <c r="D121" s="374">
        <f>IF(F120+SUM(E$99:E120)=D$92,F120,D$92-SUM(E$99:E120))</f>
        <v>2344402.4265726726</v>
      </c>
      <c r="E121" s="522">
        <f>IF(+J96&lt;F120,J96,D121)</f>
        <v>114169.97619047618</v>
      </c>
      <c r="F121" s="523">
        <f t="shared" si="31"/>
        <v>2230232.4503821963</v>
      </c>
      <c r="G121" s="523">
        <f t="shared" si="32"/>
        <v>2287317.4384774342</v>
      </c>
      <c r="H121" s="526">
        <f t="shared" si="33"/>
        <v>360225.47919326375</v>
      </c>
      <c r="I121" s="577">
        <f t="shared" si="34"/>
        <v>360225.47919326375</v>
      </c>
      <c r="J121" s="514">
        <f t="shared" si="22"/>
        <v>0</v>
      </c>
      <c r="K121" s="514"/>
      <c r="L121" s="525"/>
      <c r="M121" s="514">
        <f t="shared" si="24"/>
        <v>0</v>
      </c>
      <c r="N121" s="525"/>
      <c r="O121" s="514">
        <f t="shared" si="26"/>
        <v>0</v>
      </c>
      <c r="P121" s="514">
        <f t="shared" si="27"/>
        <v>0</v>
      </c>
      <c r="Q121" s="269"/>
    </row>
    <row r="122" spans="2:17" ht="12.5">
      <c r="B122" s="195" t="str">
        <f t="shared" si="28"/>
        <v/>
      </c>
      <c r="C122" s="507">
        <f>IF(D93="","-",+C121+1)</f>
        <v>2033</v>
      </c>
      <c r="D122" s="374">
        <f>IF(F121+SUM(E$99:E121)=D$92,F121,D$92-SUM(E$99:E121))</f>
        <v>2230232.4503821963</v>
      </c>
      <c r="E122" s="522">
        <f>IF(+J96&lt;F121,J96,D122)</f>
        <v>114169.97619047618</v>
      </c>
      <c r="F122" s="523">
        <f t="shared" si="31"/>
        <v>2116062.4741917201</v>
      </c>
      <c r="G122" s="523">
        <f t="shared" si="32"/>
        <v>2173147.4622869585</v>
      </c>
      <c r="H122" s="526">
        <f t="shared" si="33"/>
        <v>347943.77729793632</v>
      </c>
      <c r="I122" s="577">
        <f t="shared" si="34"/>
        <v>347943.77729793632</v>
      </c>
      <c r="J122" s="514">
        <f t="shared" si="22"/>
        <v>0</v>
      </c>
      <c r="K122" s="514"/>
      <c r="L122" s="525"/>
      <c r="M122" s="514">
        <f t="shared" si="24"/>
        <v>0</v>
      </c>
      <c r="N122" s="525"/>
      <c r="O122" s="514">
        <f t="shared" si="26"/>
        <v>0</v>
      </c>
      <c r="P122" s="514">
        <f t="shared" si="27"/>
        <v>0</v>
      </c>
      <c r="Q122" s="269"/>
    </row>
    <row r="123" spans="2:17" ht="12.5">
      <c r="B123" s="195" t="str">
        <f t="shared" si="28"/>
        <v/>
      </c>
      <c r="C123" s="507">
        <f>IF(D93="","-",+C122+1)</f>
        <v>2034</v>
      </c>
      <c r="D123" s="374">
        <f>IF(F122+SUM(E$99:E122)=D$92,F122,D$92-SUM(E$99:E122))</f>
        <v>2116062.4741917201</v>
      </c>
      <c r="E123" s="522">
        <f>IF(+J96&lt;F122,J96,D123)</f>
        <v>114169.97619047618</v>
      </c>
      <c r="F123" s="523">
        <f t="shared" si="31"/>
        <v>2001892.4980012439</v>
      </c>
      <c r="G123" s="523">
        <f t="shared" si="32"/>
        <v>2058977.486096482</v>
      </c>
      <c r="H123" s="526">
        <f t="shared" si="33"/>
        <v>335662.07540260884</v>
      </c>
      <c r="I123" s="577">
        <f t="shared" si="34"/>
        <v>335662.07540260884</v>
      </c>
      <c r="J123" s="514">
        <f t="shared" si="22"/>
        <v>0</v>
      </c>
      <c r="K123" s="514"/>
      <c r="L123" s="525"/>
      <c r="M123" s="514">
        <f t="shared" si="24"/>
        <v>0</v>
      </c>
      <c r="N123" s="525"/>
      <c r="O123" s="514">
        <f t="shared" si="26"/>
        <v>0</v>
      </c>
      <c r="P123" s="514">
        <f t="shared" si="27"/>
        <v>0</v>
      </c>
      <c r="Q123" s="269"/>
    </row>
    <row r="124" spans="2:17" ht="12.5">
      <c r="B124" s="195" t="str">
        <f t="shared" si="28"/>
        <v/>
      </c>
      <c r="C124" s="507">
        <f>IF(D93="","-",+C123+1)</f>
        <v>2035</v>
      </c>
      <c r="D124" s="374">
        <f>IF(F123+SUM(E$99:E123)=D$92,F123,D$92-SUM(E$99:E123))</f>
        <v>2001892.4980012439</v>
      </c>
      <c r="E124" s="522">
        <f>IF(+J96&lt;F123,J96,D124)</f>
        <v>114169.97619047618</v>
      </c>
      <c r="F124" s="523">
        <f t="shared" si="31"/>
        <v>1887722.5218107677</v>
      </c>
      <c r="G124" s="523">
        <f t="shared" si="32"/>
        <v>1944807.5099060058</v>
      </c>
      <c r="H124" s="526">
        <f t="shared" si="33"/>
        <v>323380.3735072813</v>
      </c>
      <c r="I124" s="577">
        <f t="shared" si="34"/>
        <v>323380.3735072813</v>
      </c>
      <c r="J124" s="514">
        <f t="shared" si="22"/>
        <v>0</v>
      </c>
      <c r="K124" s="514"/>
      <c r="L124" s="525"/>
      <c r="M124" s="514">
        <f t="shared" si="24"/>
        <v>0</v>
      </c>
      <c r="N124" s="525"/>
      <c r="O124" s="514">
        <f t="shared" si="26"/>
        <v>0</v>
      </c>
      <c r="P124" s="514">
        <f t="shared" si="27"/>
        <v>0</v>
      </c>
      <c r="Q124" s="269"/>
    </row>
    <row r="125" spans="2:17" ht="12.5">
      <c r="B125" s="195" t="str">
        <f t="shared" si="28"/>
        <v/>
      </c>
      <c r="C125" s="507">
        <f>IF(D93="","-",+C124+1)</f>
        <v>2036</v>
      </c>
      <c r="D125" s="374">
        <f>IF(F124+SUM(E$99:E124)=D$92,F124,D$92-SUM(E$99:E124))</f>
        <v>1887722.5218107677</v>
      </c>
      <c r="E125" s="522">
        <f>IF(+J96&lt;F124,J96,D125)</f>
        <v>114169.97619047618</v>
      </c>
      <c r="F125" s="523">
        <f t="shared" si="31"/>
        <v>1773552.5456202915</v>
      </c>
      <c r="G125" s="523">
        <f t="shared" si="32"/>
        <v>1830637.5337155296</v>
      </c>
      <c r="H125" s="526">
        <f t="shared" si="33"/>
        <v>311098.67161195388</v>
      </c>
      <c r="I125" s="577">
        <f t="shared" si="34"/>
        <v>311098.67161195388</v>
      </c>
      <c r="J125" s="514">
        <f t="shared" si="22"/>
        <v>0</v>
      </c>
      <c r="K125" s="514"/>
      <c r="L125" s="525"/>
      <c r="M125" s="514">
        <f t="shared" si="24"/>
        <v>0</v>
      </c>
      <c r="N125" s="525"/>
      <c r="O125" s="514">
        <f t="shared" si="26"/>
        <v>0</v>
      </c>
      <c r="P125" s="514">
        <f t="shared" si="27"/>
        <v>0</v>
      </c>
      <c r="Q125" s="269"/>
    </row>
    <row r="126" spans="2:17" ht="12.5">
      <c r="B126" s="195" t="str">
        <f t="shared" si="28"/>
        <v/>
      </c>
      <c r="C126" s="507">
        <f>IF(D93="","-",+C125+1)</f>
        <v>2037</v>
      </c>
      <c r="D126" s="374">
        <f>IF(F125+SUM(E$99:E125)=D$92,F125,D$92-SUM(E$99:E125))</f>
        <v>1773552.5456202915</v>
      </c>
      <c r="E126" s="522">
        <f>IF(+J96&lt;F125,J96,D126)</f>
        <v>114169.97619047618</v>
      </c>
      <c r="F126" s="523">
        <f t="shared" si="31"/>
        <v>1659382.5694298153</v>
      </c>
      <c r="G126" s="523">
        <f t="shared" si="32"/>
        <v>1716467.5575250534</v>
      </c>
      <c r="H126" s="526">
        <f t="shared" si="33"/>
        <v>298816.96971662634</v>
      </c>
      <c r="I126" s="577">
        <f t="shared" si="34"/>
        <v>298816.96971662634</v>
      </c>
      <c r="J126" s="514">
        <f t="shared" si="22"/>
        <v>0</v>
      </c>
      <c r="K126" s="514"/>
      <c r="L126" s="525"/>
      <c r="M126" s="514">
        <f t="shared" si="24"/>
        <v>0</v>
      </c>
      <c r="N126" s="525"/>
      <c r="O126" s="514">
        <f t="shared" si="26"/>
        <v>0</v>
      </c>
      <c r="P126" s="514">
        <f t="shared" si="27"/>
        <v>0</v>
      </c>
      <c r="Q126" s="269"/>
    </row>
    <row r="127" spans="2:17" ht="12.5">
      <c r="B127" s="195" t="str">
        <f t="shared" si="28"/>
        <v/>
      </c>
      <c r="C127" s="507">
        <f>IF(D93="","-",+C126+1)</f>
        <v>2038</v>
      </c>
      <c r="D127" s="374">
        <f>IF(F126+SUM(E$99:E126)=D$92,F126,D$92-SUM(E$99:E126))</f>
        <v>1659382.5694298153</v>
      </c>
      <c r="E127" s="522">
        <f>IF(+J96&lt;F126,J96,D127)</f>
        <v>114169.97619047618</v>
      </c>
      <c r="F127" s="523">
        <f t="shared" si="31"/>
        <v>1545212.5932393391</v>
      </c>
      <c r="G127" s="523">
        <f t="shared" si="32"/>
        <v>1602297.5813345772</v>
      </c>
      <c r="H127" s="526">
        <f t="shared" si="33"/>
        <v>286535.26782129891</v>
      </c>
      <c r="I127" s="577">
        <f t="shared" si="34"/>
        <v>286535.26782129891</v>
      </c>
      <c r="J127" s="514">
        <f t="shared" si="22"/>
        <v>0</v>
      </c>
      <c r="K127" s="514"/>
      <c r="L127" s="525"/>
      <c r="M127" s="514">
        <f t="shared" si="24"/>
        <v>0</v>
      </c>
      <c r="N127" s="525"/>
      <c r="O127" s="514">
        <f t="shared" si="26"/>
        <v>0</v>
      </c>
      <c r="P127" s="514">
        <f t="shared" si="27"/>
        <v>0</v>
      </c>
      <c r="Q127" s="269"/>
    </row>
    <row r="128" spans="2:17" ht="12.5">
      <c r="B128" s="195" t="str">
        <f t="shared" si="28"/>
        <v/>
      </c>
      <c r="C128" s="507">
        <f>IF(D93="","-",+C127+1)</f>
        <v>2039</v>
      </c>
      <c r="D128" s="374">
        <f>IF(F127+SUM(E$99:E127)=D$92,F127,D$92-SUM(E$99:E127))</f>
        <v>1545212.5932393391</v>
      </c>
      <c r="E128" s="522">
        <f>IF(+J96&lt;F127,J96,D128)</f>
        <v>114169.97619047618</v>
      </c>
      <c r="F128" s="523">
        <f t="shared" si="31"/>
        <v>1431042.6170488629</v>
      </c>
      <c r="G128" s="523">
        <f t="shared" si="32"/>
        <v>1488127.605144101</v>
      </c>
      <c r="H128" s="526">
        <f t="shared" si="33"/>
        <v>274253.56592597137</v>
      </c>
      <c r="I128" s="577">
        <f t="shared" si="34"/>
        <v>274253.56592597137</v>
      </c>
      <c r="J128" s="514">
        <f t="shared" si="22"/>
        <v>0</v>
      </c>
      <c r="K128" s="514"/>
      <c r="L128" s="525"/>
      <c r="M128" s="514">
        <f t="shared" si="24"/>
        <v>0</v>
      </c>
      <c r="N128" s="525"/>
      <c r="O128" s="514">
        <f t="shared" si="26"/>
        <v>0</v>
      </c>
      <c r="P128" s="514">
        <f t="shared" si="27"/>
        <v>0</v>
      </c>
      <c r="Q128" s="269"/>
    </row>
    <row r="129" spans="2:17" ht="12.5">
      <c r="B129" s="195" t="str">
        <f t="shared" si="28"/>
        <v/>
      </c>
      <c r="C129" s="507">
        <f>IF(D93="","-",+C128+1)</f>
        <v>2040</v>
      </c>
      <c r="D129" s="374">
        <f>IF(F128+SUM(E$99:E128)=D$92,F128,D$92-SUM(E$99:E128))</f>
        <v>1431042.6170488629</v>
      </c>
      <c r="E129" s="522">
        <f>IF(+J96&lt;F128,J96,D129)</f>
        <v>114169.97619047618</v>
      </c>
      <c r="F129" s="523">
        <f t="shared" si="31"/>
        <v>1316872.6408583866</v>
      </c>
      <c r="G129" s="523">
        <f t="shared" si="32"/>
        <v>1373957.6289536247</v>
      </c>
      <c r="H129" s="526">
        <f t="shared" si="33"/>
        <v>261971.86403064392</v>
      </c>
      <c r="I129" s="577">
        <f t="shared" si="34"/>
        <v>261971.86403064392</v>
      </c>
      <c r="J129" s="514">
        <f t="shared" si="22"/>
        <v>0</v>
      </c>
      <c r="K129" s="514"/>
      <c r="L129" s="525"/>
      <c r="M129" s="514">
        <f t="shared" si="24"/>
        <v>0</v>
      </c>
      <c r="N129" s="525"/>
      <c r="O129" s="514">
        <f t="shared" si="26"/>
        <v>0</v>
      </c>
      <c r="P129" s="514">
        <f t="shared" si="27"/>
        <v>0</v>
      </c>
      <c r="Q129" s="269"/>
    </row>
    <row r="130" spans="2:17" ht="12.5">
      <c r="B130" s="195" t="str">
        <f t="shared" si="28"/>
        <v/>
      </c>
      <c r="C130" s="507">
        <f>IF(D93="","-",+C129+1)</f>
        <v>2041</v>
      </c>
      <c r="D130" s="374">
        <f>IF(F129+SUM(E$99:E129)=D$92,F129,D$92-SUM(E$99:E129))</f>
        <v>1316872.6408583866</v>
      </c>
      <c r="E130" s="522">
        <f>IF(+J96&lt;F129,J96,D130)</f>
        <v>114169.97619047618</v>
      </c>
      <c r="F130" s="523">
        <f t="shared" si="31"/>
        <v>1202702.6646679104</v>
      </c>
      <c r="G130" s="523">
        <f t="shared" si="32"/>
        <v>1259787.6527631485</v>
      </c>
      <c r="H130" s="526">
        <f t="shared" si="33"/>
        <v>249690.16213531644</v>
      </c>
      <c r="I130" s="577">
        <f t="shared" si="34"/>
        <v>249690.16213531644</v>
      </c>
      <c r="J130" s="514">
        <f t="shared" si="22"/>
        <v>0</v>
      </c>
      <c r="K130" s="514"/>
      <c r="L130" s="525"/>
      <c r="M130" s="514">
        <f t="shared" si="24"/>
        <v>0</v>
      </c>
      <c r="N130" s="525"/>
      <c r="O130" s="514">
        <f t="shared" si="26"/>
        <v>0</v>
      </c>
      <c r="P130" s="514">
        <f t="shared" si="27"/>
        <v>0</v>
      </c>
      <c r="Q130" s="269"/>
    </row>
    <row r="131" spans="2:17" ht="12.5">
      <c r="B131" s="195" t="str">
        <f t="shared" si="28"/>
        <v/>
      </c>
      <c r="C131" s="507">
        <f>IF(D93="","-",+C130+1)</f>
        <v>2042</v>
      </c>
      <c r="D131" s="374">
        <f>IF(F130+SUM(E$99:E130)=D$92,F130,D$92-SUM(E$99:E130))</f>
        <v>1202702.6646679104</v>
      </c>
      <c r="E131" s="522">
        <f>IF(+J96&lt;F130,J96,D131)</f>
        <v>114169.97619047618</v>
      </c>
      <c r="F131" s="523">
        <f t="shared" si="31"/>
        <v>1088532.6884774342</v>
      </c>
      <c r="G131" s="523">
        <f t="shared" ref="G131:G154" si="35">+(F131+D131)/2</f>
        <v>1145617.6765726723</v>
      </c>
      <c r="H131" s="526">
        <f t="shared" ref="H131:H154" si="36">+J$94*G131+E131</f>
        <v>237408.46023998896</v>
      </c>
      <c r="I131" s="577">
        <f t="shared" ref="I131:I154" si="37">+J$95*G131+E131</f>
        <v>237408.46023998896</v>
      </c>
      <c r="J131" s="514">
        <f t="shared" ref="J131:J154" si="38">+I131-H131</f>
        <v>0</v>
      </c>
      <c r="K131" s="514"/>
      <c r="L131" s="525"/>
      <c r="M131" s="514">
        <f t="shared" ref="M131:M154" si="39">IF(L131&lt;&gt;0,+H131-L131,0)</f>
        <v>0</v>
      </c>
      <c r="N131" s="525"/>
      <c r="O131" s="514">
        <f t="shared" ref="O131:O154" si="40">IF(N131&lt;&gt;0,+I131-N131,0)</f>
        <v>0</v>
      </c>
      <c r="P131" s="514">
        <f t="shared" ref="P131:P154" si="41">+O131-M131</f>
        <v>0</v>
      </c>
      <c r="Q131" s="269"/>
    </row>
    <row r="132" spans="2:17" ht="12.5">
      <c r="B132" s="195" t="str">
        <f t="shared" si="28"/>
        <v/>
      </c>
      <c r="C132" s="507">
        <f>IF(D93="","-",+C131+1)</f>
        <v>2043</v>
      </c>
      <c r="D132" s="374">
        <f>IF(F131+SUM(E$99:E131)=D$92,F131,D$92-SUM(E$99:E131))</f>
        <v>1088532.6884774342</v>
      </c>
      <c r="E132" s="522">
        <f>IF(+J96&lt;F131,J96,D132)</f>
        <v>114169.97619047618</v>
      </c>
      <c r="F132" s="523">
        <f t="shared" ref="F132:F154" si="42">+D132-E132</f>
        <v>974362.71228695801</v>
      </c>
      <c r="G132" s="523">
        <f t="shared" si="35"/>
        <v>1031447.7003821961</v>
      </c>
      <c r="H132" s="526">
        <f t="shared" si="36"/>
        <v>225126.75834466147</v>
      </c>
      <c r="I132" s="577">
        <f t="shared" si="37"/>
        <v>225126.75834466147</v>
      </c>
      <c r="J132" s="514">
        <f t="shared" si="38"/>
        <v>0</v>
      </c>
      <c r="K132" s="514"/>
      <c r="L132" s="525"/>
      <c r="M132" s="514">
        <f t="shared" si="39"/>
        <v>0</v>
      </c>
      <c r="N132" s="525"/>
      <c r="O132" s="514">
        <f t="shared" si="40"/>
        <v>0</v>
      </c>
      <c r="P132" s="514">
        <f t="shared" si="41"/>
        <v>0</v>
      </c>
      <c r="Q132" s="269"/>
    </row>
    <row r="133" spans="2:17" ht="12.5">
      <c r="B133" s="195" t="str">
        <f t="shared" si="28"/>
        <v/>
      </c>
      <c r="C133" s="507">
        <f>IF(D93="","-",+C132+1)</f>
        <v>2044</v>
      </c>
      <c r="D133" s="374">
        <f>IF(F132+SUM(E$99:E132)=D$92,F132,D$92-SUM(E$99:E132))</f>
        <v>974362.71228695801</v>
      </c>
      <c r="E133" s="522">
        <f>IF(+J96&lt;F132,J96,D133)</f>
        <v>114169.97619047618</v>
      </c>
      <c r="F133" s="523">
        <f t="shared" si="42"/>
        <v>860192.73609648179</v>
      </c>
      <c r="G133" s="523">
        <f t="shared" si="35"/>
        <v>917277.7241917199</v>
      </c>
      <c r="H133" s="526">
        <f t="shared" si="36"/>
        <v>212845.05644933399</v>
      </c>
      <c r="I133" s="577">
        <f t="shared" si="37"/>
        <v>212845.05644933399</v>
      </c>
      <c r="J133" s="514">
        <f t="shared" si="38"/>
        <v>0</v>
      </c>
      <c r="K133" s="514"/>
      <c r="L133" s="525"/>
      <c r="M133" s="514">
        <f t="shared" si="39"/>
        <v>0</v>
      </c>
      <c r="N133" s="525"/>
      <c r="O133" s="514">
        <f t="shared" si="40"/>
        <v>0</v>
      </c>
      <c r="P133" s="514">
        <f t="shared" si="41"/>
        <v>0</v>
      </c>
      <c r="Q133" s="269"/>
    </row>
    <row r="134" spans="2:17" ht="12.5">
      <c r="B134" s="195" t="str">
        <f t="shared" si="28"/>
        <v/>
      </c>
      <c r="C134" s="507">
        <f>IF(D93="","-",+C133+1)</f>
        <v>2045</v>
      </c>
      <c r="D134" s="374">
        <f>IF(F133+SUM(E$99:E133)=D$92,F133,D$92-SUM(E$99:E133))</f>
        <v>860192.73609648179</v>
      </c>
      <c r="E134" s="522">
        <f>IF(+J96&lt;F133,J96,D134)</f>
        <v>114169.97619047618</v>
      </c>
      <c r="F134" s="523">
        <f t="shared" si="42"/>
        <v>746022.75990600558</v>
      </c>
      <c r="G134" s="523">
        <f t="shared" si="35"/>
        <v>803107.74800124369</v>
      </c>
      <c r="H134" s="526">
        <f t="shared" si="36"/>
        <v>200563.35455400651</v>
      </c>
      <c r="I134" s="577">
        <f t="shared" si="37"/>
        <v>200563.35455400651</v>
      </c>
      <c r="J134" s="514">
        <f t="shared" si="38"/>
        <v>0</v>
      </c>
      <c r="K134" s="514"/>
      <c r="L134" s="525"/>
      <c r="M134" s="514">
        <f t="shared" si="39"/>
        <v>0</v>
      </c>
      <c r="N134" s="525"/>
      <c r="O134" s="514">
        <f t="shared" si="40"/>
        <v>0</v>
      </c>
      <c r="P134" s="514">
        <f t="shared" si="41"/>
        <v>0</v>
      </c>
      <c r="Q134" s="269"/>
    </row>
    <row r="135" spans="2:17" ht="12.5">
      <c r="B135" s="195" t="str">
        <f t="shared" si="28"/>
        <v/>
      </c>
      <c r="C135" s="507">
        <f>IF(D93="","-",+C134+1)</f>
        <v>2046</v>
      </c>
      <c r="D135" s="374">
        <f>IF(F134+SUM(E$99:E134)=D$92,F134,D$92-SUM(E$99:E134))</f>
        <v>746022.75990600558</v>
      </c>
      <c r="E135" s="522">
        <f>IF(+J96&lt;F134,J96,D135)</f>
        <v>114169.97619047618</v>
      </c>
      <c r="F135" s="523">
        <f t="shared" si="42"/>
        <v>631852.78371552937</v>
      </c>
      <c r="G135" s="523">
        <f t="shared" si="35"/>
        <v>688937.77181076747</v>
      </c>
      <c r="H135" s="526">
        <f t="shared" si="36"/>
        <v>188281.65265867903</v>
      </c>
      <c r="I135" s="577">
        <f t="shared" si="37"/>
        <v>188281.65265867903</v>
      </c>
      <c r="J135" s="514">
        <f t="shared" si="38"/>
        <v>0</v>
      </c>
      <c r="K135" s="514"/>
      <c r="L135" s="525"/>
      <c r="M135" s="514">
        <f t="shared" si="39"/>
        <v>0</v>
      </c>
      <c r="N135" s="525"/>
      <c r="O135" s="514">
        <f t="shared" si="40"/>
        <v>0</v>
      </c>
      <c r="P135" s="514">
        <f t="shared" si="41"/>
        <v>0</v>
      </c>
      <c r="Q135" s="269"/>
    </row>
    <row r="136" spans="2:17" ht="12.5">
      <c r="B136" s="195" t="str">
        <f t="shared" si="28"/>
        <v/>
      </c>
      <c r="C136" s="507">
        <f>IF(D93="","-",+C135+1)</f>
        <v>2047</v>
      </c>
      <c r="D136" s="374">
        <f>IF(F135+SUM(E$99:E135)=D$92,F135,D$92-SUM(E$99:E135))</f>
        <v>631852.78371552937</v>
      </c>
      <c r="E136" s="522">
        <f>IF(+J96&lt;F135,J96,D136)</f>
        <v>114169.97619047618</v>
      </c>
      <c r="F136" s="523">
        <f t="shared" si="42"/>
        <v>517682.80752505315</v>
      </c>
      <c r="G136" s="523">
        <f t="shared" si="35"/>
        <v>574767.79562029126</v>
      </c>
      <c r="H136" s="526">
        <f t="shared" si="36"/>
        <v>175999.95076335155</v>
      </c>
      <c r="I136" s="577">
        <f t="shared" si="37"/>
        <v>175999.95076335155</v>
      </c>
      <c r="J136" s="514">
        <f t="shared" si="38"/>
        <v>0</v>
      </c>
      <c r="K136" s="514"/>
      <c r="L136" s="525"/>
      <c r="M136" s="514">
        <f t="shared" si="39"/>
        <v>0</v>
      </c>
      <c r="N136" s="525"/>
      <c r="O136" s="514">
        <f t="shared" si="40"/>
        <v>0</v>
      </c>
      <c r="P136" s="514">
        <f t="shared" si="41"/>
        <v>0</v>
      </c>
      <c r="Q136" s="269"/>
    </row>
    <row r="137" spans="2:17" ht="12.5">
      <c r="B137" s="195" t="str">
        <f t="shared" si="28"/>
        <v/>
      </c>
      <c r="C137" s="507">
        <f>IF(D93="","-",+C136+1)</f>
        <v>2048</v>
      </c>
      <c r="D137" s="374">
        <f>IF(F136+SUM(E$99:E136)=D$92,F136,D$92-SUM(E$99:E136))</f>
        <v>517682.80752505315</v>
      </c>
      <c r="E137" s="522">
        <f>IF(+J96&lt;F136,J96,D137)</f>
        <v>114169.97619047618</v>
      </c>
      <c r="F137" s="523">
        <f t="shared" si="42"/>
        <v>403512.83133457694</v>
      </c>
      <c r="G137" s="523">
        <f t="shared" si="35"/>
        <v>460597.81942981505</v>
      </c>
      <c r="H137" s="526">
        <f t="shared" si="36"/>
        <v>163718.24886802406</v>
      </c>
      <c r="I137" s="577">
        <f t="shared" si="37"/>
        <v>163718.24886802406</v>
      </c>
      <c r="J137" s="514">
        <f t="shared" si="38"/>
        <v>0</v>
      </c>
      <c r="K137" s="514"/>
      <c r="L137" s="525"/>
      <c r="M137" s="514">
        <f t="shared" si="39"/>
        <v>0</v>
      </c>
      <c r="N137" s="525"/>
      <c r="O137" s="514">
        <f t="shared" si="40"/>
        <v>0</v>
      </c>
      <c r="P137" s="514">
        <f t="shared" si="41"/>
        <v>0</v>
      </c>
      <c r="Q137" s="269"/>
    </row>
    <row r="138" spans="2:17" ht="12.5">
      <c r="B138" s="195" t="str">
        <f t="shared" si="28"/>
        <v/>
      </c>
      <c r="C138" s="507">
        <f>IF(D93="","-",+C137+1)</f>
        <v>2049</v>
      </c>
      <c r="D138" s="374">
        <f>IF(F137+SUM(E$99:E137)=D$92,F137,D$92-SUM(E$99:E137))</f>
        <v>403512.83133457694</v>
      </c>
      <c r="E138" s="522">
        <f>IF(+J96&lt;F137,J96,D138)</f>
        <v>114169.97619047618</v>
      </c>
      <c r="F138" s="523">
        <f t="shared" si="42"/>
        <v>289342.85514410073</v>
      </c>
      <c r="G138" s="523">
        <f t="shared" si="35"/>
        <v>346427.84323933884</v>
      </c>
      <c r="H138" s="526">
        <f t="shared" si="36"/>
        <v>151436.54697269658</v>
      </c>
      <c r="I138" s="577">
        <f t="shared" si="37"/>
        <v>151436.54697269658</v>
      </c>
      <c r="J138" s="514">
        <f t="shared" si="38"/>
        <v>0</v>
      </c>
      <c r="K138" s="514"/>
      <c r="L138" s="525"/>
      <c r="M138" s="514">
        <f t="shared" si="39"/>
        <v>0</v>
      </c>
      <c r="N138" s="525"/>
      <c r="O138" s="514">
        <f t="shared" si="40"/>
        <v>0</v>
      </c>
      <c r="P138" s="514">
        <f t="shared" si="41"/>
        <v>0</v>
      </c>
      <c r="Q138" s="269"/>
    </row>
    <row r="139" spans="2:17" ht="12.5">
      <c r="B139" s="195" t="str">
        <f t="shared" si="28"/>
        <v/>
      </c>
      <c r="C139" s="507">
        <f>IF(D93="","-",+C138+1)</f>
        <v>2050</v>
      </c>
      <c r="D139" s="374">
        <f>IF(F138+SUM(E$99:E138)=D$92,F138,D$92-SUM(E$99:E138))</f>
        <v>289342.85514410073</v>
      </c>
      <c r="E139" s="522">
        <f>IF(+J96&lt;F138,J96,D139)</f>
        <v>114169.97619047618</v>
      </c>
      <c r="F139" s="523">
        <f t="shared" si="42"/>
        <v>175172.87895362455</v>
      </c>
      <c r="G139" s="523">
        <f t="shared" si="35"/>
        <v>232257.86704886262</v>
      </c>
      <c r="H139" s="526">
        <f t="shared" si="36"/>
        <v>139154.8450773691</v>
      </c>
      <c r="I139" s="577">
        <f t="shared" si="37"/>
        <v>139154.8450773691</v>
      </c>
      <c r="J139" s="514">
        <f t="shared" si="38"/>
        <v>0</v>
      </c>
      <c r="K139" s="514"/>
      <c r="L139" s="525"/>
      <c r="M139" s="514">
        <f t="shared" si="39"/>
        <v>0</v>
      </c>
      <c r="N139" s="525"/>
      <c r="O139" s="514">
        <f t="shared" si="40"/>
        <v>0</v>
      </c>
      <c r="P139" s="514">
        <f t="shared" si="41"/>
        <v>0</v>
      </c>
      <c r="Q139" s="269"/>
    </row>
    <row r="140" spans="2:17" ht="12.5">
      <c r="B140" s="195" t="str">
        <f t="shared" si="28"/>
        <v/>
      </c>
      <c r="C140" s="507">
        <f>IF(D93="","-",+C139+1)</f>
        <v>2051</v>
      </c>
      <c r="D140" s="374">
        <f>IF(F139+SUM(E$99:E139)=D$92,F139,D$92-SUM(E$99:E139))</f>
        <v>175172.87895362455</v>
      </c>
      <c r="E140" s="522">
        <f>IF(+J96&lt;F139,J96,D140)</f>
        <v>114169.97619047618</v>
      </c>
      <c r="F140" s="523">
        <f t="shared" si="42"/>
        <v>61002.902763148362</v>
      </c>
      <c r="G140" s="523">
        <f t="shared" si="35"/>
        <v>118087.89085838645</v>
      </c>
      <c r="H140" s="526">
        <f t="shared" si="36"/>
        <v>126873.14318204162</v>
      </c>
      <c r="I140" s="577">
        <f t="shared" si="37"/>
        <v>126873.14318204162</v>
      </c>
      <c r="J140" s="514">
        <f t="shared" si="38"/>
        <v>0</v>
      </c>
      <c r="K140" s="514"/>
      <c r="L140" s="525"/>
      <c r="M140" s="514">
        <f t="shared" si="39"/>
        <v>0</v>
      </c>
      <c r="N140" s="525"/>
      <c r="O140" s="514">
        <f t="shared" si="40"/>
        <v>0</v>
      </c>
      <c r="P140" s="514">
        <f t="shared" si="41"/>
        <v>0</v>
      </c>
      <c r="Q140" s="269"/>
    </row>
    <row r="141" spans="2:17" ht="12.5">
      <c r="B141" s="195" t="str">
        <f t="shared" si="28"/>
        <v/>
      </c>
      <c r="C141" s="507">
        <f>IF(D93="","-",+C140+1)</f>
        <v>2052</v>
      </c>
      <c r="D141" s="374">
        <f>IF(F140+SUM(E$99:E140)=D$92,F140,D$92-SUM(E$99:E140))</f>
        <v>61002.902763148362</v>
      </c>
      <c r="E141" s="522">
        <f>IF(+J96&lt;F140,J96,D141)</f>
        <v>61002.902763148362</v>
      </c>
      <c r="F141" s="523">
        <f t="shared" si="42"/>
        <v>0</v>
      </c>
      <c r="G141" s="523">
        <f t="shared" si="35"/>
        <v>30501.451381574181</v>
      </c>
      <c r="H141" s="526">
        <f t="shared" si="36"/>
        <v>64284.060785099209</v>
      </c>
      <c r="I141" s="577">
        <f t="shared" si="37"/>
        <v>64284.060785099209</v>
      </c>
      <c r="J141" s="514">
        <f t="shared" si="38"/>
        <v>0</v>
      </c>
      <c r="K141" s="514"/>
      <c r="L141" s="525"/>
      <c r="M141" s="514">
        <f t="shared" si="39"/>
        <v>0</v>
      </c>
      <c r="N141" s="525"/>
      <c r="O141" s="514">
        <f t="shared" si="40"/>
        <v>0</v>
      </c>
      <c r="P141" s="514">
        <f t="shared" si="41"/>
        <v>0</v>
      </c>
      <c r="Q141" s="269"/>
    </row>
    <row r="142" spans="2:17" ht="12.5">
      <c r="B142" s="195" t="str">
        <f t="shared" si="28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2"/>
        <v>0</v>
      </c>
      <c r="G142" s="523">
        <f t="shared" si="35"/>
        <v>0</v>
      </c>
      <c r="H142" s="526">
        <f t="shared" si="36"/>
        <v>0</v>
      </c>
      <c r="I142" s="577">
        <f t="shared" si="37"/>
        <v>0</v>
      </c>
      <c r="J142" s="514">
        <f t="shared" si="38"/>
        <v>0</v>
      </c>
      <c r="K142" s="514"/>
      <c r="L142" s="525"/>
      <c r="M142" s="514">
        <f t="shared" si="39"/>
        <v>0</v>
      </c>
      <c r="N142" s="525"/>
      <c r="O142" s="514">
        <f t="shared" si="40"/>
        <v>0</v>
      </c>
      <c r="P142" s="514">
        <f t="shared" si="41"/>
        <v>0</v>
      </c>
      <c r="Q142" s="269"/>
    </row>
    <row r="143" spans="2:17" ht="12.5">
      <c r="B143" s="195" t="str">
        <f t="shared" si="28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2"/>
        <v>0</v>
      </c>
      <c r="G143" s="523">
        <f t="shared" si="35"/>
        <v>0</v>
      </c>
      <c r="H143" s="526">
        <f t="shared" si="36"/>
        <v>0</v>
      </c>
      <c r="I143" s="577">
        <f t="shared" si="37"/>
        <v>0</v>
      </c>
      <c r="J143" s="514">
        <f t="shared" si="38"/>
        <v>0</v>
      </c>
      <c r="K143" s="514"/>
      <c r="L143" s="525"/>
      <c r="M143" s="514">
        <f t="shared" si="39"/>
        <v>0</v>
      </c>
      <c r="N143" s="525"/>
      <c r="O143" s="514">
        <f t="shared" si="40"/>
        <v>0</v>
      </c>
      <c r="P143" s="514">
        <f t="shared" si="41"/>
        <v>0</v>
      </c>
      <c r="Q143" s="269"/>
    </row>
    <row r="144" spans="2:17" ht="12.5">
      <c r="B144" s="195" t="str">
        <f t="shared" si="28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2"/>
        <v>0</v>
      </c>
      <c r="G144" s="523">
        <f t="shared" si="35"/>
        <v>0</v>
      </c>
      <c r="H144" s="526">
        <f t="shared" si="36"/>
        <v>0</v>
      </c>
      <c r="I144" s="577">
        <f t="shared" si="37"/>
        <v>0</v>
      </c>
      <c r="J144" s="514">
        <f t="shared" si="38"/>
        <v>0</v>
      </c>
      <c r="K144" s="514"/>
      <c r="L144" s="525"/>
      <c r="M144" s="514">
        <f t="shared" si="39"/>
        <v>0</v>
      </c>
      <c r="N144" s="525"/>
      <c r="O144" s="514">
        <f t="shared" si="40"/>
        <v>0</v>
      </c>
      <c r="P144" s="514">
        <f t="shared" si="41"/>
        <v>0</v>
      </c>
      <c r="Q144" s="269"/>
    </row>
    <row r="145" spans="2:17" ht="12.5">
      <c r="B145" s="195" t="str">
        <f t="shared" si="28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2"/>
        <v>0</v>
      </c>
      <c r="G145" s="523">
        <f t="shared" si="35"/>
        <v>0</v>
      </c>
      <c r="H145" s="526">
        <f t="shared" si="36"/>
        <v>0</v>
      </c>
      <c r="I145" s="577">
        <f t="shared" si="37"/>
        <v>0</v>
      </c>
      <c r="J145" s="514">
        <f t="shared" si="38"/>
        <v>0</v>
      </c>
      <c r="K145" s="514"/>
      <c r="L145" s="525"/>
      <c r="M145" s="514">
        <f t="shared" si="39"/>
        <v>0</v>
      </c>
      <c r="N145" s="525"/>
      <c r="O145" s="514">
        <f t="shared" si="40"/>
        <v>0</v>
      </c>
      <c r="P145" s="514">
        <f t="shared" si="41"/>
        <v>0</v>
      </c>
      <c r="Q145" s="269"/>
    </row>
    <row r="146" spans="2:17" ht="12.5">
      <c r="B146" s="195" t="str">
        <f t="shared" si="28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2"/>
        <v>0</v>
      </c>
      <c r="G146" s="523">
        <f t="shared" si="35"/>
        <v>0</v>
      </c>
      <c r="H146" s="526">
        <f t="shared" si="36"/>
        <v>0</v>
      </c>
      <c r="I146" s="577">
        <f t="shared" si="37"/>
        <v>0</v>
      </c>
      <c r="J146" s="514">
        <f t="shared" si="38"/>
        <v>0</v>
      </c>
      <c r="K146" s="514"/>
      <c r="L146" s="525"/>
      <c r="M146" s="514">
        <f t="shared" si="39"/>
        <v>0</v>
      </c>
      <c r="N146" s="525"/>
      <c r="O146" s="514">
        <f t="shared" si="40"/>
        <v>0</v>
      </c>
      <c r="P146" s="514">
        <f t="shared" si="41"/>
        <v>0</v>
      </c>
      <c r="Q146" s="269"/>
    </row>
    <row r="147" spans="2:17" ht="12.5">
      <c r="B147" s="195" t="str">
        <f t="shared" si="28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2"/>
        <v>0</v>
      </c>
      <c r="G147" s="523">
        <f t="shared" si="35"/>
        <v>0</v>
      </c>
      <c r="H147" s="526">
        <f t="shared" si="36"/>
        <v>0</v>
      </c>
      <c r="I147" s="577">
        <f t="shared" si="37"/>
        <v>0</v>
      </c>
      <c r="J147" s="514">
        <f t="shared" si="38"/>
        <v>0</v>
      </c>
      <c r="K147" s="514"/>
      <c r="L147" s="525"/>
      <c r="M147" s="514">
        <f t="shared" si="39"/>
        <v>0</v>
      </c>
      <c r="N147" s="525"/>
      <c r="O147" s="514">
        <f t="shared" si="40"/>
        <v>0</v>
      </c>
      <c r="P147" s="514">
        <f t="shared" si="41"/>
        <v>0</v>
      </c>
      <c r="Q147" s="269"/>
    </row>
    <row r="148" spans="2:17" ht="12.5">
      <c r="B148" s="195" t="str">
        <f t="shared" si="28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2"/>
        <v>0</v>
      </c>
      <c r="G148" s="523">
        <f t="shared" si="35"/>
        <v>0</v>
      </c>
      <c r="H148" s="526">
        <f t="shared" si="36"/>
        <v>0</v>
      </c>
      <c r="I148" s="577">
        <f t="shared" si="37"/>
        <v>0</v>
      </c>
      <c r="J148" s="514">
        <f t="shared" si="38"/>
        <v>0</v>
      </c>
      <c r="K148" s="514"/>
      <c r="L148" s="525"/>
      <c r="M148" s="514">
        <f t="shared" si="39"/>
        <v>0</v>
      </c>
      <c r="N148" s="525"/>
      <c r="O148" s="514">
        <f t="shared" si="40"/>
        <v>0</v>
      </c>
      <c r="P148" s="514">
        <f t="shared" si="41"/>
        <v>0</v>
      </c>
      <c r="Q148" s="269"/>
    </row>
    <row r="149" spans="2:17" ht="12.5">
      <c r="B149" s="195" t="str">
        <f t="shared" si="28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2"/>
        <v>0</v>
      </c>
      <c r="G149" s="523">
        <f t="shared" si="35"/>
        <v>0</v>
      </c>
      <c r="H149" s="526">
        <f t="shared" si="36"/>
        <v>0</v>
      </c>
      <c r="I149" s="577">
        <f t="shared" si="37"/>
        <v>0</v>
      </c>
      <c r="J149" s="514">
        <f t="shared" si="38"/>
        <v>0</v>
      </c>
      <c r="K149" s="514"/>
      <c r="L149" s="525"/>
      <c r="M149" s="514">
        <f t="shared" si="39"/>
        <v>0</v>
      </c>
      <c r="N149" s="525"/>
      <c r="O149" s="514">
        <f t="shared" si="40"/>
        <v>0</v>
      </c>
      <c r="P149" s="514">
        <f t="shared" si="41"/>
        <v>0</v>
      </c>
      <c r="Q149" s="269"/>
    </row>
    <row r="150" spans="2:17" ht="12.5">
      <c r="B150" s="195" t="str">
        <f t="shared" si="28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2"/>
        <v>0</v>
      </c>
      <c r="G150" s="523">
        <f t="shared" si="35"/>
        <v>0</v>
      </c>
      <c r="H150" s="526">
        <f t="shared" si="36"/>
        <v>0</v>
      </c>
      <c r="I150" s="577">
        <f t="shared" si="37"/>
        <v>0</v>
      </c>
      <c r="J150" s="514">
        <f t="shared" si="38"/>
        <v>0</v>
      </c>
      <c r="K150" s="514"/>
      <c r="L150" s="525"/>
      <c r="M150" s="514">
        <f t="shared" si="39"/>
        <v>0</v>
      </c>
      <c r="N150" s="525"/>
      <c r="O150" s="514">
        <f t="shared" si="40"/>
        <v>0</v>
      </c>
      <c r="P150" s="514">
        <f t="shared" si="41"/>
        <v>0</v>
      </c>
      <c r="Q150" s="269"/>
    </row>
    <row r="151" spans="2:17" ht="12.5">
      <c r="B151" s="195" t="str">
        <f t="shared" si="28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2"/>
        <v>0</v>
      </c>
      <c r="G151" s="523">
        <f t="shared" si="35"/>
        <v>0</v>
      </c>
      <c r="H151" s="526">
        <f t="shared" si="36"/>
        <v>0</v>
      </c>
      <c r="I151" s="577">
        <f t="shared" si="37"/>
        <v>0</v>
      </c>
      <c r="J151" s="514">
        <f t="shared" si="38"/>
        <v>0</v>
      </c>
      <c r="K151" s="514"/>
      <c r="L151" s="525"/>
      <c r="M151" s="514">
        <f t="shared" si="39"/>
        <v>0</v>
      </c>
      <c r="N151" s="525"/>
      <c r="O151" s="514">
        <f t="shared" si="40"/>
        <v>0</v>
      </c>
      <c r="P151" s="514">
        <f t="shared" si="41"/>
        <v>0</v>
      </c>
      <c r="Q151" s="269"/>
    </row>
    <row r="152" spans="2:17" ht="12.5">
      <c r="B152" s="195" t="str">
        <f t="shared" si="28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2"/>
        <v>0</v>
      </c>
      <c r="G152" s="523">
        <f t="shared" si="35"/>
        <v>0</v>
      </c>
      <c r="H152" s="526">
        <f t="shared" si="36"/>
        <v>0</v>
      </c>
      <c r="I152" s="577">
        <f t="shared" si="37"/>
        <v>0</v>
      </c>
      <c r="J152" s="514">
        <f t="shared" si="38"/>
        <v>0</v>
      </c>
      <c r="K152" s="514"/>
      <c r="L152" s="525"/>
      <c r="M152" s="514">
        <f t="shared" si="39"/>
        <v>0</v>
      </c>
      <c r="N152" s="525"/>
      <c r="O152" s="514">
        <f t="shared" si="40"/>
        <v>0</v>
      </c>
      <c r="P152" s="514">
        <f t="shared" si="41"/>
        <v>0</v>
      </c>
      <c r="Q152" s="269"/>
    </row>
    <row r="153" spans="2:17" ht="12.5">
      <c r="B153" s="195" t="str">
        <f t="shared" si="28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2"/>
        <v>0</v>
      </c>
      <c r="G153" s="523">
        <f t="shared" si="35"/>
        <v>0</v>
      </c>
      <c r="H153" s="526">
        <f t="shared" si="36"/>
        <v>0</v>
      </c>
      <c r="I153" s="577">
        <f t="shared" si="37"/>
        <v>0</v>
      </c>
      <c r="J153" s="514">
        <f t="shared" si="38"/>
        <v>0</v>
      </c>
      <c r="K153" s="514"/>
      <c r="L153" s="525"/>
      <c r="M153" s="514">
        <f t="shared" si="39"/>
        <v>0</v>
      </c>
      <c r="N153" s="525"/>
      <c r="O153" s="514">
        <f t="shared" si="40"/>
        <v>0</v>
      </c>
      <c r="P153" s="514">
        <f t="shared" si="41"/>
        <v>0</v>
      </c>
      <c r="Q153" s="269"/>
    </row>
    <row r="154" spans="2:17" ht="13" thickBot="1">
      <c r="B154" s="195" t="str">
        <f t="shared" si="28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2"/>
        <v>0</v>
      </c>
      <c r="G154" s="528">
        <f t="shared" si="35"/>
        <v>0</v>
      </c>
      <c r="H154" s="530">
        <f t="shared" si="36"/>
        <v>0</v>
      </c>
      <c r="I154" s="579">
        <f t="shared" si="37"/>
        <v>0</v>
      </c>
      <c r="J154" s="533">
        <f t="shared" si="38"/>
        <v>0</v>
      </c>
      <c r="K154" s="514"/>
      <c r="L154" s="532"/>
      <c r="M154" s="533">
        <f t="shared" si="39"/>
        <v>0</v>
      </c>
      <c r="N154" s="532"/>
      <c r="O154" s="533">
        <f t="shared" si="40"/>
        <v>0</v>
      </c>
      <c r="P154" s="533">
        <f t="shared" si="41"/>
        <v>0</v>
      </c>
      <c r="Q154" s="269"/>
    </row>
    <row r="155" spans="2:17" ht="12.5">
      <c r="C155" s="374" t="s">
        <v>78</v>
      </c>
      <c r="D155" s="375"/>
      <c r="E155" s="375">
        <f>SUM(E99:E154)</f>
        <v>4795139</v>
      </c>
      <c r="F155" s="375"/>
      <c r="G155" s="375"/>
      <c r="H155" s="375">
        <f>SUM(H99:H154)</f>
        <v>16632276.612880889</v>
      </c>
      <c r="I155" s="375">
        <f>SUM(I99:I154)</f>
        <v>16632276.612880889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  <row r="1048576" spans="12:14" ht="12.75" customHeight="1">
      <c r="L1048576" s="518">
        <f>H1048576</f>
        <v>0</v>
      </c>
      <c r="M1048576" s="519">
        <f>IF(L1048576&lt;&gt;0,+H1048576-L1048576,0)</f>
        <v>0</v>
      </c>
      <c r="N1048576" s="518">
        <f>I1048576</f>
        <v>0</v>
      </c>
    </row>
  </sheetData>
  <phoneticPr fontId="0" type="noConversion"/>
  <conditionalFormatting sqref="C17:C72">
    <cfRule type="cellIs" dxfId="115" priority="1" stopIfTrue="1" operator="equal">
      <formula>$I$10</formula>
    </cfRule>
  </conditionalFormatting>
  <conditionalFormatting sqref="C99:C154">
    <cfRule type="cellIs" dxfId="11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Q162"/>
  <sheetViews>
    <sheetView view="pageBreakPreview" topLeftCell="A70" zoomScale="75" zoomScaleNormal="100" zoomScaleSheetLayoutView="75" workbookViewId="0">
      <selection activeCell="H107" sqref="H10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24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535698.99348841433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535698.99348841433</v>
      </c>
      <c r="O6" s="269"/>
      <c r="P6" s="269"/>
    </row>
    <row r="7" spans="1:17" ht="13.5" thickBot="1">
      <c r="C7" s="467" t="s">
        <v>48</v>
      </c>
      <c r="D7" s="620" t="s">
        <v>253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252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5250739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125017.59523809524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5473000</v>
      </c>
      <c r="E17" s="509">
        <v>72013.15789473684</v>
      </c>
      <c r="F17" s="508">
        <v>5400986.8421052629</v>
      </c>
      <c r="G17" s="509">
        <v>848486.02708834817</v>
      </c>
      <c r="H17" s="510">
        <v>848486.02708834817</v>
      </c>
      <c r="I17" s="517">
        <v>0</v>
      </c>
      <c r="J17" s="511"/>
      <c r="K17" s="512">
        <f t="shared" ref="K17:K22" si="0">G17</f>
        <v>848486.02708834817</v>
      </c>
      <c r="L17" s="597">
        <f t="shared" ref="L17:L48" si="1">IF(K17&lt;&gt;0,+G17-K17,0)</f>
        <v>0</v>
      </c>
      <c r="M17" s="512">
        <f t="shared" ref="M17:M22" si="2">H17</f>
        <v>848486.02708834817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5178725.8421052629</v>
      </c>
      <c r="E18" s="516">
        <v>128066.80487804877</v>
      </c>
      <c r="F18" s="515">
        <v>5050659.0372272143</v>
      </c>
      <c r="G18" s="516">
        <v>916940.27252586046</v>
      </c>
      <c r="H18" s="510">
        <v>916940.27252586046</v>
      </c>
      <c r="I18" s="517">
        <v>0</v>
      </c>
      <c r="J18" s="511"/>
      <c r="K18" s="518">
        <f t="shared" si="0"/>
        <v>916940.27252586046</v>
      </c>
      <c r="L18" s="519">
        <f t="shared" si="1"/>
        <v>0</v>
      </c>
      <c r="M18" s="518">
        <f t="shared" si="2"/>
        <v>916940.27252586046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515">
        <v>5050659.0372272143</v>
      </c>
      <c r="E19" s="516">
        <v>125017.59523809524</v>
      </c>
      <c r="F19" s="515">
        <v>4925641.4419891192</v>
      </c>
      <c r="G19" s="516">
        <v>857559.68041241798</v>
      </c>
      <c r="H19" s="510">
        <v>857559.68041241798</v>
      </c>
      <c r="I19" s="517">
        <v>0</v>
      </c>
      <c r="J19" s="511"/>
      <c r="K19" s="518">
        <f t="shared" si="0"/>
        <v>857559.68041241798</v>
      </c>
      <c r="L19" s="519">
        <f t="shared" si="1"/>
        <v>0</v>
      </c>
      <c r="M19" s="518">
        <f t="shared" si="2"/>
        <v>857559.68041241798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515">
        <v>4925641.4419891192</v>
      </c>
      <c r="E20" s="516">
        <v>125017.59523809524</v>
      </c>
      <c r="F20" s="515">
        <v>4800623.846751024</v>
      </c>
      <c r="G20" s="516">
        <v>797042.91968828405</v>
      </c>
      <c r="H20" s="510">
        <v>797042.91968828405</v>
      </c>
      <c r="I20" s="596">
        <v>0</v>
      </c>
      <c r="J20" s="511"/>
      <c r="K20" s="518">
        <f t="shared" si="0"/>
        <v>797042.91968828405</v>
      </c>
      <c r="L20" s="519">
        <f t="shared" ref="L20:L25" si="6">IF(K20&lt;&gt;0,+G20-K20,0)</f>
        <v>0</v>
      </c>
      <c r="M20" s="518">
        <f t="shared" si="2"/>
        <v>797042.91968828405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515">
        <v>4800623.846751024</v>
      </c>
      <c r="E21" s="516">
        <v>125017.59523809524</v>
      </c>
      <c r="F21" s="515">
        <v>4675606.2515129289</v>
      </c>
      <c r="G21" s="516">
        <v>755806.01100655668</v>
      </c>
      <c r="H21" s="510">
        <v>755806.01100655668</v>
      </c>
      <c r="I21" s="596">
        <v>0</v>
      </c>
      <c r="J21" s="511"/>
      <c r="K21" s="518">
        <f t="shared" si="0"/>
        <v>755806.01100655668</v>
      </c>
      <c r="L21" s="519">
        <f t="shared" si="6"/>
        <v>0</v>
      </c>
      <c r="M21" s="518">
        <f t="shared" si="2"/>
        <v>755806.01100655668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515">
        <v>4675606.2515129289</v>
      </c>
      <c r="E22" s="516">
        <v>125017.59523809524</v>
      </c>
      <c r="F22" s="515">
        <v>4550588.6562748337</v>
      </c>
      <c r="G22" s="516">
        <v>724351.96853237145</v>
      </c>
      <c r="H22" s="510">
        <v>724351.96853237145</v>
      </c>
      <c r="I22" s="511">
        <v>0</v>
      </c>
      <c r="J22" s="511"/>
      <c r="K22" s="518">
        <f t="shared" si="0"/>
        <v>724351.96853237145</v>
      </c>
      <c r="L22" s="519">
        <f t="shared" si="6"/>
        <v>0</v>
      </c>
      <c r="M22" s="518">
        <f t="shared" si="2"/>
        <v>724351.96853237145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515">
        <v>4550588.6562748337</v>
      </c>
      <c r="E23" s="516">
        <v>125017.59523809524</v>
      </c>
      <c r="F23" s="515">
        <v>4425571.0610367386</v>
      </c>
      <c r="G23" s="516">
        <v>700695.76830220246</v>
      </c>
      <c r="H23" s="510">
        <v>700695.76830220246</v>
      </c>
      <c r="I23" s="511">
        <f t="shared" ref="I23:I48" si="9">H23-G23</f>
        <v>0</v>
      </c>
      <c r="J23" s="511"/>
      <c r="K23" s="518">
        <f>G23</f>
        <v>700695.76830220246</v>
      </c>
      <c r="L23" s="519">
        <f t="shared" si="6"/>
        <v>0</v>
      </c>
      <c r="M23" s="518">
        <f>H23</f>
        <v>700695.76830220246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515">
        <v>4425571.0610367386</v>
      </c>
      <c r="E24" s="516">
        <v>122110.20930232559</v>
      </c>
      <c r="F24" s="515">
        <v>4303460.8517344128</v>
      </c>
      <c r="G24" s="516">
        <v>662841.14914820471</v>
      </c>
      <c r="H24" s="510">
        <v>662841.14914820471</v>
      </c>
      <c r="I24" s="511">
        <f t="shared" si="9"/>
        <v>0</v>
      </c>
      <c r="J24" s="511"/>
      <c r="K24" s="518">
        <f>G24</f>
        <v>662841.14914820471</v>
      </c>
      <c r="L24" s="519">
        <f t="shared" si="6"/>
        <v>0</v>
      </c>
      <c r="M24" s="518">
        <f>H24</f>
        <v>662841.14914820471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515">
        <v>4303460.8517344128</v>
      </c>
      <c r="E25" s="516">
        <v>128066.80487804877</v>
      </c>
      <c r="F25" s="515">
        <v>4175394.0468563642</v>
      </c>
      <c r="G25" s="516">
        <v>666873.01651797513</v>
      </c>
      <c r="H25" s="510">
        <v>666873.01651797513</v>
      </c>
      <c r="I25" s="511">
        <f t="shared" si="9"/>
        <v>0</v>
      </c>
      <c r="J25" s="511"/>
      <c r="K25" s="518">
        <f>G25</f>
        <v>666873.01651797513</v>
      </c>
      <c r="L25" s="519">
        <f t="shared" si="6"/>
        <v>0</v>
      </c>
      <c r="M25" s="518">
        <f>H25</f>
        <v>666873.01651797513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515">
        <v>4175394.0468563642</v>
      </c>
      <c r="E26" s="516">
        <v>128066.80487804877</v>
      </c>
      <c r="F26" s="515">
        <v>4047327.2419783156</v>
      </c>
      <c r="G26" s="516">
        <v>650596.48134937836</v>
      </c>
      <c r="H26" s="510">
        <v>650596.48134937836</v>
      </c>
      <c r="I26" s="511">
        <f t="shared" si="9"/>
        <v>0</v>
      </c>
      <c r="J26" s="511"/>
      <c r="K26" s="518">
        <f>G26</f>
        <v>650596.48134937836</v>
      </c>
      <c r="L26" s="519">
        <f t="shared" ref="L26" si="10">IF(K26&lt;&gt;0,+G26-K26,0)</f>
        <v>0</v>
      </c>
      <c r="M26" s="518">
        <f>H26</f>
        <v>650596.48134937836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515">
        <v>4047327.2419783156</v>
      </c>
      <c r="E27" s="516">
        <v>128066.80487804877</v>
      </c>
      <c r="F27" s="515">
        <v>3919260.437100267</v>
      </c>
      <c r="G27" s="516">
        <v>535698.99348841433</v>
      </c>
      <c r="H27" s="510">
        <v>535698.99348841433</v>
      </c>
      <c r="I27" s="511">
        <f t="shared" si="9"/>
        <v>0</v>
      </c>
      <c r="J27" s="511"/>
      <c r="K27" s="518">
        <f>G27</f>
        <v>535698.99348841433</v>
      </c>
      <c r="L27" s="519">
        <f t="shared" ref="L27" si="11">IF(K27&lt;&gt;0,+G27-K27,0)</f>
        <v>0</v>
      </c>
      <c r="M27" s="518">
        <f>H27</f>
        <v>535698.99348841433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2021</v>
      </c>
      <c r="D28" s="523">
        <f>IF(F27+SUM(E$17:E27)=D$10,F27,D$10-SUM(E$17:E27))</f>
        <v>3919260.437100267</v>
      </c>
      <c r="E28" s="522">
        <f>IF(+I14&lt;F27,I14,D28)</f>
        <v>125017.59523809524</v>
      </c>
      <c r="F28" s="523">
        <f t="shared" ref="F28:F48" si="12">+D28-E28</f>
        <v>3794242.8418621719</v>
      </c>
      <c r="G28" s="524">
        <f t="shared" ref="G28:G55" si="13">+I$12*((D28+F28)/2)+E28</f>
        <v>536987.99066497118</v>
      </c>
      <c r="H28" s="491">
        <f t="shared" ref="H28:H55" si="14">+I$13*((D28+F28)/2)+E28</f>
        <v>536987.99066497118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2022</v>
      </c>
      <c r="D29" s="523">
        <f>IF(F28+SUM(E$17:E28)=D$10,F28,D$10-SUM(E$17:E28))</f>
        <v>3794242.8418621719</v>
      </c>
      <c r="E29" s="522">
        <f>IF(+I14&lt;F28,I14,D29)</f>
        <v>125017.59523809524</v>
      </c>
      <c r="F29" s="523">
        <f t="shared" si="12"/>
        <v>3669225.2466240767</v>
      </c>
      <c r="G29" s="524">
        <f t="shared" si="13"/>
        <v>523633.86445722729</v>
      </c>
      <c r="H29" s="491">
        <f t="shared" si="14"/>
        <v>523633.86445722729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3669225.2466240767</v>
      </c>
      <c r="E30" s="522">
        <f>IF(+I14&lt;F29,I14,D30)</f>
        <v>125017.59523809524</v>
      </c>
      <c r="F30" s="523">
        <f t="shared" si="12"/>
        <v>3544207.6513859816</v>
      </c>
      <c r="G30" s="524">
        <f t="shared" si="13"/>
        <v>510279.7382494834</v>
      </c>
      <c r="H30" s="491">
        <f t="shared" si="14"/>
        <v>510279.7382494834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3544207.6513859816</v>
      </c>
      <c r="E31" s="522">
        <f>IF(+I14&lt;F30,I14,D31)</f>
        <v>125017.59523809524</v>
      </c>
      <c r="F31" s="523">
        <f t="shared" si="12"/>
        <v>3419190.0561478864</v>
      </c>
      <c r="G31" s="524">
        <f t="shared" si="13"/>
        <v>496925.61204173963</v>
      </c>
      <c r="H31" s="491">
        <f t="shared" si="14"/>
        <v>496925.61204173963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3419190.0561478864</v>
      </c>
      <c r="E32" s="522">
        <f>IF(+I14&lt;F31,I14,D32)</f>
        <v>125017.59523809524</v>
      </c>
      <c r="F32" s="523">
        <f t="shared" si="12"/>
        <v>3294172.4609097913</v>
      </c>
      <c r="G32" s="524">
        <f t="shared" si="13"/>
        <v>483571.48583399574</v>
      </c>
      <c r="H32" s="491">
        <f t="shared" si="14"/>
        <v>483571.48583399574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3294172.4609097913</v>
      </c>
      <c r="E33" s="522">
        <f>IF(+I14&lt;F32,I14,D33)</f>
        <v>125017.59523809524</v>
      </c>
      <c r="F33" s="523">
        <f t="shared" si="12"/>
        <v>3169154.8656716961</v>
      </c>
      <c r="G33" s="524">
        <f t="shared" si="13"/>
        <v>470217.35962625197</v>
      </c>
      <c r="H33" s="491">
        <f t="shared" si="14"/>
        <v>470217.35962625197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3169154.8656716961</v>
      </c>
      <c r="E34" s="522">
        <f>IF(+I14&lt;F33,I14,D34)</f>
        <v>125017.59523809524</v>
      </c>
      <c r="F34" s="523">
        <f t="shared" si="12"/>
        <v>3044137.270433601</v>
      </c>
      <c r="G34" s="524">
        <f t="shared" si="13"/>
        <v>456863.23341850808</v>
      </c>
      <c r="H34" s="491">
        <f t="shared" si="14"/>
        <v>456863.23341850808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3044137.270433601</v>
      </c>
      <c r="E35" s="522">
        <f>IF(+I14&lt;F34,I14,D35)</f>
        <v>125017.59523809524</v>
      </c>
      <c r="F35" s="523">
        <f t="shared" si="12"/>
        <v>2919119.6751955058</v>
      </c>
      <c r="G35" s="524">
        <f t="shared" si="13"/>
        <v>443509.10721076431</v>
      </c>
      <c r="H35" s="491">
        <f t="shared" si="14"/>
        <v>443509.10721076431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2919119.6751955058</v>
      </c>
      <c r="E36" s="522">
        <f>IF(+I14&lt;F35,I14,D36)</f>
        <v>125017.59523809524</v>
      </c>
      <c r="F36" s="523">
        <f t="shared" si="12"/>
        <v>2794102.0799574107</v>
      </c>
      <c r="G36" s="524">
        <f t="shared" si="13"/>
        <v>430154.98100302042</v>
      </c>
      <c r="H36" s="491">
        <f t="shared" si="14"/>
        <v>430154.98100302042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2794102.0799574107</v>
      </c>
      <c r="E37" s="522">
        <f>IF(+I14&lt;F36,I14,D37)</f>
        <v>125017.59523809524</v>
      </c>
      <c r="F37" s="523">
        <f t="shared" si="12"/>
        <v>2669084.4847193155</v>
      </c>
      <c r="G37" s="524">
        <f t="shared" si="13"/>
        <v>416800.85479527654</v>
      </c>
      <c r="H37" s="491">
        <f t="shared" si="14"/>
        <v>416800.85479527654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2669084.4847193155</v>
      </c>
      <c r="E38" s="522">
        <f>IF(+I14&lt;F37,I14,D38)</f>
        <v>125017.59523809524</v>
      </c>
      <c r="F38" s="523">
        <f t="shared" si="12"/>
        <v>2544066.8894812204</v>
      </c>
      <c r="G38" s="524">
        <f t="shared" si="13"/>
        <v>403446.72858753277</v>
      </c>
      <c r="H38" s="491">
        <f t="shared" si="14"/>
        <v>403446.72858753277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2544066.8894812204</v>
      </c>
      <c r="E39" s="522">
        <f>IF(+I14&lt;F38,I14,D39)</f>
        <v>125017.59523809524</v>
      </c>
      <c r="F39" s="523">
        <f t="shared" si="12"/>
        <v>2419049.2942431252</v>
      </c>
      <c r="G39" s="524">
        <f t="shared" si="13"/>
        <v>390092.60237978888</v>
      </c>
      <c r="H39" s="491">
        <f t="shared" si="14"/>
        <v>390092.60237978888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2419049.2942431252</v>
      </c>
      <c r="E40" s="522">
        <f>IF(+I14&lt;F39,I14,D40)</f>
        <v>125017.59523809524</v>
      </c>
      <c r="F40" s="523">
        <f t="shared" si="12"/>
        <v>2294031.6990050301</v>
      </c>
      <c r="G40" s="524">
        <f t="shared" si="13"/>
        <v>376738.47617204505</v>
      </c>
      <c r="H40" s="491">
        <f t="shared" si="14"/>
        <v>376738.47617204505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2294031.6990050301</v>
      </c>
      <c r="E41" s="522">
        <f>IF(+I14&lt;F40,I14,D41)</f>
        <v>125017.59523809524</v>
      </c>
      <c r="F41" s="523">
        <f t="shared" si="12"/>
        <v>2169014.1037669349</v>
      </c>
      <c r="G41" s="524">
        <f t="shared" si="13"/>
        <v>363384.34996430122</v>
      </c>
      <c r="H41" s="491">
        <f t="shared" si="14"/>
        <v>363384.34996430122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2169014.1037669349</v>
      </c>
      <c r="E42" s="522">
        <f>IF(+I14&lt;F41,I14,D42)</f>
        <v>125017.59523809524</v>
      </c>
      <c r="F42" s="523">
        <f t="shared" si="12"/>
        <v>2043996.5085288398</v>
      </c>
      <c r="G42" s="524">
        <f t="shared" si="13"/>
        <v>350030.22375655733</v>
      </c>
      <c r="H42" s="491">
        <f t="shared" si="14"/>
        <v>350030.22375655733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2043996.5085288398</v>
      </c>
      <c r="E43" s="522">
        <f>IF(+I14&lt;F42,I14,D43)</f>
        <v>125017.59523809524</v>
      </c>
      <c r="F43" s="523">
        <f t="shared" si="12"/>
        <v>1918978.9132907446</v>
      </c>
      <c r="G43" s="524">
        <f t="shared" si="13"/>
        <v>336676.09754881356</v>
      </c>
      <c r="H43" s="491">
        <f t="shared" si="14"/>
        <v>336676.09754881356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1918978.9132907446</v>
      </c>
      <c r="E44" s="522">
        <f>IF(+I14&lt;F43,I14,D44)</f>
        <v>125017.59523809524</v>
      </c>
      <c r="F44" s="523">
        <f t="shared" si="12"/>
        <v>1793961.3180526495</v>
      </c>
      <c r="G44" s="524">
        <f t="shared" si="13"/>
        <v>323321.97134106967</v>
      </c>
      <c r="H44" s="491">
        <f t="shared" si="14"/>
        <v>323321.97134106967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1793961.3180526495</v>
      </c>
      <c r="E45" s="522">
        <f>IF(+I14&lt;F44,I14,D45)</f>
        <v>125017.59523809524</v>
      </c>
      <c r="F45" s="523">
        <f t="shared" si="12"/>
        <v>1668943.7228145543</v>
      </c>
      <c r="G45" s="524">
        <f t="shared" si="13"/>
        <v>309967.84513332584</v>
      </c>
      <c r="H45" s="491">
        <f t="shared" si="14"/>
        <v>309967.84513332584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1668943.7228145543</v>
      </c>
      <c r="E46" s="522">
        <f>IF(+I14&lt;F45,I14,D46)</f>
        <v>125017.59523809524</v>
      </c>
      <c r="F46" s="523">
        <f t="shared" si="12"/>
        <v>1543926.1275764592</v>
      </c>
      <c r="G46" s="524">
        <f t="shared" si="13"/>
        <v>296613.71892558201</v>
      </c>
      <c r="H46" s="491">
        <f t="shared" si="14"/>
        <v>296613.71892558201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1543926.1275764592</v>
      </c>
      <c r="E47" s="522">
        <f>IF(+I14&lt;F46,I14,D47)</f>
        <v>125017.59523809524</v>
      </c>
      <c r="F47" s="523">
        <f t="shared" si="12"/>
        <v>1418908.532338364</v>
      </c>
      <c r="G47" s="524">
        <f t="shared" si="13"/>
        <v>283259.59271783818</v>
      </c>
      <c r="H47" s="491">
        <f t="shared" si="14"/>
        <v>283259.59271783818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1418908.532338364</v>
      </c>
      <c r="E48" s="522">
        <f>IF(+I14&lt;F47,I14,D48)</f>
        <v>125017.59523809524</v>
      </c>
      <c r="F48" s="523">
        <f t="shared" si="12"/>
        <v>1293890.9371002689</v>
      </c>
      <c r="G48" s="524">
        <f t="shared" si="13"/>
        <v>269905.46651009435</v>
      </c>
      <c r="H48" s="491">
        <f t="shared" si="14"/>
        <v>269905.46651009435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1293890.9371002689</v>
      </c>
      <c r="E49" s="522">
        <f>IF(+I14&lt;F48,I14,D49)</f>
        <v>125017.59523809524</v>
      </c>
      <c r="F49" s="523">
        <f t="shared" ref="F49:F72" si="15">+D49-E49</f>
        <v>1168873.3418621738</v>
      </c>
      <c r="G49" s="524">
        <f t="shared" si="13"/>
        <v>256551.34030235049</v>
      </c>
      <c r="H49" s="491">
        <f t="shared" si="14"/>
        <v>256551.34030235049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1168873.3418621738</v>
      </c>
      <c r="E50" s="522">
        <f>IF(+I14&lt;F49,I14,D50)</f>
        <v>125017.59523809524</v>
      </c>
      <c r="F50" s="523">
        <f t="shared" si="15"/>
        <v>1043855.7466240785</v>
      </c>
      <c r="G50" s="524">
        <f t="shared" si="13"/>
        <v>243197.21409460664</v>
      </c>
      <c r="H50" s="491">
        <f t="shared" si="14"/>
        <v>243197.21409460664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1043855.7466240785</v>
      </c>
      <c r="E51" s="522">
        <f>IF(+I14&lt;F50,I14,D51)</f>
        <v>125017.59523809524</v>
      </c>
      <c r="F51" s="523">
        <f t="shared" si="15"/>
        <v>918838.15138598322</v>
      </c>
      <c r="G51" s="524">
        <f t="shared" si="13"/>
        <v>229843.08788686281</v>
      </c>
      <c r="H51" s="491">
        <f t="shared" si="14"/>
        <v>229843.08788686281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918838.15138598322</v>
      </c>
      <c r="E52" s="522">
        <f>IF(+I14&lt;F51,I14,D52)</f>
        <v>125017.59523809524</v>
      </c>
      <c r="F52" s="523">
        <f t="shared" si="15"/>
        <v>793820.55614788795</v>
      </c>
      <c r="G52" s="524">
        <f t="shared" si="13"/>
        <v>216488.96167911895</v>
      </c>
      <c r="H52" s="491">
        <f t="shared" si="14"/>
        <v>216488.96167911895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793820.55614788795</v>
      </c>
      <c r="E53" s="522">
        <f>IF(+I14&lt;F52,I14,D53)</f>
        <v>125017.59523809524</v>
      </c>
      <c r="F53" s="523">
        <f t="shared" si="15"/>
        <v>668802.96090979269</v>
      </c>
      <c r="G53" s="524">
        <f t="shared" si="13"/>
        <v>203134.83547137509</v>
      </c>
      <c r="H53" s="491">
        <f t="shared" si="14"/>
        <v>203134.83547137509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668802.96090979269</v>
      </c>
      <c r="E54" s="522">
        <f>IF(+I14&lt;F53,I14,D54)</f>
        <v>125017.59523809524</v>
      </c>
      <c r="F54" s="523">
        <f t="shared" si="15"/>
        <v>543785.36567169742</v>
      </c>
      <c r="G54" s="524">
        <f t="shared" si="13"/>
        <v>189780.70926363123</v>
      </c>
      <c r="H54" s="491">
        <f t="shared" si="14"/>
        <v>189780.70926363123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543785.36567169742</v>
      </c>
      <c r="E55" s="522">
        <f>IF(+I14&lt;F54,I14,D55)</f>
        <v>125017.59523809524</v>
      </c>
      <c r="F55" s="523">
        <f t="shared" si="15"/>
        <v>418767.77043360216</v>
      </c>
      <c r="G55" s="524">
        <f t="shared" si="13"/>
        <v>176426.58305588737</v>
      </c>
      <c r="H55" s="491">
        <f t="shared" si="14"/>
        <v>176426.58305588737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418767.77043360216</v>
      </c>
      <c r="E56" s="522">
        <f>IF(+I14&lt;F55,I14,D56)</f>
        <v>125017.59523809524</v>
      </c>
      <c r="F56" s="523">
        <f t="shared" si="15"/>
        <v>293750.17519550689</v>
      </c>
      <c r="G56" s="524">
        <f t="shared" ref="G56:G72" si="20">+I$12*((D56+F56)/2)+E56</f>
        <v>163072.45684814354</v>
      </c>
      <c r="H56" s="491">
        <f t="shared" ref="H56:H72" si="21">+I$13*((D56+F56)/2)+E56</f>
        <v>163072.45684814354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293750.17519550689</v>
      </c>
      <c r="E57" s="522">
        <f>IF(+I14&lt;F56,I14,D57)</f>
        <v>125017.59523809524</v>
      </c>
      <c r="F57" s="523">
        <f t="shared" si="15"/>
        <v>168732.57995741165</v>
      </c>
      <c r="G57" s="524">
        <f t="shared" si="20"/>
        <v>149718.33064039968</v>
      </c>
      <c r="H57" s="491">
        <f t="shared" si="21"/>
        <v>149718.33064039968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168732.57995741165</v>
      </c>
      <c r="E58" s="522">
        <f>IF(+I14&lt;F57,I14,D58)</f>
        <v>125017.59523809524</v>
      </c>
      <c r="F58" s="523">
        <f t="shared" si="15"/>
        <v>43714.984719316417</v>
      </c>
      <c r="G58" s="524">
        <f t="shared" si="20"/>
        <v>136364.20443265582</v>
      </c>
      <c r="H58" s="491">
        <f t="shared" si="21"/>
        <v>136364.20443265582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43714.984719316417</v>
      </c>
      <c r="E59" s="522">
        <f>IF(+I14&lt;F58,I14,D59)</f>
        <v>43714.984719316417</v>
      </c>
      <c r="F59" s="523">
        <f t="shared" si="15"/>
        <v>0</v>
      </c>
      <c r="G59" s="524">
        <f t="shared" si="20"/>
        <v>46049.757764660746</v>
      </c>
      <c r="H59" s="491">
        <f t="shared" si="21"/>
        <v>46049.757764660746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20"/>
        <v>0</v>
      </c>
      <c r="H60" s="491">
        <f t="shared" si="21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20"/>
        <v>0</v>
      </c>
      <c r="H61" s="491">
        <f t="shared" si="21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20"/>
        <v>0</v>
      </c>
      <c r="H62" s="491">
        <f t="shared" si="21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20"/>
        <v>0</v>
      </c>
      <c r="H63" s="491">
        <f t="shared" si="21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20"/>
        <v>0</v>
      </c>
      <c r="H64" s="491">
        <f t="shared" si="21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20"/>
        <v>0</v>
      </c>
      <c r="H65" s="491">
        <f t="shared" si="21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20"/>
        <v>0</v>
      </c>
      <c r="H66" s="491">
        <f t="shared" si="21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20"/>
        <v>0</v>
      </c>
      <c r="H67" s="491">
        <f t="shared" si="21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20"/>
        <v>0</v>
      </c>
      <c r="H68" s="491">
        <f t="shared" si="21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20"/>
        <v>0</v>
      </c>
      <c r="H69" s="491">
        <f t="shared" si="21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20"/>
        <v>0</v>
      </c>
      <c r="H70" s="491">
        <f t="shared" si="21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20"/>
        <v>0</v>
      </c>
      <c r="H71" s="491">
        <f t="shared" si="21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20"/>
        <v>0</v>
      </c>
      <c r="H72" s="471">
        <f t="shared" si="21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5250739</v>
      </c>
      <c r="F73" s="375"/>
      <c r="G73" s="375">
        <f>SUM(G17:G72)</f>
        <v>18599901.069837891</v>
      </c>
      <c r="H73" s="375">
        <f>SUM(H17:H72)</f>
        <v>18599901.069837891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24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535698.99348841433</v>
      </c>
      <c r="N87" s="546">
        <f>IF(J92&lt;D11,0,VLOOKUP(J92,C17:O72,11))</f>
        <v>535698.99348841433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555835.00414311176</v>
      </c>
      <c r="N88" s="550">
        <f>IF(J92&lt;D11,0,VLOOKUP(J92,C99:P154,7))</f>
        <v>555835.00414311176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Rebuild/reconductor Dyess-Elm Springs REC [Dyess Station-Flint Creek]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20136.010654697428</v>
      </c>
      <c r="N89" s="555">
        <f>+N88-N87</f>
        <v>20136.010654697428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TP2008026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5250739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125017.59523809524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64033.402439024387</v>
      </c>
      <c r="F99" s="515">
        <v>5186705.5975609757</v>
      </c>
      <c r="G99" s="574">
        <v>2593352.7987804879</v>
      </c>
      <c r="H99" s="575">
        <v>492159.85552560829</v>
      </c>
      <c r="I99" s="576">
        <v>492159.85552560829</v>
      </c>
      <c r="J99" s="613">
        <f t="shared" ref="J99:J130" si="22">+I99-H99</f>
        <v>0</v>
      </c>
      <c r="K99" s="514"/>
      <c r="L99" s="512">
        <f t="shared" ref="L99:L104" si="23">H99</f>
        <v>492159.85552560829</v>
      </c>
      <c r="M99" s="597">
        <f t="shared" ref="M99:M130" si="24">IF(L99&lt;&gt;0,+H99-L99,0)</f>
        <v>0</v>
      </c>
      <c r="N99" s="512">
        <f t="shared" ref="N99:N104" si="25">I99</f>
        <v>492159.85552560829</v>
      </c>
      <c r="O99" s="513">
        <f t="shared" ref="O99:O130" si="26">IF(N99&lt;&gt;0,+I99-N99,0)</f>
        <v>0</v>
      </c>
      <c r="P99" s="513">
        <f t="shared" ref="P99:P130" si="27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2011</v>
      </c>
      <c r="D100" s="508">
        <v>5186705.5975609757</v>
      </c>
      <c r="E100" s="516">
        <v>125017.59523809524</v>
      </c>
      <c r="F100" s="515">
        <v>5061688.0023228806</v>
      </c>
      <c r="G100" s="515">
        <v>5124196.7999419281</v>
      </c>
      <c r="H100" s="516">
        <v>895593.80408985249</v>
      </c>
      <c r="I100" s="510">
        <v>895593.80408985249</v>
      </c>
      <c r="J100" s="613">
        <f t="shared" si="22"/>
        <v>0</v>
      </c>
      <c r="K100" s="514"/>
      <c r="L100" s="518">
        <f t="shared" si="23"/>
        <v>895593.80408985249</v>
      </c>
      <c r="M100" s="519">
        <f t="shared" si="24"/>
        <v>0</v>
      </c>
      <c r="N100" s="518">
        <f t="shared" si="25"/>
        <v>895593.80408985249</v>
      </c>
      <c r="O100" s="514">
        <f t="shared" si="26"/>
        <v>0</v>
      </c>
      <c r="P100" s="514">
        <f t="shared" si="27"/>
        <v>0</v>
      </c>
      <c r="Q100" s="269"/>
    </row>
    <row r="101" spans="1:17" ht="12.5">
      <c r="B101" s="195" t="str">
        <f t="shared" ref="B101:B154" si="28">IF(D101=F100,"","IU")</f>
        <v/>
      </c>
      <c r="C101" s="507">
        <f>IF(D93="","-",+C100+1)</f>
        <v>2012</v>
      </c>
      <c r="D101" s="508">
        <v>5061688.0023228806</v>
      </c>
      <c r="E101" s="516">
        <v>125017.59523809524</v>
      </c>
      <c r="F101" s="515">
        <v>4936670.4070847854</v>
      </c>
      <c r="G101" s="515">
        <v>4999179.204703833</v>
      </c>
      <c r="H101" s="516">
        <v>860666.47096382198</v>
      </c>
      <c r="I101" s="510">
        <v>860666.47096382198</v>
      </c>
      <c r="J101" s="613">
        <f t="shared" si="22"/>
        <v>0</v>
      </c>
      <c r="K101" s="514"/>
      <c r="L101" s="518">
        <f t="shared" si="23"/>
        <v>860666.47096382198</v>
      </c>
      <c r="M101" s="519">
        <f t="shared" si="24"/>
        <v>0</v>
      </c>
      <c r="N101" s="518">
        <f t="shared" si="25"/>
        <v>860666.47096382198</v>
      </c>
      <c r="O101" s="514">
        <f t="shared" si="26"/>
        <v>0</v>
      </c>
      <c r="P101" s="514">
        <f t="shared" si="27"/>
        <v>0</v>
      </c>
      <c r="Q101" s="269"/>
    </row>
    <row r="102" spans="1:17" ht="12.5">
      <c r="B102" s="195" t="str">
        <f t="shared" si="28"/>
        <v/>
      </c>
      <c r="C102" s="507">
        <f>IF(D93="","-",+C101+1)</f>
        <v>2013</v>
      </c>
      <c r="D102" s="508">
        <v>4936670.4070847854</v>
      </c>
      <c r="E102" s="516">
        <v>125017.59523809524</v>
      </c>
      <c r="F102" s="515">
        <v>4811652.8118466903</v>
      </c>
      <c r="G102" s="515">
        <v>4874161.6094657378</v>
      </c>
      <c r="H102" s="516">
        <v>784451.21671407181</v>
      </c>
      <c r="I102" s="510">
        <v>784451.21671407181</v>
      </c>
      <c r="J102" s="613">
        <v>0</v>
      </c>
      <c r="K102" s="514"/>
      <c r="L102" s="518">
        <f t="shared" si="23"/>
        <v>784451.21671407181</v>
      </c>
      <c r="M102" s="519">
        <f t="shared" ref="M102:M107" si="29">IF(L102&lt;&gt;0,+H102-L102,0)</f>
        <v>0</v>
      </c>
      <c r="N102" s="518">
        <f t="shared" si="25"/>
        <v>784451.21671407181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8"/>
        <v/>
      </c>
      <c r="C103" s="507">
        <f>IF(D93="","-",+C102+1)</f>
        <v>2014</v>
      </c>
      <c r="D103" s="508">
        <v>4811652.8118466903</v>
      </c>
      <c r="E103" s="516">
        <v>125017.59523809524</v>
      </c>
      <c r="F103" s="515">
        <v>4686635.2166085951</v>
      </c>
      <c r="G103" s="515">
        <v>4749144.0142276427</v>
      </c>
      <c r="H103" s="516">
        <v>770537.68057167216</v>
      </c>
      <c r="I103" s="510">
        <v>770537.68057167216</v>
      </c>
      <c r="J103" s="514">
        <v>0</v>
      </c>
      <c r="K103" s="514"/>
      <c r="L103" s="518">
        <f t="shared" si="23"/>
        <v>770537.68057167216</v>
      </c>
      <c r="M103" s="519">
        <f t="shared" si="29"/>
        <v>0</v>
      </c>
      <c r="N103" s="518">
        <f t="shared" si="25"/>
        <v>770537.68057167216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8"/>
        <v/>
      </c>
      <c r="C104" s="507">
        <f>IF(D93="","-",+C103+1)</f>
        <v>2015</v>
      </c>
      <c r="D104" s="508">
        <v>4686635.2166085951</v>
      </c>
      <c r="E104" s="516">
        <v>125017.59523809524</v>
      </c>
      <c r="F104" s="515">
        <v>4561617.6213705</v>
      </c>
      <c r="G104" s="515">
        <v>4624126.4189895475</v>
      </c>
      <c r="H104" s="516">
        <v>734333.54462045</v>
      </c>
      <c r="I104" s="510">
        <v>734333.54462045</v>
      </c>
      <c r="J104" s="514">
        <f t="shared" si="22"/>
        <v>0</v>
      </c>
      <c r="K104" s="514"/>
      <c r="L104" s="518">
        <f t="shared" si="23"/>
        <v>734333.54462045</v>
      </c>
      <c r="M104" s="519">
        <f t="shared" si="29"/>
        <v>0</v>
      </c>
      <c r="N104" s="518">
        <f t="shared" si="25"/>
        <v>734333.54462045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8"/>
        <v/>
      </c>
      <c r="C105" s="507">
        <f>IF(D93="","-",+C104+1)</f>
        <v>2016</v>
      </c>
      <c r="D105" s="508">
        <v>4561617.6213705</v>
      </c>
      <c r="E105" s="516">
        <v>122110.20930232559</v>
      </c>
      <c r="F105" s="515">
        <v>4439507.4120681742</v>
      </c>
      <c r="G105" s="515">
        <v>4500562.5167193376</v>
      </c>
      <c r="H105" s="516">
        <v>693456.56809088623</v>
      </c>
      <c r="I105" s="510">
        <v>693456.56809088623</v>
      </c>
      <c r="J105" s="514">
        <f t="shared" si="22"/>
        <v>0</v>
      </c>
      <c r="K105" s="514"/>
      <c r="L105" s="518">
        <f>H105</f>
        <v>693456.56809088623</v>
      </c>
      <c r="M105" s="519">
        <f t="shared" si="29"/>
        <v>0</v>
      </c>
      <c r="N105" s="518">
        <f>I105</f>
        <v>693456.56809088623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28"/>
        <v/>
      </c>
      <c r="C106" s="507">
        <f>IF(D93="","-",+C105+1)</f>
        <v>2017</v>
      </c>
      <c r="D106" s="508">
        <v>4439507.4120681742</v>
      </c>
      <c r="E106" s="516">
        <v>125017.59523809524</v>
      </c>
      <c r="F106" s="515">
        <v>4314489.8168300791</v>
      </c>
      <c r="G106" s="515">
        <v>4376998.6144491266</v>
      </c>
      <c r="H106" s="516">
        <v>656697.99721600045</v>
      </c>
      <c r="I106" s="510">
        <v>656697.99721600045</v>
      </c>
      <c r="J106" s="514">
        <f t="shared" si="22"/>
        <v>0</v>
      </c>
      <c r="K106" s="514"/>
      <c r="L106" s="518">
        <f>H106</f>
        <v>656697.99721600045</v>
      </c>
      <c r="M106" s="519">
        <f t="shared" si="29"/>
        <v>0</v>
      </c>
      <c r="N106" s="518">
        <f>I106</f>
        <v>656697.99721600045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28"/>
        <v/>
      </c>
      <c r="C107" s="507">
        <f>IF(D93="","-",+C106+1)</f>
        <v>2018</v>
      </c>
      <c r="D107" s="508">
        <v>4314489.8168300791</v>
      </c>
      <c r="E107" s="516">
        <v>125017.59523809524</v>
      </c>
      <c r="F107" s="515">
        <v>4189472.2215919839</v>
      </c>
      <c r="G107" s="515">
        <v>4251981.0192110315</v>
      </c>
      <c r="H107" s="516">
        <v>574046.28968548193</v>
      </c>
      <c r="I107" s="510">
        <v>574046.28968548193</v>
      </c>
      <c r="J107" s="514">
        <f t="shared" si="22"/>
        <v>0</v>
      </c>
      <c r="K107" s="514"/>
      <c r="L107" s="518">
        <f>H107</f>
        <v>574046.28968548193</v>
      </c>
      <c r="M107" s="519">
        <f t="shared" si="29"/>
        <v>0</v>
      </c>
      <c r="N107" s="518">
        <f>I107</f>
        <v>574046.28968548193</v>
      </c>
      <c r="O107" s="514">
        <f t="shared" si="26"/>
        <v>0</v>
      </c>
      <c r="P107" s="514">
        <f t="shared" si="27"/>
        <v>0</v>
      </c>
      <c r="Q107" s="269"/>
    </row>
    <row r="108" spans="1:17" ht="12.5">
      <c r="B108" s="195" t="str">
        <f t="shared" si="28"/>
        <v/>
      </c>
      <c r="C108" s="507">
        <f>IF(D93="","-",+C107+1)</f>
        <v>2019</v>
      </c>
      <c r="D108" s="508">
        <v>4189472.2215919839</v>
      </c>
      <c r="E108" s="516">
        <v>122110.20930232559</v>
      </c>
      <c r="F108" s="515">
        <v>4067362.0122896582</v>
      </c>
      <c r="G108" s="515">
        <v>4128417.1169408211</v>
      </c>
      <c r="H108" s="516">
        <v>564018.23385327356</v>
      </c>
      <c r="I108" s="510">
        <v>564018.23385327356</v>
      </c>
      <c r="J108" s="514">
        <f t="shared" si="22"/>
        <v>0</v>
      </c>
      <c r="K108" s="514"/>
      <c r="L108" s="518">
        <f>H108</f>
        <v>564018.23385327356</v>
      </c>
      <c r="M108" s="519">
        <f t="shared" ref="M108" si="30">IF(L108&lt;&gt;0,+H108-L108,0)</f>
        <v>0</v>
      </c>
      <c r="N108" s="518">
        <f>I108</f>
        <v>564018.23385327356</v>
      </c>
      <c r="O108" s="514">
        <f t="shared" si="26"/>
        <v>0</v>
      </c>
      <c r="P108" s="514">
        <f t="shared" si="27"/>
        <v>0</v>
      </c>
      <c r="Q108" s="269"/>
    </row>
    <row r="109" spans="1:17" ht="12.5">
      <c r="B109" s="195" t="str">
        <f t="shared" si="28"/>
        <v/>
      </c>
      <c r="C109" s="507">
        <f>IF(D93="","-",+C108+1)</f>
        <v>2020</v>
      </c>
      <c r="D109" s="374">
        <f>IF(F108+SUM(E$99:E108)=D$92,F108,D$92-SUM(E$99:E108))</f>
        <v>4067362.0122896582</v>
      </c>
      <c r="E109" s="522">
        <f>IF(+J96&lt;F108,J96,D109)</f>
        <v>125017.59523809524</v>
      </c>
      <c r="F109" s="523">
        <f t="shared" ref="F109:F131" si="31">+D109-E109</f>
        <v>3942344.417051563</v>
      </c>
      <c r="G109" s="523">
        <f t="shared" ref="G109:G130" si="32">+(F109+D109)/2</f>
        <v>4004853.2146706106</v>
      </c>
      <c r="H109" s="526">
        <f t="shared" ref="H109:H130" si="33">+J$94*G109+E109</f>
        <v>555835.00414311176</v>
      </c>
      <c r="I109" s="577">
        <f t="shared" ref="I109:I130" si="34">+J$95*G109+E109</f>
        <v>555835.00414311176</v>
      </c>
      <c r="J109" s="514">
        <f t="shared" si="22"/>
        <v>0</v>
      </c>
      <c r="K109" s="514"/>
      <c r="L109" s="525"/>
      <c r="M109" s="514">
        <f t="shared" si="24"/>
        <v>0</v>
      </c>
      <c r="N109" s="525"/>
      <c r="O109" s="514">
        <f t="shared" si="26"/>
        <v>0</v>
      </c>
      <c r="P109" s="514">
        <f t="shared" si="27"/>
        <v>0</v>
      </c>
      <c r="Q109" s="269"/>
    </row>
    <row r="110" spans="1:17" ht="12.5">
      <c r="B110" s="195" t="str">
        <f t="shared" si="28"/>
        <v/>
      </c>
      <c r="C110" s="507">
        <f>IF(D93="","-",+C109+1)</f>
        <v>2021</v>
      </c>
      <c r="D110" s="374">
        <f>IF(F109+SUM(E$99:E109)=D$92,F109,D$92-SUM(E$99:E109))</f>
        <v>3942344.417051563</v>
      </c>
      <c r="E110" s="522">
        <f>IF(+J96&lt;F109,J96,D110)</f>
        <v>125017.59523809524</v>
      </c>
      <c r="F110" s="523">
        <f t="shared" si="31"/>
        <v>3817326.8218134679</v>
      </c>
      <c r="G110" s="523">
        <f t="shared" si="32"/>
        <v>3879835.6194325155</v>
      </c>
      <c r="H110" s="526">
        <f t="shared" si="33"/>
        <v>542386.38229332399</v>
      </c>
      <c r="I110" s="577">
        <f t="shared" si="34"/>
        <v>542386.38229332399</v>
      </c>
      <c r="J110" s="514">
        <f t="shared" si="22"/>
        <v>0</v>
      </c>
      <c r="K110" s="514"/>
      <c r="L110" s="525"/>
      <c r="M110" s="514">
        <f t="shared" si="24"/>
        <v>0</v>
      </c>
      <c r="N110" s="525"/>
      <c r="O110" s="514">
        <f t="shared" si="26"/>
        <v>0</v>
      </c>
      <c r="P110" s="514">
        <f t="shared" si="27"/>
        <v>0</v>
      </c>
      <c r="Q110" s="269"/>
    </row>
    <row r="111" spans="1:17" ht="12.5">
      <c r="B111" s="195" t="str">
        <f t="shared" si="28"/>
        <v/>
      </c>
      <c r="C111" s="507">
        <f>IF(D93="","-",+C110+1)</f>
        <v>2022</v>
      </c>
      <c r="D111" s="374">
        <f>IF(F110+SUM(E$99:E110)=D$92,F110,D$92-SUM(E$99:E110))</f>
        <v>3817326.8218134679</v>
      </c>
      <c r="E111" s="522">
        <f>IF(+J96&lt;F110,J96,D111)</f>
        <v>125017.59523809524</v>
      </c>
      <c r="F111" s="523">
        <f t="shared" si="31"/>
        <v>3692309.2265753727</v>
      </c>
      <c r="G111" s="523">
        <f t="shared" si="32"/>
        <v>3754818.0241944203</v>
      </c>
      <c r="H111" s="526">
        <f t="shared" si="33"/>
        <v>528937.7604435361</v>
      </c>
      <c r="I111" s="577">
        <f t="shared" si="34"/>
        <v>528937.7604435361</v>
      </c>
      <c r="J111" s="514">
        <f t="shared" si="22"/>
        <v>0</v>
      </c>
      <c r="K111" s="514"/>
      <c r="L111" s="525"/>
      <c r="M111" s="514">
        <f t="shared" si="24"/>
        <v>0</v>
      </c>
      <c r="N111" s="525"/>
      <c r="O111" s="514">
        <f t="shared" si="26"/>
        <v>0</v>
      </c>
      <c r="P111" s="514">
        <f t="shared" si="27"/>
        <v>0</v>
      </c>
      <c r="Q111" s="269"/>
    </row>
    <row r="112" spans="1:17" ht="12.5">
      <c r="B112" s="195" t="str">
        <f t="shared" si="28"/>
        <v/>
      </c>
      <c r="C112" s="507">
        <f>IF(D93="","-",+C111+1)</f>
        <v>2023</v>
      </c>
      <c r="D112" s="374">
        <f>IF(F111+SUM(E$99:E111)=D$92,F111,D$92-SUM(E$99:E111))</f>
        <v>3692309.2265753727</v>
      </c>
      <c r="E112" s="522">
        <f>IF(+J96&lt;F111,J96,D112)</f>
        <v>125017.59523809524</v>
      </c>
      <c r="F112" s="523">
        <f t="shared" si="31"/>
        <v>3567291.6313372776</v>
      </c>
      <c r="G112" s="523">
        <f t="shared" si="32"/>
        <v>3629800.4289563252</v>
      </c>
      <c r="H112" s="526">
        <f t="shared" si="33"/>
        <v>515489.13859374821</v>
      </c>
      <c r="I112" s="577">
        <f t="shared" si="34"/>
        <v>515489.13859374821</v>
      </c>
      <c r="J112" s="514">
        <f t="shared" si="22"/>
        <v>0</v>
      </c>
      <c r="K112" s="514"/>
      <c r="L112" s="525"/>
      <c r="M112" s="514">
        <f t="shared" si="24"/>
        <v>0</v>
      </c>
      <c r="N112" s="525"/>
      <c r="O112" s="514">
        <f t="shared" si="26"/>
        <v>0</v>
      </c>
      <c r="P112" s="514">
        <f t="shared" si="27"/>
        <v>0</v>
      </c>
      <c r="Q112" s="269"/>
    </row>
    <row r="113" spans="2:17" ht="12.5">
      <c r="B113" s="195" t="str">
        <f t="shared" si="28"/>
        <v/>
      </c>
      <c r="C113" s="507">
        <f>IF(D93="","-",+C112+1)</f>
        <v>2024</v>
      </c>
      <c r="D113" s="374">
        <f>IF(F112+SUM(E$99:E112)=D$92,F112,D$92-SUM(E$99:E112))</f>
        <v>3567291.6313372776</v>
      </c>
      <c r="E113" s="522">
        <f>IF(+J96&lt;F112,J96,D113)</f>
        <v>125017.59523809524</v>
      </c>
      <c r="F113" s="523">
        <f t="shared" si="31"/>
        <v>3442274.0360991824</v>
      </c>
      <c r="G113" s="523">
        <f t="shared" si="32"/>
        <v>3504782.83371823</v>
      </c>
      <c r="H113" s="526">
        <f t="shared" si="33"/>
        <v>502040.51674396044</v>
      </c>
      <c r="I113" s="577">
        <f t="shared" si="34"/>
        <v>502040.51674396044</v>
      </c>
      <c r="J113" s="514">
        <f t="shared" si="22"/>
        <v>0</v>
      </c>
      <c r="K113" s="514"/>
      <c r="L113" s="525"/>
      <c r="M113" s="514">
        <f t="shared" si="24"/>
        <v>0</v>
      </c>
      <c r="N113" s="525"/>
      <c r="O113" s="514">
        <f t="shared" si="26"/>
        <v>0</v>
      </c>
      <c r="P113" s="514">
        <f t="shared" si="27"/>
        <v>0</v>
      </c>
      <c r="Q113" s="269"/>
    </row>
    <row r="114" spans="2:17" ht="12.5">
      <c r="B114" s="195" t="str">
        <f t="shared" si="28"/>
        <v/>
      </c>
      <c r="C114" s="507">
        <f>IF(D93="","-",+C113+1)</f>
        <v>2025</v>
      </c>
      <c r="D114" s="374">
        <f>IF(F113+SUM(E$99:E113)=D$92,F113,D$92-SUM(E$99:E113))</f>
        <v>3442274.0360991824</v>
      </c>
      <c r="E114" s="522">
        <f>IF(+J96&lt;F113,J96,D114)</f>
        <v>125017.59523809524</v>
      </c>
      <c r="F114" s="523">
        <f t="shared" si="31"/>
        <v>3317256.4408610873</v>
      </c>
      <c r="G114" s="523">
        <f t="shared" si="32"/>
        <v>3379765.2384801349</v>
      </c>
      <c r="H114" s="526">
        <f t="shared" si="33"/>
        <v>488591.89489417255</v>
      </c>
      <c r="I114" s="577">
        <f t="shared" si="34"/>
        <v>488591.89489417255</v>
      </c>
      <c r="J114" s="514">
        <f t="shared" si="22"/>
        <v>0</v>
      </c>
      <c r="K114" s="514"/>
      <c r="L114" s="525"/>
      <c r="M114" s="514">
        <f t="shared" si="24"/>
        <v>0</v>
      </c>
      <c r="N114" s="525"/>
      <c r="O114" s="514">
        <f t="shared" si="26"/>
        <v>0</v>
      </c>
      <c r="P114" s="514">
        <f t="shared" si="27"/>
        <v>0</v>
      </c>
      <c r="Q114" s="269"/>
    </row>
    <row r="115" spans="2:17" ht="12.5">
      <c r="B115" s="195" t="str">
        <f t="shared" si="28"/>
        <v/>
      </c>
      <c r="C115" s="507">
        <f>IF(D93="","-",+C114+1)</f>
        <v>2026</v>
      </c>
      <c r="D115" s="374">
        <f>IF(F114+SUM(E$99:E114)=D$92,F114,D$92-SUM(E$99:E114))</f>
        <v>3317256.4408610873</v>
      </c>
      <c r="E115" s="522">
        <f>IF(+J96&lt;F114,J96,D115)</f>
        <v>125017.59523809524</v>
      </c>
      <c r="F115" s="523">
        <f t="shared" si="31"/>
        <v>3192238.8456229921</v>
      </c>
      <c r="G115" s="523">
        <f t="shared" si="32"/>
        <v>3254747.6432420397</v>
      </c>
      <c r="H115" s="526">
        <f t="shared" si="33"/>
        <v>475143.27304438467</v>
      </c>
      <c r="I115" s="577">
        <f t="shared" si="34"/>
        <v>475143.27304438467</v>
      </c>
      <c r="J115" s="514">
        <f t="shared" si="22"/>
        <v>0</v>
      </c>
      <c r="K115" s="514"/>
      <c r="L115" s="525"/>
      <c r="M115" s="514">
        <f t="shared" si="24"/>
        <v>0</v>
      </c>
      <c r="N115" s="525"/>
      <c r="O115" s="514">
        <f t="shared" si="26"/>
        <v>0</v>
      </c>
      <c r="P115" s="514">
        <f t="shared" si="27"/>
        <v>0</v>
      </c>
      <c r="Q115" s="269"/>
    </row>
    <row r="116" spans="2:17" ht="12.5">
      <c r="B116" s="195" t="str">
        <f t="shared" si="28"/>
        <v/>
      </c>
      <c r="C116" s="507">
        <f>IF(D93="","-",+C115+1)</f>
        <v>2027</v>
      </c>
      <c r="D116" s="374">
        <f>IF(F115+SUM(E$99:E115)=D$92,F115,D$92-SUM(E$99:E115))</f>
        <v>3192238.8456229921</v>
      </c>
      <c r="E116" s="522">
        <f>IF(+J96&lt;F115,J96,D116)</f>
        <v>125017.59523809524</v>
      </c>
      <c r="F116" s="523">
        <f t="shared" si="31"/>
        <v>3067221.250384897</v>
      </c>
      <c r="G116" s="523">
        <f t="shared" si="32"/>
        <v>3129730.0480039446</v>
      </c>
      <c r="H116" s="526">
        <f t="shared" si="33"/>
        <v>461694.6511945969</v>
      </c>
      <c r="I116" s="577">
        <f t="shared" si="34"/>
        <v>461694.6511945969</v>
      </c>
      <c r="J116" s="514">
        <f t="shared" si="22"/>
        <v>0</v>
      </c>
      <c r="K116" s="514"/>
      <c r="L116" s="525"/>
      <c r="M116" s="514">
        <f t="shared" si="24"/>
        <v>0</v>
      </c>
      <c r="N116" s="525"/>
      <c r="O116" s="514">
        <f t="shared" si="26"/>
        <v>0</v>
      </c>
      <c r="P116" s="514">
        <f t="shared" si="27"/>
        <v>0</v>
      </c>
      <c r="Q116" s="269"/>
    </row>
    <row r="117" spans="2:17" ht="12.5">
      <c r="B117" s="195" t="str">
        <f t="shared" si="28"/>
        <v/>
      </c>
      <c r="C117" s="507">
        <f>IF(D93="","-",+C116+1)</f>
        <v>2028</v>
      </c>
      <c r="D117" s="374">
        <f>IF(F116+SUM(E$99:E116)=D$92,F116,D$92-SUM(E$99:E116))</f>
        <v>3067221.250384897</v>
      </c>
      <c r="E117" s="522">
        <f>IF(+J96&lt;F116,J96,D117)</f>
        <v>125017.59523809524</v>
      </c>
      <c r="F117" s="523">
        <f t="shared" si="31"/>
        <v>2942203.6551468018</v>
      </c>
      <c r="G117" s="523">
        <f t="shared" si="32"/>
        <v>3004712.4527658494</v>
      </c>
      <c r="H117" s="526">
        <f t="shared" si="33"/>
        <v>448246.02934480901</v>
      </c>
      <c r="I117" s="577">
        <f t="shared" si="34"/>
        <v>448246.02934480901</v>
      </c>
      <c r="J117" s="514">
        <f t="shared" si="22"/>
        <v>0</v>
      </c>
      <c r="K117" s="514"/>
      <c r="L117" s="525"/>
      <c r="M117" s="514">
        <f t="shared" si="24"/>
        <v>0</v>
      </c>
      <c r="N117" s="525"/>
      <c r="O117" s="514">
        <f t="shared" si="26"/>
        <v>0</v>
      </c>
      <c r="P117" s="514">
        <f t="shared" si="27"/>
        <v>0</v>
      </c>
      <c r="Q117" s="269"/>
    </row>
    <row r="118" spans="2:17" ht="12.5">
      <c r="B118" s="195" t="str">
        <f t="shared" si="28"/>
        <v/>
      </c>
      <c r="C118" s="507">
        <f>IF(D93="","-",+C117+1)</f>
        <v>2029</v>
      </c>
      <c r="D118" s="374">
        <f>IF(F117+SUM(E$99:E117)=D$92,F117,D$92-SUM(E$99:E117))</f>
        <v>2942203.6551468018</v>
      </c>
      <c r="E118" s="522">
        <f>IF(+J96&lt;F117,J96,D118)</f>
        <v>125017.59523809524</v>
      </c>
      <c r="F118" s="523">
        <f t="shared" si="31"/>
        <v>2817186.0599087067</v>
      </c>
      <c r="G118" s="523">
        <f t="shared" si="32"/>
        <v>2879694.8575277543</v>
      </c>
      <c r="H118" s="526">
        <f t="shared" si="33"/>
        <v>434797.40749502112</v>
      </c>
      <c r="I118" s="577">
        <f t="shared" si="34"/>
        <v>434797.40749502112</v>
      </c>
      <c r="J118" s="514">
        <f t="shared" si="22"/>
        <v>0</v>
      </c>
      <c r="K118" s="514"/>
      <c r="L118" s="525"/>
      <c r="M118" s="514">
        <f t="shared" si="24"/>
        <v>0</v>
      </c>
      <c r="N118" s="525"/>
      <c r="O118" s="514">
        <f t="shared" si="26"/>
        <v>0</v>
      </c>
      <c r="P118" s="514">
        <f t="shared" si="27"/>
        <v>0</v>
      </c>
      <c r="Q118" s="269"/>
    </row>
    <row r="119" spans="2:17" ht="12.5">
      <c r="B119" s="195" t="str">
        <f t="shared" si="28"/>
        <v/>
      </c>
      <c r="C119" s="507">
        <f>IF(D93="","-",+C118+1)</f>
        <v>2030</v>
      </c>
      <c r="D119" s="374">
        <f>IF(F118+SUM(E$99:E118)=D$92,F118,D$92-SUM(E$99:E118))</f>
        <v>2817186.0599087067</v>
      </c>
      <c r="E119" s="522">
        <f>IF(+J96&lt;F118,J96,D119)</f>
        <v>125017.59523809524</v>
      </c>
      <c r="F119" s="523">
        <f t="shared" si="31"/>
        <v>2692168.4646706115</v>
      </c>
      <c r="G119" s="523">
        <f t="shared" si="32"/>
        <v>2754677.2622896591</v>
      </c>
      <c r="H119" s="526">
        <f t="shared" si="33"/>
        <v>421348.78564523323</v>
      </c>
      <c r="I119" s="577">
        <f t="shared" si="34"/>
        <v>421348.78564523323</v>
      </c>
      <c r="J119" s="514">
        <f t="shared" si="22"/>
        <v>0</v>
      </c>
      <c r="K119" s="514"/>
      <c r="L119" s="525"/>
      <c r="M119" s="514">
        <f t="shared" si="24"/>
        <v>0</v>
      </c>
      <c r="N119" s="525"/>
      <c r="O119" s="514">
        <f t="shared" si="26"/>
        <v>0</v>
      </c>
      <c r="P119" s="514">
        <f t="shared" si="27"/>
        <v>0</v>
      </c>
      <c r="Q119" s="269"/>
    </row>
    <row r="120" spans="2:17" ht="12.5">
      <c r="B120" s="195" t="str">
        <f t="shared" si="28"/>
        <v/>
      </c>
      <c r="C120" s="507">
        <f>IF(D93="","-",+C119+1)</f>
        <v>2031</v>
      </c>
      <c r="D120" s="374">
        <f>IF(F119+SUM(E$99:E119)=D$92,F119,D$92-SUM(E$99:E119))</f>
        <v>2692168.4646706115</v>
      </c>
      <c r="E120" s="522">
        <f>IF(+J96&lt;F119,J96,D120)</f>
        <v>125017.59523809524</v>
      </c>
      <c r="F120" s="523">
        <f t="shared" si="31"/>
        <v>2567150.8694325164</v>
      </c>
      <c r="G120" s="523">
        <f t="shared" si="32"/>
        <v>2629659.667051564</v>
      </c>
      <c r="H120" s="526">
        <f t="shared" si="33"/>
        <v>407900.16379544546</v>
      </c>
      <c r="I120" s="577">
        <f t="shared" si="34"/>
        <v>407900.16379544546</v>
      </c>
      <c r="J120" s="514">
        <f t="shared" si="22"/>
        <v>0</v>
      </c>
      <c r="K120" s="514"/>
      <c r="L120" s="525"/>
      <c r="M120" s="514">
        <f t="shared" si="24"/>
        <v>0</v>
      </c>
      <c r="N120" s="525"/>
      <c r="O120" s="514">
        <f t="shared" si="26"/>
        <v>0</v>
      </c>
      <c r="P120" s="514">
        <f t="shared" si="27"/>
        <v>0</v>
      </c>
      <c r="Q120" s="269"/>
    </row>
    <row r="121" spans="2:17" ht="12.5">
      <c r="B121" s="195" t="str">
        <f t="shared" si="28"/>
        <v/>
      </c>
      <c r="C121" s="507">
        <f>IF(D93="","-",+C120+1)</f>
        <v>2032</v>
      </c>
      <c r="D121" s="374">
        <f>IF(F120+SUM(E$99:E120)=D$92,F120,D$92-SUM(E$99:E120))</f>
        <v>2567150.8694325164</v>
      </c>
      <c r="E121" s="522">
        <f>IF(+J96&lt;F120,J96,D121)</f>
        <v>125017.59523809524</v>
      </c>
      <c r="F121" s="523">
        <f t="shared" si="31"/>
        <v>2442133.2741944212</v>
      </c>
      <c r="G121" s="523">
        <f t="shared" si="32"/>
        <v>2504642.0718134688</v>
      </c>
      <c r="H121" s="526">
        <f t="shared" si="33"/>
        <v>394451.54194565758</v>
      </c>
      <c r="I121" s="577">
        <f t="shared" si="34"/>
        <v>394451.54194565758</v>
      </c>
      <c r="J121" s="514">
        <f t="shared" si="22"/>
        <v>0</v>
      </c>
      <c r="K121" s="514"/>
      <c r="L121" s="525"/>
      <c r="M121" s="514">
        <f t="shared" si="24"/>
        <v>0</v>
      </c>
      <c r="N121" s="525"/>
      <c r="O121" s="514">
        <f t="shared" si="26"/>
        <v>0</v>
      </c>
      <c r="P121" s="514">
        <f t="shared" si="27"/>
        <v>0</v>
      </c>
      <c r="Q121" s="269"/>
    </row>
    <row r="122" spans="2:17" ht="12.5">
      <c r="B122" s="195" t="str">
        <f t="shared" si="28"/>
        <v/>
      </c>
      <c r="C122" s="507">
        <f>IF(D93="","-",+C121+1)</f>
        <v>2033</v>
      </c>
      <c r="D122" s="374">
        <f>IF(F121+SUM(E$99:E121)=D$92,F121,D$92-SUM(E$99:E121))</f>
        <v>2442133.2741944212</v>
      </c>
      <c r="E122" s="522">
        <f>IF(+J96&lt;F121,J96,D122)</f>
        <v>125017.59523809524</v>
      </c>
      <c r="F122" s="523">
        <f t="shared" si="31"/>
        <v>2317115.6789563261</v>
      </c>
      <c r="G122" s="523">
        <f t="shared" si="32"/>
        <v>2379624.4765753737</v>
      </c>
      <c r="H122" s="526">
        <f t="shared" si="33"/>
        <v>381002.92009586969</v>
      </c>
      <c r="I122" s="577">
        <f t="shared" si="34"/>
        <v>381002.92009586969</v>
      </c>
      <c r="J122" s="514">
        <f t="shared" si="22"/>
        <v>0</v>
      </c>
      <c r="K122" s="514"/>
      <c r="L122" s="525"/>
      <c r="M122" s="514">
        <f t="shared" si="24"/>
        <v>0</v>
      </c>
      <c r="N122" s="525"/>
      <c r="O122" s="514">
        <f t="shared" si="26"/>
        <v>0</v>
      </c>
      <c r="P122" s="514">
        <f t="shared" si="27"/>
        <v>0</v>
      </c>
      <c r="Q122" s="269"/>
    </row>
    <row r="123" spans="2:17" ht="12.5">
      <c r="B123" s="195" t="str">
        <f t="shared" si="28"/>
        <v/>
      </c>
      <c r="C123" s="507">
        <f>IF(D93="","-",+C122+1)</f>
        <v>2034</v>
      </c>
      <c r="D123" s="374">
        <f>IF(F122+SUM(E$99:E122)=D$92,F122,D$92-SUM(E$99:E122))</f>
        <v>2317115.6789563261</v>
      </c>
      <c r="E123" s="522">
        <f>IF(+J96&lt;F122,J96,D123)</f>
        <v>125017.59523809524</v>
      </c>
      <c r="F123" s="523">
        <f t="shared" si="31"/>
        <v>2192098.0837182309</v>
      </c>
      <c r="G123" s="523">
        <f t="shared" si="32"/>
        <v>2254606.8813372785</v>
      </c>
      <c r="H123" s="526">
        <f t="shared" si="33"/>
        <v>367554.29824608192</v>
      </c>
      <c r="I123" s="577">
        <f t="shared" si="34"/>
        <v>367554.29824608192</v>
      </c>
      <c r="J123" s="514">
        <f t="shared" si="22"/>
        <v>0</v>
      </c>
      <c r="K123" s="514"/>
      <c r="L123" s="525"/>
      <c r="M123" s="514">
        <f t="shared" si="24"/>
        <v>0</v>
      </c>
      <c r="N123" s="525"/>
      <c r="O123" s="514">
        <f t="shared" si="26"/>
        <v>0</v>
      </c>
      <c r="P123" s="514">
        <f t="shared" si="27"/>
        <v>0</v>
      </c>
      <c r="Q123" s="269"/>
    </row>
    <row r="124" spans="2:17" ht="12.5">
      <c r="B124" s="195" t="str">
        <f t="shared" si="28"/>
        <v/>
      </c>
      <c r="C124" s="507">
        <f>IF(D93="","-",+C123+1)</f>
        <v>2035</v>
      </c>
      <c r="D124" s="374">
        <f>IF(F123+SUM(E$99:E123)=D$92,F123,D$92-SUM(E$99:E123))</f>
        <v>2192098.0837182309</v>
      </c>
      <c r="E124" s="522">
        <f>IF(+J96&lt;F123,J96,D124)</f>
        <v>125017.59523809524</v>
      </c>
      <c r="F124" s="523">
        <f t="shared" si="31"/>
        <v>2067080.4884801358</v>
      </c>
      <c r="G124" s="523">
        <f t="shared" si="32"/>
        <v>2129589.2860991834</v>
      </c>
      <c r="H124" s="526">
        <f t="shared" si="33"/>
        <v>354105.67639629403</v>
      </c>
      <c r="I124" s="577">
        <f t="shared" si="34"/>
        <v>354105.67639629403</v>
      </c>
      <c r="J124" s="514">
        <f t="shared" si="22"/>
        <v>0</v>
      </c>
      <c r="K124" s="514"/>
      <c r="L124" s="525"/>
      <c r="M124" s="514">
        <f t="shared" si="24"/>
        <v>0</v>
      </c>
      <c r="N124" s="525"/>
      <c r="O124" s="514">
        <f t="shared" si="26"/>
        <v>0</v>
      </c>
      <c r="P124" s="514">
        <f t="shared" si="27"/>
        <v>0</v>
      </c>
      <c r="Q124" s="269"/>
    </row>
    <row r="125" spans="2:17" ht="12.5">
      <c r="B125" s="195" t="str">
        <f t="shared" si="28"/>
        <v/>
      </c>
      <c r="C125" s="507">
        <f>IF(D93="","-",+C124+1)</f>
        <v>2036</v>
      </c>
      <c r="D125" s="374">
        <f>IF(F124+SUM(E$99:E124)=D$92,F124,D$92-SUM(E$99:E124))</f>
        <v>2067080.4884801358</v>
      </c>
      <c r="E125" s="522">
        <f>IF(+J96&lt;F124,J96,D125)</f>
        <v>125017.59523809524</v>
      </c>
      <c r="F125" s="523">
        <f t="shared" si="31"/>
        <v>1942062.8932420406</v>
      </c>
      <c r="G125" s="523">
        <f t="shared" si="32"/>
        <v>2004571.6908610882</v>
      </c>
      <c r="H125" s="526">
        <f t="shared" si="33"/>
        <v>340657.05454650614</v>
      </c>
      <c r="I125" s="577">
        <f t="shared" si="34"/>
        <v>340657.05454650614</v>
      </c>
      <c r="J125" s="514">
        <f t="shared" si="22"/>
        <v>0</v>
      </c>
      <c r="K125" s="514"/>
      <c r="L125" s="525"/>
      <c r="M125" s="514">
        <f t="shared" si="24"/>
        <v>0</v>
      </c>
      <c r="N125" s="525"/>
      <c r="O125" s="514">
        <f t="shared" si="26"/>
        <v>0</v>
      </c>
      <c r="P125" s="514">
        <f t="shared" si="27"/>
        <v>0</v>
      </c>
      <c r="Q125" s="269"/>
    </row>
    <row r="126" spans="2:17" ht="12.5">
      <c r="B126" s="195" t="str">
        <f t="shared" si="28"/>
        <v/>
      </c>
      <c r="C126" s="507">
        <f>IF(D93="","-",+C125+1)</f>
        <v>2037</v>
      </c>
      <c r="D126" s="374">
        <f>IF(F125+SUM(E$99:E125)=D$92,F125,D$92-SUM(E$99:E125))</f>
        <v>1942062.8932420406</v>
      </c>
      <c r="E126" s="522">
        <f>IF(+J96&lt;F125,J96,D126)</f>
        <v>125017.59523809524</v>
      </c>
      <c r="F126" s="523">
        <f t="shared" si="31"/>
        <v>1817045.2980039455</v>
      </c>
      <c r="G126" s="523">
        <f t="shared" si="32"/>
        <v>1879554.0956229931</v>
      </c>
      <c r="H126" s="526">
        <f t="shared" si="33"/>
        <v>327208.43269671832</v>
      </c>
      <c r="I126" s="577">
        <f t="shared" si="34"/>
        <v>327208.43269671832</v>
      </c>
      <c r="J126" s="514">
        <f t="shared" si="22"/>
        <v>0</v>
      </c>
      <c r="K126" s="514"/>
      <c r="L126" s="525"/>
      <c r="M126" s="514">
        <f t="shared" si="24"/>
        <v>0</v>
      </c>
      <c r="N126" s="525"/>
      <c r="O126" s="514">
        <f t="shared" si="26"/>
        <v>0</v>
      </c>
      <c r="P126" s="514">
        <f t="shared" si="27"/>
        <v>0</v>
      </c>
      <c r="Q126" s="269"/>
    </row>
    <row r="127" spans="2:17" ht="12.5">
      <c r="B127" s="195" t="str">
        <f t="shared" si="28"/>
        <v/>
      </c>
      <c r="C127" s="507">
        <f>IF(D93="","-",+C126+1)</f>
        <v>2038</v>
      </c>
      <c r="D127" s="374">
        <f>IF(F126+SUM(E$99:E126)=D$92,F126,D$92-SUM(E$99:E126))</f>
        <v>1817045.2980039455</v>
      </c>
      <c r="E127" s="522">
        <f>IF(+J96&lt;F126,J96,D127)</f>
        <v>125017.59523809524</v>
      </c>
      <c r="F127" s="523">
        <f t="shared" si="31"/>
        <v>1692027.7027658504</v>
      </c>
      <c r="G127" s="523">
        <f t="shared" si="32"/>
        <v>1754536.5003848979</v>
      </c>
      <c r="H127" s="526">
        <f t="shared" si="33"/>
        <v>313759.81084693049</v>
      </c>
      <c r="I127" s="577">
        <f t="shared" si="34"/>
        <v>313759.81084693049</v>
      </c>
      <c r="J127" s="514">
        <f t="shared" si="22"/>
        <v>0</v>
      </c>
      <c r="K127" s="514"/>
      <c r="L127" s="525"/>
      <c r="M127" s="514">
        <f t="shared" si="24"/>
        <v>0</v>
      </c>
      <c r="N127" s="525"/>
      <c r="O127" s="514">
        <f t="shared" si="26"/>
        <v>0</v>
      </c>
      <c r="P127" s="514">
        <f t="shared" si="27"/>
        <v>0</v>
      </c>
      <c r="Q127" s="269"/>
    </row>
    <row r="128" spans="2:17" ht="12.5">
      <c r="B128" s="195" t="str">
        <f t="shared" si="28"/>
        <v/>
      </c>
      <c r="C128" s="507">
        <f>IF(D93="","-",+C127+1)</f>
        <v>2039</v>
      </c>
      <c r="D128" s="374">
        <f>IF(F127+SUM(E$99:E127)=D$92,F127,D$92-SUM(E$99:E127))</f>
        <v>1692027.7027658504</v>
      </c>
      <c r="E128" s="522">
        <f>IF(+J96&lt;F127,J96,D128)</f>
        <v>125017.59523809524</v>
      </c>
      <c r="F128" s="523">
        <f t="shared" si="31"/>
        <v>1567010.1075277552</v>
      </c>
      <c r="G128" s="523">
        <f t="shared" si="32"/>
        <v>1629518.9051468028</v>
      </c>
      <c r="H128" s="526">
        <f t="shared" si="33"/>
        <v>300311.1889971426</v>
      </c>
      <c r="I128" s="577">
        <f t="shared" si="34"/>
        <v>300311.1889971426</v>
      </c>
      <c r="J128" s="514">
        <f t="shared" si="22"/>
        <v>0</v>
      </c>
      <c r="K128" s="514"/>
      <c r="L128" s="525"/>
      <c r="M128" s="514">
        <f t="shared" si="24"/>
        <v>0</v>
      </c>
      <c r="N128" s="525"/>
      <c r="O128" s="514">
        <f t="shared" si="26"/>
        <v>0</v>
      </c>
      <c r="P128" s="514">
        <f t="shared" si="27"/>
        <v>0</v>
      </c>
      <c r="Q128" s="269"/>
    </row>
    <row r="129" spans="2:17" ht="12.5">
      <c r="B129" s="195" t="str">
        <f t="shared" si="28"/>
        <v/>
      </c>
      <c r="C129" s="507">
        <f>IF(D93="","-",+C128+1)</f>
        <v>2040</v>
      </c>
      <c r="D129" s="374">
        <f>IF(F128+SUM(E$99:E128)=D$92,F128,D$92-SUM(E$99:E128))</f>
        <v>1567010.1075277552</v>
      </c>
      <c r="E129" s="522">
        <f>IF(+J96&lt;F128,J96,D129)</f>
        <v>125017.59523809524</v>
      </c>
      <c r="F129" s="523">
        <f t="shared" si="31"/>
        <v>1441992.5122896601</v>
      </c>
      <c r="G129" s="523">
        <f t="shared" si="32"/>
        <v>1504501.3099087076</v>
      </c>
      <c r="H129" s="526">
        <f t="shared" si="33"/>
        <v>286862.56714735477</v>
      </c>
      <c r="I129" s="577">
        <f t="shared" si="34"/>
        <v>286862.56714735477</v>
      </c>
      <c r="J129" s="514">
        <f t="shared" si="22"/>
        <v>0</v>
      </c>
      <c r="K129" s="514"/>
      <c r="L129" s="525"/>
      <c r="M129" s="514">
        <f t="shared" si="24"/>
        <v>0</v>
      </c>
      <c r="N129" s="525"/>
      <c r="O129" s="514">
        <f t="shared" si="26"/>
        <v>0</v>
      </c>
      <c r="P129" s="514">
        <f t="shared" si="27"/>
        <v>0</v>
      </c>
      <c r="Q129" s="269"/>
    </row>
    <row r="130" spans="2:17" ht="12.5">
      <c r="B130" s="195" t="str">
        <f t="shared" si="28"/>
        <v/>
      </c>
      <c r="C130" s="507">
        <f>IF(D93="","-",+C129+1)</f>
        <v>2041</v>
      </c>
      <c r="D130" s="374">
        <f>IF(F129+SUM(E$99:E129)=D$92,F129,D$92-SUM(E$99:E129))</f>
        <v>1441992.5122896601</v>
      </c>
      <c r="E130" s="522">
        <f>IF(+J96&lt;F129,J96,D130)</f>
        <v>125017.59523809524</v>
      </c>
      <c r="F130" s="523">
        <f t="shared" si="31"/>
        <v>1316974.9170515649</v>
      </c>
      <c r="G130" s="523">
        <f t="shared" si="32"/>
        <v>1379483.7146706125</v>
      </c>
      <c r="H130" s="526">
        <f t="shared" si="33"/>
        <v>273413.94529756694</v>
      </c>
      <c r="I130" s="577">
        <f t="shared" si="34"/>
        <v>273413.94529756694</v>
      </c>
      <c r="J130" s="514">
        <f t="shared" si="22"/>
        <v>0</v>
      </c>
      <c r="K130" s="514"/>
      <c r="L130" s="525"/>
      <c r="M130" s="514">
        <f t="shared" si="24"/>
        <v>0</v>
      </c>
      <c r="N130" s="525"/>
      <c r="O130" s="514">
        <f t="shared" si="26"/>
        <v>0</v>
      </c>
      <c r="P130" s="514">
        <f t="shared" si="27"/>
        <v>0</v>
      </c>
      <c r="Q130" s="269"/>
    </row>
    <row r="131" spans="2:17" ht="12.5">
      <c r="B131" s="195" t="str">
        <f t="shared" si="28"/>
        <v/>
      </c>
      <c r="C131" s="507">
        <f>IF(D93="","-",+C130+1)</f>
        <v>2042</v>
      </c>
      <c r="D131" s="374">
        <f>IF(F130+SUM(E$99:E130)=D$92,F130,D$92-SUM(E$99:E130))</f>
        <v>1316974.9170515649</v>
      </c>
      <c r="E131" s="522">
        <f>IF(+J96&lt;F130,J96,D131)</f>
        <v>125017.59523809524</v>
      </c>
      <c r="F131" s="523">
        <f t="shared" si="31"/>
        <v>1191957.3218134698</v>
      </c>
      <c r="G131" s="523">
        <f t="shared" ref="G131:G154" si="35">+(F131+D131)/2</f>
        <v>1254466.1194325173</v>
      </c>
      <c r="H131" s="526">
        <f t="shared" ref="H131:H154" si="36">+J$94*G131+E131</f>
        <v>259965.32344777908</v>
      </c>
      <c r="I131" s="577">
        <f t="shared" ref="I131:I154" si="37">+J$95*G131+E131</f>
        <v>259965.32344777908</v>
      </c>
      <c r="J131" s="514">
        <f t="shared" ref="J131:J154" si="38">+I131-H131</f>
        <v>0</v>
      </c>
      <c r="K131" s="514"/>
      <c r="L131" s="525"/>
      <c r="M131" s="514">
        <f t="shared" ref="M131:M154" si="39">IF(L131&lt;&gt;0,+H131-L131,0)</f>
        <v>0</v>
      </c>
      <c r="N131" s="525"/>
      <c r="O131" s="514">
        <f t="shared" ref="O131:O154" si="40">IF(N131&lt;&gt;0,+I131-N131,0)</f>
        <v>0</v>
      </c>
      <c r="P131" s="514">
        <f t="shared" ref="P131:P154" si="41">+O131-M131</f>
        <v>0</v>
      </c>
      <c r="Q131" s="269"/>
    </row>
    <row r="132" spans="2:17" ht="12.5">
      <c r="B132" s="195" t="str">
        <f t="shared" si="28"/>
        <v/>
      </c>
      <c r="C132" s="507">
        <f>IF(D93="","-",+C131+1)</f>
        <v>2043</v>
      </c>
      <c r="D132" s="374">
        <f>IF(F131+SUM(E$99:E131)=D$92,F131,D$92-SUM(E$99:E131))</f>
        <v>1191957.3218134698</v>
      </c>
      <c r="E132" s="522">
        <f>IF(+J96&lt;F131,J96,D132)</f>
        <v>125017.59523809524</v>
      </c>
      <c r="F132" s="523">
        <f t="shared" ref="F132:F154" si="42">+D132-E132</f>
        <v>1066939.7265753746</v>
      </c>
      <c r="G132" s="523">
        <f t="shared" si="35"/>
        <v>1129448.5241944222</v>
      </c>
      <c r="H132" s="526">
        <f t="shared" si="36"/>
        <v>246516.70159799122</v>
      </c>
      <c r="I132" s="577">
        <f t="shared" si="37"/>
        <v>246516.70159799122</v>
      </c>
      <c r="J132" s="514">
        <f t="shared" si="38"/>
        <v>0</v>
      </c>
      <c r="K132" s="514"/>
      <c r="L132" s="525"/>
      <c r="M132" s="514">
        <f t="shared" si="39"/>
        <v>0</v>
      </c>
      <c r="N132" s="525"/>
      <c r="O132" s="514">
        <f t="shared" si="40"/>
        <v>0</v>
      </c>
      <c r="P132" s="514">
        <f t="shared" si="41"/>
        <v>0</v>
      </c>
      <c r="Q132" s="269"/>
    </row>
    <row r="133" spans="2:17" ht="12.5">
      <c r="B133" s="195" t="str">
        <f t="shared" si="28"/>
        <v/>
      </c>
      <c r="C133" s="507">
        <f>IF(D93="","-",+C132+1)</f>
        <v>2044</v>
      </c>
      <c r="D133" s="374">
        <f>IF(F132+SUM(E$99:E132)=D$92,F132,D$92-SUM(E$99:E132))</f>
        <v>1066939.7265753746</v>
      </c>
      <c r="E133" s="522">
        <f>IF(+J96&lt;F132,J96,D133)</f>
        <v>125017.59523809524</v>
      </c>
      <c r="F133" s="523">
        <f t="shared" si="42"/>
        <v>941922.13133727934</v>
      </c>
      <c r="G133" s="523">
        <f t="shared" si="35"/>
        <v>1004430.928956327</v>
      </c>
      <c r="H133" s="526">
        <f t="shared" si="36"/>
        <v>233068.07974820337</v>
      </c>
      <c r="I133" s="577">
        <f t="shared" si="37"/>
        <v>233068.07974820337</v>
      </c>
      <c r="J133" s="514">
        <f t="shared" si="38"/>
        <v>0</v>
      </c>
      <c r="K133" s="514"/>
      <c r="L133" s="525"/>
      <c r="M133" s="514">
        <f t="shared" si="39"/>
        <v>0</v>
      </c>
      <c r="N133" s="525"/>
      <c r="O133" s="514">
        <f t="shared" si="40"/>
        <v>0</v>
      </c>
      <c r="P133" s="514">
        <f t="shared" si="41"/>
        <v>0</v>
      </c>
      <c r="Q133" s="269"/>
    </row>
    <row r="134" spans="2:17" ht="12.5">
      <c r="B134" s="195" t="str">
        <f t="shared" si="28"/>
        <v/>
      </c>
      <c r="C134" s="507">
        <f>IF(D93="","-",+C133+1)</f>
        <v>2045</v>
      </c>
      <c r="D134" s="374">
        <f>IF(F133+SUM(E$99:E133)=D$92,F133,D$92-SUM(E$99:E133))</f>
        <v>941922.13133727934</v>
      </c>
      <c r="E134" s="522">
        <f>IF(+J96&lt;F133,J96,D134)</f>
        <v>125017.59523809524</v>
      </c>
      <c r="F134" s="523">
        <f t="shared" si="42"/>
        <v>816904.53609918407</v>
      </c>
      <c r="G134" s="523">
        <f t="shared" si="35"/>
        <v>879413.33371823165</v>
      </c>
      <c r="H134" s="526">
        <f t="shared" si="36"/>
        <v>219619.45789841551</v>
      </c>
      <c r="I134" s="577">
        <f t="shared" si="37"/>
        <v>219619.45789841551</v>
      </c>
      <c r="J134" s="514">
        <f t="shared" si="38"/>
        <v>0</v>
      </c>
      <c r="K134" s="514"/>
      <c r="L134" s="525"/>
      <c r="M134" s="514">
        <f t="shared" si="39"/>
        <v>0</v>
      </c>
      <c r="N134" s="525"/>
      <c r="O134" s="514">
        <f t="shared" si="40"/>
        <v>0</v>
      </c>
      <c r="P134" s="514">
        <f t="shared" si="41"/>
        <v>0</v>
      </c>
      <c r="Q134" s="269"/>
    </row>
    <row r="135" spans="2:17" ht="12.5">
      <c r="B135" s="195" t="str">
        <f t="shared" si="28"/>
        <v/>
      </c>
      <c r="C135" s="507">
        <f>IF(D93="","-",+C134+1)</f>
        <v>2046</v>
      </c>
      <c r="D135" s="374">
        <f>IF(F134+SUM(E$99:E134)=D$92,F134,D$92-SUM(E$99:E134))</f>
        <v>816904.53609918407</v>
      </c>
      <c r="E135" s="522">
        <f>IF(+J96&lt;F134,J96,D135)</f>
        <v>125017.59523809524</v>
      </c>
      <c r="F135" s="523">
        <f t="shared" si="42"/>
        <v>691886.94086108881</v>
      </c>
      <c r="G135" s="523">
        <f t="shared" si="35"/>
        <v>754395.7384801365</v>
      </c>
      <c r="H135" s="526">
        <f t="shared" si="36"/>
        <v>206170.83604862765</v>
      </c>
      <c r="I135" s="577">
        <f t="shared" si="37"/>
        <v>206170.83604862765</v>
      </c>
      <c r="J135" s="514">
        <f t="shared" si="38"/>
        <v>0</v>
      </c>
      <c r="K135" s="514"/>
      <c r="L135" s="525"/>
      <c r="M135" s="514">
        <f t="shared" si="39"/>
        <v>0</v>
      </c>
      <c r="N135" s="525"/>
      <c r="O135" s="514">
        <f t="shared" si="40"/>
        <v>0</v>
      </c>
      <c r="P135" s="514">
        <f t="shared" si="41"/>
        <v>0</v>
      </c>
      <c r="Q135" s="269"/>
    </row>
    <row r="136" spans="2:17" ht="12.5">
      <c r="B136" s="195" t="str">
        <f t="shared" si="28"/>
        <v/>
      </c>
      <c r="C136" s="507">
        <f>IF(D93="","-",+C135+1)</f>
        <v>2047</v>
      </c>
      <c r="D136" s="374">
        <f>IF(F135+SUM(E$99:E135)=D$92,F135,D$92-SUM(E$99:E135))</f>
        <v>691886.94086108881</v>
      </c>
      <c r="E136" s="522">
        <f>IF(+J96&lt;F135,J96,D136)</f>
        <v>125017.59523809524</v>
      </c>
      <c r="F136" s="523">
        <f t="shared" si="42"/>
        <v>566869.34562299354</v>
      </c>
      <c r="G136" s="523">
        <f t="shared" si="35"/>
        <v>629378.14324204111</v>
      </c>
      <c r="H136" s="526">
        <f t="shared" si="36"/>
        <v>192722.21419883976</v>
      </c>
      <c r="I136" s="577">
        <f t="shared" si="37"/>
        <v>192722.21419883976</v>
      </c>
      <c r="J136" s="514">
        <f t="shared" si="38"/>
        <v>0</v>
      </c>
      <c r="K136" s="514"/>
      <c r="L136" s="525"/>
      <c r="M136" s="514">
        <f t="shared" si="39"/>
        <v>0</v>
      </c>
      <c r="N136" s="525"/>
      <c r="O136" s="514">
        <f t="shared" si="40"/>
        <v>0</v>
      </c>
      <c r="P136" s="514">
        <f t="shared" si="41"/>
        <v>0</v>
      </c>
      <c r="Q136" s="269"/>
    </row>
    <row r="137" spans="2:17" ht="12.5">
      <c r="B137" s="195" t="str">
        <f t="shared" si="28"/>
        <v/>
      </c>
      <c r="C137" s="507">
        <f>IF(D93="","-",+C136+1)</f>
        <v>2048</v>
      </c>
      <c r="D137" s="374">
        <f>IF(F136+SUM(E$99:E136)=D$92,F136,D$92-SUM(E$99:E136))</f>
        <v>566869.34562299354</v>
      </c>
      <c r="E137" s="522">
        <f>IF(+J96&lt;F136,J96,D137)</f>
        <v>125017.59523809524</v>
      </c>
      <c r="F137" s="523">
        <f t="shared" si="42"/>
        <v>441851.75038489827</v>
      </c>
      <c r="G137" s="523">
        <f t="shared" si="35"/>
        <v>504360.54800394591</v>
      </c>
      <c r="H137" s="526">
        <f t="shared" si="36"/>
        <v>179273.59234905191</v>
      </c>
      <c r="I137" s="577">
        <f t="shared" si="37"/>
        <v>179273.59234905191</v>
      </c>
      <c r="J137" s="514">
        <f t="shared" si="38"/>
        <v>0</v>
      </c>
      <c r="K137" s="514"/>
      <c r="L137" s="525"/>
      <c r="M137" s="514">
        <f t="shared" si="39"/>
        <v>0</v>
      </c>
      <c r="N137" s="525"/>
      <c r="O137" s="514">
        <f t="shared" si="40"/>
        <v>0</v>
      </c>
      <c r="P137" s="514">
        <f t="shared" si="41"/>
        <v>0</v>
      </c>
      <c r="Q137" s="269"/>
    </row>
    <row r="138" spans="2:17" ht="12.5">
      <c r="B138" s="195" t="str">
        <f t="shared" si="28"/>
        <v/>
      </c>
      <c r="C138" s="507">
        <f>IF(D93="","-",+C137+1)</f>
        <v>2049</v>
      </c>
      <c r="D138" s="374">
        <f>IF(F137+SUM(E$99:E137)=D$92,F137,D$92-SUM(E$99:E137))</f>
        <v>441851.75038489827</v>
      </c>
      <c r="E138" s="522">
        <f>IF(+J96&lt;F137,J96,D138)</f>
        <v>125017.59523809524</v>
      </c>
      <c r="F138" s="523">
        <f t="shared" si="42"/>
        <v>316834.15514680301</v>
      </c>
      <c r="G138" s="523">
        <f t="shared" si="35"/>
        <v>379342.95276585064</v>
      </c>
      <c r="H138" s="526">
        <f t="shared" si="36"/>
        <v>165824.97049926405</v>
      </c>
      <c r="I138" s="577">
        <f t="shared" si="37"/>
        <v>165824.97049926405</v>
      </c>
      <c r="J138" s="514">
        <f t="shared" si="38"/>
        <v>0</v>
      </c>
      <c r="K138" s="514"/>
      <c r="L138" s="525"/>
      <c r="M138" s="514">
        <f t="shared" si="39"/>
        <v>0</v>
      </c>
      <c r="N138" s="525"/>
      <c r="O138" s="514">
        <f t="shared" si="40"/>
        <v>0</v>
      </c>
      <c r="P138" s="514">
        <f t="shared" si="41"/>
        <v>0</v>
      </c>
      <c r="Q138" s="269"/>
    </row>
    <row r="139" spans="2:17" ht="12.5">
      <c r="B139" s="195" t="str">
        <f t="shared" si="28"/>
        <v/>
      </c>
      <c r="C139" s="507">
        <f>IF(D93="","-",+C138+1)</f>
        <v>2050</v>
      </c>
      <c r="D139" s="374">
        <f>IF(F138+SUM(E$99:E138)=D$92,F138,D$92-SUM(E$99:E138))</f>
        <v>316834.15514680301</v>
      </c>
      <c r="E139" s="522">
        <f>IF(+J96&lt;F138,J96,D139)</f>
        <v>125017.59523809524</v>
      </c>
      <c r="F139" s="523">
        <f t="shared" si="42"/>
        <v>191816.55990870777</v>
      </c>
      <c r="G139" s="523">
        <f t="shared" si="35"/>
        <v>254325.35752775538</v>
      </c>
      <c r="H139" s="526">
        <f t="shared" si="36"/>
        <v>152376.34864947619</v>
      </c>
      <c r="I139" s="577">
        <f t="shared" si="37"/>
        <v>152376.34864947619</v>
      </c>
      <c r="J139" s="514">
        <f t="shared" si="38"/>
        <v>0</v>
      </c>
      <c r="K139" s="514"/>
      <c r="L139" s="525"/>
      <c r="M139" s="514">
        <f t="shared" si="39"/>
        <v>0</v>
      </c>
      <c r="N139" s="525"/>
      <c r="O139" s="514">
        <f t="shared" si="40"/>
        <v>0</v>
      </c>
      <c r="P139" s="514">
        <f t="shared" si="41"/>
        <v>0</v>
      </c>
      <c r="Q139" s="269"/>
    </row>
    <row r="140" spans="2:17" ht="12.5">
      <c r="B140" s="195" t="str">
        <f t="shared" si="28"/>
        <v/>
      </c>
      <c r="C140" s="507">
        <f>IF(D93="","-",+C139+1)</f>
        <v>2051</v>
      </c>
      <c r="D140" s="374">
        <f>IF(F139+SUM(E$99:E139)=D$92,F139,D$92-SUM(E$99:E139))</f>
        <v>191816.55990870777</v>
      </c>
      <c r="E140" s="522">
        <f>IF(+J96&lt;F139,J96,D140)</f>
        <v>125017.59523809524</v>
      </c>
      <c r="F140" s="523">
        <f t="shared" si="42"/>
        <v>66798.964670612535</v>
      </c>
      <c r="G140" s="523">
        <f t="shared" si="35"/>
        <v>129307.76228966015</v>
      </c>
      <c r="H140" s="526">
        <f t="shared" si="36"/>
        <v>138927.72679968833</v>
      </c>
      <c r="I140" s="577">
        <f t="shared" si="37"/>
        <v>138927.72679968833</v>
      </c>
      <c r="J140" s="514">
        <f t="shared" si="38"/>
        <v>0</v>
      </c>
      <c r="K140" s="514"/>
      <c r="L140" s="525"/>
      <c r="M140" s="514">
        <f t="shared" si="39"/>
        <v>0</v>
      </c>
      <c r="N140" s="525"/>
      <c r="O140" s="514">
        <f t="shared" si="40"/>
        <v>0</v>
      </c>
      <c r="P140" s="514">
        <f t="shared" si="41"/>
        <v>0</v>
      </c>
      <c r="Q140" s="269"/>
    </row>
    <row r="141" spans="2:17" ht="12.5">
      <c r="B141" s="195" t="str">
        <f t="shared" si="28"/>
        <v/>
      </c>
      <c r="C141" s="507">
        <f>IF(D93="","-",+C140+1)</f>
        <v>2052</v>
      </c>
      <c r="D141" s="374">
        <f>IF(F140+SUM(E$99:E140)=D$92,F140,D$92-SUM(E$99:E140))</f>
        <v>66798.964670612535</v>
      </c>
      <c r="E141" s="522">
        <f>IF(+J96&lt;F140,J96,D141)</f>
        <v>66798.964670612535</v>
      </c>
      <c r="F141" s="523">
        <f t="shared" si="42"/>
        <v>0</v>
      </c>
      <c r="G141" s="523">
        <f t="shared" si="35"/>
        <v>33399.482335306267</v>
      </c>
      <c r="H141" s="526">
        <f t="shared" si="36"/>
        <v>70391.87498896211</v>
      </c>
      <c r="I141" s="577">
        <f t="shared" si="37"/>
        <v>70391.87498896211</v>
      </c>
      <c r="J141" s="514">
        <f t="shared" si="38"/>
        <v>0</v>
      </c>
      <c r="K141" s="514"/>
      <c r="L141" s="525"/>
      <c r="M141" s="514">
        <f t="shared" si="39"/>
        <v>0</v>
      </c>
      <c r="N141" s="525"/>
      <c r="O141" s="514">
        <f t="shared" si="40"/>
        <v>0</v>
      </c>
      <c r="P141" s="514">
        <f t="shared" si="41"/>
        <v>0</v>
      </c>
      <c r="Q141" s="269"/>
    </row>
    <row r="142" spans="2:17" ht="12.5">
      <c r="B142" s="195" t="str">
        <f t="shared" si="28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2"/>
        <v>0</v>
      </c>
      <c r="G142" s="523">
        <f t="shared" si="35"/>
        <v>0</v>
      </c>
      <c r="H142" s="526">
        <f t="shared" si="36"/>
        <v>0</v>
      </c>
      <c r="I142" s="577">
        <f t="shared" si="37"/>
        <v>0</v>
      </c>
      <c r="J142" s="514">
        <f t="shared" si="38"/>
        <v>0</v>
      </c>
      <c r="K142" s="514"/>
      <c r="L142" s="525"/>
      <c r="M142" s="514">
        <f t="shared" si="39"/>
        <v>0</v>
      </c>
      <c r="N142" s="525"/>
      <c r="O142" s="514">
        <f t="shared" si="40"/>
        <v>0</v>
      </c>
      <c r="P142" s="514">
        <f t="shared" si="41"/>
        <v>0</v>
      </c>
      <c r="Q142" s="269"/>
    </row>
    <row r="143" spans="2:17" ht="12.5">
      <c r="B143" s="195" t="str">
        <f t="shared" si="28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2"/>
        <v>0</v>
      </c>
      <c r="G143" s="523">
        <f t="shared" si="35"/>
        <v>0</v>
      </c>
      <c r="H143" s="526">
        <f t="shared" si="36"/>
        <v>0</v>
      </c>
      <c r="I143" s="577">
        <f t="shared" si="37"/>
        <v>0</v>
      </c>
      <c r="J143" s="514">
        <f t="shared" si="38"/>
        <v>0</v>
      </c>
      <c r="K143" s="514"/>
      <c r="L143" s="525"/>
      <c r="M143" s="514">
        <f t="shared" si="39"/>
        <v>0</v>
      </c>
      <c r="N143" s="525"/>
      <c r="O143" s="514">
        <f t="shared" si="40"/>
        <v>0</v>
      </c>
      <c r="P143" s="514">
        <f t="shared" si="41"/>
        <v>0</v>
      </c>
      <c r="Q143" s="269"/>
    </row>
    <row r="144" spans="2:17" ht="12.5">
      <c r="B144" s="195" t="str">
        <f t="shared" si="28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2"/>
        <v>0</v>
      </c>
      <c r="G144" s="523">
        <f t="shared" si="35"/>
        <v>0</v>
      </c>
      <c r="H144" s="526">
        <f t="shared" si="36"/>
        <v>0</v>
      </c>
      <c r="I144" s="577">
        <f t="shared" si="37"/>
        <v>0</v>
      </c>
      <c r="J144" s="514">
        <f t="shared" si="38"/>
        <v>0</v>
      </c>
      <c r="K144" s="514"/>
      <c r="L144" s="525"/>
      <c r="M144" s="514">
        <f t="shared" si="39"/>
        <v>0</v>
      </c>
      <c r="N144" s="525"/>
      <c r="O144" s="514">
        <f t="shared" si="40"/>
        <v>0</v>
      </c>
      <c r="P144" s="514">
        <f t="shared" si="41"/>
        <v>0</v>
      </c>
      <c r="Q144" s="269"/>
    </row>
    <row r="145" spans="2:17" ht="12.5">
      <c r="B145" s="195" t="str">
        <f t="shared" si="28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2"/>
        <v>0</v>
      </c>
      <c r="G145" s="523">
        <f t="shared" si="35"/>
        <v>0</v>
      </c>
      <c r="H145" s="526">
        <f t="shared" si="36"/>
        <v>0</v>
      </c>
      <c r="I145" s="577">
        <f t="shared" si="37"/>
        <v>0</v>
      </c>
      <c r="J145" s="514">
        <f t="shared" si="38"/>
        <v>0</v>
      </c>
      <c r="K145" s="514"/>
      <c r="L145" s="525"/>
      <c r="M145" s="514">
        <f t="shared" si="39"/>
        <v>0</v>
      </c>
      <c r="N145" s="525"/>
      <c r="O145" s="514">
        <f t="shared" si="40"/>
        <v>0</v>
      </c>
      <c r="P145" s="514">
        <f t="shared" si="41"/>
        <v>0</v>
      </c>
      <c r="Q145" s="269"/>
    </row>
    <row r="146" spans="2:17" ht="12.5">
      <c r="B146" s="195" t="str">
        <f t="shared" si="28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2"/>
        <v>0</v>
      </c>
      <c r="G146" s="523">
        <f t="shared" si="35"/>
        <v>0</v>
      </c>
      <c r="H146" s="526">
        <f t="shared" si="36"/>
        <v>0</v>
      </c>
      <c r="I146" s="577">
        <f t="shared" si="37"/>
        <v>0</v>
      </c>
      <c r="J146" s="514">
        <f t="shared" si="38"/>
        <v>0</v>
      </c>
      <c r="K146" s="514"/>
      <c r="L146" s="525"/>
      <c r="M146" s="514">
        <f t="shared" si="39"/>
        <v>0</v>
      </c>
      <c r="N146" s="525"/>
      <c r="O146" s="514">
        <f t="shared" si="40"/>
        <v>0</v>
      </c>
      <c r="P146" s="514">
        <f t="shared" si="41"/>
        <v>0</v>
      </c>
      <c r="Q146" s="269"/>
    </row>
    <row r="147" spans="2:17" ht="12.5">
      <c r="B147" s="195" t="str">
        <f t="shared" si="28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2"/>
        <v>0</v>
      </c>
      <c r="G147" s="523">
        <f t="shared" si="35"/>
        <v>0</v>
      </c>
      <c r="H147" s="526">
        <f t="shared" si="36"/>
        <v>0</v>
      </c>
      <c r="I147" s="577">
        <f t="shared" si="37"/>
        <v>0</v>
      </c>
      <c r="J147" s="514">
        <f t="shared" si="38"/>
        <v>0</v>
      </c>
      <c r="K147" s="514"/>
      <c r="L147" s="525"/>
      <c r="M147" s="514">
        <f t="shared" si="39"/>
        <v>0</v>
      </c>
      <c r="N147" s="525"/>
      <c r="O147" s="514">
        <f t="shared" si="40"/>
        <v>0</v>
      </c>
      <c r="P147" s="514">
        <f t="shared" si="41"/>
        <v>0</v>
      </c>
      <c r="Q147" s="269"/>
    </row>
    <row r="148" spans="2:17" ht="12.5">
      <c r="B148" s="195" t="str">
        <f t="shared" si="28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2"/>
        <v>0</v>
      </c>
      <c r="G148" s="523">
        <f t="shared" si="35"/>
        <v>0</v>
      </c>
      <c r="H148" s="526">
        <f t="shared" si="36"/>
        <v>0</v>
      </c>
      <c r="I148" s="577">
        <f t="shared" si="37"/>
        <v>0</v>
      </c>
      <c r="J148" s="514">
        <f t="shared" si="38"/>
        <v>0</v>
      </c>
      <c r="K148" s="514"/>
      <c r="L148" s="525"/>
      <c r="M148" s="514">
        <f t="shared" si="39"/>
        <v>0</v>
      </c>
      <c r="N148" s="525"/>
      <c r="O148" s="514">
        <f t="shared" si="40"/>
        <v>0</v>
      </c>
      <c r="P148" s="514">
        <f t="shared" si="41"/>
        <v>0</v>
      </c>
      <c r="Q148" s="269"/>
    </row>
    <row r="149" spans="2:17" ht="12.5">
      <c r="B149" s="195" t="str">
        <f t="shared" si="28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2"/>
        <v>0</v>
      </c>
      <c r="G149" s="523">
        <f t="shared" si="35"/>
        <v>0</v>
      </c>
      <c r="H149" s="526">
        <f t="shared" si="36"/>
        <v>0</v>
      </c>
      <c r="I149" s="577">
        <f t="shared" si="37"/>
        <v>0</v>
      </c>
      <c r="J149" s="514">
        <f t="shared" si="38"/>
        <v>0</v>
      </c>
      <c r="K149" s="514"/>
      <c r="L149" s="525"/>
      <c r="M149" s="514">
        <f t="shared" si="39"/>
        <v>0</v>
      </c>
      <c r="N149" s="525"/>
      <c r="O149" s="514">
        <f t="shared" si="40"/>
        <v>0</v>
      </c>
      <c r="P149" s="514">
        <f t="shared" si="41"/>
        <v>0</v>
      </c>
      <c r="Q149" s="269"/>
    </row>
    <row r="150" spans="2:17" ht="12.5">
      <c r="B150" s="195" t="str">
        <f t="shared" si="28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2"/>
        <v>0</v>
      </c>
      <c r="G150" s="523">
        <f t="shared" si="35"/>
        <v>0</v>
      </c>
      <c r="H150" s="526">
        <f t="shared" si="36"/>
        <v>0</v>
      </c>
      <c r="I150" s="577">
        <f t="shared" si="37"/>
        <v>0</v>
      </c>
      <c r="J150" s="514">
        <f t="shared" si="38"/>
        <v>0</v>
      </c>
      <c r="K150" s="514"/>
      <c r="L150" s="525"/>
      <c r="M150" s="514">
        <f t="shared" si="39"/>
        <v>0</v>
      </c>
      <c r="N150" s="525"/>
      <c r="O150" s="514">
        <f t="shared" si="40"/>
        <v>0</v>
      </c>
      <c r="P150" s="514">
        <f t="shared" si="41"/>
        <v>0</v>
      </c>
      <c r="Q150" s="269"/>
    </row>
    <row r="151" spans="2:17" ht="12.5">
      <c r="B151" s="195" t="str">
        <f t="shared" si="28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2"/>
        <v>0</v>
      </c>
      <c r="G151" s="523">
        <f t="shared" si="35"/>
        <v>0</v>
      </c>
      <c r="H151" s="526">
        <f t="shared" si="36"/>
        <v>0</v>
      </c>
      <c r="I151" s="577">
        <f t="shared" si="37"/>
        <v>0</v>
      </c>
      <c r="J151" s="514">
        <f t="shared" si="38"/>
        <v>0</v>
      </c>
      <c r="K151" s="514"/>
      <c r="L151" s="525"/>
      <c r="M151" s="514">
        <f t="shared" si="39"/>
        <v>0</v>
      </c>
      <c r="N151" s="525"/>
      <c r="O151" s="514">
        <f t="shared" si="40"/>
        <v>0</v>
      </c>
      <c r="P151" s="514">
        <f t="shared" si="41"/>
        <v>0</v>
      </c>
      <c r="Q151" s="269"/>
    </row>
    <row r="152" spans="2:17" ht="12.5">
      <c r="B152" s="195" t="str">
        <f t="shared" si="28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2"/>
        <v>0</v>
      </c>
      <c r="G152" s="523">
        <f t="shared" si="35"/>
        <v>0</v>
      </c>
      <c r="H152" s="526">
        <f t="shared" si="36"/>
        <v>0</v>
      </c>
      <c r="I152" s="577">
        <f t="shared" si="37"/>
        <v>0</v>
      </c>
      <c r="J152" s="514">
        <f t="shared" si="38"/>
        <v>0</v>
      </c>
      <c r="K152" s="514"/>
      <c r="L152" s="525"/>
      <c r="M152" s="514">
        <f t="shared" si="39"/>
        <v>0</v>
      </c>
      <c r="N152" s="525"/>
      <c r="O152" s="514">
        <f t="shared" si="40"/>
        <v>0</v>
      </c>
      <c r="P152" s="514">
        <f t="shared" si="41"/>
        <v>0</v>
      </c>
      <c r="Q152" s="269"/>
    </row>
    <row r="153" spans="2:17" ht="12.5">
      <c r="B153" s="195" t="str">
        <f t="shared" si="28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2"/>
        <v>0</v>
      </c>
      <c r="G153" s="523">
        <f t="shared" si="35"/>
        <v>0</v>
      </c>
      <c r="H153" s="526">
        <f t="shared" si="36"/>
        <v>0</v>
      </c>
      <c r="I153" s="577">
        <f t="shared" si="37"/>
        <v>0</v>
      </c>
      <c r="J153" s="514">
        <f t="shared" si="38"/>
        <v>0</v>
      </c>
      <c r="K153" s="514"/>
      <c r="L153" s="525"/>
      <c r="M153" s="514">
        <f t="shared" si="39"/>
        <v>0</v>
      </c>
      <c r="N153" s="525"/>
      <c r="O153" s="514">
        <f t="shared" si="40"/>
        <v>0</v>
      </c>
      <c r="P153" s="514">
        <f t="shared" si="41"/>
        <v>0</v>
      </c>
      <c r="Q153" s="269"/>
    </row>
    <row r="154" spans="2:17" ht="13" thickBot="1">
      <c r="B154" s="195" t="str">
        <f t="shared" si="28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2"/>
        <v>0</v>
      </c>
      <c r="G154" s="528">
        <f t="shared" si="35"/>
        <v>0</v>
      </c>
      <c r="H154" s="530">
        <f t="shared" si="36"/>
        <v>0</v>
      </c>
      <c r="I154" s="579">
        <f t="shared" si="37"/>
        <v>0</v>
      </c>
      <c r="J154" s="533">
        <f t="shared" si="38"/>
        <v>0</v>
      </c>
      <c r="K154" s="514"/>
      <c r="L154" s="532"/>
      <c r="M154" s="533">
        <f t="shared" si="39"/>
        <v>0</v>
      </c>
      <c r="N154" s="532"/>
      <c r="O154" s="533">
        <f t="shared" si="40"/>
        <v>0</v>
      </c>
      <c r="P154" s="533">
        <f t="shared" si="41"/>
        <v>0</v>
      </c>
      <c r="Q154" s="269"/>
    </row>
    <row r="155" spans="2:17" ht="12.5">
      <c r="C155" s="374" t="s">
        <v>78</v>
      </c>
      <c r="D155" s="375"/>
      <c r="E155" s="375">
        <f>SUM(E99:E154)</f>
        <v>5250739</v>
      </c>
      <c r="F155" s="375"/>
      <c r="G155" s="375"/>
      <c r="H155" s="375">
        <f>SUM(H99:H154)</f>
        <v>18212557.231404882</v>
      </c>
      <c r="I155" s="375">
        <f>SUM(I99:I154)</f>
        <v>18212557.231404882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3" priority="1" stopIfTrue="1" operator="equal">
      <formula>$I$10</formula>
    </cfRule>
  </conditionalFormatting>
  <conditionalFormatting sqref="C99:C154">
    <cfRule type="cellIs" dxfId="11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indexed="37"/>
  </sheetPr>
  <dimension ref="A1:Q162"/>
  <sheetViews>
    <sheetView view="pageBreakPreview" topLeftCell="A70" zoomScale="75" zoomScaleNormal="100" zoomScaleSheetLayoutView="75" workbookViewId="0">
      <selection activeCell="D107" sqref="D10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25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9188.6667831500235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9188.6667831500235</v>
      </c>
      <c r="O6" s="269"/>
      <c r="P6" s="269"/>
    </row>
    <row r="7" spans="1:17" ht="13.5" thickBot="1">
      <c r="C7" s="467" t="s">
        <v>48</v>
      </c>
      <c r="D7" s="620" t="s">
        <v>268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254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88842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2115.2857142857142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91500</v>
      </c>
      <c r="E17" s="509">
        <v>0</v>
      </c>
      <c r="F17" s="508">
        <v>91500</v>
      </c>
      <c r="G17" s="509">
        <v>13154.497429496008</v>
      </c>
      <c r="H17" s="510">
        <v>13154.497429496008</v>
      </c>
      <c r="I17" s="517">
        <v>0</v>
      </c>
      <c r="J17" s="511"/>
      <c r="K17" s="512">
        <f t="shared" ref="K17:K22" si="0">G17</f>
        <v>13154.497429496008</v>
      </c>
      <c r="L17" s="597">
        <f t="shared" ref="L17:L48" si="1">IF(K17&lt;&gt;0,+G17-K17,0)</f>
        <v>0</v>
      </c>
      <c r="M17" s="512">
        <f t="shared" ref="M17:M22" si="2">H17</f>
        <v>13154.497429496008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88842</v>
      </c>
      <c r="E18" s="516">
        <v>2166.8780487804879</v>
      </c>
      <c r="F18" s="515">
        <v>86675.121951219509</v>
      </c>
      <c r="G18" s="516">
        <v>15704.854678854768</v>
      </c>
      <c r="H18" s="510">
        <v>15704.854678854768</v>
      </c>
      <c r="I18" s="517">
        <v>0</v>
      </c>
      <c r="J18" s="511"/>
      <c r="K18" s="518">
        <f t="shared" si="0"/>
        <v>15704.854678854768</v>
      </c>
      <c r="L18" s="519">
        <f t="shared" si="1"/>
        <v>0</v>
      </c>
      <c r="M18" s="518">
        <f t="shared" si="2"/>
        <v>15704.854678854768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608">
        <v>86675.121951219509</v>
      </c>
      <c r="E19" s="609">
        <v>2115.2857142857142</v>
      </c>
      <c r="F19" s="608">
        <v>84559.836236933799</v>
      </c>
      <c r="G19" s="609">
        <v>14691.036403517382</v>
      </c>
      <c r="H19" s="610">
        <v>14691.036403517382</v>
      </c>
      <c r="I19" s="517">
        <v>0</v>
      </c>
      <c r="J19" s="511"/>
      <c r="K19" s="518">
        <f t="shared" si="0"/>
        <v>14691.036403517382</v>
      </c>
      <c r="L19" s="519">
        <f t="shared" si="1"/>
        <v>0</v>
      </c>
      <c r="M19" s="518">
        <f t="shared" si="2"/>
        <v>14691.036403517382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84559.836236933799</v>
      </c>
      <c r="E20" s="609">
        <v>2115.2857142857142</v>
      </c>
      <c r="F20" s="608">
        <v>82444.550522648089</v>
      </c>
      <c r="G20" s="609">
        <v>13656.457775002271</v>
      </c>
      <c r="H20" s="610">
        <v>13656.457775002271</v>
      </c>
      <c r="I20" s="596">
        <v>0</v>
      </c>
      <c r="J20" s="511"/>
      <c r="K20" s="518">
        <f t="shared" si="0"/>
        <v>13656.457775002271</v>
      </c>
      <c r="L20" s="519">
        <f t="shared" ref="L20:L25" si="6">IF(K20&lt;&gt;0,+G20-K20,0)</f>
        <v>0</v>
      </c>
      <c r="M20" s="518">
        <f t="shared" si="2"/>
        <v>13656.457775002271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82444.550522648089</v>
      </c>
      <c r="E21" s="609">
        <v>2115.2857142857142</v>
      </c>
      <c r="F21" s="608">
        <v>80329.264808362379</v>
      </c>
      <c r="G21" s="609">
        <v>12952.547656930288</v>
      </c>
      <c r="H21" s="610">
        <v>12952.547656930288</v>
      </c>
      <c r="I21" s="596">
        <v>0</v>
      </c>
      <c r="J21" s="511"/>
      <c r="K21" s="518">
        <f t="shared" si="0"/>
        <v>12952.547656930288</v>
      </c>
      <c r="L21" s="519">
        <f t="shared" si="6"/>
        <v>0</v>
      </c>
      <c r="M21" s="518">
        <f t="shared" si="2"/>
        <v>12952.547656930288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08">
        <v>80329.264808362379</v>
      </c>
      <c r="E22" s="609">
        <v>2115.2857142857142</v>
      </c>
      <c r="F22" s="608">
        <v>78213.979094076669</v>
      </c>
      <c r="G22" s="609">
        <v>12416.442264342599</v>
      </c>
      <c r="H22" s="610">
        <v>12416.442264342599</v>
      </c>
      <c r="I22" s="511">
        <v>0</v>
      </c>
      <c r="J22" s="511"/>
      <c r="K22" s="518">
        <f t="shared" si="0"/>
        <v>12416.442264342599</v>
      </c>
      <c r="L22" s="519">
        <f t="shared" si="6"/>
        <v>0</v>
      </c>
      <c r="M22" s="518">
        <f t="shared" si="2"/>
        <v>12416.442264342599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78213.979094076669</v>
      </c>
      <c r="E23" s="609">
        <v>2115.2857142857142</v>
      </c>
      <c r="F23" s="608">
        <v>76098.693379790959</v>
      </c>
      <c r="G23" s="609">
        <v>12014.201848101253</v>
      </c>
      <c r="H23" s="610">
        <v>12014.201848101253</v>
      </c>
      <c r="I23" s="511">
        <f t="shared" ref="I23:I48" si="9">H23-G23</f>
        <v>0</v>
      </c>
      <c r="J23" s="511"/>
      <c r="K23" s="518">
        <f>G23</f>
        <v>12014.201848101253</v>
      </c>
      <c r="L23" s="519">
        <f t="shared" si="6"/>
        <v>0</v>
      </c>
      <c r="M23" s="518">
        <f>H23</f>
        <v>12014.201848101253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76098.693379790959</v>
      </c>
      <c r="E24" s="609">
        <v>2066.0930232558139</v>
      </c>
      <c r="F24" s="608">
        <v>74032.600356535142</v>
      </c>
      <c r="G24" s="609">
        <v>11366.166201307635</v>
      </c>
      <c r="H24" s="610">
        <v>11366.166201307635</v>
      </c>
      <c r="I24" s="511">
        <f t="shared" si="9"/>
        <v>0</v>
      </c>
      <c r="J24" s="511"/>
      <c r="K24" s="518">
        <f>G24</f>
        <v>11366.166201307635</v>
      </c>
      <c r="L24" s="519">
        <f t="shared" si="6"/>
        <v>0</v>
      </c>
      <c r="M24" s="518">
        <f>H24</f>
        <v>11366.166201307635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74032.600356535142</v>
      </c>
      <c r="E25" s="609">
        <v>2166.8780487804879</v>
      </c>
      <c r="F25" s="608">
        <v>71865.722307754651</v>
      </c>
      <c r="G25" s="609">
        <v>11438.285975861665</v>
      </c>
      <c r="H25" s="610">
        <v>11438.285975861665</v>
      </c>
      <c r="I25" s="511">
        <f t="shared" si="9"/>
        <v>0</v>
      </c>
      <c r="J25" s="511"/>
      <c r="K25" s="518">
        <f>G25</f>
        <v>11438.285975861665</v>
      </c>
      <c r="L25" s="519">
        <f t="shared" si="6"/>
        <v>0</v>
      </c>
      <c r="M25" s="518">
        <f>H25</f>
        <v>11438.285975861665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71865.722307754651</v>
      </c>
      <c r="E26" s="609">
        <v>2166.8780487804879</v>
      </c>
      <c r="F26" s="608">
        <v>69698.844258974161</v>
      </c>
      <c r="G26" s="609">
        <v>11162.888562764485</v>
      </c>
      <c r="H26" s="610">
        <v>11162.888562764485</v>
      </c>
      <c r="I26" s="511">
        <f t="shared" si="9"/>
        <v>0</v>
      </c>
      <c r="J26" s="511"/>
      <c r="K26" s="518">
        <f>G26</f>
        <v>11162.888562764485</v>
      </c>
      <c r="L26" s="519">
        <f t="shared" ref="L26" si="10">IF(K26&lt;&gt;0,+G26-K26,0)</f>
        <v>0</v>
      </c>
      <c r="M26" s="518">
        <f>H26</f>
        <v>11162.888562764485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08">
        <v>69698.844258974161</v>
      </c>
      <c r="E27" s="609">
        <v>2166.8780487804879</v>
      </c>
      <c r="F27" s="608">
        <v>67531.96621019367</v>
      </c>
      <c r="G27" s="609">
        <v>9188.6667831500235</v>
      </c>
      <c r="H27" s="610">
        <v>9188.6667831500235</v>
      </c>
      <c r="I27" s="511">
        <f t="shared" si="9"/>
        <v>0</v>
      </c>
      <c r="J27" s="511"/>
      <c r="K27" s="518">
        <f>G27</f>
        <v>9188.6667831500235</v>
      </c>
      <c r="L27" s="519">
        <f t="shared" ref="L27" si="11">IF(K27&lt;&gt;0,+G27-K27,0)</f>
        <v>0</v>
      </c>
      <c r="M27" s="518">
        <f>H27</f>
        <v>9188.6667831500235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2021</v>
      </c>
      <c r="D28" s="523">
        <f>IF(F27+SUM(E$17:E27)=D$10,F27,D$10-SUM(E$17:E27))</f>
        <v>67531.96621019367</v>
      </c>
      <c r="E28" s="522">
        <f>IF(+I14&lt;F27,I14,D28)</f>
        <v>2115.2857142857142</v>
      </c>
      <c r="F28" s="523">
        <f t="shared" ref="F28:F48" si="12">+D28-E28</f>
        <v>65416.680495907953</v>
      </c>
      <c r="G28" s="524">
        <f t="shared" ref="G28:G55" si="13">+I$12*((D28+F28)/2)+E28</f>
        <v>9215.9382419589856</v>
      </c>
      <c r="H28" s="491">
        <f t="shared" ref="H28:H55" si="14">+I$13*((D28+F28)/2)+E28</f>
        <v>9215.9382419589856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2022</v>
      </c>
      <c r="D29" s="523">
        <f>IF(F28+SUM(E$17:E28)=D$10,F28,D$10-SUM(E$17:E28))</f>
        <v>65416.680495907953</v>
      </c>
      <c r="E29" s="522">
        <f>IF(+I14&lt;F28,I14,D29)</f>
        <v>2115.2857142857142</v>
      </c>
      <c r="F29" s="523">
        <f t="shared" si="12"/>
        <v>63301.394781622235</v>
      </c>
      <c r="G29" s="524">
        <f t="shared" si="13"/>
        <v>8989.9877080344504</v>
      </c>
      <c r="H29" s="491">
        <f t="shared" si="14"/>
        <v>8989.9877080344504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63301.394781622235</v>
      </c>
      <c r="E30" s="522">
        <f>IF(+I14&lt;F29,I14,D30)</f>
        <v>2115.2857142857142</v>
      </c>
      <c r="F30" s="523">
        <f t="shared" si="12"/>
        <v>61186.109067336518</v>
      </c>
      <c r="G30" s="524">
        <f t="shared" si="13"/>
        <v>8764.0371741099152</v>
      </c>
      <c r="H30" s="491">
        <f t="shared" si="14"/>
        <v>8764.0371741099152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61186.109067336518</v>
      </c>
      <c r="E31" s="522">
        <f>IF(+I14&lt;F30,I14,D31)</f>
        <v>2115.2857142857142</v>
      </c>
      <c r="F31" s="523">
        <f t="shared" si="12"/>
        <v>59070.823353050801</v>
      </c>
      <c r="G31" s="524">
        <f t="shared" si="13"/>
        <v>8538.0866401853782</v>
      </c>
      <c r="H31" s="491">
        <f t="shared" si="14"/>
        <v>8538.0866401853782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59070.823353050801</v>
      </c>
      <c r="E32" s="522">
        <f>IF(+I14&lt;F31,I14,D32)</f>
        <v>2115.2857142857142</v>
      </c>
      <c r="F32" s="523">
        <f t="shared" si="12"/>
        <v>56955.537638765083</v>
      </c>
      <c r="G32" s="524">
        <f t="shared" si="13"/>
        <v>8312.1361062608448</v>
      </c>
      <c r="H32" s="491">
        <f t="shared" si="14"/>
        <v>8312.1361062608448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/>
      <c r="C33" s="507">
        <f>IF(D11="","-",+C32+1)</f>
        <v>2026</v>
      </c>
      <c r="D33" s="523">
        <f>IF(F32+SUM(E$17:E32)=D$10,F32,D$10-SUM(E$17:E32))</f>
        <v>56955.537638765083</v>
      </c>
      <c r="E33" s="522">
        <f>IF(+I14&lt;F32,I14,D33)</f>
        <v>2115.2857142857142</v>
      </c>
      <c r="F33" s="523">
        <f t="shared" si="12"/>
        <v>54840.251924479366</v>
      </c>
      <c r="G33" s="524">
        <f t="shared" si="13"/>
        <v>8086.1855723363078</v>
      </c>
      <c r="H33" s="491">
        <f t="shared" si="14"/>
        <v>8086.1855723363078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54840.251924479366</v>
      </c>
      <c r="E34" s="522">
        <f>IF(+I14&lt;F33,I14,D34)</f>
        <v>2115.2857142857142</v>
      </c>
      <c r="F34" s="523">
        <f t="shared" si="12"/>
        <v>52724.966210193648</v>
      </c>
      <c r="G34" s="524">
        <f t="shared" si="13"/>
        <v>7860.2350384117744</v>
      </c>
      <c r="H34" s="491">
        <f t="shared" si="14"/>
        <v>7860.2350384117744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52724.966210193648</v>
      </c>
      <c r="E35" s="522">
        <f>IF(+I14&lt;F34,I14,D35)</f>
        <v>2115.2857142857142</v>
      </c>
      <c r="F35" s="523">
        <f t="shared" si="12"/>
        <v>50609.680495907931</v>
      </c>
      <c r="G35" s="524">
        <f t="shared" si="13"/>
        <v>7634.2845044872374</v>
      </c>
      <c r="H35" s="491">
        <f t="shared" si="14"/>
        <v>7634.2845044872374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50609.680495907931</v>
      </c>
      <c r="E36" s="522">
        <f>IF(+I14&lt;F35,I14,D36)</f>
        <v>2115.2857142857142</v>
      </c>
      <c r="F36" s="523">
        <f t="shared" si="12"/>
        <v>48494.394781622213</v>
      </c>
      <c r="G36" s="524">
        <f t="shared" si="13"/>
        <v>7408.3339705627022</v>
      </c>
      <c r="H36" s="491">
        <f t="shared" si="14"/>
        <v>7408.3339705627022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48494.394781622213</v>
      </c>
      <c r="E37" s="522">
        <f>IF(+I14&lt;F36,I14,D37)</f>
        <v>2115.2857142857142</v>
      </c>
      <c r="F37" s="523">
        <f t="shared" si="12"/>
        <v>46379.109067336496</v>
      </c>
      <c r="G37" s="524">
        <f t="shared" si="13"/>
        <v>7182.383436638167</v>
      </c>
      <c r="H37" s="491">
        <f t="shared" si="14"/>
        <v>7182.383436638167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46379.109067336496</v>
      </c>
      <c r="E38" s="522">
        <f>IF(+I14&lt;F37,I14,D38)</f>
        <v>2115.2857142857142</v>
      </c>
      <c r="F38" s="523">
        <f t="shared" si="12"/>
        <v>44263.823353050779</v>
      </c>
      <c r="G38" s="524">
        <f t="shared" si="13"/>
        <v>6956.4329027136318</v>
      </c>
      <c r="H38" s="491">
        <f t="shared" si="14"/>
        <v>6956.4329027136318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44263.823353050779</v>
      </c>
      <c r="E39" s="522">
        <f>IF(+I14&lt;F38,I14,D39)</f>
        <v>2115.2857142857142</v>
      </c>
      <c r="F39" s="523">
        <f t="shared" si="12"/>
        <v>42148.537638765061</v>
      </c>
      <c r="G39" s="524">
        <f t="shared" si="13"/>
        <v>6730.4823687890967</v>
      </c>
      <c r="H39" s="491">
        <f t="shared" si="14"/>
        <v>6730.4823687890967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42148.537638765061</v>
      </c>
      <c r="E40" s="522">
        <f>IF(+I14&lt;F39,I14,D40)</f>
        <v>2115.2857142857142</v>
      </c>
      <c r="F40" s="523">
        <f t="shared" si="12"/>
        <v>40033.251924479344</v>
      </c>
      <c r="G40" s="524">
        <f t="shared" si="13"/>
        <v>6504.5318348645615</v>
      </c>
      <c r="H40" s="491">
        <f t="shared" si="14"/>
        <v>6504.5318348645615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40033.251924479344</v>
      </c>
      <c r="E41" s="522">
        <f>IF(+I14&lt;F40,I14,D41)</f>
        <v>2115.2857142857142</v>
      </c>
      <c r="F41" s="523">
        <f t="shared" si="12"/>
        <v>37917.966210193626</v>
      </c>
      <c r="G41" s="524">
        <f t="shared" si="13"/>
        <v>6278.5813009400263</v>
      </c>
      <c r="H41" s="491">
        <f t="shared" si="14"/>
        <v>6278.5813009400263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37917.966210193626</v>
      </c>
      <c r="E42" s="522">
        <f>IF(+I14&lt;F41,I14,D42)</f>
        <v>2115.2857142857142</v>
      </c>
      <c r="F42" s="523">
        <f t="shared" si="12"/>
        <v>35802.680495907909</v>
      </c>
      <c r="G42" s="524">
        <f t="shared" si="13"/>
        <v>6052.6307670154911</v>
      </c>
      <c r="H42" s="491">
        <f t="shared" si="14"/>
        <v>6052.6307670154911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35802.680495907909</v>
      </c>
      <c r="E43" s="522">
        <f>IF(+I14&lt;F42,I14,D43)</f>
        <v>2115.2857142857142</v>
      </c>
      <c r="F43" s="523">
        <f t="shared" si="12"/>
        <v>33687.394781622192</v>
      </c>
      <c r="G43" s="524">
        <f t="shared" si="13"/>
        <v>5826.6802330909541</v>
      </c>
      <c r="H43" s="491">
        <f t="shared" si="14"/>
        <v>5826.6802330909541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33687.394781622192</v>
      </c>
      <c r="E44" s="522">
        <f>IF(+I14&lt;F43,I14,D44)</f>
        <v>2115.2857142857142</v>
      </c>
      <c r="F44" s="523">
        <f t="shared" si="12"/>
        <v>31572.109067336478</v>
      </c>
      <c r="G44" s="524">
        <f t="shared" si="13"/>
        <v>5600.7296991664207</v>
      </c>
      <c r="H44" s="491">
        <f t="shared" si="14"/>
        <v>5600.7296991664207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31572.109067336478</v>
      </c>
      <c r="E45" s="522">
        <f>IF(+I14&lt;F44,I14,D45)</f>
        <v>2115.2857142857142</v>
      </c>
      <c r="F45" s="523">
        <f t="shared" si="12"/>
        <v>29456.823353050764</v>
      </c>
      <c r="G45" s="524">
        <f t="shared" si="13"/>
        <v>5374.7791652418846</v>
      </c>
      <c r="H45" s="491">
        <f t="shared" si="14"/>
        <v>5374.7791652418846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29456.823353050764</v>
      </c>
      <c r="E46" s="522">
        <f>IF(+I14&lt;F45,I14,D46)</f>
        <v>2115.2857142857142</v>
      </c>
      <c r="F46" s="523">
        <f t="shared" si="12"/>
        <v>27341.53763876505</v>
      </c>
      <c r="G46" s="524">
        <f t="shared" si="13"/>
        <v>5148.8286313173503</v>
      </c>
      <c r="H46" s="491">
        <f t="shared" si="14"/>
        <v>5148.8286313173503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27341.53763876505</v>
      </c>
      <c r="E47" s="522">
        <f>IF(+I14&lt;F46,I14,D47)</f>
        <v>2115.2857142857142</v>
      </c>
      <c r="F47" s="523">
        <f t="shared" si="12"/>
        <v>25226.251924479337</v>
      </c>
      <c r="G47" s="524">
        <f t="shared" si="13"/>
        <v>4922.8780973928151</v>
      </c>
      <c r="H47" s="491">
        <f t="shared" si="14"/>
        <v>4922.8780973928151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25226.251924479337</v>
      </c>
      <c r="E48" s="522">
        <f>IF(+I14&lt;F47,I14,D48)</f>
        <v>2115.2857142857142</v>
      </c>
      <c r="F48" s="523">
        <f t="shared" si="12"/>
        <v>23110.966210193623</v>
      </c>
      <c r="G48" s="524">
        <f t="shared" si="13"/>
        <v>4696.9275634682799</v>
      </c>
      <c r="H48" s="491">
        <f t="shared" si="14"/>
        <v>4696.9275634682799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23110.966210193623</v>
      </c>
      <c r="E49" s="522">
        <f>IF(+I14&lt;F48,I14,D49)</f>
        <v>2115.2857142857142</v>
      </c>
      <c r="F49" s="523">
        <f t="shared" ref="F49:F72" si="15">+D49-E49</f>
        <v>20995.680495907909</v>
      </c>
      <c r="G49" s="524">
        <f t="shared" si="13"/>
        <v>4470.9770295437447</v>
      </c>
      <c r="H49" s="491">
        <f t="shared" si="14"/>
        <v>4470.9770295437447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20995.680495907909</v>
      </c>
      <c r="E50" s="522">
        <f>IF(+I14&lt;F49,I14,D50)</f>
        <v>2115.2857142857142</v>
      </c>
      <c r="F50" s="523">
        <f t="shared" si="15"/>
        <v>18880.394781622195</v>
      </c>
      <c r="G50" s="524">
        <f t="shared" si="13"/>
        <v>4245.0264956192104</v>
      </c>
      <c r="H50" s="491">
        <f t="shared" si="14"/>
        <v>4245.0264956192104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18880.394781622195</v>
      </c>
      <c r="E51" s="522">
        <f>IF(+I14&lt;F50,I14,D51)</f>
        <v>2115.2857142857142</v>
      </c>
      <c r="F51" s="523">
        <f t="shared" si="15"/>
        <v>16765.109067336482</v>
      </c>
      <c r="G51" s="524">
        <f t="shared" si="13"/>
        <v>4019.0759616946752</v>
      </c>
      <c r="H51" s="491">
        <f t="shared" si="14"/>
        <v>4019.0759616946752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16765.109067336482</v>
      </c>
      <c r="E52" s="522">
        <f>IF(+I14&lt;F51,I14,D52)</f>
        <v>2115.2857142857142</v>
      </c>
      <c r="F52" s="523">
        <f t="shared" si="15"/>
        <v>14649.823353050768</v>
      </c>
      <c r="G52" s="524">
        <f t="shared" si="13"/>
        <v>3793.12542777014</v>
      </c>
      <c r="H52" s="491">
        <f t="shared" si="14"/>
        <v>3793.12542777014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14649.823353050768</v>
      </c>
      <c r="E53" s="522">
        <f>IF(+I14&lt;F52,I14,D53)</f>
        <v>2115.2857142857142</v>
      </c>
      <c r="F53" s="523">
        <f t="shared" si="15"/>
        <v>12534.537638765054</v>
      </c>
      <c r="G53" s="524">
        <f t="shared" si="13"/>
        <v>3567.1748938456053</v>
      </c>
      <c r="H53" s="491">
        <f t="shared" si="14"/>
        <v>3567.1748938456053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12534.537638765054</v>
      </c>
      <c r="E54" s="522">
        <f>IF(+I14&lt;F53,I14,D54)</f>
        <v>2115.2857142857142</v>
      </c>
      <c r="F54" s="523">
        <f t="shared" si="15"/>
        <v>10419.25192447934</v>
      </c>
      <c r="G54" s="524">
        <f t="shared" si="13"/>
        <v>3341.2243599210706</v>
      </c>
      <c r="H54" s="491">
        <f t="shared" si="14"/>
        <v>3341.2243599210706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10419.25192447934</v>
      </c>
      <c r="E55" s="522">
        <f>IF(+I14&lt;F54,I14,D55)</f>
        <v>2115.2857142857142</v>
      </c>
      <c r="F55" s="523">
        <f t="shared" si="15"/>
        <v>8303.9662101936265</v>
      </c>
      <c r="G55" s="524">
        <f t="shared" si="13"/>
        <v>3115.2738259965354</v>
      </c>
      <c r="H55" s="491">
        <f t="shared" si="14"/>
        <v>3115.2738259965354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8303.9662101936265</v>
      </c>
      <c r="E56" s="522">
        <f>IF(+I14&lt;F55,I14,D56)</f>
        <v>2115.2857142857142</v>
      </c>
      <c r="F56" s="523">
        <f t="shared" si="15"/>
        <v>6188.6804959079127</v>
      </c>
      <c r="G56" s="524">
        <f t="shared" ref="G56:G72" si="20">+I$12*((D56+F56)/2)+E56</f>
        <v>2889.3232920720002</v>
      </c>
      <c r="H56" s="491">
        <f t="shared" ref="H56:H72" si="21">+I$13*((D56+F56)/2)+E56</f>
        <v>2889.3232920720002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6188.6804959079127</v>
      </c>
      <c r="E57" s="522">
        <f>IF(+I14&lt;F56,I14,D57)</f>
        <v>2115.2857142857142</v>
      </c>
      <c r="F57" s="523">
        <f t="shared" si="15"/>
        <v>4073.3947816221985</v>
      </c>
      <c r="G57" s="524">
        <f t="shared" si="20"/>
        <v>2663.3727581474654</v>
      </c>
      <c r="H57" s="491">
        <f t="shared" si="21"/>
        <v>2663.3727581474654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4073.3947816221985</v>
      </c>
      <c r="E58" s="522">
        <f>IF(+I14&lt;F57,I14,D58)</f>
        <v>2115.2857142857142</v>
      </c>
      <c r="F58" s="523">
        <f t="shared" si="15"/>
        <v>1958.1090673364843</v>
      </c>
      <c r="G58" s="524">
        <f t="shared" si="20"/>
        <v>2437.4222242229303</v>
      </c>
      <c r="H58" s="491">
        <f t="shared" si="21"/>
        <v>2437.4222242229303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1958.1090673364843</v>
      </c>
      <c r="E59" s="522">
        <f>IF(+I14&lt;F58,I14,D59)</f>
        <v>1958.1090673364843</v>
      </c>
      <c r="F59" s="523">
        <f t="shared" si="15"/>
        <v>0</v>
      </c>
      <c r="G59" s="524">
        <f t="shared" si="20"/>
        <v>2062.6896888239585</v>
      </c>
      <c r="H59" s="491">
        <f t="shared" si="21"/>
        <v>2062.6896888239585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20"/>
        <v>0</v>
      </c>
      <c r="H60" s="491">
        <f t="shared" si="21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20"/>
        <v>0</v>
      </c>
      <c r="H61" s="491">
        <f t="shared" si="21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20"/>
        <v>0</v>
      </c>
      <c r="H62" s="491">
        <f t="shared" si="21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20"/>
        <v>0</v>
      </c>
      <c r="H63" s="491">
        <f t="shared" si="21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20"/>
        <v>0</v>
      </c>
      <c r="H64" s="491">
        <f t="shared" si="21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20"/>
        <v>0</v>
      </c>
      <c r="H65" s="491">
        <f t="shared" si="21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20"/>
        <v>0</v>
      </c>
      <c r="H66" s="491">
        <f t="shared" si="21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20"/>
        <v>0</v>
      </c>
      <c r="H67" s="491">
        <f t="shared" si="21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20"/>
        <v>0</v>
      </c>
      <c r="H68" s="491">
        <f t="shared" si="21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20"/>
        <v>0</v>
      </c>
      <c r="H69" s="491">
        <f t="shared" si="21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20"/>
        <v>0</v>
      </c>
      <c r="H70" s="491">
        <f t="shared" si="21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20"/>
        <v>0</v>
      </c>
      <c r="H71" s="491">
        <f t="shared" si="21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20"/>
        <v>0</v>
      </c>
      <c r="H72" s="471">
        <f t="shared" si="21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88841.999999999956</v>
      </c>
      <c r="F73" s="375"/>
      <c r="G73" s="375">
        <f>SUM(G17:G72)</f>
        <v>320435.82249397197</v>
      </c>
      <c r="H73" s="375">
        <f>SUM(H17:H72)</f>
        <v>320435.82249397197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25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9188.6667831500235</v>
      </c>
      <c r="N87" s="546">
        <f>IF(J92&lt;D11,0,VLOOKUP(J92,C17:O72,11))</f>
        <v>9188.6667831500235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9521.2246182886065</v>
      </c>
      <c r="N88" s="550">
        <f>IF(J92&lt;D11,0,VLOOKUP(J92,C99:P154,7))</f>
        <v>9521.2246182886065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Replace switch at Diana*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332.55783513858296</v>
      </c>
      <c r="N89" s="555">
        <f>+N88-N87</f>
        <v>332.55783513858296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TP2009012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88842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2115.2857142857142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0</v>
      </c>
      <c r="F99" s="515">
        <v>88842</v>
      </c>
      <c r="G99" s="574">
        <v>44421</v>
      </c>
      <c r="H99" s="575">
        <v>7333.2888535266693</v>
      </c>
      <c r="I99" s="576">
        <v>7333.2888535266693</v>
      </c>
      <c r="J99" s="514">
        <f t="shared" ref="J99:J130" si="22">+I99-H99</f>
        <v>0</v>
      </c>
      <c r="K99" s="514"/>
      <c r="L99" s="512">
        <f t="shared" ref="L99:L104" si="23">H99</f>
        <v>7333.2888535266693</v>
      </c>
      <c r="M99" s="597">
        <f t="shared" ref="M99:M130" si="24">IF(L99&lt;&gt;0,+H99-L99,0)</f>
        <v>0</v>
      </c>
      <c r="N99" s="512">
        <f t="shared" ref="N99:N104" si="25">I99</f>
        <v>7333.2888535266693</v>
      </c>
      <c r="O99" s="513">
        <f t="shared" ref="O99:O130" si="26">IF(N99&lt;&gt;0,+I99-N99,0)</f>
        <v>0</v>
      </c>
      <c r="P99" s="513">
        <f t="shared" ref="P99:P130" si="27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2011</v>
      </c>
      <c r="D100" s="508">
        <v>88842</v>
      </c>
      <c r="E100" s="516">
        <v>2115.2857142857142</v>
      </c>
      <c r="F100" s="515">
        <v>86726.71428571429</v>
      </c>
      <c r="G100" s="515">
        <v>87784.357142857145</v>
      </c>
      <c r="H100" s="516">
        <v>15316.288674280955</v>
      </c>
      <c r="I100" s="510">
        <v>15316.288674280955</v>
      </c>
      <c r="J100" s="514">
        <f t="shared" si="22"/>
        <v>0</v>
      </c>
      <c r="K100" s="514"/>
      <c r="L100" s="518">
        <f t="shared" si="23"/>
        <v>15316.288674280955</v>
      </c>
      <c r="M100" s="519">
        <f t="shared" si="24"/>
        <v>0</v>
      </c>
      <c r="N100" s="518">
        <f t="shared" si="25"/>
        <v>15316.288674280955</v>
      </c>
      <c r="O100" s="514">
        <f t="shared" si="26"/>
        <v>0</v>
      </c>
      <c r="P100" s="514">
        <f t="shared" si="27"/>
        <v>0</v>
      </c>
      <c r="Q100" s="269"/>
    </row>
    <row r="101" spans="1:17" ht="12.5">
      <c r="B101" s="195" t="str">
        <f t="shared" ref="B101:B154" si="28">IF(D101=F100,"","IU")</f>
        <v/>
      </c>
      <c r="C101" s="507">
        <f>IF(D93="","-",+C100+1)</f>
        <v>2012</v>
      </c>
      <c r="D101" s="508">
        <v>86726.71428571429</v>
      </c>
      <c r="E101" s="516">
        <v>2115.2857142857142</v>
      </c>
      <c r="F101" s="515">
        <v>84611.42857142858</v>
      </c>
      <c r="G101" s="515">
        <v>85669.071428571435</v>
      </c>
      <c r="H101" s="516">
        <v>14721.826408325345</v>
      </c>
      <c r="I101" s="510">
        <v>14721.826408325345</v>
      </c>
      <c r="J101" s="514">
        <f t="shared" si="22"/>
        <v>0</v>
      </c>
      <c r="K101" s="514"/>
      <c r="L101" s="518">
        <f t="shared" si="23"/>
        <v>14721.826408325345</v>
      </c>
      <c r="M101" s="519">
        <f t="shared" si="24"/>
        <v>0</v>
      </c>
      <c r="N101" s="518">
        <f t="shared" si="25"/>
        <v>14721.826408325345</v>
      </c>
      <c r="O101" s="514">
        <f t="shared" si="26"/>
        <v>0</v>
      </c>
      <c r="P101" s="514">
        <f t="shared" si="27"/>
        <v>0</v>
      </c>
      <c r="Q101" s="269"/>
    </row>
    <row r="102" spans="1:17" ht="12.5">
      <c r="B102" s="195" t="str">
        <f t="shared" si="28"/>
        <v/>
      </c>
      <c r="C102" s="507">
        <f>IF(D93="","-",+C101+1)</f>
        <v>2013</v>
      </c>
      <c r="D102" s="508">
        <v>84611.42857142858</v>
      </c>
      <c r="E102" s="516">
        <v>2115.2857142857142</v>
      </c>
      <c r="F102" s="515">
        <v>82496.14285714287</v>
      </c>
      <c r="G102" s="515">
        <v>83553.785714285725</v>
      </c>
      <c r="H102" s="516">
        <v>13419.419617970232</v>
      </c>
      <c r="I102" s="510">
        <v>13419.419617970232</v>
      </c>
      <c r="J102" s="514">
        <v>0</v>
      </c>
      <c r="K102" s="514"/>
      <c r="L102" s="518">
        <f t="shared" si="23"/>
        <v>13419.419617970232</v>
      </c>
      <c r="M102" s="519">
        <f t="shared" ref="M102:M107" si="29">IF(L102&lt;&gt;0,+H102-L102,0)</f>
        <v>0</v>
      </c>
      <c r="N102" s="518">
        <f t="shared" si="25"/>
        <v>13419.419617970232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8"/>
        <v/>
      </c>
      <c r="C103" s="507">
        <f>IF(D93="","-",+C102+1)</f>
        <v>2014</v>
      </c>
      <c r="D103" s="508">
        <v>82496.14285714287</v>
      </c>
      <c r="E103" s="516">
        <v>2115.2857142857142</v>
      </c>
      <c r="F103" s="515">
        <v>80380.857142857159</v>
      </c>
      <c r="G103" s="515">
        <v>81438.500000000015</v>
      </c>
      <c r="H103" s="516">
        <v>13184.68839231506</v>
      </c>
      <c r="I103" s="510">
        <v>13184.68839231506</v>
      </c>
      <c r="J103" s="514">
        <v>0</v>
      </c>
      <c r="K103" s="514"/>
      <c r="L103" s="518">
        <f t="shared" si="23"/>
        <v>13184.68839231506</v>
      </c>
      <c r="M103" s="519">
        <f t="shared" si="29"/>
        <v>0</v>
      </c>
      <c r="N103" s="518">
        <f t="shared" si="25"/>
        <v>13184.68839231506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8"/>
        <v/>
      </c>
      <c r="C104" s="507">
        <f>IF(D93="","-",+C103+1)</f>
        <v>2015</v>
      </c>
      <c r="D104" s="508">
        <v>80380.857142857159</v>
      </c>
      <c r="E104" s="516">
        <v>2115.2857142857142</v>
      </c>
      <c r="F104" s="515">
        <v>78265.571428571449</v>
      </c>
      <c r="G104" s="515">
        <v>79323.214285714304</v>
      </c>
      <c r="H104" s="516">
        <v>12567.616650151769</v>
      </c>
      <c r="I104" s="510">
        <v>12567.616650151769</v>
      </c>
      <c r="J104" s="514">
        <f t="shared" si="22"/>
        <v>0</v>
      </c>
      <c r="K104" s="514"/>
      <c r="L104" s="518">
        <f t="shared" si="23"/>
        <v>12567.616650151769</v>
      </c>
      <c r="M104" s="519">
        <f t="shared" si="29"/>
        <v>0</v>
      </c>
      <c r="N104" s="518">
        <f t="shared" si="25"/>
        <v>12567.616650151769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8"/>
        <v/>
      </c>
      <c r="C105" s="507">
        <f>IF(D93="","-",+C104+1)</f>
        <v>2016</v>
      </c>
      <c r="D105" s="508">
        <v>78265.571428571449</v>
      </c>
      <c r="E105" s="516">
        <v>2066.0930232558139</v>
      </c>
      <c r="F105" s="515">
        <v>76199.478405315633</v>
      </c>
      <c r="G105" s="515">
        <v>77232.524916943541</v>
      </c>
      <c r="H105" s="516">
        <v>11870.761156942419</v>
      </c>
      <c r="I105" s="510">
        <v>11870.761156942419</v>
      </c>
      <c r="J105" s="514">
        <f t="shared" si="22"/>
        <v>0</v>
      </c>
      <c r="K105" s="514"/>
      <c r="L105" s="518">
        <f>H105</f>
        <v>11870.761156942419</v>
      </c>
      <c r="M105" s="519">
        <f t="shared" si="29"/>
        <v>0</v>
      </c>
      <c r="N105" s="518">
        <f>I105</f>
        <v>11870.761156942419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28"/>
        <v/>
      </c>
      <c r="C106" s="507">
        <f>IF(D93="","-",+C105+1)</f>
        <v>2017</v>
      </c>
      <c r="D106" s="508">
        <v>76199.478405315633</v>
      </c>
      <c r="E106" s="516">
        <v>2115.2857142857142</v>
      </c>
      <c r="F106" s="515">
        <v>74084.192691029923</v>
      </c>
      <c r="G106" s="515">
        <v>75141.835548172778</v>
      </c>
      <c r="H106" s="516">
        <v>11242.874011372322</v>
      </c>
      <c r="I106" s="510">
        <v>11242.874011372322</v>
      </c>
      <c r="J106" s="514">
        <f t="shared" si="22"/>
        <v>0</v>
      </c>
      <c r="K106" s="514"/>
      <c r="L106" s="518">
        <f>H106</f>
        <v>11242.874011372322</v>
      </c>
      <c r="M106" s="519">
        <f t="shared" si="29"/>
        <v>0</v>
      </c>
      <c r="N106" s="518">
        <f>I106</f>
        <v>11242.874011372322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28"/>
        <v/>
      </c>
      <c r="C107" s="507">
        <f>IF(D93="","-",+C106+1)</f>
        <v>2018</v>
      </c>
      <c r="D107" s="508">
        <v>74084.192691029923</v>
      </c>
      <c r="E107" s="516">
        <v>2115.2857142857142</v>
      </c>
      <c r="F107" s="515">
        <v>71968.906976744212</v>
      </c>
      <c r="G107" s="515">
        <v>73026.549833887068</v>
      </c>
      <c r="H107" s="516">
        <v>9827.2242633415626</v>
      </c>
      <c r="I107" s="510">
        <v>9827.2242633415626</v>
      </c>
      <c r="J107" s="514">
        <f t="shared" si="22"/>
        <v>0</v>
      </c>
      <c r="K107" s="514"/>
      <c r="L107" s="518">
        <f>H107</f>
        <v>9827.2242633415626</v>
      </c>
      <c r="M107" s="519">
        <f t="shared" si="29"/>
        <v>0</v>
      </c>
      <c r="N107" s="518">
        <f>I107</f>
        <v>9827.2242633415626</v>
      </c>
      <c r="O107" s="514">
        <f t="shared" si="26"/>
        <v>0</v>
      </c>
      <c r="P107" s="514">
        <f t="shared" si="27"/>
        <v>0</v>
      </c>
      <c r="Q107" s="269"/>
    </row>
    <row r="108" spans="1:17" ht="12.5">
      <c r="B108" s="195" t="str">
        <f t="shared" si="28"/>
        <v/>
      </c>
      <c r="C108" s="507">
        <f>IF(D93="","-",+C107+1)</f>
        <v>2019</v>
      </c>
      <c r="D108" s="508">
        <v>71968.906976744212</v>
      </c>
      <c r="E108" s="516">
        <v>2066.0930232558139</v>
      </c>
      <c r="F108" s="515">
        <v>69902.813953488396</v>
      </c>
      <c r="G108" s="515">
        <v>70935.860465116304</v>
      </c>
      <c r="H108" s="516">
        <v>9659.1062968732876</v>
      </c>
      <c r="I108" s="510">
        <v>9659.1062968732876</v>
      </c>
      <c r="J108" s="514">
        <f t="shared" si="22"/>
        <v>0</v>
      </c>
      <c r="K108" s="514"/>
      <c r="L108" s="518">
        <f>H108</f>
        <v>9659.1062968732876</v>
      </c>
      <c r="M108" s="519">
        <f t="shared" ref="M108" si="30">IF(L108&lt;&gt;0,+H108-L108,0)</f>
        <v>0</v>
      </c>
      <c r="N108" s="518">
        <f>I108</f>
        <v>9659.1062968732876</v>
      </c>
      <c r="O108" s="514">
        <f t="shared" si="26"/>
        <v>0</v>
      </c>
      <c r="P108" s="514">
        <f t="shared" si="27"/>
        <v>0</v>
      </c>
      <c r="Q108" s="269"/>
    </row>
    <row r="109" spans="1:17" ht="12.5">
      <c r="B109" s="195" t="str">
        <f t="shared" si="28"/>
        <v/>
      </c>
      <c r="C109" s="507">
        <f>IF(D93="","-",+C108+1)</f>
        <v>2020</v>
      </c>
      <c r="D109" s="374">
        <f>IF(F108+SUM(E$99:E108)=D$92,F108,D$92-SUM(E$99:E108))</f>
        <v>69902.813953488396</v>
      </c>
      <c r="E109" s="522">
        <f>IF(+J96&lt;F108,J96,D109)</f>
        <v>2115.2857142857142</v>
      </c>
      <c r="F109" s="523">
        <f t="shared" ref="F109:F131" si="31">+D109-E109</f>
        <v>67787.528239202686</v>
      </c>
      <c r="G109" s="523">
        <f t="shared" ref="G109:G130" si="32">+(F109+D109)/2</f>
        <v>68845.171096345541</v>
      </c>
      <c r="H109" s="526">
        <f t="shared" ref="H109:H130" si="33">+J$94*G109+E109</f>
        <v>9521.2246182886065</v>
      </c>
      <c r="I109" s="577">
        <f t="shared" ref="I109:I130" si="34">+J$95*G109+E109</f>
        <v>9521.2246182886065</v>
      </c>
      <c r="J109" s="514">
        <f t="shared" si="22"/>
        <v>0</v>
      </c>
      <c r="K109" s="514"/>
      <c r="L109" s="525"/>
      <c r="M109" s="514">
        <f t="shared" si="24"/>
        <v>0</v>
      </c>
      <c r="N109" s="525"/>
      <c r="O109" s="514">
        <f t="shared" si="26"/>
        <v>0</v>
      </c>
      <c r="P109" s="514">
        <f t="shared" si="27"/>
        <v>0</v>
      </c>
      <c r="Q109" s="269"/>
    </row>
    <row r="110" spans="1:17" ht="12.5">
      <c r="B110" s="195" t="str">
        <f t="shared" si="28"/>
        <v/>
      </c>
      <c r="C110" s="507">
        <f>IF(D93="","-",+C109+1)</f>
        <v>2021</v>
      </c>
      <c r="D110" s="374">
        <f>IF(F109+SUM(E$99:E109)=D$92,F109,D$92-SUM(E$99:E109))</f>
        <v>67787.528239202686</v>
      </c>
      <c r="E110" s="522">
        <f>IF(+J96&lt;F109,J96,D110)</f>
        <v>2115.2857142857142</v>
      </c>
      <c r="F110" s="523">
        <f t="shared" si="31"/>
        <v>65672.242524916976</v>
      </c>
      <c r="G110" s="523">
        <f t="shared" si="32"/>
        <v>66729.885382059831</v>
      </c>
      <c r="H110" s="526">
        <f t="shared" si="33"/>
        <v>9293.6752271688329</v>
      </c>
      <c r="I110" s="577">
        <f t="shared" si="34"/>
        <v>9293.6752271688329</v>
      </c>
      <c r="J110" s="514">
        <f t="shared" si="22"/>
        <v>0</v>
      </c>
      <c r="K110" s="514"/>
      <c r="L110" s="525"/>
      <c r="M110" s="514">
        <f t="shared" si="24"/>
        <v>0</v>
      </c>
      <c r="N110" s="525"/>
      <c r="O110" s="514">
        <f t="shared" si="26"/>
        <v>0</v>
      </c>
      <c r="P110" s="514">
        <f t="shared" si="27"/>
        <v>0</v>
      </c>
      <c r="Q110" s="269"/>
    </row>
    <row r="111" spans="1:17" ht="12.5">
      <c r="B111" s="195" t="str">
        <f t="shared" si="28"/>
        <v/>
      </c>
      <c r="C111" s="507">
        <f>IF(D93="","-",+C110+1)</f>
        <v>2022</v>
      </c>
      <c r="D111" s="374">
        <f>IF(F110+SUM(E$99:E110)=D$92,F110,D$92-SUM(E$99:E110))</f>
        <v>65672.242524916976</v>
      </c>
      <c r="E111" s="522">
        <f>IF(+J96&lt;F110,J96,D111)</f>
        <v>2115.2857142857142</v>
      </c>
      <c r="F111" s="523">
        <f t="shared" si="31"/>
        <v>63556.956810631258</v>
      </c>
      <c r="G111" s="523">
        <f t="shared" si="32"/>
        <v>64614.59966777412</v>
      </c>
      <c r="H111" s="526">
        <f t="shared" si="33"/>
        <v>9066.1258360490592</v>
      </c>
      <c r="I111" s="577">
        <f t="shared" si="34"/>
        <v>9066.1258360490592</v>
      </c>
      <c r="J111" s="514">
        <f t="shared" si="22"/>
        <v>0</v>
      </c>
      <c r="K111" s="514"/>
      <c r="L111" s="525"/>
      <c r="M111" s="514">
        <f t="shared" si="24"/>
        <v>0</v>
      </c>
      <c r="N111" s="525"/>
      <c r="O111" s="514">
        <f t="shared" si="26"/>
        <v>0</v>
      </c>
      <c r="P111" s="514">
        <f t="shared" si="27"/>
        <v>0</v>
      </c>
      <c r="Q111" s="269"/>
    </row>
    <row r="112" spans="1:17" ht="12.5">
      <c r="B112" s="195" t="str">
        <f t="shared" si="28"/>
        <v/>
      </c>
      <c r="C112" s="507">
        <f>IF(D93="","-",+C111+1)</f>
        <v>2023</v>
      </c>
      <c r="D112" s="374">
        <f>IF(F111+SUM(E$99:E111)=D$92,F111,D$92-SUM(E$99:E111))</f>
        <v>63556.956810631258</v>
      </c>
      <c r="E112" s="522">
        <f>IF(+J96&lt;F111,J96,D112)</f>
        <v>2115.2857142857142</v>
      </c>
      <c r="F112" s="523">
        <f t="shared" si="31"/>
        <v>61441.671096345541</v>
      </c>
      <c r="G112" s="523">
        <f t="shared" si="32"/>
        <v>62499.313953488396</v>
      </c>
      <c r="H112" s="526">
        <f t="shared" si="33"/>
        <v>8838.5764449292838</v>
      </c>
      <c r="I112" s="577">
        <f t="shared" si="34"/>
        <v>8838.5764449292838</v>
      </c>
      <c r="J112" s="514">
        <f t="shared" si="22"/>
        <v>0</v>
      </c>
      <c r="K112" s="514"/>
      <c r="L112" s="525"/>
      <c r="M112" s="514">
        <f t="shared" si="24"/>
        <v>0</v>
      </c>
      <c r="N112" s="525"/>
      <c r="O112" s="514">
        <f t="shared" si="26"/>
        <v>0</v>
      </c>
      <c r="P112" s="514">
        <f t="shared" si="27"/>
        <v>0</v>
      </c>
      <c r="Q112" s="269"/>
    </row>
    <row r="113" spans="2:17" ht="12.5">
      <c r="B113" s="195" t="str">
        <f t="shared" si="28"/>
        <v/>
      </c>
      <c r="C113" s="507">
        <f>IF(D93="","-",+C112+1)</f>
        <v>2024</v>
      </c>
      <c r="D113" s="374">
        <f>IF(F112+SUM(E$99:E112)=D$92,F112,D$92-SUM(E$99:E112))</f>
        <v>61441.671096345541</v>
      </c>
      <c r="E113" s="522">
        <f>IF(+J96&lt;F112,J96,D113)</f>
        <v>2115.2857142857142</v>
      </c>
      <c r="F113" s="523">
        <f t="shared" si="31"/>
        <v>59326.385382059823</v>
      </c>
      <c r="G113" s="523">
        <f t="shared" si="32"/>
        <v>60384.028239202686</v>
      </c>
      <c r="H113" s="526">
        <f t="shared" si="33"/>
        <v>8611.0270538095101</v>
      </c>
      <c r="I113" s="577">
        <f t="shared" si="34"/>
        <v>8611.0270538095101</v>
      </c>
      <c r="J113" s="514">
        <f t="shared" si="22"/>
        <v>0</v>
      </c>
      <c r="K113" s="514"/>
      <c r="L113" s="525"/>
      <c r="M113" s="514">
        <f t="shared" si="24"/>
        <v>0</v>
      </c>
      <c r="N113" s="525"/>
      <c r="O113" s="514">
        <f t="shared" si="26"/>
        <v>0</v>
      </c>
      <c r="P113" s="514">
        <f t="shared" si="27"/>
        <v>0</v>
      </c>
      <c r="Q113" s="269"/>
    </row>
    <row r="114" spans="2:17" ht="12.5">
      <c r="B114" s="195" t="str">
        <f t="shared" si="28"/>
        <v/>
      </c>
      <c r="C114" s="507">
        <f>IF(D93="","-",+C113+1)</f>
        <v>2025</v>
      </c>
      <c r="D114" s="374">
        <f>IF(F113+SUM(E$99:E113)=D$92,F113,D$92-SUM(E$99:E113))</f>
        <v>59326.385382059823</v>
      </c>
      <c r="E114" s="522">
        <f>IF(+J96&lt;F113,J96,D114)</f>
        <v>2115.2857142857142</v>
      </c>
      <c r="F114" s="523">
        <f t="shared" si="31"/>
        <v>57211.099667774106</v>
      </c>
      <c r="G114" s="523">
        <f t="shared" si="32"/>
        <v>58268.742524916961</v>
      </c>
      <c r="H114" s="526">
        <f t="shared" si="33"/>
        <v>8383.4776626897346</v>
      </c>
      <c r="I114" s="577">
        <f t="shared" si="34"/>
        <v>8383.4776626897346</v>
      </c>
      <c r="J114" s="514">
        <f t="shared" si="22"/>
        <v>0</v>
      </c>
      <c r="K114" s="514"/>
      <c r="L114" s="525"/>
      <c r="M114" s="514">
        <f t="shared" si="24"/>
        <v>0</v>
      </c>
      <c r="N114" s="525"/>
      <c r="O114" s="514">
        <f t="shared" si="26"/>
        <v>0</v>
      </c>
      <c r="P114" s="514">
        <f t="shared" si="27"/>
        <v>0</v>
      </c>
      <c r="Q114" s="269"/>
    </row>
    <row r="115" spans="2:17" ht="12.5">
      <c r="B115" s="195"/>
      <c r="C115" s="507">
        <f>IF(D93="","-",+C114+1)</f>
        <v>2026</v>
      </c>
      <c r="D115" s="374">
        <f>IF(F114+SUM(E$99:E114)=D$92,F114,D$92-SUM(E$99:E114))</f>
        <v>57211.099667774106</v>
      </c>
      <c r="E115" s="522">
        <f>IF(+J96&lt;F114,J96,D115)</f>
        <v>2115.2857142857142</v>
      </c>
      <c r="F115" s="523">
        <f t="shared" si="31"/>
        <v>55095.813953488389</v>
      </c>
      <c r="G115" s="523">
        <f t="shared" si="32"/>
        <v>56153.456810631251</v>
      </c>
      <c r="H115" s="526">
        <f t="shared" si="33"/>
        <v>8155.928271569961</v>
      </c>
      <c r="I115" s="577">
        <f t="shared" si="34"/>
        <v>8155.928271569961</v>
      </c>
      <c r="J115" s="514">
        <f t="shared" si="22"/>
        <v>0</v>
      </c>
      <c r="K115" s="514"/>
      <c r="L115" s="525"/>
      <c r="M115" s="514">
        <f t="shared" si="24"/>
        <v>0</v>
      </c>
      <c r="N115" s="525"/>
      <c r="O115" s="514">
        <f t="shared" si="26"/>
        <v>0</v>
      </c>
      <c r="P115" s="514">
        <f t="shared" si="27"/>
        <v>0</v>
      </c>
      <c r="Q115" s="269"/>
    </row>
    <row r="116" spans="2:17" ht="12.5">
      <c r="B116" s="195" t="str">
        <f t="shared" si="28"/>
        <v/>
      </c>
      <c r="C116" s="507">
        <f>IF(D93="","-",+C115+1)</f>
        <v>2027</v>
      </c>
      <c r="D116" s="374">
        <f>IF(F115+SUM(E$99:E115)=D$92,F115,D$92-SUM(E$99:E115))</f>
        <v>55095.813953488389</v>
      </c>
      <c r="E116" s="522">
        <f>IF(+J96&lt;F115,J96,D116)</f>
        <v>2115.2857142857142</v>
      </c>
      <c r="F116" s="523">
        <f t="shared" si="31"/>
        <v>52980.528239202671</v>
      </c>
      <c r="G116" s="523">
        <f t="shared" si="32"/>
        <v>54038.171096345526</v>
      </c>
      <c r="H116" s="526">
        <f t="shared" si="33"/>
        <v>7928.3788804501855</v>
      </c>
      <c r="I116" s="577">
        <f t="shared" si="34"/>
        <v>7928.3788804501855</v>
      </c>
      <c r="J116" s="514">
        <f t="shared" si="22"/>
        <v>0</v>
      </c>
      <c r="K116" s="514"/>
      <c r="L116" s="525"/>
      <c r="M116" s="514">
        <f t="shared" si="24"/>
        <v>0</v>
      </c>
      <c r="N116" s="525"/>
      <c r="O116" s="514">
        <f t="shared" si="26"/>
        <v>0</v>
      </c>
      <c r="P116" s="514">
        <f t="shared" si="27"/>
        <v>0</v>
      </c>
      <c r="Q116" s="269"/>
    </row>
    <row r="117" spans="2:17" ht="12.5">
      <c r="B117" s="195" t="str">
        <f t="shared" si="28"/>
        <v/>
      </c>
      <c r="C117" s="507">
        <f>IF(D93="","-",+C116+1)</f>
        <v>2028</v>
      </c>
      <c r="D117" s="374">
        <f>IF(F116+SUM(E$99:E116)=D$92,F116,D$92-SUM(E$99:E116))</f>
        <v>52980.528239202671</v>
      </c>
      <c r="E117" s="522">
        <f>IF(+J96&lt;F116,J96,D117)</f>
        <v>2115.2857142857142</v>
      </c>
      <c r="F117" s="523">
        <f t="shared" si="31"/>
        <v>50865.242524916954</v>
      </c>
      <c r="G117" s="523">
        <f t="shared" si="32"/>
        <v>51922.885382059816</v>
      </c>
      <c r="H117" s="526">
        <f t="shared" si="33"/>
        <v>7700.8294893304101</v>
      </c>
      <c r="I117" s="577">
        <f t="shared" si="34"/>
        <v>7700.8294893304101</v>
      </c>
      <c r="J117" s="514">
        <f t="shared" si="22"/>
        <v>0</v>
      </c>
      <c r="K117" s="514"/>
      <c r="L117" s="525"/>
      <c r="M117" s="514">
        <f t="shared" si="24"/>
        <v>0</v>
      </c>
      <c r="N117" s="525"/>
      <c r="O117" s="514">
        <f t="shared" si="26"/>
        <v>0</v>
      </c>
      <c r="P117" s="514">
        <f t="shared" si="27"/>
        <v>0</v>
      </c>
      <c r="Q117" s="269"/>
    </row>
    <row r="118" spans="2:17" ht="12.5">
      <c r="B118" s="195" t="str">
        <f t="shared" si="28"/>
        <v/>
      </c>
      <c r="C118" s="507">
        <f>IF(D93="","-",+C117+1)</f>
        <v>2029</v>
      </c>
      <c r="D118" s="374">
        <f>IF(F117+SUM(E$99:E117)=D$92,F117,D$92-SUM(E$99:E117))</f>
        <v>50865.242524916954</v>
      </c>
      <c r="E118" s="522">
        <f>IF(+J96&lt;F117,J96,D118)</f>
        <v>2115.2857142857142</v>
      </c>
      <c r="F118" s="523">
        <f t="shared" si="31"/>
        <v>48749.956810631236</v>
      </c>
      <c r="G118" s="523">
        <f t="shared" si="32"/>
        <v>49807.599667774091</v>
      </c>
      <c r="H118" s="526">
        <f t="shared" si="33"/>
        <v>7473.2800982106346</v>
      </c>
      <c r="I118" s="577">
        <f t="shared" si="34"/>
        <v>7473.2800982106346</v>
      </c>
      <c r="J118" s="514">
        <f t="shared" si="22"/>
        <v>0</v>
      </c>
      <c r="K118" s="514"/>
      <c r="L118" s="525"/>
      <c r="M118" s="514">
        <f t="shared" si="24"/>
        <v>0</v>
      </c>
      <c r="N118" s="525"/>
      <c r="O118" s="514">
        <f t="shared" si="26"/>
        <v>0</v>
      </c>
      <c r="P118" s="514">
        <f t="shared" si="27"/>
        <v>0</v>
      </c>
      <c r="Q118" s="269"/>
    </row>
    <row r="119" spans="2:17" ht="12.5">
      <c r="B119" s="195" t="str">
        <f t="shared" si="28"/>
        <v/>
      </c>
      <c r="C119" s="507">
        <f>IF(D93="","-",+C118+1)</f>
        <v>2030</v>
      </c>
      <c r="D119" s="374">
        <f>IF(F118+SUM(E$99:E118)=D$92,F118,D$92-SUM(E$99:E118))</f>
        <v>48749.956810631236</v>
      </c>
      <c r="E119" s="522">
        <f>IF(+J96&lt;F118,J96,D119)</f>
        <v>2115.2857142857142</v>
      </c>
      <c r="F119" s="523">
        <f t="shared" si="31"/>
        <v>46634.671096345519</v>
      </c>
      <c r="G119" s="523">
        <f t="shared" si="32"/>
        <v>47692.313953488381</v>
      </c>
      <c r="H119" s="526">
        <f t="shared" si="33"/>
        <v>7245.730707090861</v>
      </c>
      <c r="I119" s="577">
        <f t="shared" si="34"/>
        <v>7245.730707090861</v>
      </c>
      <c r="J119" s="514">
        <f t="shared" si="22"/>
        <v>0</v>
      </c>
      <c r="K119" s="514"/>
      <c r="L119" s="525"/>
      <c r="M119" s="514">
        <f t="shared" si="24"/>
        <v>0</v>
      </c>
      <c r="N119" s="525"/>
      <c r="O119" s="514">
        <f t="shared" si="26"/>
        <v>0</v>
      </c>
      <c r="P119" s="514">
        <f t="shared" si="27"/>
        <v>0</v>
      </c>
      <c r="Q119" s="269"/>
    </row>
    <row r="120" spans="2:17" ht="12.5">
      <c r="B120" s="195" t="str">
        <f t="shared" si="28"/>
        <v/>
      </c>
      <c r="C120" s="507">
        <f>IF(D93="","-",+C119+1)</f>
        <v>2031</v>
      </c>
      <c r="D120" s="374">
        <f>IF(F119+SUM(E$99:E119)=D$92,F119,D$92-SUM(E$99:E119))</f>
        <v>46634.671096345519</v>
      </c>
      <c r="E120" s="522">
        <f>IF(+J96&lt;F119,J96,D120)</f>
        <v>2115.2857142857142</v>
      </c>
      <c r="F120" s="523">
        <f t="shared" si="31"/>
        <v>44519.385382059801</v>
      </c>
      <c r="G120" s="523">
        <f t="shared" si="32"/>
        <v>45577.028239202657</v>
      </c>
      <c r="H120" s="526">
        <f t="shared" si="33"/>
        <v>7018.1813159710855</v>
      </c>
      <c r="I120" s="577">
        <f t="shared" si="34"/>
        <v>7018.1813159710855</v>
      </c>
      <c r="J120" s="514">
        <f t="shared" si="22"/>
        <v>0</v>
      </c>
      <c r="K120" s="514"/>
      <c r="L120" s="525"/>
      <c r="M120" s="514">
        <f t="shared" si="24"/>
        <v>0</v>
      </c>
      <c r="N120" s="525"/>
      <c r="O120" s="514">
        <f t="shared" si="26"/>
        <v>0</v>
      </c>
      <c r="P120" s="514">
        <f t="shared" si="27"/>
        <v>0</v>
      </c>
      <c r="Q120" s="269"/>
    </row>
    <row r="121" spans="2:17" ht="12.5">
      <c r="B121" s="195" t="str">
        <f t="shared" si="28"/>
        <v/>
      </c>
      <c r="C121" s="507">
        <f>IF(D93="","-",+C120+1)</f>
        <v>2032</v>
      </c>
      <c r="D121" s="374">
        <f>IF(F120+SUM(E$99:E120)=D$92,F120,D$92-SUM(E$99:E120))</f>
        <v>44519.385382059801</v>
      </c>
      <c r="E121" s="522">
        <f>IF(+J96&lt;F120,J96,D121)</f>
        <v>2115.2857142857142</v>
      </c>
      <c r="F121" s="523">
        <f t="shared" si="31"/>
        <v>42404.099667774084</v>
      </c>
      <c r="G121" s="523">
        <f t="shared" si="32"/>
        <v>43461.742524916946</v>
      </c>
      <c r="H121" s="526">
        <f t="shared" si="33"/>
        <v>6790.6319248513119</v>
      </c>
      <c r="I121" s="577">
        <f t="shared" si="34"/>
        <v>6790.6319248513119</v>
      </c>
      <c r="J121" s="514">
        <f t="shared" si="22"/>
        <v>0</v>
      </c>
      <c r="K121" s="514"/>
      <c r="L121" s="525"/>
      <c r="M121" s="514">
        <f t="shared" si="24"/>
        <v>0</v>
      </c>
      <c r="N121" s="525"/>
      <c r="O121" s="514">
        <f t="shared" si="26"/>
        <v>0</v>
      </c>
      <c r="P121" s="514">
        <f t="shared" si="27"/>
        <v>0</v>
      </c>
      <c r="Q121" s="269"/>
    </row>
    <row r="122" spans="2:17" ht="12.5">
      <c r="B122" s="195" t="str">
        <f t="shared" si="28"/>
        <v/>
      </c>
      <c r="C122" s="507">
        <f>IF(D93="","-",+C121+1)</f>
        <v>2033</v>
      </c>
      <c r="D122" s="374">
        <f>IF(F121+SUM(E$99:E121)=D$92,F121,D$92-SUM(E$99:E121))</f>
        <v>42404.099667774084</v>
      </c>
      <c r="E122" s="522">
        <f>IF(+J96&lt;F121,J96,D122)</f>
        <v>2115.2857142857142</v>
      </c>
      <c r="F122" s="523">
        <f t="shared" si="31"/>
        <v>40288.813953488367</v>
      </c>
      <c r="G122" s="523">
        <f t="shared" si="32"/>
        <v>41346.456810631222</v>
      </c>
      <c r="H122" s="526">
        <f t="shared" si="33"/>
        <v>6563.0825337315364</v>
      </c>
      <c r="I122" s="577">
        <f t="shared" si="34"/>
        <v>6563.0825337315364</v>
      </c>
      <c r="J122" s="514">
        <f t="shared" si="22"/>
        <v>0</v>
      </c>
      <c r="K122" s="514"/>
      <c r="L122" s="525"/>
      <c r="M122" s="514">
        <f t="shared" si="24"/>
        <v>0</v>
      </c>
      <c r="N122" s="525"/>
      <c r="O122" s="514">
        <f t="shared" si="26"/>
        <v>0</v>
      </c>
      <c r="P122" s="514">
        <f t="shared" si="27"/>
        <v>0</v>
      </c>
      <c r="Q122" s="269"/>
    </row>
    <row r="123" spans="2:17" ht="12.5">
      <c r="B123" s="195" t="str">
        <f t="shared" si="28"/>
        <v/>
      </c>
      <c r="C123" s="507">
        <f>IF(D93="","-",+C122+1)</f>
        <v>2034</v>
      </c>
      <c r="D123" s="374">
        <f>IF(F122+SUM(E$99:E122)=D$92,F122,D$92-SUM(E$99:E122))</f>
        <v>40288.813953488367</v>
      </c>
      <c r="E123" s="522">
        <f>IF(+J96&lt;F122,J96,D123)</f>
        <v>2115.2857142857142</v>
      </c>
      <c r="F123" s="523">
        <f t="shared" si="31"/>
        <v>38173.528239202649</v>
      </c>
      <c r="G123" s="523">
        <f t="shared" si="32"/>
        <v>39231.171096345512</v>
      </c>
      <c r="H123" s="526">
        <f t="shared" si="33"/>
        <v>6335.5331426117627</v>
      </c>
      <c r="I123" s="577">
        <f t="shared" si="34"/>
        <v>6335.5331426117627</v>
      </c>
      <c r="J123" s="514">
        <f t="shared" si="22"/>
        <v>0</v>
      </c>
      <c r="K123" s="514"/>
      <c r="L123" s="525"/>
      <c r="M123" s="514">
        <f t="shared" si="24"/>
        <v>0</v>
      </c>
      <c r="N123" s="525"/>
      <c r="O123" s="514">
        <f t="shared" si="26"/>
        <v>0</v>
      </c>
      <c r="P123" s="514">
        <f t="shared" si="27"/>
        <v>0</v>
      </c>
      <c r="Q123" s="269"/>
    </row>
    <row r="124" spans="2:17" ht="12.5">
      <c r="B124" s="195" t="str">
        <f t="shared" si="28"/>
        <v/>
      </c>
      <c r="C124" s="507">
        <f>IF(D93="","-",+C123+1)</f>
        <v>2035</v>
      </c>
      <c r="D124" s="374">
        <f>IF(F123+SUM(E$99:E123)=D$92,F123,D$92-SUM(E$99:E123))</f>
        <v>38173.528239202649</v>
      </c>
      <c r="E124" s="522">
        <f>IF(+J96&lt;F123,J96,D124)</f>
        <v>2115.2857142857142</v>
      </c>
      <c r="F124" s="523">
        <f t="shared" si="31"/>
        <v>36058.242524916932</v>
      </c>
      <c r="G124" s="523">
        <f t="shared" si="32"/>
        <v>37115.885382059787</v>
      </c>
      <c r="H124" s="526">
        <f t="shared" si="33"/>
        <v>6107.9837514919873</v>
      </c>
      <c r="I124" s="577">
        <f t="shared" si="34"/>
        <v>6107.9837514919873</v>
      </c>
      <c r="J124" s="514">
        <f t="shared" si="22"/>
        <v>0</v>
      </c>
      <c r="K124" s="514"/>
      <c r="L124" s="525"/>
      <c r="M124" s="514">
        <f t="shared" si="24"/>
        <v>0</v>
      </c>
      <c r="N124" s="525"/>
      <c r="O124" s="514">
        <f t="shared" si="26"/>
        <v>0</v>
      </c>
      <c r="P124" s="514">
        <f t="shared" si="27"/>
        <v>0</v>
      </c>
      <c r="Q124" s="269"/>
    </row>
    <row r="125" spans="2:17" ht="12.5">
      <c r="B125" s="195" t="str">
        <f t="shared" si="28"/>
        <v/>
      </c>
      <c r="C125" s="507">
        <f>IF(D93="","-",+C124+1)</f>
        <v>2036</v>
      </c>
      <c r="D125" s="374">
        <f>IF(F124+SUM(E$99:E124)=D$92,F124,D$92-SUM(E$99:E124))</f>
        <v>36058.242524916932</v>
      </c>
      <c r="E125" s="522">
        <f>IF(+J96&lt;F124,J96,D125)</f>
        <v>2115.2857142857142</v>
      </c>
      <c r="F125" s="523">
        <f t="shared" si="31"/>
        <v>33942.956810631214</v>
      </c>
      <c r="G125" s="523">
        <f t="shared" si="32"/>
        <v>35000.599667774077</v>
      </c>
      <c r="H125" s="526">
        <f t="shared" si="33"/>
        <v>5880.4343603722127</v>
      </c>
      <c r="I125" s="577">
        <f t="shared" si="34"/>
        <v>5880.4343603722127</v>
      </c>
      <c r="J125" s="514">
        <f t="shared" si="22"/>
        <v>0</v>
      </c>
      <c r="K125" s="514"/>
      <c r="L125" s="525"/>
      <c r="M125" s="514">
        <f t="shared" si="24"/>
        <v>0</v>
      </c>
      <c r="N125" s="525"/>
      <c r="O125" s="514">
        <f t="shared" si="26"/>
        <v>0</v>
      </c>
      <c r="P125" s="514">
        <f t="shared" si="27"/>
        <v>0</v>
      </c>
      <c r="Q125" s="269"/>
    </row>
    <row r="126" spans="2:17" ht="12.5">
      <c r="B126" s="195" t="str">
        <f t="shared" si="28"/>
        <v/>
      </c>
      <c r="C126" s="507">
        <f>IF(D93="","-",+C125+1)</f>
        <v>2037</v>
      </c>
      <c r="D126" s="374">
        <f>IF(F125+SUM(E$99:E125)=D$92,F125,D$92-SUM(E$99:E125))</f>
        <v>33942.956810631214</v>
      </c>
      <c r="E126" s="522">
        <f>IF(+J96&lt;F125,J96,D126)</f>
        <v>2115.2857142857142</v>
      </c>
      <c r="F126" s="523">
        <f t="shared" si="31"/>
        <v>31827.671096345501</v>
      </c>
      <c r="G126" s="523">
        <f t="shared" si="32"/>
        <v>32885.313953488359</v>
      </c>
      <c r="H126" s="526">
        <f t="shared" si="33"/>
        <v>5652.8849692524382</v>
      </c>
      <c r="I126" s="577">
        <f t="shared" si="34"/>
        <v>5652.8849692524382</v>
      </c>
      <c r="J126" s="514">
        <f t="shared" si="22"/>
        <v>0</v>
      </c>
      <c r="K126" s="514"/>
      <c r="L126" s="525"/>
      <c r="M126" s="514">
        <f t="shared" si="24"/>
        <v>0</v>
      </c>
      <c r="N126" s="525"/>
      <c r="O126" s="514">
        <f t="shared" si="26"/>
        <v>0</v>
      </c>
      <c r="P126" s="514">
        <f t="shared" si="27"/>
        <v>0</v>
      </c>
      <c r="Q126" s="269"/>
    </row>
    <row r="127" spans="2:17" ht="12.5">
      <c r="B127" s="195" t="str">
        <f t="shared" si="28"/>
        <v/>
      </c>
      <c r="C127" s="507">
        <f>IF(D93="","-",+C126+1)</f>
        <v>2038</v>
      </c>
      <c r="D127" s="374">
        <f>IF(F126+SUM(E$99:E126)=D$92,F126,D$92-SUM(E$99:E126))</f>
        <v>31827.671096345501</v>
      </c>
      <c r="E127" s="522">
        <f>IF(+J96&lt;F126,J96,D127)</f>
        <v>2115.2857142857142</v>
      </c>
      <c r="F127" s="523">
        <f t="shared" si="31"/>
        <v>29712.385382059787</v>
      </c>
      <c r="G127" s="523">
        <f t="shared" si="32"/>
        <v>30770.028239202642</v>
      </c>
      <c r="H127" s="526">
        <f t="shared" si="33"/>
        <v>5425.3355781326627</v>
      </c>
      <c r="I127" s="577">
        <f t="shared" si="34"/>
        <v>5425.3355781326627</v>
      </c>
      <c r="J127" s="514">
        <f t="shared" si="22"/>
        <v>0</v>
      </c>
      <c r="K127" s="514"/>
      <c r="L127" s="525"/>
      <c r="M127" s="514">
        <f t="shared" si="24"/>
        <v>0</v>
      </c>
      <c r="N127" s="525"/>
      <c r="O127" s="514">
        <f t="shared" si="26"/>
        <v>0</v>
      </c>
      <c r="P127" s="514">
        <f t="shared" si="27"/>
        <v>0</v>
      </c>
      <c r="Q127" s="269"/>
    </row>
    <row r="128" spans="2:17" ht="12.5">
      <c r="B128" s="195" t="str">
        <f t="shared" si="28"/>
        <v/>
      </c>
      <c r="C128" s="507">
        <f>IF(D93="","-",+C127+1)</f>
        <v>2039</v>
      </c>
      <c r="D128" s="374">
        <f>IF(F127+SUM(E$99:E127)=D$92,F127,D$92-SUM(E$99:E127))</f>
        <v>29712.385382059787</v>
      </c>
      <c r="E128" s="522">
        <f>IF(+J96&lt;F127,J96,D128)</f>
        <v>2115.2857142857142</v>
      </c>
      <c r="F128" s="523">
        <f t="shared" si="31"/>
        <v>27597.099667774073</v>
      </c>
      <c r="G128" s="523">
        <f t="shared" si="32"/>
        <v>28654.742524916932</v>
      </c>
      <c r="H128" s="526">
        <f t="shared" si="33"/>
        <v>5197.7861870128891</v>
      </c>
      <c r="I128" s="577">
        <f t="shared" si="34"/>
        <v>5197.7861870128891</v>
      </c>
      <c r="J128" s="514">
        <f t="shared" si="22"/>
        <v>0</v>
      </c>
      <c r="K128" s="514"/>
      <c r="L128" s="525"/>
      <c r="M128" s="514">
        <f t="shared" si="24"/>
        <v>0</v>
      </c>
      <c r="N128" s="525"/>
      <c r="O128" s="514">
        <f t="shared" si="26"/>
        <v>0</v>
      </c>
      <c r="P128" s="514">
        <f t="shared" si="27"/>
        <v>0</v>
      </c>
      <c r="Q128" s="269"/>
    </row>
    <row r="129" spans="2:17" ht="12.5">
      <c r="B129" s="195" t="str">
        <f t="shared" si="28"/>
        <v/>
      </c>
      <c r="C129" s="507">
        <f>IF(D93="","-",+C128+1)</f>
        <v>2040</v>
      </c>
      <c r="D129" s="374">
        <f>IF(F128+SUM(E$99:E128)=D$92,F128,D$92-SUM(E$99:E128))</f>
        <v>27597.099667774073</v>
      </c>
      <c r="E129" s="522">
        <f>IF(+J96&lt;F128,J96,D129)</f>
        <v>2115.2857142857142</v>
      </c>
      <c r="F129" s="523">
        <f t="shared" si="31"/>
        <v>25481.813953488359</v>
      </c>
      <c r="G129" s="523">
        <f t="shared" si="32"/>
        <v>26539.456810631214</v>
      </c>
      <c r="H129" s="526">
        <f t="shared" si="33"/>
        <v>4970.2367958931145</v>
      </c>
      <c r="I129" s="577">
        <f t="shared" si="34"/>
        <v>4970.2367958931145</v>
      </c>
      <c r="J129" s="514">
        <f t="shared" si="22"/>
        <v>0</v>
      </c>
      <c r="K129" s="514"/>
      <c r="L129" s="525"/>
      <c r="M129" s="514">
        <f t="shared" si="24"/>
        <v>0</v>
      </c>
      <c r="N129" s="525"/>
      <c r="O129" s="514">
        <f t="shared" si="26"/>
        <v>0</v>
      </c>
      <c r="P129" s="514">
        <f t="shared" si="27"/>
        <v>0</v>
      </c>
      <c r="Q129" s="269"/>
    </row>
    <row r="130" spans="2:17" ht="12.5">
      <c r="B130" s="195" t="str">
        <f t="shared" si="28"/>
        <v/>
      </c>
      <c r="C130" s="507">
        <f>IF(D93="","-",+C129+1)</f>
        <v>2041</v>
      </c>
      <c r="D130" s="374">
        <f>IF(F129+SUM(E$99:E129)=D$92,F129,D$92-SUM(E$99:E129))</f>
        <v>25481.813953488359</v>
      </c>
      <c r="E130" s="522">
        <f>IF(+J96&lt;F129,J96,D130)</f>
        <v>2115.2857142857142</v>
      </c>
      <c r="F130" s="523">
        <f t="shared" si="31"/>
        <v>23366.528239202646</v>
      </c>
      <c r="G130" s="523">
        <f t="shared" si="32"/>
        <v>24424.171096345504</v>
      </c>
      <c r="H130" s="526">
        <f t="shared" si="33"/>
        <v>4742.6874047733409</v>
      </c>
      <c r="I130" s="577">
        <f t="shared" si="34"/>
        <v>4742.6874047733409</v>
      </c>
      <c r="J130" s="514">
        <f t="shared" si="22"/>
        <v>0</v>
      </c>
      <c r="K130" s="514"/>
      <c r="L130" s="525"/>
      <c r="M130" s="514">
        <f t="shared" si="24"/>
        <v>0</v>
      </c>
      <c r="N130" s="525"/>
      <c r="O130" s="514">
        <f t="shared" si="26"/>
        <v>0</v>
      </c>
      <c r="P130" s="514">
        <f t="shared" si="27"/>
        <v>0</v>
      </c>
      <c r="Q130" s="269"/>
    </row>
    <row r="131" spans="2:17" ht="12.5">
      <c r="B131" s="195" t="str">
        <f t="shared" si="28"/>
        <v/>
      </c>
      <c r="C131" s="507">
        <f>IF(D93="","-",+C130+1)</f>
        <v>2042</v>
      </c>
      <c r="D131" s="374">
        <f>IF(F130+SUM(E$99:E130)=D$92,F130,D$92-SUM(E$99:E130))</f>
        <v>23366.528239202646</v>
      </c>
      <c r="E131" s="522">
        <f>IF(+J96&lt;F130,J96,D131)</f>
        <v>2115.2857142857142</v>
      </c>
      <c r="F131" s="523">
        <f t="shared" si="31"/>
        <v>21251.242524916932</v>
      </c>
      <c r="G131" s="523">
        <f t="shared" ref="G131:G154" si="35">+(F131+D131)/2</f>
        <v>22308.885382059787</v>
      </c>
      <c r="H131" s="526">
        <f t="shared" ref="H131:H154" si="36">+J$94*G131+E131</f>
        <v>4515.1380136535663</v>
      </c>
      <c r="I131" s="577">
        <f t="shared" ref="I131:I154" si="37">+J$95*G131+E131</f>
        <v>4515.1380136535663</v>
      </c>
      <c r="J131" s="514">
        <f t="shared" ref="J131:J154" si="38">+I131-H131</f>
        <v>0</v>
      </c>
      <c r="K131" s="514"/>
      <c r="L131" s="525"/>
      <c r="M131" s="514">
        <f t="shared" ref="M131:M154" si="39">IF(L131&lt;&gt;0,+H131-L131,0)</f>
        <v>0</v>
      </c>
      <c r="N131" s="525"/>
      <c r="O131" s="514">
        <f t="shared" ref="O131:O154" si="40">IF(N131&lt;&gt;0,+I131-N131,0)</f>
        <v>0</v>
      </c>
      <c r="P131" s="514">
        <f t="shared" ref="P131:P154" si="41">+O131-M131</f>
        <v>0</v>
      </c>
      <c r="Q131" s="269"/>
    </row>
    <row r="132" spans="2:17" ht="12.5">
      <c r="B132" s="195" t="str">
        <f t="shared" si="28"/>
        <v/>
      </c>
      <c r="C132" s="507">
        <f>IF(D93="","-",+C131+1)</f>
        <v>2043</v>
      </c>
      <c r="D132" s="374">
        <f>IF(F131+SUM(E$99:E131)=D$92,F131,D$92-SUM(E$99:E131))</f>
        <v>21251.242524916932</v>
      </c>
      <c r="E132" s="522">
        <f>IF(+J96&lt;F131,J96,D132)</f>
        <v>2115.2857142857142</v>
      </c>
      <c r="F132" s="523">
        <f t="shared" ref="F132:F154" si="42">+D132-E132</f>
        <v>19135.956810631218</v>
      </c>
      <c r="G132" s="523">
        <f t="shared" si="35"/>
        <v>20193.599667774077</v>
      </c>
      <c r="H132" s="526">
        <f t="shared" si="36"/>
        <v>4287.5886225337927</v>
      </c>
      <c r="I132" s="577">
        <f t="shared" si="37"/>
        <v>4287.5886225337927</v>
      </c>
      <c r="J132" s="514">
        <f t="shared" si="38"/>
        <v>0</v>
      </c>
      <c r="K132" s="514"/>
      <c r="L132" s="525"/>
      <c r="M132" s="514">
        <f t="shared" si="39"/>
        <v>0</v>
      </c>
      <c r="N132" s="525"/>
      <c r="O132" s="514">
        <f t="shared" si="40"/>
        <v>0</v>
      </c>
      <c r="P132" s="514">
        <f t="shared" si="41"/>
        <v>0</v>
      </c>
      <c r="Q132" s="269"/>
    </row>
    <row r="133" spans="2:17" ht="12.5">
      <c r="B133" s="195" t="str">
        <f t="shared" si="28"/>
        <v/>
      </c>
      <c r="C133" s="507">
        <f>IF(D93="","-",+C132+1)</f>
        <v>2044</v>
      </c>
      <c r="D133" s="374">
        <f>IF(F132+SUM(E$99:E132)=D$92,F132,D$92-SUM(E$99:E132))</f>
        <v>19135.956810631218</v>
      </c>
      <c r="E133" s="522">
        <f>IF(+J96&lt;F132,J96,D133)</f>
        <v>2115.2857142857142</v>
      </c>
      <c r="F133" s="523">
        <f t="shared" si="42"/>
        <v>17020.671096345504</v>
      </c>
      <c r="G133" s="523">
        <f t="shared" si="35"/>
        <v>18078.313953488359</v>
      </c>
      <c r="H133" s="526">
        <f t="shared" si="36"/>
        <v>4060.0392314140172</v>
      </c>
      <c r="I133" s="577">
        <f t="shared" si="37"/>
        <v>4060.0392314140172</v>
      </c>
      <c r="J133" s="514">
        <f t="shared" si="38"/>
        <v>0</v>
      </c>
      <c r="K133" s="514"/>
      <c r="L133" s="525"/>
      <c r="M133" s="514">
        <f t="shared" si="39"/>
        <v>0</v>
      </c>
      <c r="N133" s="525"/>
      <c r="O133" s="514">
        <f t="shared" si="40"/>
        <v>0</v>
      </c>
      <c r="P133" s="514">
        <f t="shared" si="41"/>
        <v>0</v>
      </c>
      <c r="Q133" s="269"/>
    </row>
    <row r="134" spans="2:17" ht="12.5">
      <c r="B134" s="195" t="str">
        <f t="shared" si="28"/>
        <v/>
      </c>
      <c r="C134" s="507">
        <f>IF(D93="","-",+C133+1)</f>
        <v>2045</v>
      </c>
      <c r="D134" s="374">
        <f>IF(F133+SUM(E$99:E133)=D$92,F133,D$92-SUM(E$99:E133))</f>
        <v>17020.671096345504</v>
      </c>
      <c r="E134" s="522">
        <f>IF(+J96&lt;F133,J96,D134)</f>
        <v>2115.2857142857142</v>
      </c>
      <c r="F134" s="523">
        <f t="shared" si="42"/>
        <v>14905.385382059791</v>
      </c>
      <c r="G134" s="523">
        <f t="shared" si="35"/>
        <v>15963.028239202647</v>
      </c>
      <c r="H134" s="526">
        <f t="shared" si="36"/>
        <v>3832.4898402942431</v>
      </c>
      <c r="I134" s="577">
        <f t="shared" si="37"/>
        <v>3832.4898402942431</v>
      </c>
      <c r="J134" s="514">
        <f t="shared" si="38"/>
        <v>0</v>
      </c>
      <c r="K134" s="514"/>
      <c r="L134" s="525"/>
      <c r="M134" s="514">
        <f t="shared" si="39"/>
        <v>0</v>
      </c>
      <c r="N134" s="525"/>
      <c r="O134" s="514">
        <f t="shared" si="40"/>
        <v>0</v>
      </c>
      <c r="P134" s="514">
        <f t="shared" si="41"/>
        <v>0</v>
      </c>
      <c r="Q134" s="269"/>
    </row>
    <row r="135" spans="2:17" ht="12.5">
      <c r="B135" s="195" t="str">
        <f t="shared" si="28"/>
        <v/>
      </c>
      <c r="C135" s="507">
        <f>IF(D93="","-",+C134+1)</f>
        <v>2046</v>
      </c>
      <c r="D135" s="374">
        <f>IF(F134+SUM(E$99:E134)=D$92,F134,D$92-SUM(E$99:E134))</f>
        <v>14905.385382059791</v>
      </c>
      <c r="E135" s="522">
        <f>IF(+J96&lt;F134,J96,D135)</f>
        <v>2115.2857142857142</v>
      </c>
      <c r="F135" s="523">
        <f t="shared" si="42"/>
        <v>12790.099667774077</v>
      </c>
      <c r="G135" s="523">
        <f t="shared" si="35"/>
        <v>13847.742524916934</v>
      </c>
      <c r="H135" s="526">
        <f t="shared" si="36"/>
        <v>3604.940449174469</v>
      </c>
      <c r="I135" s="577">
        <f t="shared" si="37"/>
        <v>3604.940449174469</v>
      </c>
      <c r="J135" s="514">
        <f t="shared" si="38"/>
        <v>0</v>
      </c>
      <c r="K135" s="514"/>
      <c r="L135" s="525"/>
      <c r="M135" s="514">
        <f t="shared" si="39"/>
        <v>0</v>
      </c>
      <c r="N135" s="525"/>
      <c r="O135" s="514">
        <f t="shared" si="40"/>
        <v>0</v>
      </c>
      <c r="P135" s="514">
        <f t="shared" si="41"/>
        <v>0</v>
      </c>
      <c r="Q135" s="269"/>
    </row>
    <row r="136" spans="2:17" ht="12.5">
      <c r="B136" s="195" t="str">
        <f t="shared" si="28"/>
        <v/>
      </c>
      <c r="C136" s="507">
        <f>IF(D93="","-",+C135+1)</f>
        <v>2047</v>
      </c>
      <c r="D136" s="374">
        <f>IF(F135+SUM(E$99:E135)=D$92,F135,D$92-SUM(E$99:E135))</f>
        <v>12790.099667774077</v>
      </c>
      <c r="E136" s="522">
        <f>IF(+J96&lt;F135,J96,D136)</f>
        <v>2115.2857142857142</v>
      </c>
      <c r="F136" s="523">
        <f t="shared" si="42"/>
        <v>10674.813953488363</v>
      </c>
      <c r="G136" s="523">
        <f t="shared" si="35"/>
        <v>11732.45681063122</v>
      </c>
      <c r="H136" s="526">
        <f t="shared" si="36"/>
        <v>3377.3910580546944</v>
      </c>
      <c r="I136" s="577">
        <f t="shared" si="37"/>
        <v>3377.3910580546944</v>
      </c>
      <c r="J136" s="514">
        <f t="shared" si="38"/>
        <v>0</v>
      </c>
      <c r="K136" s="514"/>
      <c r="L136" s="525"/>
      <c r="M136" s="514">
        <f t="shared" si="39"/>
        <v>0</v>
      </c>
      <c r="N136" s="525"/>
      <c r="O136" s="514">
        <f t="shared" si="40"/>
        <v>0</v>
      </c>
      <c r="P136" s="514">
        <f t="shared" si="41"/>
        <v>0</v>
      </c>
      <c r="Q136" s="269"/>
    </row>
    <row r="137" spans="2:17" ht="12.5">
      <c r="B137" s="195" t="str">
        <f t="shared" si="28"/>
        <v/>
      </c>
      <c r="C137" s="507">
        <f>IF(D93="","-",+C136+1)</f>
        <v>2048</v>
      </c>
      <c r="D137" s="374">
        <f>IF(F136+SUM(E$99:E136)=D$92,F136,D$92-SUM(E$99:E136))</f>
        <v>10674.813953488363</v>
      </c>
      <c r="E137" s="522">
        <f>IF(+J96&lt;F136,J96,D137)</f>
        <v>2115.2857142857142</v>
      </c>
      <c r="F137" s="523">
        <f t="shared" si="42"/>
        <v>8559.5282392026493</v>
      </c>
      <c r="G137" s="523">
        <f t="shared" si="35"/>
        <v>9617.1710963455062</v>
      </c>
      <c r="H137" s="526">
        <f t="shared" si="36"/>
        <v>3149.8416669349199</v>
      </c>
      <c r="I137" s="577">
        <f t="shared" si="37"/>
        <v>3149.8416669349199</v>
      </c>
      <c r="J137" s="514">
        <f t="shared" si="38"/>
        <v>0</v>
      </c>
      <c r="K137" s="514"/>
      <c r="L137" s="525"/>
      <c r="M137" s="514">
        <f t="shared" si="39"/>
        <v>0</v>
      </c>
      <c r="N137" s="525"/>
      <c r="O137" s="514">
        <f t="shared" si="40"/>
        <v>0</v>
      </c>
      <c r="P137" s="514">
        <f t="shared" si="41"/>
        <v>0</v>
      </c>
      <c r="Q137" s="269"/>
    </row>
    <row r="138" spans="2:17" ht="12.5">
      <c r="B138" s="195" t="str">
        <f t="shared" si="28"/>
        <v/>
      </c>
      <c r="C138" s="507">
        <f>IF(D93="","-",+C137+1)</f>
        <v>2049</v>
      </c>
      <c r="D138" s="374">
        <f>IF(F137+SUM(E$99:E137)=D$92,F137,D$92-SUM(E$99:E137))</f>
        <v>8559.5282392026493</v>
      </c>
      <c r="E138" s="522">
        <f>IF(+J96&lt;F137,J96,D138)</f>
        <v>2115.2857142857142</v>
      </c>
      <c r="F138" s="523">
        <f t="shared" si="42"/>
        <v>6444.2425249169355</v>
      </c>
      <c r="G138" s="523">
        <f t="shared" si="35"/>
        <v>7501.8853820597924</v>
      </c>
      <c r="H138" s="526">
        <f t="shared" si="36"/>
        <v>2922.2922758151458</v>
      </c>
      <c r="I138" s="577">
        <f t="shared" si="37"/>
        <v>2922.2922758151458</v>
      </c>
      <c r="J138" s="514">
        <f t="shared" si="38"/>
        <v>0</v>
      </c>
      <c r="K138" s="514"/>
      <c r="L138" s="525"/>
      <c r="M138" s="514">
        <f t="shared" si="39"/>
        <v>0</v>
      </c>
      <c r="N138" s="525"/>
      <c r="O138" s="514">
        <f t="shared" si="40"/>
        <v>0</v>
      </c>
      <c r="P138" s="514">
        <f t="shared" si="41"/>
        <v>0</v>
      </c>
      <c r="Q138" s="269"/>
    </row>
    <row r="139" spans="2:17" ht="12.5">
      <c r="B139" s="195" t="str">
        <f t="shared" si="28"/>
        <v/>
      </c>
      <c r="C139" s="507">
        <f>IF(D93="","-",+C138+1)</f>
        <v>2050</v>
      </c>
      <c r="D139" s="374">
        <f>IF(F138+SUM(E$99:E138)=D$92,F138,D$92-SUM(E$99:E138))</f>
        <v>6444.2425249169355</v>
      </c>
      <c r="E139" s="522">
        <f>IF(+J96&lt;F138,J96,D139)</f>
        <v>2115.2857142857142</v>
      </c>
      <c r="F139" s="523">
        <f t="shared" si="42"/>
        <v>4328.9568106312217</v>
      </c>
      <c r="G139" s="523">
        <f t="shared" si="35"/>
        <v>5386.5996677740786</v>
      </c>
      <c r="H139" s="526">
        <f t="shared" si="36"/>
        <v>2694.7428846953717</v>
      </c>
      <c r="I139" s="577">
        <f t="shared" si="37"/>
        <v>2694.7428846953717</v>
      </c>
      <c r="J139" s="514">
        <f t="shared" si="38"/>
        <v>0</v>
      </c>
      <c r="K139" s="514"/>
      <c r="L139" s="525"/>
      <c r="M139" s="514">
        <f t="shared" si="39"/>
        <v>0</v>
      </c>
      <c r="N139" s="525"/>
      <c r="O139" s="514">
        <f t="shared" si="40"/>
        <v>0</v>
      </c>
      <c r="P139" s="514">
        <f t="shared" si="41"/>
        <v>0</v>
      </c>
      <c r="Q139" s="269"/>
    </row>
    <row r="140" spans="2:17" ht="12.5">
      <c r="B140" s="195" t="str">
        <f t="shared" si="28"/>
        <v/>
      </c>
      <c r="C140" s="507">
        <f>IF(D93="","-",+C139+1)</f>
        <v>2051</v>
      </c>
      <c r="D140" s="374">
        <f>IF(F139+SUM(E$99:E139)=D$92,F139,D$92-SUM(E$99:E139))</f>
        <v>4328.9568106312217</v>
      </c>
      <c r="E140" s="522">
        <f>IF(+J96&lt;F139,J96,D140)</f>
        <v>2115.2857142857142</v>
      </c>
      <c r="F140" s="523">
        <f t="shared" si="42"/>
        <v>2213.6710963455075</v>
      </c>
      <c r="G140" s="523">
        <f t="shared" si="35"/>
        <v>3271.3139534883649</v>
      </c>
      <c r="H140" s="526">
        <f t="shared" si="36"/>
        <v>2467.1934935755971</v>
      </c>
      <c r="I140" s="577">
        <f t="shared" si="37"/>
        <v>2467.1934935755971</v>
      </c>
      <c r="J140" s="514">
        <f t="shared" si="38"/>
        <v>0</v>
      </c>
      <c r="K140" s="514"/>
      <c r="L140" s="525"/>
      <c r="M140" s="514">
        <f t="shared" si="39"/>
        <v>0</v>
      </c>
      <c r="N140" s="525"/>
      <c r="O140" s="514">
        <f t="shared" si="40"/>
        <v>0</v>
      </c>
      <c r="P140" s="514">
        <f t="shared" si="41"/>
        <v>0</v>
      </c>
      <c r="Q140" s="269"/>
    </row>
    <row r="141" spans="2:17" ht="12.5">
      <c r="B141" s="195" t="str">
        <f t="shared" si="28"/>
        <v/>
      </c>
      <c r="C141" s="507">
        <f>IF(D93="","-",+C140+1)</f>
        <v>2052</v>
      </c>
      <c r="D141" s="374">
        <f>IF(F140+SUM(E$99:E140)=D$92,F140,D$92-SUM(E$99:E140))</f>
        <v>2213.6710963455075</v>
      </c>
      <c r="E141" s="522">
        <f>IF(+J96&lt;F140,J96,D141)</f>
        <v>2115.2857142857142</v>
      </c>
      <c r="F141" s="523">
        <f t="shared" si="42"/>
        <v>98.385382059793301</v>
      </c>
      <c r="G141" s="523">
        <f t="shared" si="35"/>
        <v>1156.0282392026504</v>
      </c>
      <c r="H141" s="526">
        <f t="shared" si="36"/>
        <v>2239.6441024558226</v>
      </c>
      <c r="I141" s="577">
        <f t="shared" si="37"/>
        <v>2239.6441024558226</v>
      </c>
      <c r="J141" s="514">
        <f t="shared" si="38"/>
        <v>0</v>
      </c>
      <c r="K141" s="514"/>
      <c r="L141" s="525"/>
      <c r="M141" s="514">
        <f t="shared" si="39"/>
        <v>0</v>
      </c>
      <c r="N141" s="525"/>
      <c r="O141" s="514">
        <f t="shared" si="40"/>
        <v>0</v>
      </c>
      <c r="P141" s="514">
        <f t="shared" si="41"/>
        <v>0</v>
      </c>
      <c r="Q141" s="269"/>
    </row>
    <row r="142" spans="2:17" ht="12.5">
      <c r="B142" s="195" t="str">
        <f t="shared" si="28"/>
        <v/>
      </c>
      <c r="C142" s="507">
        <f>IF(D93="","-",+C141+1)</f>
        <v>2053</v>
      </c>
      <c r="D142" s="374">
        <f>IF(F141+SUM(E$99:E141)=D$92,F141,D$92-SUM(E$99:E141))</f>
        <v>98.385382059793301</v>
      </c>
      <c r="E142" s="522">
        <f>IF(+J96&lt;F141,J96,D142)</f>
        <v>98.385382059793301</v>
      </c>
      <c r="F142" s="523">
        <f t="shared" si="42"/>
        <v>0</v>
      </c>
      <c r="G142" s="523">
        <f t="shared" si="35"/>
        <v>49.19269102989665</v>
      </c>
      <c r="H142" s="526">
        <f t="shared" si="36"/>
        <v>103.67722836490394</v>
      </c>
      <c r="I142" s="577">
        <f t="shared" si="37"/>
        <v>103.67722836490394</v>
      </c>
      <c r="J142" s="514">
        <f t="shared" si="38"/>
        <v>0</v>
      </c>
      <c r="K142" s="514"/>
      <c r="L142" s="525"/>
      <c r="M142" s="514">
        <f t="shared" si="39"/>
        <v>0</v>
      </c>
      <c r="N142" s="525"/>
      <c r="O142" s="514">
        <f t="shared" si="40"/>
        <v>0</v>
      </c>
      <c r="P142" s="514">
        <f t="shared" si="41"/>
        <v>0</v>
      </c>
      <c r="Q142" s="269"/>
    </row>
    <row r="143" spans="2:17" ht="12.5">
      <c r="B143" s="195" t="str">
        <f t="shared" si="28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2"/>
        <v>0</v>
      </c>
      <c r="G143" s="523">
        <f t="shared" si="35"/>
        <v>0</v>
      </c>
      <c r="H143" s="526">
        <f t="shared" si="36"/>
        <v>0</v>
      </c>
      <c r="I143" s="577">
        <f t="shared" si="37"/>
        <v>0</v>
      </c>
      <c r="J143" s="514">
        <f t="shared" si="38"/>
        <v>0</v>
      </c>
      <c r="K143" s="514"/>
      <c r="L143" s="525"/>
      <c r="M143" s="514">
        <f t="shared" si="39"/>
        <v>0</v>
      </c>
      <c r="N143" s="525"/>
      <c r="O143" s="514">
        <f t="shared" si="40"/>
        <v>0</v>
      </c>
      <c r="P143" s="514">
        <f t="shared" si="41"/>
        <v>0</v>
      </c>
      <c r="Q143" s="269"/>
    </row>
    <row r="144" spans="2:17" ht="12.5">
      <c r="B144" s="195" t="str">
        <f t="shared" si="28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2"/>
        <v>0</v>
      </c>
      <c r="G144" s="523">
        <f t="shared" si="35"/>
        <v>0</v>
      </c>
      <c r="H144" s="526">
        <f t="shared" si="36"/>
        <v>0</v>
      </c>
      <c r="I144" s="577">
        <f t="shared" si="37"/>
        <v>0</v>
      </c>
      <c r="J144" s="514">
        <f t="shared" si="38"/>
        <v>0</v>
      </c>
      <c r="K144" s="514"/>
      <c r="L144" s="525"/>
      <c r="M144" s="514">
        <f t="shared" si="39"/>
        <v>0</v>
      </c>
      <c r="N144" s="525"/>
      <c r="O144" s="514">
        <f t="shared" si="40"/>
        <v>0</v>
      </c>
      <c r="P144" s="514">
        <f t="shared" si="41"/>
        <v>0</v>
      </c>
      <c r="Q144" s="269"/>
    </row>
    <row r="145" spans="2:17" ht="12.5">
      <c r="B145" s="195" t="str">
        <f t="shared" si="28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2"/>
        <v>0</v>
      </c>
      <c r="G145" s="523">
        <f t="shared" si="35"/>
        <v>0</v>
      </c>
      <c r="H145" s="526">
        <f t="shared" si="36"/>
        <v>0</v>
      </c>
      <c r="I145" s="577">
        <f t="shared" si="37"/>
        <v>0</v>
      </c>
      <c r="J145" s="514">
        <f t="shared" si="38"/>
        <v>0</v>
      </c>
      <c r="K145" s="514"/>
      <c r="L145" s="525"/>
      <c r="M145" s="514">
        <f t="shared" si="39"/>
        <v>0</v>
      </c>
      <c r="N145" s="525"/>
      <c r="O145" s="514">
        <f t="shared" si="40"/>
        <v>0</v>
      </c>
      <c r="P145" s="514">
        <f t="shared" si="41"/>
        <v>0</v>
      </c>
      <c r="Q145" s="269"/>
    </row>
    <row r="146" spans="2:17" ht="12.5">
      <c r="B146" s="195" t="str">
        <f t="shared" si="28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2"/>
        <v>0</v>
      </c>
      <c r="G146" s="523">
        <f t="shared" si="35"/>
        <v>0</v>
      </c>
      <c r="H146" s="526">
        <f t="shared" si="36"/>
        <v>0</v>
      </c>
      <c r="I146" s="577">
        <f t="shared" si="37"/>
        <v>0</v>
      </c>
      <c r="J146" s="514">
        <f t="shared" si="38"/>
        <v>0</v>
      </c>
      <c r="K146" s="514"/>
      <c r="L146" s="525"/>
      <c r="M146" s="514">
        <f t="shared" si="39"/>
        <v>0</v>
      </c>
      <c r="N146" s="525"/>
      <c r="O146" s="514">
        <f t="shared" si="40"/>
        <v>0</v>
      </c>
      <c r="P146" s="514">
        <f t="shared" si="41"/>
        <v>0</v>
      </c>
      <c r="Q146" s="269"/>
    </row>
    <row r="147" spans="2:17" ht="12.5">
      <c r="B147" s="195" t="str">
        <f t="shared" si="28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2"/>
        <v>0</v>
      </c>
      <c r="G147" s="523">
        <f t="shared" si="35"/>
        <v>0</v>
      </c>
      <c r="H147" s="526">
        <f t="shared" si="36"/>
        <v>0</v>
      </c>
      <c r="I147" s="577">
        <f t="shared" si="37"/>
        <v>0</v>
      </c>
      <c r="J147" s="514">
        <f t="shared" si="38"/>
        <v>0</v>
      </c>
      <c r="K147" s="514"/>
      <c r="L147" s="525"/>
      <c r="M147" s="514">
        <f t="shared" si="39"/>
        <v>0</v>
      </c>
      <c r="N147" s="525"/>
      <c r="O147" s="514">
        <f t="shared" si="40"/>
        <v>0</v>
      </c>
      <c r="P147" s="514">
        <f t="shared" si="41"/>
        <v>0</v>
      </c>
      <c r="Q147" s="269"/>
    </row>
    <row r="148" spans="2:17" ht="12.5">
      <c r="B148" s="195" t="str">
        <f t="shared" si="28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2"/>
        <v>0</v>
      </c>
      <c r="G148" s="523">
        <f t="shared" si="35"/>
        <v>0</v>
      </c>
      <c r="H148" s="526">
        <f t="shared" si="36"/>
        <v>0</v>
      </c>
      <c r="I148" s="577">
        <f t="shared" si="37"/>
        <v>0</v>
      </c>
      <c r="J148" s="514">
        <f t="shared" si="38"/>
        <v>0</v>
      </c>
      <c r="K148" s="514"/>
      <c r="L148" s="525"/>
      <c r="M148" s="514">
        <f t="shared" si="39"/>
        <v>0</v>
      </c>
      <c r="N148" s="525"/>
      <c r="O148" s="514">
        <f t="shared" si="40"/>
        <v>0</v>
      </c>
      <c r="P148" s="514">
        <f t="shared" si="41"/>
        <v>0</v>
      </c>
      <c r="Q148" s="269"/>
    </row>
    <row r="149" spans="2:17" ht="12.5">
      <c r="B149" s="195" t="str">
        <f t="shared" si="28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2"/>
        <v>0</v>
      </c>
      <c r="G149" s="523">
        <f t="shared" si="35"/>
        <v>0</v>
      </c>
      <c r="H149" s="526">
        <f t="shared" si="36"/>
        <v>0</v>
      </c>
      <c r="I149" s="577">
        <f t="shared" si="37"/>
        <v>0</v>
      </c>
      <c r="J149" s="514">
        <f t="shared" si="38"/>
        <v>0</v>
      </c>
      <c r="K149" s="514"/>
      <c r="L149" s="525"/>
      <c r="M149" s="514">
        <f t="shared" si="39"/>
        <v>0</v>
      </c>
      <c r="N149" s="525"/>
      <c r="O149" s="514">
        <f t="shared" si="40"/>
        <v>0</v>
      </c>
      <c r="P149" s="514">
        <f t="shared" si="41"/>
        <v>0</v>
      </c>
      <c r="Q149" s="269"/>
    </row>
    <row r="150" spans="2:17" ht="12.5">
      <c r="B150" s="195" t="str">
        <f t="shared" si="28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2"/>
        <v>0</v>
      </c>
      <c r="G150" s="523">
        <f t="shared" si="35"/>
        <v>0</v>
      </c>
      <c r="H150" s="526">
        <f t="shared" si="36"/>
        <v>0</v>
      </c>
      <c r="I150" s="577">
        <f t="shared" si="37"/>
        <v>0</v>
      </c>
      <c r="J150" s="514">
        <f t="shared" si="38"/>
        <v>0</v>
      </c>
      <c r="K150" s="514"/>
      <c r="L150" s="525"/>
      <c r="M150" s="514">
        <f t="shared" si="39"/>
        <v>0</v>
      </c>
      <c r="N150" s="525"/>
      <c r="O150" s="514">
        <f t="shared" si="40"/>
        <v>0</v>
      </c>
      <c r="P150" s="514">
        <f t="shared" si="41"/>
        <v>0</v>
      </c>
      <c r="Q150" s="269"/>
    </row>
    <row r="151" spans="2:17" ht="12.5">
      <c r="B151" s="195" t="str">
        <f t="shared" si="28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2"/>
        <v>0</v>
      </c>
      <c r="G151" s="523">
        <f t="shared" si="35"/>
        <v>0</v>
      </c>
      <c r="H151" s="526">
        <f t="shared" si="36"/>
        <v>0</v>
      </c>
      <c r="I151" s="577">
        <f t="shared" si="37"/>
        <v>0</v>
      </c>
      <c r="J151" s="514">
        <f t="shared" si="38"/>
        <v>0</v>
      </c>
      <c r="K151" s="514"/>
      <c r="L151" s="525"/>
      <c r="M151" s="514">
        <f t="shared" si="39"/>
        <v>0</v>
      </c>
      <c r="N151" s="525"/>
      <c r="O151" s="514">
        <f t="shared" si="40"/>
        <v>0</v>
      </c>
      <c r="P151" s="514">
        <f t="shared" si="41"/>
        <v>0</v>
      </c>
      <c r="Q151" s="269"/>
    </row>
    <row r="152" spans="2:17" ht="12.5">
      <c r="B152" s="195" t="str">
        <f t="shared" si="28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2"/>
        <v>0</v>
      </c>
      <c r="G152" s="523">
        <f t="shared" si="35"/>
        <v>0</v>
      </c>
      <c r="H152" s="526">
        <f t="shared" si="36"/>
        <v>0</v>
      </c>
      <c r="I152" s="577">
        <f t="shared" si="37"/>
        <v>0</v>
      </c>
      <c r="J152" s="514">
        <f t="shared" si="38"/>
        <v>0</v>
      </c>
      <c r="K152" s="514"/>
      <c r="L152" s="525"/>
      <c r="M152" s="514">
        <f t="shared" si="39"/>
        <v>0</v>
      </c>
      <c r="N152" s="525"/>
      <c r="O152" s="514">
        <f t="shared" si="40"/>
        <v>0</v>
      </c>
      <c r="P152" s="514">
        <f t="shared" si="41"/>
        <v>0</v>
      </c>
      <c r="Q152" s="269"/>
    </row>
    <row r="153" spans="2:17" ht="12.5">
      <c r="B153" s="195" t="str">
        <f t="shared" si="28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2"/>
        <v>0</v>
      </c>
      <c r="G153" s="523">
        <f t="shared" si="35"/>
        <v>0</v>
      </c>
      <c r="H153" s="526">
        <f t="shared" si="36"/>
        <v>0</v>
      </c>
      <c r="I153" s="577">
        <f t="shared" si="37"/>
        <v>0</v>
      </c>
      <c r="J153" s="514">
        <f t="shared" si="38"/>
        <v>0</v>
      </c>
      <c r="K153" s="514"/>
      <c r="L153" s="525"/>
      <c r="M153" s="514">
        <f t="shared" si="39"/>
        <v>0</v>
      </c>
      <c r="N153" s="525"/>
      <c r="O153" s="514">
        <f t="shared" si="40"/>
        <v>0</v>
      </c>
      <c r="P153" s="514">
        <f t="shared" si="41"/>
        <v>0</v>
      </c>
      <c r="Q153" s="269"/>
    </row>
    <row r="154" spans="2:17" ht="13" thickBot="1">
      <c r="B154" s="195" t="str">
        <f t="shared" si="28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2"/>
        <v>0</v>
      </c>
      <c r="G154" s="528">
        <f t="shared" si="35"/>
        <v>0</v>
      </c>
      <c r="H154" s="530">
        <f t="shared" si="36"/>
        <v>0</v>
      </c>
      <c r="I154" s="579">
        <f t="shared" si="37"/>
        <v>0</v>
      </c>
      <c r="J154" s="533">
        <f t="shared" si="38"/>
        <v>0</v>
      </c>
      <c r="K154" s="514"/>
      <c r="L154" s="532"/>
      <c r="M154" s="533">
        <f t="shared" si="39"/>
        <v>0</v>
      </c>
      <c r="N154" s="532"/>
      <c r="O154" s="533">
        <f t="shared" si="40"/>
        <v>0</v>
      </c>
      <c r="P154" s="533">
        <f t="shared" si="41"/>
        <v>0</v>
      </c>
      <c r="Q154" s="269"/>
    </row>
    <row r="155" spans="2:17" ht="12.5">
      <c r="C155" s="374" t="s">
        <v>78</v>
      </c>
      <c r="D155" s="375"/>
      <c r="E155" s="375">
        <f>SUM(E99:E154)</f>
        <v>88841.999999999985</v>
      </c>
      <c r="F155" s="375"/>
      <c r="G155" s="375"/>
      <c r="H155" s="375">
        <f>SUM(H99:H154)</f>
        <v>313301.10544574761</v>
      </c>
      <c r="I155" s="375">
        <f>SUM(I99:I154)</f>
        <v>313301.10544574761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1" priority="1" stopIfTrue="1" operator="equal">
      <formula>$I$10</formula>
    </cfRule>
  </conditionalFormatting>
  <conditionalFormatting sqref="C99:C154">
    <cfRule type="cellIs" dxfId="11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Q162"/>
  <sheetViews>
    <sheetView view="pageBreakPreview" topLeftCell="A70" zoomScale="75" zoomScaleNormal="100" zoomScaleSheetLayoutView="75" workbookViewId="0">
      <selection activeCell="E107" sqref="E10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4" width="24" style="183" customWidth="1"/>
    <col min="5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26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26389.773553263374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26389.773553263374</v>
      </c>
      <c r="O6" s="269"/>
      <c r="P6" s="269"/>
    </row>
    <row r="7" spans="1:17" ht="13.5" thickBot="1">
      <c r="C7" s="467" t="s">
        <v>48</v>
      </c>
      <c r="D7" s="620" t="s">
        <v>273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277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249141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2011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5931.9285714285716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2011</v>
      </c>
      <c r="D17" s="508">
        <v>91500</v>
      </c>
      <c r="E17" s="509">
        <v>0</v>
      </c>
      <c r="F17" s="508">
        <v>91500</v>
      </c>
      <c r="G17" s="509">
        <v>13154.497429496008</v>
      </c>
      <c r="H17" s="510">
        <v>13154.497429496008</v>
      </c>
      <c r="I17" s="517">
        <v>0</v>
      </c>
      <c r="J17" s="511"/>
      <c r="K17" s="512">
        <f t="shared" ref="K17:K22" si="0">G17</f>
        <v>13154.497429496008</v>
      </c>
      <c r="L17" s="597">
        <f t="shared" ref="L17:L48" si="1">IF(K17&lt;&gt;0,+G17-K17,0)</f>
        <v>0</v>
      </c>
      <c r="M17" s="512">
        <f t="shared" ref="M17:M22" si="2">H17</f>
        <v>13154.497429496008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2012</v>
      </c>
      <c r="D18" s="515">
        <v>249141</v>
      </c>
      <c r="E18" s="516">
        <v>5931.9285714285716</v>
      </c>
      <c r="F18" s="515">
        <v>243209.07142857142</v>
      </c>
      <c r="G18" s="516">
        <v>42102.015739943599</v>
      </c>
      <c r="H18" s="510">
        <v>42102.015739943599</v>
      </c>
      <c r="I18" s="517">
        <v>0</v>
      </c>
      <c r="J18" s="511"/>
      <c r="K18" s="518">
        <f t="shared" si="0"/>
        <v>42102.015739943599</v>
      </c>
      <c r="L18" s="519">
        <f t="shared" si="1"/>
        <v>0</v>
      </c>
      <c r="M18" s="518">
        <f t="shared" si="2"/>
        <v>42102.015739943599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 t="shared" si="5"/>
        <v/>
      </c>
      <c r="C19" s="507">
        <f>IF(D11="","-",+C18+1)</f>
        <v>2013</v>
      </c>
      <c r="D19" s="608">
        <v>243209.07142857142</v>
      </c>
      <c r="E19" s="609">
        <v>5931.9285714285716</v>
      </c>
      <c r="F19" s="608">
        <v>237277.14285714284</v>
      </c>
      <c r="G19" s="609">
        <v>39147.663443283265</v>
      </c>
      <c r="H19" s="610">
        <v>39147.663443283265</v>
      </c>
      <c r="I19" s="596">
        <v>0</v>
      </c>
      <c r="J19" s="511"/>
      <c r="K19" s="518">
        <f t="shared" si="0"/>
        <v>39147.663443283265</v>
      </c>
      <c r="L19" s="519">
        <f t="shared" ref="L19:L24" si="6">IF(K19&lt;&gt;0,+G19-K19,0)</f>
        <v>0</v>
      </c>
      <c r="M19" s="518">
        <f t="shared" si="2"/>
        <v>39147.663443283265</v>
      </c>
      <c r="N19" s="514">
        <f t="shared" ref="N19:N24" si="7">IF(M19&lt;&gt;0,+H19-M19,0)</f>
        <v>0</v>
      </c>
      <c r="O19" s="514">
        <f t="shared" si="4"/>
        <v>0</v>
      </c>
      <c r="P19" s="272"/>
    </row>
    <row r="20" spans="2:16" ht="12.5">
      <c r="B20" s="195" t="str">
        <f t="shared" si="5"/>
        <v/>
      </c>
      <c r="C20" s="507">
        <f>IF(D11="","-",+C19+1)</f>
        <v>2014</v>
      </c>
      <c r="D20" s="608">
        <v>237277.14285714284</v>
      </c>
      <c r="E20" s="609">
        <v>5931.9285714285716</v>
      </c>
      <c r="F20" s="608">
        <v>231345.21428571426</v>
      </c>
      <c r="G20" s="609">
        <v>37142.829011918198</v>
      </c>
      <c r="H20" s="610">
        <v>37142.829011918198</v>
      </c>
      <c r="I20" s="596">
        <v>0</v>
      </c>
      <c r="J20" s="511"/>
      <c r="K20" s="518">
        <f t="shared" si="0"/>
        <v>37142.829011918198</v>
      </c>
      <c r="L20" s="519">
        <f t="shared" si="6"/>
        <v>0</v>
      </c>
      <c r="M20" s="518">
        <f t="shared" si="2"/>
        <v>37142.829011918198</v>
      </c>
      <c r="N20" s="514">
        <f t="shared" si="7"/>
        <v>0</v>
      </c>
      <c r="O20" s="514">
        <f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2015</v>
      </c>
      <c r="D21" s="608">
        <v>231345.21428571426</v>
      </c>
      <c r="E21" s="609">
        <v>5931.9285714285716</v>
      </c>
      <c r="F21" s="608">
        <v>225413.28571428568</v>
      </c>
      <c r="G21" s="609">
        <v>35619.940503574464</v>
      </c>
      <c r="H21" s="610">
        <v>35619.940503574464</v>
      </c>
      <c r="I21" s="511">
        <v>0</v>
      </c>
      <c r="J21" s="511"/>
      <c r="K21" s="518">
        <f t="shared" si="0"/>
        <v>35619.940503574464</v>
      </c>
      <c r="L21" s="519">
        <f t="shared" si="6"/>
        <v>0</v>
      </c>
      <c r="M21" s="518">
        <f t="shared" si="2"/>
        <v>35619.940503574464</v>
      </c>
      <c r="N21" s="514">
        <f t="shared" si="7"/>
        <v>0</v>
      </c>
      <c r="O21" s="514">
        <f>+N21-L21</f>
        <v>0</v>
      </c>
      <c r="P21" s="272"/>
    </row>
    <row r="22" spans="2:16" ht="12.5">
      <c r="B22" s="195" t="str">
        <f t="shared" si="5"/>
        <v/>
      </c>
      <c r="C22" s="507">
        <f>IF(D11="","-",+C21+1)</f>
        <v>2016</v>
      </c>
      <c r="D22" s="608">
        <v>225413.28571428568</v>
      </c>
      <c r="E22" s="609">
        <v>5931.9285714285716</v>
      </c>
      <c r="F22" s="608">
        <v>219481.3571428571</v>
      </c>
      <c r="G22" s="609">
        <v>34482.05802568973</v>
      </c>
      <c r="H22" s="610">
        <v>34482.05802568973</v>
      </c>
      <c r="I22" s="511">
        <f t="shared" ref="I22:I49" si="8">H22-G22</f>
        <v>0</v>
      </c>
      <c r="J22" s="511"/>
      <c r="K22" s="518">
        <f t="shared" si="0"/>
        <v>34482.05802568973</v>
      </c>
      <c r="L22" s="519">
        <f t="shared" si="6"/>
        <v>0</v>
      </c>
      <c r="M22" s="518">
        <f t="shared" si="2"/>
        <v>34482.05802568973</v>
      </c>
      <c r="N22" s="514">
        <f t="shared" si="7"/>
        <v>0</v>
      </c>
      <c r="O22" s="514">
        <f>+N22-L22</f>
        <v>0</v>
      </c>
      <c r="P22" s="272"/>
    </row>
    <row r="23" spans="2:16" ht="12.5">
      <c r="B23" s="195" t="str">
        <f t="shared" si="5"/>
        <v/>
      </c>
      <c r="C23" s="507">
        <f>IF(D11="","-",+C22+1)</f>
        <v>2017</v>
      </c>
      <c r="D23" s="608">
        <v>219481.3571428571</v>
      </c>
      <c r="E23" s="609">
        <v>5793.9767441860467</v>
      </c>
      <c r="F23" s="608">
        <v>213687.38039867106</v>
      </c>
      <c r="G23" s="609">
        <v>32627.162932907937</v>
      </c>
      <c r="H23" s="610">
        <v>32627.162932907937</v>
      </c>
      <c r="I23" s="511">
        <f t="shared" si="8"/>
        <v>0</v>
      </c>
      <c r="J23" s="511"/>
      <c r="K23" s="518">
        <f>G23</f>
        <v>32627.162932907937</v>
      </c>
      <c r="L23" s="519">
        <f t="shared" si="6"/>
        <v>0</v>
      </c>
      <c r="M23" s="518">
        <f>H23</f>
        <v>32627.162932907937</v>
      </c>
      <c r="N23" s="514">
        <f t="shared" si="7"/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2018</v>
      </c>
      <c r="D24" s="608">
        <v>213687.38039867106</v>
      </c>
      <c r="E24" s="609">
        <v>6076.6097560975613</v>
      </c>
      <c r="F24" s="608">
        <v>207610.77064257348</v>
      </c>
      <c r="G24" s="609">
        <v>32848.86419946191</v>
      </c>
      <c r="H24" s="610">
        <v>32848.86419946191</v>
      </c>
      <c r="I24" s="511">
        <f t="shared" si="8"/>
        <v>0</v>
      </c>
      <c r="J24" s="511"/>
      <c r="K24" s="518">
        <f>G24</f>
        <v>32848.86419946191</v>
      </c>
      <c r="L24" s="519">
        <f t="shared" si="6"/>
        <v>0</v>
      </c>
      <c r="M24" s="518">
        <f>H24</f>
        <v>32848.86419946191</v>
      </c>
      <c r="N24" s="514">
        <f t="shared" si="7"/>
        <v>0</v>
      </c>
      <c r="O24" s="514">
        <f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2019</v>
      </c>
      <c r="D25" s="608">
        <v>207610.77064257348</v>
      </c>
      <c r="E25" s="609">
        <v>6076.6097560975613</v>
      </c>
      <c r="F25" s="608">
        <v>201534.16088647593</v>
      </c>
      <c r="G25" s="609">
        <v>32076.562957972019</v>
      </c>
      <c r="H25" s="610">
        <v>32076.562957972019</v>
      </c>
      <c r="I25" s="511">
        <f t="shared" si="8"/>
        <v>0</v>
      </c>
      <c r="J25" s="511"/>
      <c r="K25" s="518">
        <f>G25</f>
        <v>32076.562957972019</v>
      </c>
      <c r="L25" s="519">
        <f t="shared" ref="L25" si="9">IF(K25&lt;&gt;0,+G25-K25,0)</f>
        <v>0</v>
      </c>
      <c r="M25" s="518">
        <f>H25</f>
        <v>32076.562957972019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/>
      </c>
      <c r="C26" s="507">
        <f>IF(D11="","-",+C25+1)</f>
        <v>2020</v>
      </c>
      <c r="D26" s="608">
        <v>201534.16088647593</v>
      </c>
      <c r="E26" s="609">
        <v>6076.6097560975613</v>
      </c>
      <c r="F26" s="608">
        <v>195457.55113037839</v>
      </c>
      <c r="G26" s="609">
        <v>26389.773553263374</v>
      </c>
      <c r="H26" s="610">
        <v>26389.773553263374</v>
      </c>
      <c r="I26" s="511">
        <f t="shared" si="8"/>
        <v>0</v>
      </c>
      <c r="J26" s="511"/>
      <c r="K26" s="518">
        <f>G26</f>
        <v>26389.773553263374</v>
      </c>
      <c r="L26" s="519">
        <f t="shared" ref="L26" si="10">IF(K26&lt;&gt;0,+G26-K26,0)</f>
        <v>0</v>
      </c>
      <c r="M26" s="518">
        <f>H26</f>
        <v>26389.773553263374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2021</v>
      </c>
      <c r="D27" s="523">
        <f>IF(F26+SUM(E$17:E26)=D$10,F26,D$10-SUM(E$17:E26))</f>
        <v>195457.55113037839</v>
      </c>
      <c r="E27" s="522">
        <f>IF(+I14&lt;F26,I14,D27)</f>
        <v>5931.9285714285716</v>
      </c>
      <c r="F27" s="523">
        <f t="shared" ref="F27:F49" si="11">+D27-E27</f>
        <v>189525.62255894981</v>
      </c>
      <c r="G27" s="524">
        <f t="shared" ref="G27:G54" si="12">+I$12*((D27+F27)/2)+E27</f>
        <v>26493.489844119191</v>
      </c>
      <c r="H27" s="491">
        <f t="shared" ref="H27:H54" si="13">+I$13*((D27+F27)/2)+E27</f>
        <v>26493.489844119191</v>
      </c>
      <c r="I27" s="511">
        <f t="shared" si="8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2022</v>
      </c>
      <c r="D28" s="523">
        <f>IF(F27+SUM(E$17:E27)=D$10,F27,D$10-SUM(E$17:E27))</f>
        <v>189525.62255894981</v>
      </c>
      <c r="E28" s="522">
        <f>IF(+I14&lt;F27,I14,D28)</f>
        <v>5931.9285714285716</v>
      </c>
      <c r="F28" s="523">
        <f t="shared" si="11"/>
        <v>183593.69398752123</v>
      </c>
      <c r="G28" s="524">
        <f t="shared" si="12"/>
        <v>25859.853253627163</v>
      </c>
      <c r="H28" s="491">
        <f t="shared" si="13"/>
        <v>25859.853253627163</v>
      </c>
      <c r="I28" s="511">
        <f t="shared" si="8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2023</v>
      </c>
      <c r="D29" s="523">
        <f>IF(F28+SUM(E$17:E28)=D$10,F28,D$10-SUM(E$17:E28))</f>
        <v>183593.69398752123</v>
      </c>
      <c r="E29" s="522">
        <f>IF(+I14&lt;F28,I14,D29)</f>
        <v>5931.9285714285716</v>
      </c>
      <c r="F29" s="523">
        <f t="shared" si="11"/>
        <v>177661.76541609265</v>
      </c>
      <c r="G29" s="524">
        <f t="shared" si="12"/>
        <v>25226.216663135136</v>
      </c>
      <c r="H29" s="491">
        <f t="shared" si="13"/>
        <v>25226.216663135136</v>
      </c>
      <c r="I29" s="511">
        <f t="shared" si="8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2024</v>
      </c>
      <c r="D30" s="523">
        <f>IF(F29+SUM(E$17:E29)=D$10,F29,D$10-SUM(E$17:E29))</f>
        <v>177661.76541609265</v>
      </c>
      <c r="E30" s="522">
        <f>IF(+I14&lt;F29,I14,D30)</f>
        <v>5931.9285714285716</v>
      </c>
      <c r="F30" s="523">
        <f t="shared" si="11"/>
        <v>171729.83684466407</v>
      </c>
      <c r="G30" s="524">
        <f t="shared" si="12"/>
        <v>24592.580072643108</v>
      </c>
      <c r="H30" s="491">
        <f t="shared" si="13"/>
        <v>24592.580072643108</v>
      </c>
      <c r="I30" s="511">
        <f t="shared" si="8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2025</v>
      </c>
      <c r="D31" s="523">
        <f>IF(F30+SUM(E$17:E30)=D$10,F30,D$10-SUM(E$17:E30))</f>
        <v>171729.83684466407</v>
      </c>
      <c r="E31" s="522">
        <f>IF(+I14&lt;F30,I14,D31)</f>
        <v>5931.9285714285716</v>
      </c>
      <c r="F31" s="523">
        <f t="shared" si="11"/>
        <v>165797.90827323549</v>
      </c>
      <c r="G31" s="524">
        <f t="shared" si="12"/>
        <v>23958.943482151084</v>
      </c>
      <c r="H31" s="491">
        <f t="shared" si="13"/>
        <v>23958.943482151084</v>
      </c>
      <c r="I31" s="511">
        <f t="shared" si="8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2026</v>
      </c>
      <c r="D32" s="523">
        <f>IF(F31+SUM(E$17:E31)=D$10,F31,D$10-SUM(E$17:E31))</f>
        <v>165797.90827323549</v>
      </c>
      <c r="E32" s="522">
        <f>IF(+I14&lt;F31,I14,D32)</f>
        <v>5931.9285714285716</v>
      </c>
      <c r="F32" s="523">
        <f t="shared" si="11"/>
        <v>159865.97970180691</v>
      </c>
      <c r="G32" s="524">
        <f t="shared" si="12"/>
        <v>23325.306891659056</v>
      </c>
      <c r="H32" s="491">
        <f t="shared" si="13"/>
        <v>23325.306891659056</v>
      </c>
      <c r="I32" s="511">
        <f t="shared" si="8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2027</v>
      </c>
      <c r="D33" s="523">
        <f>IF(F32+SUM(E$17:E32)=D$10,F32,D$10-SUM(E$17:E32))</f>
        <v>159865.97970180691</v>
      </c>
      <c r="E33" s="522">
        <f>IF(+I14&lt;F32,I14,D33)</f>
        <v>5931.9285714285716</v>
      </c>
      <c r="F33" s="523">
        <f t="shared" si="11"/>
        <v>153934.05113037833</v>
      </c>
      <c r="G33" s="524">
        <f t="shared" si="12"/>
        <v>22691.670301167029</v>
      </c>
      <c r="H33" s="491">
        <f t="shared" si="13"/>
        <v>22691.670301167029</v>
      </c>
      <c r="I33" s="511">
        <f t="shared" si="8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2028</v>
      </c>
      <c r="D34" s="523">
        <f>IF(F33+SUM(E$17:E33)=D$10,F33,D$10-SUM(E$17:E33))</f>
        <v>153934.05113037833</v>
      </c>
      <c r="E34" s="522">
        <f>IF(+I14&lt;F33,I14,D34)</f>
        <v>5931.9285714285716</v>
      </c>
      <c r="F34" s="523">
        <f t="shared" si="11"/>
        <v>148002.12255894975</v>
      </c>
      <c r="G34" s="524">
        <f t="shared" si="12"/>
        <v>22058.033710675001</v>
      </c>
      <c r="H34" s="491">
        <f t="shared" si="13"/>
        <v>22058.033710675001</v>
      </c>
      <c r="I34" s="511">
        <f t="shared" si="8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2029</v>
      </c>
      <c r="D35" s="523">
        <f>IF(F34+SUM(E$17:E34)=D$10,F34,D$10-SUM(E$17:E34))</f>
        <v>148002.12255894975</v>
      </c>
      <c r="E35" s="522">
        <f>IF(+I14&lt;F34,I14,D35)</f>
        <v>5931.9285714285716</v>
      </c>
      <c r="F35" s="523">
        <f t="shared" si="11"/>
        <v>142070.19398752117</v>
      </c>
      <c r="G35" s="524">
        <f t="shared" si="12"/>
        <v>21424.397120182974</v>
      </c>
      <c r="H35" s="491">
        <f t="shared" si="13"/>
        <v>21424.397120182974</v>
      </c>
      <c r="I35" s="511">
        <f t="shared" si="8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2030</v>
      </c>
      <c r="D36" s="523">
        <f>IF(F35+SUM(E$17:E35)=D$10,F35,D$10-SUM(E$17:E35))</f>
        <v>142070.19398752117</v>
      </c>
      <c r="E36" s="522">
        <f>IF(+I14&lt;F35,I14,D36)</f>
        <v>5931.9285714285716</v>
      </c>
      <c r="F36" s="523">
        <f t="shared" si="11"/>
        <v>136138.26541609259</v>
      </c>
      <c r="G36" s="524">
        <f t="shared" si="12"/>
        <v>20790.760529690946</v>
      </c>
      <c r="H36" s="491">
        <f t="shared" si="13"/>
        <v>20790.760529690946</v>
      </c>
      <c r="I36" s="511">
        <f t="shared" si="8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2031</v>
      </c>
      <c r="D37" s="523">
        <f>IF(F36+SUM(E$17:E36)=D$10,F36,D$10-SUM(E$17:E36))</f>
        <v>136138.26541609259</v>
      </c>
      <c r="E37" s="522">
        <f>IF(+I14&lt;F36,I14,D37)</f>
        <v>5931.9285714285716</v>
      </c>
      <c r="F37" s="523">
        <f t="shared" si="11"/>
        <v>130206.33684466402</v>
      </c>
      <c r="G37" s="524">
        <f t="shared" si="12"/>
        <v>20157.123939198918</v>
      </c>
      <c r="H37" s="491">
        <f t="shared" si="13"/>
        <v>20157.123939198918</v>
      </c>
      <c r="I37" s="511">
        <f t="shared" si="8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2032</v>
      </c>
      <c r="D38" s="523">
        <f>IF(F37+SUM(E$17:E37)=D$10,F37,D$10-SUM(E$17:E37))</f>
        <v>130206.33684466402</v>
      </c>
      <c r="E38" s="522">
        <f>IF(+I14&lt;F37,I14,D38)</f>
        <v>5931.9285714285716</v>
      </c>
      <c r="F38" s="523">
        <f t="shared" si="11"/>
        <v>124274.40827323546</v>
      </c>
      <c r="G38" s="524">
        <f t="shared" si="12"/>
        <v>19523.487348706898</v>
      </c>
      <c r="H38" s="491">
        <f t="shared" si="13"/>
        <v>19523.487348706898</v>
      </c>
      <c r="I38" s="511">
        <f t="shared" si="8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2033</v>
      </c>
      <c r="D39" s="523">
        <f>IF(F38+SUM(E$17:E38)=D$10,F38,D$10-SUM(E$17:E38))</f>
        <v>124274.40827323546</v>
      </c>
      <c r="E39" s="522">
        <f>IF(+I14&lt;F38,I14,D39)</f>
        <v>5931.9285714285716</v>
      </c>
      <c r="F39" s="523">
        <f t="shared" si="11"/>
        <v>118342.47970180689</v>
      </c>
      <c r="G39" s="524">
        <f t="shared" si="12"/>
        <v>18889.85075821487</v>
      </c>
      <c r="H39" s="491">
        <f t="shared" si="13"/>
        <v>18889.85075821487</v>
      </c>
      <c r="I39" s="511">
        <f t="shared" si="8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2034</v>
      </c>
      <c r="D40" s="523">
        <f>IF(F39+SUM(E$17:E39)=D$10,F39,D$10-SUM(E$17:E39))</f>
        <v>118342.47970180689</v>
      </c>
      <c r="E40" s="522">
        <f>IF(+I14&lt;F39,I14,D40)</f>
        <v>5931.9285714285716</v>
      </c>
      <c r="F40" s="523">
        <f t="shared" si="11"/>
        <v>112410.55113037833</v>
      </c>
      <c r="G40" s="524">
        <f t="shared" si="12"/>
        <v>18256.214167722846</v>
      </c>
      <c r="H40" s="491">
        <f t="shared" si="13"/>
        <v>18256.214167722846</v>
      </c>
      <c r="I40" s="511">
        <f t="shared" si="8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2035</v>
      </c>
      <c r="D41" s="523">
        <f>IF(F40+SUM(E$17:E40)=D$10,F40,D$10-SUM(E$17:E40))</f>
        <v>112410.55113037833</v>
      </c>
      <c r="E41" s="522">
        <f>IF(+I14&lt;F40,I14,D41)</f>
        <v>5931.9285714285716</v>
      </c>
      <c r="F41" s="523">
        <f t="shared" si="11"/>
        <v>106478.62255894976</v>
      </c>
      <c r="G41" s="524">
        <f t="shared" si="12"/>
        <v>17622.577577230819</v>
      </c>
      <c r="H41" s="491">
        <f t="shared" si="13"/>
        <v>17622.577577230819</v>
      </c>
      <c r="I41" s="511">
        <f t="shared" si="8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2036</v>
      </c>
      <c r="D42" s="523">
        <f>IF(F41+SUM(E$17:E41)=D$10,F41,D$10-SUM(E$17:E41))</f>
        <v>106478.62255894976</v>
      </c>
      <c r="E42" s="522">
        <f>IF(+I14&lt;F41,I14,D42)</f>
        <v>5931.9285714285716</v>
      </c>
      <c r="F42" s="523">
        <f t="shared" si="11"/>
        <v>100546.6939875212</v>
      </c>
      <c r="G42" s="524">
        <f t="shared" si="12"/>
        <v>16988.940986738795</v>
      </c>
      <c r="H42" s="491">
        <f t="shared" si="13"/>
        <v>16988.940986738795</v>
      </c>
      <c r="I42" s="511">
        <f t="shared" si="8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2037</v>
      </c>
      <c r="D43" s="523">
        <f>IF(F42+SUM(E$17:E42)=D$10,F42,D$10-SUM(E$17:E42))</f>
        <v>100546.6939875212</v>
      </c>
      <c r="E43" s="522">
        <f>IF(+I14&lt;F42,I14,D43)</f>
        <v>5931.9285714285716</v>
      </c>
      <c r="F43" s="523">
        <f t="shared" si="11"/>
        <v>94614.765416092632</v>
      </c>
      <c r="G43" s="524">
        <f t="shared" si="12"/>
        <v>16355.304396246767</v>
      </c>
      <c r="H43" s="491">
        <f t="shared" si="13"/>
        <v>16355.304396246767</v>
      </c>
      <c r="I43" s="511">
        <f t="shared" si="8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2038</v>
      </c>
      <c r="D44" s="523">
        <f>IF(F43+SUM(E$17:E43)=D$10,F43,D$10-SUM(E$17:E43))</f>
        <v>94614.765416092632</v>
      </c>
      <c r="E44" s="522">
        <f>IF(+I14&lt;F43,I14,D44)</f>
        <v>5931.9285714285716</v>
      </c>
      <c r="F44" s="523">
        <f t="shared" si="11"/>
        <v>88682.836844664067</v>
      </c>
      <c r="G44" s="524">
        <f t="shared" si="12"/>
        <v>15721.667805754743</v>
      </c>
      <c r="H44" s="491">
        <f t="shared" si="13"/>
        <v>15721.667805754743</v>
      </c>
      <c r="I44" s="511">
        <f t="shared" si="8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2039</v>
      </c>
      <c r="D45" s="523">
        <f>IF(F44+SUM(E$17:E44)=D$10,F44,D$10-SUM(E$17:E44))</f>
        <v>88682.836844664067</v>
      </c>
      <c r="E45" s="522">
        <f>IF(+I14&lt;F44,I14,D45)</f>
        <v>5931.9285714285716</v>
      </c>
      <c r="F45" s="523">
        <f t="shared" si="11"/>
        <v>82750.908273235502</v>
      </c>
      <c r="G45" s="524">
        <f t="shared" si="12"/>
        <v>15088.031215262716</v>
      </c>
      <c r="H45" s="491">
        <f t="shared" si="13"/>
        <v>15088.031215262716</v>
      </c>
      <c r="I45" s="511">
        <f t="shared" si="8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2040</v>
      </c>
      <c r="D46" s="523">
        <f>IF(F45+SUM(E$17:E45)=D$10,F45,D$10-SUM(E$17:E45))</f>
        <v>82750.908273235502</v>
      </c>
      <c r="E46" s="522">
        <f>IF(+I14&lt;F45,I14,D46)</f>
        <v>5931.9285714285716</v>
      </c>
      <c r="F46" s="523">
        <f t="shared" si="11"/>
        <v>76818.979701806937</v>
      </c>
      <c r="G46" s="524">
        <f t="shared" si="12"/>
        <v>14454.394624770692</v>
      </c>
      <c r="H46" s="491">
        <f t="shared" si="13"/>
        <v>14454.394624770692</v>
      </c>
      <c r="I46" s="511">
        <f t="shared" si="8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2041</v>
      </c>
      <c r="D47" s="523">
        <f>IF(F46+SUM(E$17:E46)=D$10,F46,D$10-SUM(E$17:E46))</f>
        <v>76818.979701806937</v>
      </c>
      <c r="E47" s="522">
        <f>IF(+I14&lt;F46,I14,D47)</f>
        <v>5931.9285714285716</v>
      </c>
      <c r="F47" s="523">
        <f t="shared" si="11"/>
        <v>70887.051130378371</v>
      </c>
      <c r="G47" s="524">
        <f t="shared" si="12"/>
        <v>13820.758034278666</v>
      </c>
      <c r="H47" s="491">
        <f t="shared" si="13"/>
        <v>13820.758034278666</v>
      </c>
      <c r="I47" s="511">
        <f t="shared" si="8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2042</v>
      </c>
      <c r="D48" s="523">
        <f>IF(F47+SUM(E$17:E47)=D$10,F47,D$10-SUM(E$17:E47))</f>
        <v>70887.051130378371</v>
      </c>
      <c r="E48" s="522">
        <f>IF(+I14&lt;F47,I14,D48)</f>
        <v>5931.9285714285716</v>
      </c>
      <c r="F48" s="523">
        <f t="shared" si="11"/>
        <v>64955.122558949799</v>
      </c>
      <c r="G48" s="524">
        <f t="shared" si="12"/>
        <v>13187.12144378664</v>
      </c>
      <c r="H48" s="491">
        <f t="shared" si="13"/>
        <v>13187.12144378664</v>
      </c>
      <c r="I48" s="511">
        <f t="shared" si="8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2043</v>
      </c>
      <c r="D49" s="523">
        <f>IF(F48+SUM(E$17:E48)=D$10,F48,D$10-SUM(E$17:E48))</f>
        <v>64955.122558949799</v>
      </c>
      <c r="E49" s="522">
        <f>IF(+I14&lt;F48,I14,D49)</f>
        <v>5931.9285714285716</v>
      </c>
      <c r="F49" s="523">
        <f t="shared" si="11"/>
        <v>59023.193987521227</v>
      </c>
      <c r="G49" s="524">
        <f t="shared" si="12"/>
        <v>12553.484853294616</v>
      </c>
      <c r="H49" s="491">
        <f t="shared" si="13"/>
        <v>12553.484853294616</v>
      </c>
      <c r="I49" s="511">
        <f t="shared" si="8"/>
        <v>0</v>
      </c>
      <c r="J49" s="511"/>
      <c r="K49" s="525"/>
      <c r="L49" s="514">
        <f t="shared" ref="L49:L72" si="14">IF(K49&lt;&gt;0,+G49-K49,0)</f>
        <v>0</v>
      </c>
      <c r="M49" s="525"/>
      <c r="N49" s="514">
        <f t="shared" ref="N49:N72" si="15">IF(M49&lt;&gt;0,+H49-M49,0)</f>
        <v>0</v>
      </c>
      <c r="O49" s="514">
        <f t="shared" ref="O49:O72" si="16">+N49-L49</f>
        <v>0</v>
      </c>
      <c r="P49" s="272"/>
    </row>
    <row r="50" spans="2:17" ht="12.5">
      <c r="B50" s="195" t="str">
        <f t="shared" ref="B50:B72" si="17">IF(D50=F49,"","IU")</f>
        <v/>
      </c>
      <c r="C50" s="507">
        <f>IF(D11="","-",+C49+1)</f>
        <v>2044</v>
      </c>
      <c r="D50" s="523">
        <f>IF(F49+SUM(E$17:E49)=D$10,F49,D$10-SUM(E$17:E49))</f>
        <v>59023.193987521227</v>
      </c>
      <c r="E50" s="522">
        <f>IF(+I14&lt;F49,I14,D50)</f>
        <v>5931.9285714285716</v>
      </c>
      <c r="F50" s="523">
        <f t="shared" ref="F50:F72" si="18">+D50-E50</f>
        <v>53091.265416092654</v>
      </c>
      <c r="G50" s="524">
        <f t="shared" si="12"/>
        <v>11919.848262802589</v>
      </c>
      <c r="H50" s="491">
        <f t="shared" si="13"/>
        <v>11919.848262802589</v>
      </c>
      <c r="I50" s="511">
        <f t="shared" ref="I50:I72" si="19">H50-G50</f>
        <v>0</v>
      </c>
      <c r="J50" s="511"/>
      <c r="K50" s="525"/>
      <c r="L50" s="514">
        <f t="shared" si="14"/>
        <v>0</v>
      </c>
      <c r="M50" s="525"/>
      <c r="N50" s="514">
        <f t="shared" si="15"/>
        <v>0</v>
      </c>
      <c r="O50" s="514">
        <f t="shared" si="16"/>
        <v>0</v>
      </c>
      <c r="P50" s="272"/>
    </row>
    <row r="51" spans="2:17" ht="12.5">
      <c r="B51" s="195" t="str">
        <f t="shared" si="17"/>
        <v/>
      </c>
      <c r="C51" s="507">
        <f>IF(D11="","-",+C50+1)</f>
        <v>2045</v>
      </c>
      <c r="D51" s="523">
        <f>IF(F50+SUM(E$17:E50)=D$10,F50,D$10-SUM(E$17:E50))</f>
        <v>53091.265416092654</v>
      </c>
      <c r="E51" s="522">
        <f>IF(+I14&lt;F50,I14,D51)</f>
        <v>5931.9285714285716</v>
      </c>
      <c r="F51" s="523">
        <f t="shared" si="18"/>
        <v>47159.336844664082</v>
      </c>
      <c r="G51" s="524">
        <f t="shared" si="12"/>
        <v>11286.211672310563</v>
      </c>
      <c r="H51" s="491">
        <f t="shared" si="13"/>
        <v>11286.211672310563</v>
      </c>
      <c r="I51" s="511">
        <f t="shared" si="19"/>
        <v>0</v>
      </c>
      <c r="J51" s="511"/>
      <c r="K51" s="525"/>
      <c r="L51" s="514">
        <f t="shared" si="14"/>
        <v>0</v>
      </c>
      <c r="M51" s="525"/>
      <c r="N51" s="514">
        <f t="shared" si="15"/>
        <v>0</v>
      </c>
      <c r="O51" s="514">
        <f t="shared" si="16"/>
        <v>0</v>
      </c>
      <c r="P51" s="272"/>
    </row>
    <row r="52" spans="2:17" ht="12.5">
      <c r="B52" s="195" t="str">
        <f t="shared" si="17"/>
        <v/>
      </c>
      <c r="C52" s="507">
        <f>IF(D11="","-",+C51+1)</f>
        <v>2046</v>
      </c>
      <c r="D52" s="523">
        <f>IF(F51+SUM(E$17:E51)=D$10,F51,D$10-SUM(E$17:E51))</f>
        <v>47159.336844664082</v>
      </c>
      <c r="E52" s="522">
        <f>IF(+I14&lt;F51,I14,D52)</f>
        <v>5931.9285714285716</v>
      </c>
      <c r="F52" s="523">
        <f t="shared" si="18"/>
        <v>41227.408273235509</v>
      </c>
      <c r="G52" s="524">
        <f t="shared" si="12"/>
        <v>10652.575081818537</v>
      </c>
      <c r="H52" s="491">
        <f t="shared" si="13"/>
        <v>10652.575081818537</v>
      </c>
      <c r="I52" s="511">
        <f t="shared" si="19"/>
        <v>0</v>
      </c>
      <c r="J52" s="511"/>
      <c r="K52" s="525"/>
      <c r="L52" s="514">
        <f t="shared" si="14"/>
        <v>0</v>
      </c>
      <c r="M52" s="525"/>
      <c r="N52" s="514">
        <f t="shared" si="15"/>
        <v>0</v>
      </c>
      <c r="O52" s="514">
        <f t="shared" si="16"/>
        <v>0</v>
      </c>
      <c r="P52" s="272"/>
    </row>
    <row r="53" spans="2:17" ht="12.5">
      <c r="B53" s="195" t="str">
        <f t="shared" si="17"/>
        <v/>
      </c>
      <c r="C53" s="507">
        <f>IF(D11="","-",+C52+1)</f>
        <v>2047</v>
      </c>
      <c r="D53" s="523">
        <f>IF(F52+SUM(E$17:E52)=D$10,F52,D$10-SUM(E$17:E52))</f>
        <v>41227.408273235509</v>
      </c>
      <c r="E53" s="522">
        <f>IF(+I14&lt;F52,I14,D53)</f>
        <v>5931.9285714285716</v>
      </c>
      <c r="F53" s="523">
        <f t="shared" si="18"/>
        <v>35295.479701806937</v>
      </c>
      <c r="G53" s="524">
        <f t="shared" si="12"/>
        <v>10018.938491326509</v>
      </c>
      <c r="H53" s="491">
        <f t="shared" si="13"/>
        <v>10018.938491326509</v>
      </c>
      <c r="I53" s="511">
        <f t="shared" si="19"/>
        <v>0</v>
      </c>
      <c r="J53" s="511"/>
      <c r="K53" s="525"/>
      <c r="L53" s="514">
        <f t="shared" si="14"/>
        <v>0</v>
      </c>
      <c r="M53" s="525"/>
      <c r="N53" s="514">
        <f t="shared" si="15"/>
        <v>0</v>
      </c>
      <c r="O53" s="514">
        <f t="shared" si="16"/>
        <v>0</v>
      </c>
      <c r="P53" s="272"/>
    </row>
    <row r="54" spans="2:17" ht="12.5">
      <c r="B54" s="195" t="str">
        <f t="shared" si="17"/>
        <v/>
      </c>
      <c r="C54" s="507">
        <f>IF(D11="","-",+C53+1)</f>
        <v>2048</v>
      </c>
      <c r="D54" s="523">
        <f>IF(F53+SUM(E$17:E53)=D$10,F53,D$10-SUM(E$17:E53))</f>
        <v>35295.479701806937</v>
      </c>
      <c r="E54" s="522">
        <f>IF(+I14&lt;F53,I14,D54)</f>
        <v>5931.9285714285716</v>
      </c>
      <c r="F54" s="523">
        <f t="shared" si="18"/>
        <v>29363.551130378364</v>
      </c>
      <c r="G54" s="524">
        <f t="shared" si="12"/>
        <v>9385.3019008344836</v>
      </c>
      <c r="H54" s="491">
        <f t="shared" si="13"/>
        <v>9385.3019008344836</v>
      </c>
      <c r="I54" s="511">
        <f t="shared" si="19"/>
        <v>0</v>
      </c>
      <c r="J54" s="511"/>
      <c r="K54" s="525"/>
      <c r="L54" s="514">
        <f t="shared" si="14"/>
        <v>0</v>
      </c>
      <c r="M54" s="525"/>
      <c r="N54" s="514">
        <f t="shared" si="15"/>
        <v>0</v>
      </c>
      <c r="O54" s="514">
        <f t="shared" si="16"/>
        <v>0</v>
      </c>
      <c r="P54" s="272"/>
    </row>
    <row r="55" spans="2:17" ht="12.5">
      <c r="B55" s="195" t="str">
        <f t="shared" si="17"/>
        <v/>
      </c>
      <c r="C55" s="507">
        <f>IF(D11="","-",+C54+1)</f>
        <v>2049</v>
      </c>
      <c r="D55" s="523">
        <f>IF(F54+SUM(E$17:E54)=D$10,F54,D$10-SUM(E$17:E54))</f>
        <v>29363.551130378364</v>
      </c>
      <c r="E55" s="522">
        <f>IF(+I14&lt;F54,I14,D55)</f>
        <v>5931.9285714285716</v>
      </c>
      <c r="F55" s="523">
        <f t="shared" si="18"/>
        <v>23431.622558949792</v>
      </c>
      <c r="G55" s="524">
        <f t="shared" ref="G55:G72" si="20">+I$12*((D55+F55)/2)+E55</f>
        <v>8751.6653103424578</v>
      </c>
      <c r="H55" s="491">
        <f t="shared" ref="H55:H72" si="21">+I$13*((D55+F55)/2)+E55</f>
        <v>8751.6653103424578</v>
      </c>
      <c r="I55" s="511">
        <f t="shared" si="19"/>
        <v>0</v>
      </c>
      <c r="J55" s="511"/>
      <c r="K55" s="525"/>
      <c r="L55" s="514">
        <f t="shared" si="14"/>
        <v>0</v>
      </c>
      <c r="M55" s="525"/>
      <c r="N55" s="514">
        <f t="shared" si="15"/>
        <v>0</v>
      </c>
      <c r="O55" s="514">
        <f t="shared" si="16"/>
        <v>0</v>
      </c>
      <c r="P55" s="272"/>
    </row>
    <row r="56" spans="2:17" ht="12.5">
      <c r="B56" s="195" t="str">
        <f t="shared" si="17"/>
        <v/>
      </c>
      <c r="C56" s="507">
        <f>IF(D11="","-",+C55+1)</f>
        <v>2050</v>
      </c>
      <c r="D56" s="523">
        <f>IF(F55+SUM(E$17:E55)=D$10,F55,D$10-SUM(E$17:E55))</f>
        <v>23431.622558949792</v>
      </c>
      <c r="E56" s="522">
        <f>IF(+I14&lt;F55,I14,D56)</f>
        <v>5931.9285714285716</v>
      </c>
      <c r="F56" s="523">
        <f t="shared" si="18"/>
        <v>17499.693987521219</v>
      </c>
      <c r="G56" s="524">
        <f t="shared" si="20"/>
        <v>8118.028719850432</v>
      </c>
      <c r="H56" s="491">
        <f t="shared" si="21"/>
        <v>8118.028719850432</v>
      </c>
      <c r="I56" s="511">
        <f t="shared" si="19"/>
        <v>0</v>
      </c>
      <c r="J56" s="511"/>
      <c r="K56" s="525"/>
      <c r="L56" s="514">
        <f t="shared" si="14"/>
        <v>0</v>
      </c>
      <c r="M56" s="525"/>
      <c r="N56" s="514">
        <f t="shared" si="15"/>
        <v>0</v>
      </c>
      <c r="O56" s="514">
        <f t="shared" si="16"/>
        <v>0</v>
      </c>
      <c r="P56" s="272"/>
    </row>
    <row r="57" spans="2:17" ht="12.5">
      <c r="B57" s="195" t="str">
        <f t="shared" si="17"/>
        <v/>
      </c>
      <c r="C57" s="507">
        <f>IF(D11="","-",+C56+1)</f>
        <v>2051</v>
      </c>
      <c r="D57" s="523">
        <f>IF(F56+SUM(E$17:E56)=D$10,F56,D$10-SUM(E$17:E56))</f>
        <v>17499.693987521219</v>
      </c>
      <c r="E57" s="522">
        <f>IF(+I14&lt;F56,I14,D57)</f>
        <v>5931.9285714285716</v>
      </c>
      <c r="F57" s="523">
        <f t="shared" si="18"/>
        <v>11567.765416092647</v>
      </c>
      <c r="G57" s="524">
        <f t="shared" si="20"/>
        <v>7484.3921293584053</v>
      </c>
      <c r="H57" s="491">
        <f t="shared" si="21"/>
        <v>7484.3921293584053</v>
      </c>
      <c r="I57" s="511">
        <f t="shared" si="19"/>
        <v>0</v>
      </c>
      <c r="J57" s="511"/>
      <c r="K57" s="525"/>
      <c r="L57" s="514">
        <f t="shared" si="14"/>
        <v>0</v>
      </c>
      <c r="M57" s="525"/>
      <c r="N57" s="514">
        <f t="shared" si="15"/>
        <v>0</v>
      </c>
      <c r="O57" s="514">
        <f t="shared" si="16"/>
        <v>0</v>
      </c>
      <c r="P57" s="272"/>
    </row>
    <row r="58" spans="2:17" ht="12.5">
      <c r="B58" s="195" t="str">
        <f t="shared" si="17"/>
        <v/>
      </c>
      <c r="C58" s="507">
        <f>IF(D11="","-",+C57+1)</f>
        <v>2052</v>
      </c>
      <c r="D58" s="523">
        <f>IF(F57+SUM(E$17:E57)=D$10,F57,D$10-SUM(E$17:E57))</f>
        <v>11567.765416092647</v>
      </c>
      <c r="E58" s="522">
        <f>IF(+I14&lt;F57,I14,D58)</f>
        <v>5931.9285714285716</v>
      </c>
      <c r="F58" s="523">
        <f t="shared" si="18"/>
        <v>5635.8368446640752</v>
      </c>
      <c r="G58" s="524">
        <f t="shared" si="20"/>
        <v>6850.7555388663786</v>
      </c>
      <c r="H58" s="491">
        <f t="shared" si="21"/>
        <v>6850.7555388663786</v>
      </c>
      <c r="I58" s="511">
        <f t="shared" si="19"/>
        <v>0</v>
      </c>
      <c r="J58" s="511"/>
      <c r="K58" s="525"/>
      <c r="L58" s="514">
        <f t="shared" si="14"/>
        <v>0</v>
      </c>
      <c r="M58" s="525"/>
      <c r="N58" s="514">
        <f t="shared" si="15"/>
        <v>0</v>
      </c>
      <c r="O58" s="514">
        <f t="shared" si="16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17"/>
        <v/>
      </c>
      <c r="C59" s="507">
        <f>IF(D11="","-",+C58+1)</f>
        <v>2053</v>
      </c>
      <c r="D59" s="523">
        <f>IF(F58+SUM(E$17:E58)=D$10,F58,D$10-SUM(E$17:E58))</f>
        <v>5635.8368446640752</v>
      </c>
      <c r="E59" s="522">
        <f>IF(+I14&lt;F58,I14,D59)</f>
        <v>5635.8368446640752</v>
      </c>
      <c r="F59" s="523">
        <f t="shared" si="18"/>
        <v>0</v>
      </c>
      <c r="G59" s="524">
        <f t="shared" si="20"/>
        <v>5936.8411807599723</v>
      </c>
      <c r="H59" s="491">
        <f t="shared" si="21"/>
        <v>5936.8411807599723</v>
      </c>
      <c r="I59" s="511">
        <f t="shared" si="19"/>
        <v>0</v>
      </c>
      <c r="J59" s="511"/>
      <c r="K59" s="525"/>
      <c r="L59" s="514">
        <f t="shared" si="14"/>
        <v>0</v>
      </c>
      <c r="M59" s="525"/>
      <c r="N59" s="514">
        <f t="shared" si="15"/>
        <v>0</v>
      </c>
      <c r="O59" s="514">
        <f t="shared" si="16"/>
        <v>0</v>
      </c>
      <c r="P59" s="272"/>
    </row>
    <row r="60" spans="2:17" ht="12.5">
      <c r="B60" s="195" t="str">
        <f t="shared" si="17"/>
        <v/>
      </c>
      <c r="C60" s="507">
        <f>IF(D11="","-",+C59+1)</f>
        <v>2054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20"/>
        <v>0</v>
      </c>
      <c r="H60" s="491">
        <f t="shared" si="21"/>
        <v>0</v>
      </c>
      <c r="I60" s="511">
        <f t="shared" si="19"/>
        <v>0</v>
      </c>
      <c r="J60" s="511"/>
      <c r="K60" s="525"/>
      <c r="L60" s="514">
        <f t="shared" si="14"/>
        <v>0</v>
      </c>
      <c r="M60" s="525"/>
      <c r="N60" s="514">
        <f t="shared" si="15"/>
        <v>0</v>
      </c>
      <c r="O60" s="514">
        <f t="shared" si="16"/>
        <v>0</v>
      </c>
      <c r="P60" s="272"/>
    </row>
    <row r="61" spans="2:17" ht="12.5">
      <c r="B61" s="195" t="str">
        <f t="shared" si="17"/>
        <v/>
      </c>
      <c r="C61" s="507">
        <f>IF(D11="","-",+C60+1)</f>
        <v>2055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20"/>
        <v>0</v>
      </c>
      <c r="H61" s="491">
        <f t="shared" si="21"/>
        <v>0</v>
      </c>
      <c r="I61" s="511">
        <f t="shared" si="19"/>
        <v>0</v>
      </c>
      <c r="J61" s="511"/>
      <c r="K61" s="525"/>
      <c r="L61" s="514">
        <f t="shared" si="14"/>
        <v>0</v>
      </c>
      <c r="M61" s="525"/>
      <c r="N61" s="514">
        <f t="shared" si="15"/>
        <v>0</v>
      </c>
      <c r="O61" s="514">
        <f t="shared" si="16"/>
        <v>0</v>
      </c>
      <c r="P61" s="272"/>
    </row>
    <row r="62" spans="2:17" ht="12.5">
      <c r="B62" s="195" t="str">
        <f t="shared" si="17"/>
        <v/>
      </c>
      <c r="C62" s="507">
        <f>IF(D11="","-",+C61+1)</f>
        <v>2056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20"/>
        <v>0</v>
      </c>
      <c r="H62" s="491">
        <f t="shared" si="21"/>
        <v>0</v>
      </c>
      <c r="I62" s="511">
        <f t="shared" si="19"/>
        <v>0</v>
      </c>
      <c r="J62" s="511"/>
      <c r="K62" s="525"/>
      <c r="L62" s="514">
        <f t="shared" si="14"/>
        <v>0</v>
      </c>
      <c r="M62" s="525"/>
      <c r="N62" s="514">
        <f t="shared" si="15"/>
        <v>0</v>
      </c>
      <c r="O62" s="514">
        <f t="shared" si="16"/>
        <v>0</v>
      </c>
      <c r="P62" s="272"/>
    </row>
    <row r="63" spans="2:17" ht="12.5">
      <c r="B63" s="195" t="str">
        <f t="shared" si="17"/>
        <v/>
      </c>
      <c r="C63" s="507">
        <f>IF(D11="","-",+C62+1)</f>
        <v>2057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20"/>
        <v>0</v>
      </c>
      <c r="H63" s="491">
        <f t="shared" si="21"/>
        <v>0</v>
      </c>
      <c r="I63" s="511">
        <f t="shared" si="19"/>
        <v>0</v>
      </c>
      <c r="J63" s="511"/>
      <c r="K63" s="525"/>
      <c r="L63" s="514">
        <f t="shared" si="14"/>
        <v>0</v>
      </c>
      <c r="M63" s="525"/>
      <c r="N63" s="514">
        <f t="shared" si="15"/>
        <v>0</v>
      </c>
      <c r="O63" s="514">
        <f t="shared" si="16"/>
        <v>0</v>
      </c>
      <c r="P63" s="272"/>
    </row>
    <row r="64" spans="2:17" ht="12.5">
      <c r="B64" s="195" t="str">
        <f t="shared" si="17"/>
        <v/>
      </c>
      <c r="C64" s="507">
        <f>IF(D11="","-",+C63+1)</f>
        <v>2058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20"/>
        <v>0</v>
      </c>
      <c r="H64" s="491">
        <f t="shared" si="21"/>
        <v>0</v>
      </c>
      <c r="I64" s="511">
        <f t="shared" si="19"/>
        <v>0</v>
      </c>
      <c r="J64" s="511"/>
      <c r="K64" s="525"/>
      <c r="L64" s="514">
        <f t="shared" si="14"/>
        <v>0</v>
      </c>
      <c r="M64" s="525"/>
      <c r="N64" s="514">
        <f t="shared" si="15"/>
        <v>0</v>
      </c>
      <c r="O64" s="514">
        <f t="shared" si="16"/>
        <v>0</v>
      </c>
      <c r="P64" s="272"/>
    </row>
    <row r="65" spans="1:16" ht="12.5">
      <c r="B65" s="195" t="str">
        <f t="shared" si="17"/>
        <v/>
      </c>
      <c r="C65" s="507">
        <f>IF(D11="","-",+C64+1)</f>
        <v>2059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20"/>
        <v>0</v>
      </c>
      <c r="H65" s="491">
        <f t="shared" si="21"/>
        <v>0</v>
      </c>
      <c r="I65" s="511">
        <f t="shared" si="19"/>
        <v>0</v>
      </c>
      <c r="J65" s="511"/>
      <c r="K65" s="525"/>
      <c r="L65" s="514">
        <f t="shared" si="14"/>
        <v>0</v>
      </c>
      <c r="M65" s="525"/>
      <c r="N65" s="514">
        <f t="shared" si="15"/>
        <v>0</v>
      </c>
      <c r="O65" s="514">
        <f t="shared" si="16"/>
        <v>0</v>
      </c>
      <c r="P65" s="272"/>
    </row>
    <row r="66" spans="1:16" ht="12.5">
      <c r="B66" s="195" t="str">
        <f t="shared" si="17"/>
        <v/>
      </c>
      <c r="C66" s="507">
        <f>IF(D11="","-",+C65+1)</f>
        <v>2060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20"/>
        <v>0</v>
      </c>
      <c r="H66" s="491">
        <f t="shared" si="21"/>
        <v>0</v>
      </c>
      <c r="I66" s="511">
        <f t="shared" si="19"/>
        <v>0</v>
      </c>
      <c r="J66" s="511"/>
      <c r="K66" s="525"/>
      <c r="L66" s="514">
        <f t="shared" si="14"/>
        <v>0</v>
      </c>
      <c r="M66" s="525"/>
      <c r="N66" s="514">
        <f t="shared" si="15"/>
        <v>0</v>
      </c>
      <c r="O66" s="514">
        <f t="shared" si="16"/>
        <v>0</v>
      </c>
      <c r="P66" s="272"/>
    </row>
    <row r="67" spans="1:16" ht="12.5">
      <c r="B67" s="195" t="str">
        <f t="shared" si="17"/>
        <v/>
      </c>
      <c r="C67" s="507">
        <f>IF(D11="","-",+C66+1)</f>
        <v>2061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20"/>
        <v>0</v>
      </c>
      <c r="H67" s="491">
        <f t="shared" si="21"/>
        <v>0</v>
      </c>
      <c r="I67" s="511">
        <f t="shared" si="19"/>
        <v>0</v>
      </c>
      <c r="J67" s="511"/>
      <c r="K67" s="525"/>
      <c r="L67" s="514">
        <f t="shared" si="14"/>
        <v>0</v>
      </c>
      <c r="M67" s="525"/>
      <c r="N67" s="514">
        <f t="shared" si="15"/>
        <v>0</v>
      </c>
      <c r="O67" s="514">
        <f t="shared" si="16"/>
        <v>0</v>
      </c>
      <c r="P67" s="272"/>
    </row>
    <row r="68" spans="1:16" ht="12.5">
      <c r="B68" s="195" t="str">
        <f t="shared" si="17"/>
        <v/>
      </c>
      <c r="C68" s="507">
        <f>IF(D11="","-",+C67+1)</f>
        <v>2062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20"/>
        <v>0</v>
      </c>
      <c r="H68" s="491">
        <f t="shared" si="21"/>
        <v>0</v>
      </c>
      <c r="I68" s="511">
        <f t="shared" si="19"/>
        <v>0</v>
      </c>
      <c r="J68" s="511"/>
      <c r="K68" s="525"/>
      <c r="L68" s="514">
        <f t="shared" si="14"/>
        <v>0</v>
      </c>
      <c r="M68" s="525"/>
      <c r="N68" s="514">
        <f t="shared" si="15"/>
        <v>0</v>
      </c>
      <c r="O68" s="514">
        <f t="shared" si="16"/>
        <v>0</v>
      </c>
      <c r="P68" s="272"/>
    </row>
    <row r="69" spans="1:16" ht="12.5">
      <c r="B69" s="195" t="str">
        <f t="shared" si="17"/>
        <v/>
      </c>
      <c r="C69" s="507">
        <f>IF(D11="","-",+C68+1)</f>
        <v>2063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20"/>
        <v>0</v>
      </c>
      <c r="H69" s="491">
        <f t="shared" si="21"/>
        <v>0</v>
      </c>
      <c r="I69" s="511">
        <f t="shared" si="19"/>
        <v>0</v>
      </c>
      <c r="J69" s="511"/>
      <c r="K69" s="525"/>
      <c r="L69" s="514">
        <f t="shared" si="14"/>
        <v>0</v>
      </c>
      <c r="M69" s="525"/>
      <c r="N69" s="514">
        <f t="shared" si="15"/>
        <v>0</v>
      </c>
      <c r="O69" s="514">
        <f t="shared" si="16"/>
        <v>0</v>
      </c>
      <c r="P69" s="272"/>
    </row>
    <row r="70" spans="1:16" ht="12.5">
      <c r="B70" s="195" t="str">
        <f t="shared" si="17"/>
        <v/>
      </c>
      <c r="C70" s="507">
        <f>IF(D11="","-",+C69+1)</f>
        <v>2064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20"/>
        <v>0</v>
      </c>
      <c r="H70" s="491">
        <f t="shared" si="21"/>
        <v>0</v>
      </c>
      <c r="I70" s="511">
        <f t="shared" si="19"/>
        <v>0</v>
      </c>
      <c r="J70" s="511"/>
      <c r="K70" s="525"/>
      <c r="L70" s="514">
        <f t="shared" si="14"/>
        <v>0</v>
      </c>
      <c r="M70" s="525"/>
      <c r="N70" s="514">
        <f t="shared" si="15"/>
        <v>0</v>
      </c>
      <c r="O70" s="514">
        <f t="shared" si="16"/>
        <v>0</v>
      </c>
      <c r="P70" s="272"/>
    </row>
    <row r="71" spans="1:16" ht="12.5">
      <c r="B71" s="195" t="str">
        <f t="shared" si="17"/>
        <v/>
      </c>
      <c r="C71" s="507">
        <f>IF(D11="","-",+C70+1)</f>
        <v>2065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20"/>
        <v>0</v>
      </c>
      <c r="H71" s="491">
        <f t="shared" si="21"/>
        <v>0</v>
      </c>
      <c r="I71" s="511">
        <f t="shared" si="19"/>
        <v>0</v>
      </c>
      <c r="J71" s="511"/>
      <c r="K71" s="525"/>
      <c r="L71" s="514">
        <f t="shared" si="14"/>
        <v>0</v>
      </c>
      <c r="M71" s="525"/>
      <c r="N71" s="514">
        <f t="shared" si="15"/>
        <v>0</v>
      </c>
      <c r="O71" s="514">
        <f t="shared" si="16"/>
        <v>0</v>
      </c>
      <c r="P71" s="272"/>
    </row>
    <row r="72" spans="1:16" ht="13" thickBot="1">
      <c r="B72" s="195" t="str">
        <f t="shared" si="17"/>
        <v/>
      </c>
      <c r="C72" s="527">
        <f>IF(D11="","-",+C71+1)</f>
        <v>2066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20"/>
        <v>0</v>
      </c>
      <c r="H72" s="471">
        <f t="shared" si="21"/>
        <v>0</v>
      </c>
      <c r="I72" s="531">
        <f t="shared" si="19"/>
        <v>0</v>
      </c>
      <c r="J72" s="511"/>
      <c r="K72" s="532"/>
      <c r="L72" s="533">
        <f t="shared" si="14"/>
        <v>0</v>
      </c>
      <c r="M72" s="532"/>
      <c r="N72" s="533">
        <f t="shared" si="15"/>
        <v>0</v>
      </c>
      <c r="O72" s="533">
        <f t="shared" si="16"/>
        <v>0</v>
      </c>
      <c r="P72" s="272"/>
    </row>
    <row r="73" spans="1:16" ht="12.5">
      <c r="C73" s="374" t="s">
        <v>78</v>
      </c>
      <c r="D73" s="375"/>
      <c r="E73" s="375">
        <f>SUM(E17:E72)</f>
        <v>249141.00000000003</v>
      </c>
      <c r="F73" s="375"/>
      <c r="G73" s="375">
        <f>SUM(G17:G72)</f>
        <v>865036.13510603947</v>
      </c>
      <c r="H73" s="375">
        <f>SUM(H17:H72)</f>
        <v>865036.13510603947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26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26389.773553263374</v>
      </c>
      <c r="N87" s="546">
        <f>IF(J92&lt;D11,0,VLOOKUP(J92,C17:O72,11))</f>
        <v>26389.773553263374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27019.578173065966</v>
      </c>
      <c r="N88" s="550">
        <f>IF(J92&lt;D11,0,VLOOKUP(J92,C99:P154,7))</f>
        <v>27019.578173065966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Whitney repl CB and Switches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629.80461980259133</v>
      </c>
      <c r="N89" s="555">
        <f>+N88-N87</f>
        <v>629.80461980259133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PID 452, UIP 10586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249141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2011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5931.9285714285716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2011</v>
      </c>
      <c r="D99" s="508">
        <v>0</v>
      </c>
      <c r="E99" s="516">
        <v>2965.9642857142858</v>
      </c>
      <c r="F99" s="515">
        <v>246175.03571428571</v>
      </c>
      <c r="G99" s="574">
        <v>123087.51785714286</v>
      </c>
      <c r="H99" s="575">
        <v>21475.853068363114</v>
      </c>
      <c r="I99" s="576">
        <v>21475.853068363114</v>
      </c>
      <c r="J99" s="613">
        <f t="shared" ref="J99:J130" si="22">+I99-H99</f>
        <v>0</v>
      </c>
      <c r="K99" s="514"/>
      <c r="L99" s="512">
        <f t="shared" ref="L99:L104" si="23">H99</f>
        <v>21475.853068363114</v>
      </c>
      <c r="M99" s="597">
        <f t="shared" ref="M99:M130" si="24">IF(L99&lt;&gt;0,+H99-L99,0)</f>
        <v>0</v>
      </c>
      <c r="N99" s="512">
        <f t="shared" ref="N99:N104" si="25">I99</f>
        <v>21475.853068363114</v>
      </c>
      <c r="O99" s="513">
        <f t="shared" ref="O99:O130" si="26">IF(N99&lt;&gt;0,+I99-N99,0)</f>
        <v>0</v>
      </c>
      <c r="P99" s="513">
        <f t="shared" ref="P99:P130" si="27">+O99-M99</f>
        <v>0</v>
      </c>
      <c r="Q99" s="269"/>
    </row>
    <row r="100" spans="1:17" ht="12.5">
      <c r="B100" s="195" t="str">
        <f t="shared" ref="B100:B131" si="28">IF(D100=F99,"","IU")</f>
        <v/>
      </c>
      <c r="C100" s="507">
        <f>IF(D93="","-",+C99+1)</f>
        <v>2012</v>
      </c>
      <c r="D100" s="508">
        <v>246175.03571428571</v>
      </c>
      <c r="E100" s="516">
        <v>5931.9285714285716</v>
      </c>
      <c r="F100" s="515">
        <v>240243.10714285713</v>
      </c>
      <c r="G100" s="515">
        <v>243209.07142857142</v>
      </c>
      <c r="H100" s="516">
        <v>41721.09968063391</v>
      </c>
      <c r="I100" s="510">
        <v>41721.09968063391</v>
      </c>
      <c r="J100" s="613">
        <f t="shared" si="22"/>
        <v>0</v>
      </c>
      <c r="K100" s="514"/>
      <c r="L100" s="518">
        <f t="shared" si="23"/>
        <v>41721.09968063391</v>
      </c>
      <c r="M100" s="519">
        <f t="shared" si="24"/>
        <v>0</v>
      </c>
      <c r="N100" s="518">
        <f t="shared" si="25"/>
        <v>41721.09968063391</v>
      </c>
      <c r="O100" s="514">
        <f t="shared" si="26"/>
        <v>0</v>
      </c>
      <c r="P100" s="514">
        <f t="shared" si="27"/>
        <v>0</v>
      </c>
      <c r="Q100" s="269"/>
    </row>
    <row r="101" spans="1:17" ht="12.5">
      <c r="B101" s="195" t="str">
        <f t="shared" si="28"/>
        <v/>
      </c>
      <c r="C101" s="507">
        <f>IF(D93="","-",+C100+1)</f>
        <v>2013</v>
      </c>
      <c r="D101" s="508">
        <v>240243.10714285713</v>
      </c>
      <c r="E101" s="516">
        <v>5931.9285714285716</v>
      </c>
      <c r="F101" s="515">
        <v>234311.17857142855</v>
      </c>
      <c r="G101" s="515">
        <v>237277.14285714284</v>
      </c>
      <c r="H101" s="516">
        <v>38033.557147693406</v>
      </c>
      <c r="I101" s="510">
        <v>38033.557147693406</v>
      </c>
      <c r="J101" s="613">
        <v>0</v>
      </c>
      <c r="K101" s="514"/>
      <c r="L101" s="518">
        <f t="shared" si="23"/>
        <v>38033.557147693406</v>
      </c>
      <c r="M101" s="519">
        <f t="shared" ref="M101:M106" si="29">IF(L101&lt;&gt;0,+H101-L101,0)</f>
        <v>0</v>
      </c>
      <c r="N101" s="518">
        <f t="shared" si="25"/>
        <v>38033.557147693406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8"/>
        <v/>
      </c>
      <c r="C102" s="507">
        <f>IF(D93="","-",+C101+1)</f>
        <v>2014</v>
      </c>
      <c r="D102" s="508">
        <v>234311.17857142855</v>
      </c>
      <c r="E102" s="516">
        <v>5931.9285714285716</v>
      </c>
      <c r="F102" s="515">
        <v>228379.24999999997</v>
      </c>
      <c r="G102" s="515">
        <v>231345.21428571426</v>
      </c>
      <c r="H102" s="516">
        <v>37377.170497097119</v>
      </c>
      <c r="I102" s="510">
        <v>37377.170497097119</v>
      </c>
      <c r="J102" s="514">
        <v>0</v>
      </c>
      <c r="K102" s="514"/>
      <c r="L102" s="518">
        <f t="shared" si="23"/>
        <v>37377.170497097119</v>
      </c>
      <c r="M102" s="519">
        <f t="shared" si="29"/>
        <v>0</v>
      </c>
      <c r="N102" s="518">
        <f t="shared" si="25"/>
        <v>37377.170497097119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8"/>
        <v/>
      </c>
      <c r="C103" s="507">
        <f>IF(D93="","-",+C102+1)</f>
        <v>2015</v>
      </c>
      <c r="D103" s="508">
        <v>228379.24999999997</v>
      </c>
      <c r="E103" s="516">
        <v>5931.9285714285716</v>
      </c>
      <c r="F103" s="515">
        <v>222447.32142857139</v>
      </c>
      <c r="G103" s="515">
        <v>225413.28571428568</v>
      </c>
      <c r="H103" s="516">
        <v>35634.384288114808</v>
      </c>
      <c r="I103" s="510">
        <v>35634.384288114808</v>
      </c>
      <c r="J103" s="514">
        <f t="shared" si="22"/>
        <v>0</v>
      </c>
      <c r="K103" s="514"/>
      <c r="L103" s="518">
        <f t="shared" si="23"/>
        <v>35634.384288114808</v>
      </c>
      <c r="M103" s="519">
        <f t="shared" si="29"/>
        <v>0</v>
      </c>
      <c r="N103" s="518">
        <f t="shared" si="25"/>
        <v>35634.384288114808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8"/>
        <v/>
      </c>
      <c r="C104" s="507">
        <f>IF(D93="","-",+C103+1)</f>
        <v>2016</v>
      </c>
      <c r="D104" s="508">
        <v>222447.32142857139</v>
      </c>
      <c r="E104" s="516">
        <v>5793.9767441860467</v>
      </c>
      <c r="F104" s="515">
        <v>216653.34468438535</v>
      </c>
      <c r="G104" s="515">
        <v>219550.33305647835</v>
      </c>
      <c r="H104" s="516">
        <v>33665.888954411937</v>
      </c>
      <c r="I104" s="510">
        <v>33665.888954411937</v>
      </c>
      <c r="J104" s="514">
        <f t="shared" si="22"/>
        <v>0</v>
      </c>
      <c r="K104" s="514"/>
      <c r="L104" s="518">
        <f t="shared" si="23"/>
        <v>33665.888954411937</v>
      </c>
      <c r="M104" s="519">
        <f t="shared" si="29"/>
        <v>0</v>
      </c>
      <c r="N104" s="518">
        <f t="shared" si="25"/>
        <v>33665.888954411937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8"/>
        <v/>
      </c>
      <c r="C105" s="507">
        <f>IF(D93="","-",+C104+1)</f>
        <v>2017</v>
      </c>
      <c r="D105" s="508">
        <v>216653.34468438535</v>
      </c>
      <c r="E105" s="516">
        <v>5931.9285714285716</v>
      </c>
      <c r="F105" s="515">
        <v>210721.41611295677</v>
      </c>
      <c r="G105" s="515">
        <v>213687.38039867106</v>
      </c>
      <c r="H105" s="516">
        <v>31888.846157126722</v>
      </c>
      <c r="I105" s="510">
        <v>31888.846157126722</v>
      </c>
      <c r="J105" s="514">
        <f t="shared" si="22"/>
        <v>0</v>
      </c>
      <c r="K105" s="514"/>
      <c r="L105" s="518">
        <f>H105</f>
        <v>31888.846157126722</v>
      </c>
      <c r="M105" s="519">
        <f t="shared" si="29"/>
        <v>0</v>
      </c>
      <c r="N105" s="518">
        <f>I105</f>
        <v>31888.846157126722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28"/>
        <v/>
      </c>
      <c r="C106" s="507">
        <f>IF(D93="","-",+C105+1)</f>
        <v>2018</v>
      </c>
      <c r="D106" s="508">
        <v>210721.41611295677</v>
      </c>
      <c r="E106" s="516">
        <v>5931.9285714285716</v>
      </c>
      <c r="F106" s="515">
        <v>204789.48754152819</v>
      </c>
      <c r="G106" s="515">
        <v>207755.45182724248</v>
      </c>
      <c r="H106" s="516">
        <v>27871.857013447705</v>
      </c>
      <c r="I106" s="510">
        <v>27871.857013447705</v>
      </c>
      <c r="J106" s="514">
        <f t="shared" si="22"/>
        <v>0</v>
      </c>
      <c r="K106" s="514"/>
      <c r="L106" s="518">
        <f>H106</f>
        <v>27871.857013447705</v>
      </c>
      <c r="M106" s="519">
        <f t="shared" si="29"/>
        <v>0</v>
      </c>
      <c r="N106" s="518">
        <f>I106</f>
        <v>27871.857013447705</v>
      </c>
      <c r="O106" s="514">
        <f t="shared" si="26"/>
        <v>0</v>
      </c>
      <c r="P106" s="514">
        <f t="shared" si="27"/>
        <v>0</v>
      </c>
      <c r="Q106" s="269"/>
    </row>
    <row r="107" spans="1:17" ht="12.5">
      <c r="B107" s="195" t="str">
        <f t="shared" si="28"/>
        <v/>
      </c>
      <c r="C107" s="507">
        <f>IF(D93="","-",+C106+1)</f>
        <v>2019</v>
      </c>
      <c r="D107" s="508">
        <v>204789.48754152819</v>
      </c>
      <c r="E107" s="516">
        <v>5793.9767441860467</v>
      </c>
      <c r="F107" s="515">
        <v>198995.51079734214</v>
      </c>
      <c r="G107" s="515">
        <v>201892.49916943518</v>
      </c>
      <c r="H107" s="516">
        <v>27404.660198025118</v>
      </c>
      <c r="I107" s="510">
        <v>27404.660198025118</v>
      </c>
      <c r="J107" s="514">
        <f t="shared" si="22"/>
        <v>0</v>
      </c>
      <c r="K107" s="514"/>
      <c r="L107" s="518">
        <f>H107</f>
        <v>27404.660198025118</v>
      </c>
      <c r="M107" s="519">
        <f t="shared" ref="M107" si="30">IF(L107&lt;&gt;0,+H107-L107,0)</f>
        <v>0</v>
      </c>
      <c r="N107" s="518">
        <f>I107</f>
        <v>27404.660198025118</v>
      </c>
      <c r="O107" s="514">
        <f t="shared" si="26"/>
        <v>0</v>
      </c>
      <c r="P107" s="514">
        <f t="shared" si="27"/>
        <v>0</v>
      </c>
      <c r="Q107" s="269"/>
    </row>
    <row r="108" spans="1:17" ht="12.5">
      <c r="B108" s="195" t="str">
        <f t="shared" si="28"/>
        <v/>
      </c>
      <c r="C108" s="507">
        <f>IF(D93="","-",+C107+1)</f>
        <v>2020</v>
      </c>
      <c r="D108" s="374">
        <f>IF(F107+SUM(E$99:E107)=D$92,F107,D$92-SUM(E$99:E107))</f>
        <v>198995.51079734214</v>
      </c>
      <c r="E108" s="522">
        <f>IF(+J96&lt;F107,J96,D108)</f>
        <v>5931.9285714285716</v>
      </c>
      <c r="F108" s="523">
        <f t="shared" ref="F108:F131" si="31">+D108-E108</f>
        <v>193063.58222591356</v>
      </c>
      <c r="G108" s="523">
        <f t="shared" ref="G108:G130" si="32">+(F108+D108)/2</f>
        <v>196029.54651162785</v>
      </c>
      <c r="H108" s="526">
        <f t="shared" ref="H108:H130" si="33">+J$94*G108+E108</f>
        <v>27019.578173065966</v>
      </c>
      <c r="I108" s="577">
        <f t="shared" ref="I108:I130" si="34">+J$95*G108+E108</f>
        <v>27019.578173065966</v>
      </c>
      <c r="J108" s="514">
        <f t="shared" si="22"/>
        <v>0</v>
      </c>
      <c r="K108" s="514"/>
      <c r="L108" s="525"/>
      <c r="M108" s="514">
        <f t="shared" si="24"/>
        <v>0</v>
      </c>
      <c r="N108" s="525"/>
      <c r="O108" s="514">
        <f t="shared" si="26"/>
        <v>0</v>
      </c>
      <c r="P108" s="514">
        <f t="shared" si="27"/>
        <v>0</v>
      </c>
      <c r="Q108" s="269"/>
    </row>
    <row r="109" spans="1:17" ht="12.5">
      <c r="B109" s="195" t="str">
        <f t="shared" si="28"/>
        <v/>
      </c>
      <c r="C109" s="507">
        <f>IF(D93="","-",+C108+1)</f>
        <v>2021</v>
      </c>
      <c r="D109" s="374">
        <f>IF(F108+SUM(E$99:E108)=D$92,F108,D$92-SUM(E$99:E108))</f>
        <v>193063.58222591356</v>
      </c>
      <c r="E109" s="522">
        <f>IF(+J96&lt;F108,J96,D109)</f>
        <v>5931.9285714285716</v>
      </c>
      <c r="F109" s="523">
        <f t="shared" si="31"/>
        <v>187131.65365448498</v>
      </c>
      <c r="G109" s="523">
        <f t="shared" si="32"/>
        <v>190097.61794019927</v>
      </c>
      <c r="H109" s="526">
        <f t="shared" si="33"/>
        <v>26381.45788251677</v>
      </c>
      <c r="I109" s="577">
        <f t="shared" si="34"/>
        <v>26381.45788251677</v>
      </c>
      <c r="J109" s="514">
        <f t="shared" si="22"/>
        <v>0</v>
      </c>
      <c r="K109" s="514"/>
      <c r="L109" s="525"/>
      <c r="M109" s="514">
        <f t="shared" si="24"/>
        <v>0</v>
      </c>
      <c r="N109" s="525"/>
      <c r="O109" s="514">
        <f t="shared" si="26"/>
        <v>0</v>
      </c>
      <c r="P109" s="514">
        <f t="shared" si="27"/>
        <v>0</v>
      </c>
      <c r="Q109" s="269"/>
    </row>
    <row r="110" spans="1:17" ht="12.5">
      <c r="B110" s="195" t="str">
        <f t="shared" si="28"/>
        <v/>
      </c>
      <c r="C110" s="507">
        <f>IF(D93="","-",+C109+1)</f>
        <v>2022</v>
      </c>
      <c r="D110" s="374">
        <f>IF(F109+SUM(E$99:E109)=D$92,F109,D$92-SUM(E$99:E109))</f>
        <v>187131.65365448498</v>
      </c>
      <c r="E110" s="522">
        <f>IF(+J96&lt;F109,J96,D110)</f>
        <v>5931.9285714285716</v>
      </c>
      <c r="F110" s="523">
        <f t="shared" si="31"/>
        <v>181199.7250830564</v>
      </c>
      <c r="G110" s="523">
        <f t="shared" si="32"/>
        <v>184165.68936877069</v>
      </c>
      <c r="H110" s="526">
        <f t="shared" si="33"/>
        <v>25743.337591967571</v>
      </c>
      <c r="I110" s="577">
        <f t="shared" si="34"/>
        <v>25743.337591967571</v>
      </c>
      <c r="J110" s="514">
        <f t="shared" si="22"/>
        <v>0</v>
      </c>
      <c r="K110" s="514"/>
      <c r="L110" s="525"/>
      <c r="M110" s="514">
        <f t="shared" si="24"/>
        <v>0</v>
      </c>
      <c r="N110" s="525"/>
      <c r="O110" s="514">
        <f t="shared" si="26"/>
        <v>0</v>
      </c>
      <c r="P110" s="514">
        <f t="shared" si="27"/>
        <v>0</v>
      </c>
      <c r="Q110" s="269"/>
    </row>
    <row r="111" spans="1:17" ht="12.5">
      <c r="B111" s="195" t="str">
        <f t="shared" si="28"/>
        <v/>
      </c>
      <c r="C111" s="507">
        <f>IF(D93="","-",+C110+1)</f>
        <v>2023</v>
      </c>
      <c r="D111" s="374">
        <f>IF(F110+SUM(E$99:E110)=D$92,F110,D$92-SUM(E$99:E110))</f>
        <v>181199.7250830564</v>
      </c>
      <c r="E111" s="522">
        <f>IF(+J96&lt;F110,J96,D111)</f>
        <v>5931.9285714285716</v>
      </c>
      <c r="F111" s="523">
        <f t="shared" si="31"/>
        <v>175267.79651162782</v>
      </c>
      <c r="G111" s="523">
        <f t="shared" si="32"/>
        <v>178233.76079734211</v>
      </c>
      <c r="H111" s="526">
        <f t="shared" si="33"/>
        <v>25105.217301418375</v>
      </c>
      <c r="I111" s="577">
        <f t="shared" si="34"/>
        <v>25105.217301418375</v>
      </c>
      <c r="J111" s="514">
        <f t="shared" si="22"/>
        <v>0</v>
      </c>
      <c r="K111" s="514"/>
      <c r="L111" s="525"/>
      <c r="M111" s="514">
        <f t="shared" si="24"/>
        <v>0</v>
      </c>
      <c r="N111" s="525"/>
      <c r="O111" s="514">
        <f t="shared" si="26"/>
        <v>0</v>
      </c>
      <c r="P111" s="514">
        <f t="shared" si="27"/>
        <v>0</v>
      </c>
      <c r="Q111" s="269"/>
    </row>
    <row r="112" spans="1:17" ht="12.5">
      <c r="B112" s="195" t="str">
        <f t="shared" si="28"/>
        <v/>
      </c>
      <c r="C112" s="507">
        <f>IF(D93="","-",+C111+1)</f>
        <v>2024</v>
      </c>
      <c r="D112" s="374">
        <f>IF(F111+SUM(E$99:E111)=D$92,F111,D$92-SUM(E$99:E111))</f>
        <v>175267.79651162782</v>
      </c>
      <c r="E112" s="522">
        <f>IF(+J96&lt;F111,J96,D112)</f>
        <v>5931.9285714285716</v>
      </c>
      <c r="F112" s="523">
        <f t="shared" si="31"/>
        <v>169335.86794019924</v>
      </c>
      <c r="G112" s="523">
        <f t="shared" si="32"/>
        <v>172301.83222591353</v>
      </c>
      <c r="H112" s="526">
        <f t="shared" si="33"/>
        <v>24467.097010869176</v>
      </c>
      <c r="I112" s="577">
        <f t="shared" si="34"/>
        <v>24467.097010869176</v>
      </c>
      <c r="J112" s="514">
        <f t="shared" si="22"/>
        <v>0</v>
      </c>
      <c r="K112" s="514"/>
      <c r="L112" s="525"/>
      <c r="M112" s="514">
        <f t="shared" si="24"/>
        <v>0</v>
      </c>
      <c r="N112" s="525"/>
      <c r="O112" s="514">
        <f t="shared" si="26"/>
        <v>0</v>
      </c>
      <c r="P112" s="514">
        <f t="shared" si="27"/>
        <v>0</v>
      </c>
      <c r="Q112" s="269"/>
    </row>
    <row r="113" spans="2:17" ht="12.5">
      <c r="B113" s="195" t="str">
        <f t="shared" si="28"/>
        <v/>
      </c>
      <c r="C113" s="507">
        <f>IF(D93="","-",+C112+1)</f>
        <v>2025</v>
      </c>
      <c r="D113" s="374">
        <f>IF(F112+SUM(E$99:E112)=D$92,F112,D$92-SUM(E$99:E112))</f>
        <v>169335.86794019924</v>
      </c>
      <c r="E113" s="522">
        <f>IF(+J96&lt;F112,J96,D113)</f>
        <v>5931.9285714285716</v>
      </c>
      <c r="F113" s="523">
        <f t="shared" si="31"/>
        <v>163403.93936877066</v>
      </c>
      <c r="G113" s="523">
        <f t="shared" si="32"/>
        <v>166369.90365448495</v>
      </c>
      <c r="H113" s="526">
        <f t="shared" si="33"/>
        <v>23828.976720319981</v>
      </c>
      <c r="I113" s="577">
        <f t="shared" si="34"/>
        <v>23828.976720319981</v>
      </c>
      <c r="J113" s="514">
        <f t="shared" si="22"/>
        <v>0</v>
      </c>
      <c r="K113" s="514"/>
      <c r="L113" s="525"/>
      <c r="M113" s="514">
        <f t="shared" si="24"/>
        <v>0</v>
      </c>
      <c r="N113" s="525"/>
      <c r="O113" s="514">
        <f t="shared" si="26"/>
        <v>0</v>
      </c>
      <c r="P113" s="514">
        <f t="shared" si="27"/>
        <v>0</v>
      </c>
      <c r="Q113" s="269"/>
    </row>
    <row r="114" spans="2:17" ht="12.5">
      <c r="B114" s="195" t="str">
        <f t="shared" si="28"/>
        <v/>
      </c>
      <c r="C114" s="507">
        <f>IF(D93="","-",+C113+1)</f>
        <v>2026</v>
      </c>
      <c r="D114" s="374">
        <f>IF(F113+SUM(E$99:E113)=D$92,F113,D$92-SUM(E$99:E113))</f>
        <v>163403.93936877066</v>
      </c>
      <c r="E114" s="522">
        <f>IF(+J96&lt;F113,J96,D114)</f>
        <v>5931.9285714285716</v>
      </c>
      <c r="F114" s="523">
        <f t="shared" si="31"/>
        <v>157472.01079734208</v>
      </c>
      <c r="G114" s="523">
        <f t="shared" si="32"/>
        <v>160437.97508305637</v>
      </c>
      <c r="H114" s="526">
        <f t="shared" si="33"/>
        <v>23190.856429770782</v>
      </c>
      <c r="I114" s="577">
        <f t="shared" si="34"/>
        <v>23190.856429770782</v>
      </c>
      <c r="J114" s="514">
        <f t="shared" si="22"/>
        <v>0</v>
      </c>
      <c r="K114" s="514"/>
      <c r="L114" s="525"/>
      <c r="M114" s="514">
        <f t="shared" si="24"/>
        <v>0</v>
      </c>
      <c r="N114" s="525"/>
      <c r="O114" s="514">
        <f t="shared" si="26"/>
        <v>0</v>
      </c>
      <c r="P114" s="514">
        <f t="shared" si="27"/>
        <v>0</v>
      </c>
      <c r="Q114" s="269"/>
    </row>
    <row r="115" spans="2:17" ht="12.5">
      <c r="B115" s="195" t="str">
        <f t="shared" si="28"/>
        <v/>
      </c>
      <c r="C115" s="507">
        <f>IF(D93="","-",+C114+1)</f>
        <v>2027</v>
      </c>
      <c r="D115" s="374">
        <f>IF(F114+SUM(E$99:E114)=D$92,F114,D$92-SUM(E$99:E114))</f>
        <v>157472.01079734208</v>
      </c>
      <c r="E115" s="522">
        <f>IF(+J96&lt;F114,J96,D115)</f>
        <v>5931.9285714285716</v>
      </c>
      <c r="F115" s="523">
        <f t="shared" si="31"/>
        <v>151540.0822259135</v>
      </c>
      <c r="G115" s="523">
        <f t="shared" si="32"/>
        <v>154506.04651162779</v>
      </c>
      <c r="H115" s="526">
        <f t="shared" si="33"/>
        <v>22552.736139221586</v>
      </c>
      <c r="I115" s="577">
        <f t="shared" si="34"/>
        <v>22552.736139221586</v>
      </c>
      <c r="J115" s="514">
        <f t="shared" si="22"/>
        <v>0</v>
      </c>
      <c r="K115" s="514"/>
      <c r="L115" s="525"/>
      <c r="M115" s="514">
        <f t="shared" si="24"/>
        <v>0</v>
      </c>
      <c r="N115" s="525"/>
      <c r="O115" s="514">
        <f t="shared" si="26"/>
        <v>0</v>
      </c>
      <c r="P115" s="514">
        <f t="shared" si="27"/>
        <v>0</v>
      </c>
      <c r="Q115" s="269"/>
    </row>
    <row r="116" spans="2:17" ht="12.5">
      <c r="B116" s="195" t="str">
        <f t="shared" si="28"/>
        <v/>
      </c>
      <c r="C116" s="507">
        <f>IF(D93="","-",+C115+1)</f>
        <v>2028</v>
      </c>
      <c r="D116" s="374">
        <f>IF(F115+SUM(E$99:E115)=D$92,F115,D$92-SUM(E$99:E115))</f>
        <v>151540.0822259135</v>
      </c>
      <c r="E116" s="522">
        <f>IF(+J96&lt;F115,J96,D116)</f>
        <v>5931.9285714285716</v>
      </c>
      <c r="F116" s="523">
        <f t="shared" si="31"/>
        <v>145608.15365448492</v>
      </c>
      <c r="G116" s="523">
        <f t="shared" si="32"/>
        <v>148574.11794019921</v>
      </c>
      <c r="H116" s="526">
        <f t="shared" si="33"/>
        <v>21914.615848672387</v>
      </c>
      <c r="I116" s="577">
        <f t="shared" si="34"/>
        <v>21914.615848672387</v>
      </c>
      <c r="J116" s="514">
        <f t="shared" si="22"/>
        <v>0</v>
      </c>
      <c r="K116" s="514"/>
      <c r="L116" s="525"/>
      <c r="M116" s="514">
        <f t="shared" si="24"/>
        <v>0</v>
      </c>
      <c r="N116" s="525"/>
      <c r="O116" s="514">
        <f t="shared" si="26"/>
        <v>0</v>
      </c>
      <c r="P116" s="514">
        <f t="shared" si="27"/>
        <v>0</v>
      </c>
      <c r="Q116" s="269"/>
    </row>
    <row r="117" spans="2:17" ht="12.5">
      <c r="B117" s="195" t="str">
        <f t="shared" si="28"/>
        <v/>
      </c>
      <c r="C117" s="507">
        <f>IF(D93="","-",+C116+1)</f>
        <v>2029</v>
      </c>
      <c r="D117" s="374">
        <f>IF(F116+SUM(E$99:E116)=D$92,F116,D$92-SUM(E$99:E116))</f>
        <v>145608.15365448492</v>
      </c>
      <c r="E117" s="522">
        <f>IF(+J96&lt;F116,J96,D117)</f>
        <v>5931.9285714285716</v>
      </c>
      <c r="F117" s="523">
        <f t="shared" si="31"/>
        <v>139676.22508305634</v>
      </c>
      <c r="G117" s="523">
        <f t="shared" si="32"/>
        <v>142642.18936877063</v>
      </c>
      <c r="H117" s="526">
        <f t="shared" si="33"/>
        <v>21276.495558123188</v>
      </c>
      <c r="I117" s="577">
        <f t="shared" si="34"/>
        <v>21276.495558123188</v>
      </c>
      <c r="J117" s="514">
        <f t="shared" si="22"/>
        <v>0</v>
      </c>
      <c r="K117" s="514"/>
      <c r="L117" s="525"/>
      <c r="M117" s="514">
        <f t="shared" si="24"/>
        <v>0</v>
      </c>
      <c r="N117" s="525"/>
      <c r="O117" s="514">
        <f t="shared" si="26"/>
        <v>0</v>
      </c>
      <c r="P117" s="514">
        <f t="shared" si="27"/>
        <v>0</v>
      </c>
      <c r="Q117" s="269"/>
    </row>
    <row r="118" spans="2:17" ht="12.5">
      <c r="B118" s="195" t="str">
        <f t="shared" si="28"/>
        <v/>
      </c>
      <c r="C118" s="507">
        <f>IF(D93="","-",+C117+1)</f>
        <v>2030</v>
      </c>
      <c r="D118" s="374">
        <f>IF(F117+SUM(E$99:E117)=D$92,F117,D$92-SUM(E$99:E117))</f>
        <v>139676.22508305634</v>
      </c>
      <c r="E118" s="522">
        <f>IF(+J96&lt;F117,J96,D118)</f>
        <v>5931.9285714285716</v>
      </c>
      <c r="F118" s="523">
        <f t="shared" si="31"/>
        <v>133744.29651162776</v>
      </c>
      <c r="G118" s="523">
        <f t="shared" si="32"/>
        <v>136710.26079734205</v>
      </c>
      <c r="H118" s="526">
        <f t="shared" si="33"/>
        <v>20638.375267573992</v>
      </c>
      <c r="I118" s="577">
        <f t="shared" si="34"/>
        <v>20638.375267573992</v>
      </c>
      <c r="J118" s="514">
        <f t="shared" si="22"/>
        <v>0</v>
      </c>
      <c r="K118" s="514"/>
      <c r="L118" s="525"/>
      <c r="M118" s="514">
        <f t="shared" si="24"/>
        <v>0</v>
      </c>
      <c r="N118" s="525"/>
      <c r="O118" s="514">
        <f t="shared" si="26"/>
        <v>0</v>
      </c>
      <c r="P118" s="514">
        <f t="shared" si="27"/>
        <v>0</v>
      </c>
      <c r="Q118" s="269"/>
    </row>
    <row r="119" spans="2:17" ht="12.5">
      <c r="B119" s="195" t="str">
        <f t="shared" si="28"/>
        <v/>
      </c>
      <c r="C119" s="507">
        <f>IF(D93="","-",+C118+1)</f>
        <v>2031</v>
      </c>
      <c r="D119" s="374">
        <f>IF(F118+SUM(E$99:E118)=D$92,F118,D$92-SUM(E$99:E118))</f>
        <v>133744.29651162776</v>
      </c>
      <c r="E119" s="522">
        <f>IF(+J96&lt;F118,J96,D119)</f>
        <v>5931.9285714285716</v>
      </c>
      <c r="F119" s="523">
        <f t="shared" si="31"/>
        <v>127812.3679401992</v>
      </c>
      <c r="G119" s="523">
        <f t="shared" si="32"/>
        <v>130778.33222591347</v>
      </c>
      <c r="H119" s="526">
        <f t="shared" si="33"/>
        <v>20000.254977024793</v>
      </c>
      <c r="I119" s="577">
        <f t="shared" si="34"/>
        <v>20000.254977024793</v>
      </c>
      <c r="J119" s="514">
        <f t="shared" si="22"/>
        <v>0</v>
      </c>
      <c r="K119" s="514"/>
      <c r="L119" s="525"/>
      <c r="M119" s="514">
        <f t="shared" si="24"/>
        <v>0</v>
      </c>
      <c r="N119" s="525"/>
      <c r="O119" s="514">
        <f t="shared" si="26"/>
        <v>0</v>
      </c>
      <c r="P119" s="514">
        <f t="shared" si="27"/>
        <v>0</v>
      </c>
      <c r="Q119" s="269"/>
    </row>
    <row r="120" spans="2:17" ht="12.5">
      <c r="B120" s="195" t="str">
        <f t="shared" si="28"/>
        <v/>
      </c>
      <c r="C120" s="507">
        <f>IF(D93="","-",+C119+1)</f>
        <v>2032</v>
      </c>
      <c r="D120" s="374">
        <f>IF(F119+SUM(E$99:E119)=D$92,F119,D$92-SUM(E$99:E119))</f>
        <v>127812.3679401992</v>
      </c>
      <c r="E120" s="522">
        <f>IF(+J96&lt;F119,J96,D120)</f>
        <v>5931.9285714285716</v>
      </c>
      <c r="F120" s="523">
        <f t="shared" si="31"/>
        <v>121880.43936877063</v>
      </c>
      <c r="G120" s="523">
        <f t="shared" si="32"/>
        <v>124846.40365448492</v>
      </c>
      <c r="H120" s="526">
        <f t="shared" si="33"/>
        <v>19362.134686475601</v>
      </c>
      <c r="I120" s="577">
        <f t="shared" si="34"/>
        <v>19362.134686475601</v>
      </c>
      <c r="J120" s="514">
        <f t="shared" si="22"/>
        <v>0</v>
      </c>
      <c r="K120" s="514"/>
      <c r="L120" s="525"/>
      <c r="M120" s="514">
        <f t="shared" si="24"/>
        <v>0</v>
      </c>
      <c r="N120" s="525"/>
      <c r="O120" s="514">
        <f t="shared" si="26"/>
        <v>0</v>
      </c>
      <c r="P120" s="514">
        <f t="shared" si="27"/>
        <v>0</v>
      </c>
      <c r="Q120" s="269"/>
    </row>
    <row r="121" spans="2:17" ht="12.5">
      <c r="B121" s="195" t="str">
        <f t="shared" si="28"/>
        <v/>
      </c>
      <c r="C121" s="507">
        <f>IF(D93="","-",+C120+1)</f>
        <v>2033</v>
      </c>
      <c r="D121" s="374">
        <f>IF(F120+SUM(E$99:E120)=D$92,F120,D$92-SUM(E$99:E120))</f>
        <v>121880.43936877063</v>
      </c>
      <c r="E121" s="522">
        <f>IF(+J96&lt;F120,J96,D121)</f>
        <v>5931.9285714285716</v>
      </c>
      <c r="F121" s="523">
        <f t="shared" si="31"/>
        <v>115948.51079734207</v>
      </c>
      <c r="G121" s="523">
        <f t="shared" si="32"/>
        <v>118914.47508305634</v>
      </c>
      <c r="H121" s="526">
        <f t="shared" si="33"/>
        <v>18724.014395926402</v>
      </c>
      <c r="I121" s="577">
        <f t="shared" si="34"/>
        <v>18724.014395926402</v>
      </c>
      <c r="J121" s="514">
        <f t="shared" si="22"/>
        <v>0</v>
      </c>
      <c r="K121" s="514"/>
      <c r="L121" s="525"/>
      <c r="M121" s="514">
        <f t="shared" si="24"/>
        <v>0</v>
      </c>
      <c r="N121" s="525"/>
      <c r="O121" s="514">
        <f t="shared" si="26"/>
        <v>0</v>
      </c>
      <c r="P121" s="514">
        <f t="shared" si="27"/>
        <v>0</v>
      </c>
      <c r="Q121" s="269"/>
    </row>
    <row r="122" spans="2:17" ht="12.5">
      <c r="B122" s="195" t="str">
        <f t="shared" si="28"/>
        <v/>
      </c>
      <c r="C122" s="507">
        <f>IF(D93="","-",+C121+1)</f>
        <v>2034</v>
      </c>
      <c r="D122" s="374">
        <f>IF(F121+SUM(E$99:E121)=D$92,F121,D$92-SUM(E$99:E121))</f>
        <v>115948.51079734207</v>
      </c>
      <c r="E122" s="522">
        <f>IF(+J96&lt;F121,J96,D122)</f>
        <v>5931.9285714285716</v>
      </c>
      <c r="F122" s="523">
        <f t="shared" si="31"/>
        <v>110016.5822259135</v>
      </c>
      <c r="G122" s="523">
        <f t="shared" si="32"/>
        <v>112982.54651162779</v>
      </c>
      <c r="H122" s="526">
        <f t="shared" si="33"/>
        <v>18085.894105377207</v>
      </c>
      <c r="I122" s="577">
        <f t="shared" si="34"/>
        <v>18085.894105377207</v>
      </c>
      <c r="J122" s="514">
        <f t="shared" si="22"/>
        <v>0</v>
      </c>
      <c r="K122" s="514"/>
      <c r="L122" s="525"/>
      <c r="M122" s="514">
        <f t="shared" si="24"/>
        <v>0</v>
      </c>
      <c r="N122" s="525"/>
      <c r="O122" s="514">
        <f t="shared" si="26"/>
        <v>0</v>
      </c>
      <c r="P122" s="514">
        <f t="shared" si="27"/>
        <v>0</v>
      </c>
      <c r="Q122" s="269"/>
    </row>
    <row r="123" spans="2:17" ht="12.5">
      <c r="B123" s="195" t="str">
        <f t="shared" si="28"/>
        <v/>
      </c>
      <c r="C123" s="507">
        <f>IF(D93="","-",+C122+1)</f>
        <v>2035</v>
      </c>
      <c r="D123" s="374">
        <f>IF(F122+SUM(E$99:E122)=D$92,F122,D$92-SUM(E$99:E122))</f>
        <v>110016.5822259135</v>
      </c>
      <c r="E123" s="522">
        <f>IF(+J96&lt;F122,J96,D123)</f>
        <v>5931.9285714285716</v>
      </c>
      <c r="F123" s="523">
        <f t="shared" si="31"/>
        <v>104084.65365448494</v>
      </c>
      <c r="G123" s="523">
        <f t="shared" si="32"/>
        <v>107050.61794019921</v>
      </c>
      <c r="H123" s="526">
        <f t="shared" si="33"/>
        <v>17447.773814828011</v>
      </c>
      <c r="I123" s="577">
        <f t="shared" si="34"/>
        <v>17447.773814828011</v>
      </c>
      <c r="J123" s="514">
        <f t="shared" si="22"/>
        <v>0</v>
      </c>
      <c r="K123" s="514"/>
      <c r="L123" s="525"/>
      <c r="M123" s="514">
        <f t="shared" si="24"/>
        <v>0</v>
      </c>
      <c r="N123" s="525"/>
      <c r="O123" s="514">
        <f t="shared" si="26"/>
        <v>0</v>
      </c>
      <c r="P123" s="514">
        <f t="shared" si="27"/>
        <v>0</v>
      </c>
      <c r="Q123" s="269"/>
    </row>
    <row r="124" spans="2:17" ht="12.5">
      <c r="B124" s="195" t="str">
        <f t="shared" si="28"/>
        <v/>
      </c>
      <c r="C124" s="507">
        <f>IF(D93="","-",+C123+1)</f>
        <v>2036</v>
      </c>
      <c r="D124" s="374">
        <f>IF(F123+SUM(E$99:E123)=D$92,F123,D$92-SUM(E$99:E123))</f>
        <v>104084.65365448494</v>
      </c>
      <c r="E124" s="522">
        <f>IF(+J96&lt;F123,J96,D124)</f>
        <v>5931.9285714285716</v>
      </c>
      <c r="F124" s="523">
        <f t="shared" si="31"/>
        <v>98152.725083056372</v>
      </c>
      <c r="G124" s="523">
        <f t="shared" si="32"/>
        <v>101118.68936877066</v>
      </c>
      <c r="H124" s="526">
        <f t="shared" si="33"/>
        <v>16809.653524278816</v>
      </c>
      <c r="I124" s="577">
        <f t="shared" si="34"/>
        <v>16809.653524278816</v>
      </c>
      <c r="J124" s="514">
        <f t="shared" si="22"/>
        <v>0</v>
      </c>
      <c r="K124" s="514"/>
      <c r="L124" s="525"/>
      <c r="M124" s="514">
        <f t="shared" si="24"/>
        <v>0</v>
      </c>
      <c r="N124" s="525"/>
      <c r="O124" s="514">
        <f t="shared" si="26"/>
        <v>0</v>
      </c>
      <c r="P124" s="514">
        <f t="shared" si="27"/>
        <v>0</v>
      </c>
      <c r="Q124" s="269"/>
    </row>
    <row r="125" spans="2:17" ht="12.5">
      <c r="B125" s="195" t="str">
        <f t="shared" si="28"/>
        <v/>
      </c>
      <c r="C125" s="507">
        <f>IF(D93="","-",+C124+1)</f>
        <v>2037</v>
      </c>
      <c r="D125" s="374">
        <f>IF(F124+SUM(E$99:E124)=D$92,F124,D$92-SUM(E$99:E124))</f>
        <v>98152.725083056372</v>
      </c>
      <c r="E125" s="522">
        <f>IF(+J96&lt;F124,J96,D125)</f>
        <v>5931.9285714285716</v>
      </c>
      <c r="F125" s="523">
        <f t="shared" si="31"/>
        <v>92220.796511627806</v>
      </c>
      <c r="G125" s="523">
        <f t="shared" si="32"/>
        <v>95186.760797342082</v>
      </c>
      <c r="H125" s="526">
        <f t="shared" si="33"/>
        <v>16171.53323372962</v>
      </c>
      <c r="I125" s="577">
        <f t="shared" si="34"/>
        <v>16171.53323372962</v>
      </c>
      <c r="J125" s="514">
        <f t="shared" si="22"/>
        <v>0</v>
      </c>
      <c r="K125" s="514"/>
      <c r="L125" s="525"/>
      <c r="M125" s="514">
        <f t="shared" si="24"/>
        <v>0</v>
      </c>
      <c r="N125" s="525"/>
      <c r="O125" s="514">
        <f t="shared" si="26"/>
        <v>0</v>
      </c>
      <c r="P125" s="514">
        <f t="shared" si="27"/>
        <v>0</v>
      </c>
      <c r="Q125" s="269"/>
    </row>
    <row r="126" spans="2:17" ht="12.5">
      <c r="B126" s="195" t="str">
        <f t="shared" si="28"/>
        <v/>
      </c>
      <c r="C126" s="507">
        <f>IF(D93="","-",+C125+1)</f>
        <v>2038</v>
      </c>
      <c r="D126" s="374">
        <f>IF(F125+SUM(E$99:E125)=D$92,F125,D$92-SUM(E$99:E125))</f>
        <v>92220.796511627806</v>
      </c>
      <c r="E126" s="522">
        <f>IF(+J96&lt;F125,J96,D126)</f>
        <v>5931.9285714285716</v>
      </c>
      <c r="F126" s="523">
        <f t="shared" si="31"/>
        <v>86288.867940199241</v>
      </c>
      <c r="G126" s="523">
        <f t="shared" si="32"/>
        <v>89254.832225913531</v>
      </c>
      <c r="H126" s="526">
        <f t="shared" si="33"/>
        <v>15533.412943180425</v>
      </c>
      <c r="I126" s="577">
        <f t="shared" si="34"/>
        <v>15533.412943180425</v>
      </c>
      <c r="J126" s="514">
        <f t="shared" si="22"/>
        <v>0</v>
      </c>
      <c r="K126" s="514"/>
      <c r="L126" s="525"/>
      <c r="M126" s="514">
        <f t="shared" si="24"/>
        <v>0</v>
      </c>
      <c r="N126" s="525"/>
      <c r="O126" s="514">
        <f t="shared" si="26"/>
        <v>0</v>
      </c>
      <c r="P126" s="514">
        <f t="shared" si="27"/>
        <v>0</v>
      </c>
      <c r="Q126" s="269"/>
    </row>
    <row r="127" spans="2:17" ht="12.5">
      <c r="B127" s="195" t="str">
        <f t="shared" si="28"/>
        <v/>
      </c>
      <c r="C127" s="507">
        <f>IF(D93="","-",+C126+1)</f>
        <v>2039</v>
      </c>
      <c r="D127" s="374">
        <f>IF(F126+SUM(E$99:E126)=D$92,F126,D$92-SUM(E$99:E126))</f>
        <v>86288.867940199241</v>
      </c>
      <c r="E127" s="522">
        <f>IF(+J96&lt;F126,J96,D127)</f>
        <v>5931.9285714285716</v>
      </c>
      <c r="F127" s="523">
        <f t="shared" si="31"/>
        <v>80356.939368770676</v>
      </c>
      <c r="G127" s="523">
        <f t="shared" si="32"/>
        <v>83322.903654484951</v>
      </c>
      <c r="H127" s="526">
        <f t="shared" si="33"/>
        <v>14895.292652631229</v>
      </c>
      <c r="I127" s="577">
        <f t="shared" si="34"/>
        <v>14895.292652631229</v>
      </c>
      <c r="J127" s="514">
        <f t="shared" si="22"/>
        <v>0</v>
      </c>
      <c r="K127" s="514"/>
      <c r="L127" s="525"/>
      <c r="M127" s="514">
        <f t="shared" si="24"/>
        <v>0</v>
      </c>
      <c r="N127" s="525"/>
      <c r="O127" s="514">
        <f t="shared" si="26"/>
        <v>0</v>
      </c>
      <c r="P127" s="514">
        <f t="shared" si="27"/>
        <v>0</v>
      </c>
      <c r="Q127" s="269"/>
    </row>
    <row r="128" spans="2:17" ht="12.5">
      <c r="B128" s="195" t="str">
        <f t="shared" si="28"/>
        <v/>
      </c>
      <c r="C128" s="507">
        <f>IF(D93="","-",+C127+1)</f>
        <v>2040</v>
      </c>
      <c r="D128" s="374">
        <f>IF(F127+SUM(E$99:E127)=D$92,F127,D$92-SUM(E$99:E127))</f>
        <v>80356.939368770676</v>
      </c>
      <c r="E128" s="522">
        <f>IF(+J96&lt;F127,J96,D128)</f>
        <v>5931.9285714285716</v>
      </c>
      <c r="F128" s="523">
        <f t="shared" si="31"/>
        <v>74425.010797342111</v>
      </c>
      <c r="G128" s="523">
        <f t="shared" si="32"/>
        <v>77390.975083056401</v>
      </c>
      <c r="H128" s="526">
        <f t="shared" si="33"/>
        <v>14257.172362082034</v>
      </c>
      <c r="I128" s="577">
        <f t="shared" si="34"/>
        <v>14257.172362082034</v>
      </c>
      <c r="J128" s="514">
        <f t="shared" si="22"/>
        <v>0</v>
      </c>
      <c r="K128" s="514"/>
      <c r="L128" s="525"/>
      <c r="M128" s="514">
        <f t="shared" si="24"/>
        <v>0</v>
      </c>
      <c r="N128" s="525"/>
      <c r="O128" s="514">
        <f t="shared" si="26"/>
        <v>0</v>
      </c>
      <c r="P128" s="514">
        <f t="shared" si="27"/>
        <v>0</v>
      </c>
      <c r="Q128" s="269"/>
    </row>
    <row r="129" spans="2:17" ht="12.5">
      <c r="B129" s="195" t="str">
        <f t="shared" si="28"/>
        <v/>
      </c>
      <c r="C129" s="507">
        <f>IF(D93="","-",+C128+1)</f>
        <v>2041</v>
      </c>
      <c r="D129" s="374">
        <f>IF(F128+SUM(E$99:E128)=D$92,F128,D$92-SUM(E$99:E128))</f>
        <v>74425.010797342111</v>
      </c>
      <c r="E129" s="522">
        <f>IF(+J96&lt;F128,J96,D129)</f>
        <v>5931.9285714285716</v>
      </c>
      <c r="F129" s="523">
        <f t="shared" si="31"/>
        <v>68493.082225913546</v>
      </c>
      <c r="G129" s="523">
        <f t="shared" si="32"/>
        <v>71459.046511627821</v>
      </c>
      <c r="H129" s="526">
        <f t="shared" si="33"/>
        <v>13619.052071532837</v>
      </c>
      <c r="I129" s="577">
        <f t="shared" si="34"/>
        <v>13619.052071532837</v>
      </c>
      <c r="J129" s="514">
        <f t="shared" si="22"/>
        <v>0</v>
      </c>
      <c r="K129" s="514"/>
      <c r="L129" s="525"/>
      <c r="M129" s="514">
        <f t="shared" si="24"/>
        <v>0</v>
      </c>
      <c r="N129" s="525"/>
      <c r="O129" s="514">
        <f t="shared" si="26"/>
        <v>0</v>
      </c>
      <c r="P129" s="514">
        <f t="shared" si="27"/>
        <v>0</v>
      </c>
      <c r="Q129" s="269"/>
    </row>
    <row r="130" spans="2:17" ht="12.5">
      <c r="B130" s="195" t="str">
        <f t="shared" si="28"/>
        <v/>
      </c>
      <c r="C130" s="507">
        <f>IF(D93="","-",+C129+1)</f>
        <v>2042</v>
      </c>
      <c r="D130" s="374">
        <f>IF(F129+SUM(E$99:E129)=D$92,F129,D$92-SUM(E$99:E129))</f>
        <v>68493.082225913546</v>
      </c>
      <c r="E130" s="522">
        <f>IF(+J96&lt;F129,J96,D130)</f>
        <v>5931.9285714285716</v>
      </c>
      <c r="F130" s="523">
        <f t="shared" si="31"/>
        <v>62561.153654484973</v>
      </c>
      <c r="G130" s="523">
        <f t="shared" si="32"/>
        <v>65527.117940199256</v>
      </c>
      <c r="H130" s="526">
        <f t="shared" si="33"/>
        <v>12980.931780983639</v>
      </c>
      <c r="I130" s="577">
        <f t="shared" si="34"/>
        <v>12980.931780983639</v>
      </c>
      <c r="J130" s="514">
        <f t="shared" si="22"/>
        <v>0</v>
      </c>
      <c r="K130" s="514"/>
      <c r="L130" s="525"/>
      <c r="M130" s="514">
        <f t="shared" si="24"/>
        <v>0</v>
      </c>
      <c r="N130" s="525"/>
      <c r="O130" s="514">
        <f t="shared" si="26"/>
        <v>0</v>
      </c>
      <c r="P130" s="514">
        <f t="shared" si="27"/>
        <v>0</v>
      </c>
      <c r="Q130" s="269"/>
    </row>
    <row r="131" spans="2:17" ht="12.5">
      <c r="B131" s="195" t="str">
        <f t="shared" si="28"/>
        <v/>
      </c>
      <c r="C131" s="507">
        <f>IF(D93="","-",+C130+1)</f>
        <v>2043</v>
      </c>
      <c r="D131" s="374">
        <f>IF(F130+SUM(E$99:E130)=D$92,F130,D$92-SUM(E$99:E130))</f>
        <v>62561.153654484973</v>
      </c>
      <c r="E131" s="522">
        <f>IF(+J96&lt;F130,J96,D131)</f>
        <v>5931.9285714285716</v>
      </c>
      <c r="F131" s="523">
        <f t="shared" si="31"/>
        <v>56629.225083056401</v>
      </c>
      <c r="G131" s="523">
        <f t="shared" ref="G131:G154" si="35">+(F131+D131)/2</f>
        <v>59595.189368770691</v>
      </c>
      <c r="H131" s="526">
        <f t="shared" ref="H131:H154" si="36">+J$94*G131+E131</f>
        <v>12342.811490434444</v>
      </c>
      <c r="I131" s="577">
        <f t="shared" ref="I131:I154" si="37">+J$95*G131+E131</f>
        <v>12342.811490434444</v>
      </c>
      <c r="J131" s="514">
        <f t="shared" ref="J131:J154" si="38">+I131-H131</f>
        <v>0</v>
      </c>
      <c r="K131" s="514"/>
      <c r="L131" s="525"/>
      <c r="M131" s="514">
        <f t="shared" ref="M131:M154" si="39">IF(L131&lt;&gt;0,+H131-L131,0)</f>
        <v>0</v>
      </c>
      <c r="N131" s="525"/>
      <c r="O131" s="514">
        <f t="shared" ref="O131:O154" si="40">IF(N131&lt;&gt;0,+I131-N131,0)</f>
        <v>0</v>
      </c>
      <c r="P131" s="514">
        <f t="shared" ref="P131:P154" si="41">+O131-M131</f>
        <v>0</v>
      </c>
      <c r="Q131" s="269"/>
    </row>
    <row r="132" spans="2:17" ht="12.5">
      <c r="B132" s="195" t="str">
        <f t="shared" ref="B132:B154" si="42">IF(D132=F131,"","IU")</f>
        <v/>
      </c>
      <c r="C132" s="507">
        <f>IF(D93="","-",+C131+1)</f>
        <v>2044</v>
      </c>
      <c r="D132" s="374">
        <f>IF(F131+SUM(E$99:E131)=D$92,F131,D$92-SUM(E$99:E131))</f>
        <v>56629.225083056401</v>
      </c>
      <c r="E132" s="522">
        <f>IF(+J96&lt;F131,J96,D132)</f>
        <v>5931.9285714285716</v>
      </c>
      <c r="F132" s="523">
        <f t="shared" ref="F132:F154" si="43">+D132-E132</f>
        <v>50697.296511627828</v>
      </c>
      <c r="G132" s="523">
        <f t="shared" si="35"/>
        <v>53663.260797342111</v>
      </c>
      <c r="H132" s="526">
        <f t="shared" si="36"/>
        <v>11704.691199885248</v>
      </c>
      <c r="I132" s="577">
        <f t="shared" si="37"/>
        <v>11704.691199885248</v>
      </c>
      <c r="J132" s="514">
        <f t="shared" si="38"/>
        <v>0</v>
      </c>
      <c r="K132" s="514"/>
      <c r="L132" s="525"/>
      <c r="M132" s="514">
        <f t="shared" si="39"/>
        <v>0</v>
      </c>
      <c r="N132" s="525"/>
      <c r="O132" s="514">
        <f t="shared" si="40"/>
        <v>0</v>
      </c>
      <c r="P132" s="514">
        <f t="shared" si="41"/>
        <v>0</v>
      </c>
      <c r="Q132" s="269"/>
    </row>
    <row r="133" spans="2:17" ht="12.5">
      <c r="B133" s="195" t="str">
        <f t="shared" si="42"/>
        <v/>
      </c>
      <c r="C133" s="507">
        <f>IF(D93="","-",+C132+1)</f>
        <v>2045</v>
      </c>
      <c r="D133" s="374">
        <f>IF(F132+SUM(E$99:E132)=D$92,F132,D$92-SUM(E$99:E132))</f>
        <v>50697.296511627828</v>
      </c>
      <c r="E133" s="522">
        <f>IF(+J96&lt;F132,J96,D133)</f>
        <v>5931.9285714285716</v>
      </c>
      <c r="F133" s="523">
        <f t="shared" si="43"/>
        <v>44765.367940199256</v>
      </c>
      <c r="G133" s="523">
        <f t="shared" si="35"/>
        <v>47731.332225913546</v>
      </c>
      <c r="H133" s="526">
        <f t="shared" si="36"/>
        <v>11066.570909336051</v>
      </c>
      <c r="I133" s="577">
        <f t="shared" si="37"/>
        <v>11066.570909336051</v>
      </c>
      <c r="J133" s="514">
        <f t="shared" si="38"/>
        <v>0</v>
      </c>
      <c r="K133" s="514"/>
      <c r="L133" s="525"/>
      <c r="M133" s="514">
        <f t="shared" si="39"/>
        <v>0</v>
      </c>
      <c r="N133" s="525"/>
      <c r="O133" s="514">
        <f t="shared" si="40"/>
        <v>0</v>
      </c>
      <c r="P133" s="514">
        <f t="shared" si="41"/>
        <v>0</v>
      </c>
      <c r="Q133" s="269"/>
    </row>
    <row r="134" spans="2:17" ht="12.5">
      <c r="B134" s="195" t="str">
        <f t="shared" si="42"/>
        <v/>
      </c>
      <c r="C134" s="507">
        <f>IF(D93="","-",+C133+1)</f>
        <v>2046</v>
      </c>
      <c r="D134" s="374">
        <f>IF(F133+SUM(E$99:E133)=D$92,F133,D$92-SUM(E$99:E133))</f>
        <v>44765.367940199256</v>
      </c>
      <c r="E134" s="522">
        <f>IF(+J96&lt;F133,J96,D134)</f>
        <v>5931.9285714285716</v>
      </c>
      <c r="F134" s="523">
        <f t="shared" si="43"/>
        <v>38833.439368770683</v>
      </c>
      <c r="G134" s="523">
        <f t="shared" si="35"/>
        <v>41799.403654484966</v>
      </c>
      <c r="H134" s="526">
        <f t="shared" si="36"/>
        <v>10428.450618786854</v>
      </c>
      <c r="I134" s="577">
        <f t="shared" si="37"/>
        <v>10428.450618786854</v>
      </c>
      <c r="J134" s="514">
        <f t="shared" si="38"/>
        <v>0</v>
      </c>
      <c r="K134" s="514"/>
      <c r="L134" s="525"/>
      <c r="M134" s="514">
        <f t="shared" si="39"/>
        <v>0</v>
      </c>
      <c r="N134" s="525"/>
      <c r="O134" s="514">
        <f t="shared" si="40"/>
        <v>0</v>
      </c>
      <c r="P134" s="514">
        <f t="shared" si="41"/>
        <v>0</v>
      </c>
      <c r="Q134" s="269"/>
    </row>
    <row r="135" spans="2:17" ht="12.5">
      <c r="B135" s="195" t="str">
        <f t="shared" si="42"/>
        <v/>
      </c>
      <c r="C135" s="507">
        <f>IF(D93="","-",+C134+1)</f>
        <v>2047</v>
      </c>
      <c r="D135" s="374">
        <f>IF(F134+SUM(E$99:E134)=D$92,F134,D$92-SUM(E$99:E134))</f>
        <v>38833.439368770683</v>
      </c>
      <c r="E135" s="522">
        <f>IF(+J96&lt;F134,J96,D135)</f>
        <v>5931.9285714285716</v>
      </c>
      <c r="F135" s="523">
        <f t="shared" si="43"/>
        <v>32901.510797342111</v>
      </c>
      <c r="G135" s="523">
        <f t="shared" si="35"/>
        <v>35867.475083056401</v>
      </c>
      <c r="H135" s="526">
        <f t="shared" si="36"/>
        <v>9790.3303282376583</v>
      </c>
      <c r="I135" s="577">
        <f t="shared" si="37"/>
        <v>9790.3303282376583</v>
      </c>
      <c r="J135" s="514">
        <f t="shared" si="38"/>
        <v>0</v>
      </c>
      <c r="K135" s="514"/>
      <c r="L135" s="525"/>
      <c r="M135" s="514">
        <f t="shared" si="39"/>
        <v>0</v>
      </c>
      <c r="N135" s="525"/>
      <c r="O135" s="514">
        <f t="shared" si="40"/>
        <v>0</v>
      </c>
      <c r="P135" s="514">
        <f t="shared" si="41"/>
        <v>0</v>
      </c>
      <c r="Q135" s="269"/>
    </row>
    <row r="136" spans="2:17" ht="12.5">
      <c r="B136" s="195" t="str">
        <f t="shared" si="42"/>
        <v/>
      </c>
      <c r="C136" s="507">
        <f>IF(D93="","-",+C135+1)</f>
        <v>2048</v>
      </c>
      <c r="D136" s="374">
        <f>IF(F135+SUM(E$99:E135)=D$92,F135,D$92-SUM(E$99:E135))</f>
        <v>32901.510797342111</v>
      </c>
      <c r="E136" s="522">
        <f>IF(+J96&lt;F135,J96,D136)</f>
        <v>5931.9285714285716</v>
      </c>
      <c r="F136" s="523">
        <f t="shared" si="43"/>
        <v>26969.582225913538</v>
      </c>
      <c r="G136" s="523">
        <f t="shared" si="35"/>
        <v>29935.546511627825</v>
      </c>
      <c r="H136" s="526">
        <f t="shared" si="36"/>
        <v>9152.2100376884609</v>
      </c>
      <c r="I136" s="577">
        <f t="shared" si="37"/>
        <v>9152.2100376884609</v>
      </c>
      <c r="J136" s="514">
        <f t="shared" si="38"/>
        <v>0</v>
      </c>
      <c r="K136" s="514"/>
      <c r="L136" s="525"/>
      <c r="M136" s="514">
        <f t="shared" si="39"/>
        <v>0</v>
      </c>
      <c r="N136" s="525"/>
      <c r="O136" s="514">
        <f t="shared" si="40"/>
        <v>0</v>
      </c>
      <c r="P136" s="514">
        <f t="shared" si="41"/>
        <v>0</v>
      </c>
      <c r="Q136" s="269"/>
    </row>
    <row r="137" spans="2:17" ht="12.5">
      <c r="B137" s="195" t="str">
        <f t="shared" si="42"/>
        <v/>
      </c>
      <c r="C137" s="507">
        <f>IF(D93="","-",+C136+1)</f>
        <v>2049</v>
      </c>
      <c r="D137" s="374">
        <f>IF(F136+SUM(E$99:E136)=D$92,F136,D$92-SUM(E$99:E136))</f>
        <v>26969.582225913538</v>
      </c>
      <c r="E137" s="522">
        <f>IF(+J96&lt;F136,J96,D137)</f>
        <v>5931.9285714285716</v>
      </c>
      <c r="F137" s="523">
        <f t="shared" si="43"/>
        <v>21037.653654484966</v>
      </c>
      <c r="G137" s="523">
        <f t="shared" si="35"/>
        <v>24003.617940199252</v>
      </c>
      <c r="H137" s="526">
        <f t="shared" si="36"/>
        <v>8514.0897471392636</v>
      </c>
      <c r="I137" s="577">
        <f t="shared" si="37"/>
        <v>8514.0897471392636</v>
      </c>
      <c r="J137" s="514">
        <f t="shared" si="38"/>
        <v>0</v>
      </c>
      <c r="K137" s="514"/>
      <c r="L137" s="525"/>
      <c r="M137" s="514">
        <f t="shared" si="39"/>
        <v>0</v>
      </c>
      <c r="N137" s="525"/>
      <c r="O137" s="514">
        <f t="shared" si="40"/>
        <v>0</v>
      </c>
      <c r="P137" s="514">
        <f t="shared" si="41"/>
        <v>0</v>
      </c>
      <c r="Q137" s="269"/>
    </row>
    <row r="138" spans="2:17" ht="12.5">
      <c r="B138" s="195" t="str">
        <f t="shared" si="42"/>
        <v/>
      </c>
      <c r="C138" s="507">
        <f>IF(D93="","-",+C137+1)</f>
        <v>2050</v>
      </c>
      <c r="D138" s="374">
        <f>IF(F137+SUM(E$99:E137)=D$92,F137,D$92-SUM(E$99:E137))</f>
        <v>21037.653654484966</v>
      </c>
      <c r="E138" s="522">
        <f>IF(+J96&lt;F137,J96,D138)</f>
        <v>5931.9285714285716</v>
      </c>
      <c r="F138" s="523">
        <f t="shared" si="43"/>
        <v>15105.725083056393</v>
      </c>
      <c r="G138" s="523">
        <f t="shared" si="35"/>
        <v>18071.68936877068</v>
      </c>
      <c r="H138" s="526">
        <f t="shared" si="36"/>
        <v>7875.9694565900681</v>
      </c>
      <c r="I138" s="577">
        <f t="shared" si="37"/>
        <v>7875.9694565900681</v>
      </c>
      <c r="J138" s="514">
        <f t="shared" si="38"/>
        <v>0</v>
      </c>
      <c r="K138" s="514"/>
      <c r="L138" s="525"/>
      <c r="M138" s="514">
        <f t="shared" si="39"/>
        <v>0</v>
      </c>
      <c r="N138" s="525"/>
      <c r="O138" s="514">
        <f t="shared" si="40"/>
        <v>0</v>
      </c>
      <c r="P138" s="514">
        <f t="shared" si="41"/>
        <v>0</v>
      </c>
      <c r="Q138" s="269"/>
    </row>
    <row r="139" spans="2:17" ht="12.5">
      <c r="B139" s="195" t="str">
        <f t="shared" si="42"/>
        <v/>
      </c>
      <c r="C139" s="507">
        <f>IF(D93="","-",+C138+1)</f>
        <v>2051</v>
      </c>
      <c r="D139" s="374">
        <f>IF(F138+SUM(E$99:E138)=D$92,F138,D$92-SUM(E$99:E138))</f>
        <v>15105.725083056393</v>
      </c>
      <c r="E139" s="522">
        <f>IF(+J96&lt;F138,J96,D139)</f>
        <v>5931.9285714285716</v>
      </c>
      <c r="F139" s="523">
        <f t="shared" si="43"/>
        <v>9173.796511627821</v>
      </c>
      <c r="G139" s="523">
        <f t="shared" si="35"/>
        <v>12139.760797342107</v>
      </c>
      <c r="H139" s="526">
        <f t="shared" si="36"/>
        <v>7237.8491660408718</v>
      </c>
      <c r="I139" s="577">
        <f t="shared" si="37"/>
        <v>7237.8491660408718</v>
      </c>
      <c r="J139" s="514">
        <f t="shared" si="38"/>
        <v>0</v>
      </c>
      <c r="K139" s="514"/>
      <c r="L139" s="525"/>
      <c r="M139" s="514">
        <f t="shared" si="39"/>
        <v>0</v>
      </c>
      <c r="N139" s="525"/>
      <c r="O139" s="514">
        <f t="shared" si="40"/>
        <v>0</v>
      </c>
      <c r="P139" s="514">
        <f t="shared" si="41"/>
        <v>0</v>
      </c>
      <c r="Q139" s="269"/>
    </row>
    <row r="140" spans="2:17" ht="12.5">
      <c r="B140" s="195" t="str">
        <f t="shared" si="42"/>
        <v/>
      </c>
      <c r="C140" s="507">
        <f>IF(D93="","-",+C139+1)</f>
        <v>2052</v>
      </c>
      <c r="D140" s="374">
        <f>IF(F139+SUM(E$99:E139)=D$92,F139,D$92-SUM(E$99:E139))</f>
        <v>9173.796511627821</v>
      </c>
      <c r="E140" s="522">
        <f>IF(+J96&lt;F139,J96,D140)</f>
        <v>5931.9285714285716</v>
      </c>
      <c r="F140" s="523">
        <f t="shared" si="43"/>
        <v>3241.8679401992495</v>
      </c>
      <c r="G140" s="523">
        <f t="shared" si="35"/>
        <v>6207.8322259135348</v>
      </c>
      <c r="H140" s="526">
        <f t="shared" si="36"/>
        <v>6599.7288754916754</v>
      </c>
      <c r="I140" s="577">
        <f t="shared" si="37"/>
        <v>6599.7288754916754</v>
      </c>
      <c r="J140" s="514">
        <f t="shared" si="38"/>
        <v>0</v>
      </c>
      <c r="K140" s="514"/>
      <c r="L140" s="525"/>
      <c r="M140" s="514">
        <f t="shared" si="39"/>
        <v>0</v>
      </c>
      <c r="N140" s="525"/>
      <c r="O140" s="514">
        <f t="shared" si="40"/>
        <v>0</v>
      </c>
      <c r="P140" s="514">
        <f t="shared" si="41"/>
        <v>0</v>
      </c>
      <c r="Q140" s="269"/>
    </row>
    <row r="141" spans="2:17" ht="12.5">
      <c r="B141" s="195" t="str">
        <f t="shared" si="42"/>
        <v/>
      </c>
      <c r="C141" s="507">
        <f>IF(D93="","-",+C140+1)</f>
        <v>2053</v>
      </c>
      <c r="D141" s="374">
        <f>IF(F140+SUM(E$99:E140)=D$92,F140,D$92-SUM(E$99:E140))</f>
        <v>3241.8679401992495</v>
      </c>
      <c r="E141" s="522">
        <f>IF(+J96&lt;F140,J96,D141)</f>
        <v>3241.8679401992495</v>
      </c>
      <c r="F141" s="523">
        <f t="shared" si="43"/>
        <v>0</v>
      </c>
      <c r="G141" s="523">
        <f t="shared" si="35"/>
        <v>1620.9339700996247</v>
      </c>
      <c r="H141" s="526">
        <f t="shared" si="36"/>
        <v>3416.238019593502</v>
      </c>
      <c r="I141" s="577">
        <f t="shared" si="37"/>
        <v>3416.238019593502</v>
      </c>
      <c r="J141" s="514">
        <f t="shared" si="38"/>
        <v>0</v>
      </c>
      <c r="K141" s="514"/>
      <c r="L141" s="525"/>
      <c r="M141" s="514">
        <f t="shared" si="39"/>
        <v>0</v>
      </c>
      <c r="N141" s="525"/>
      <c r="O141" s="514">
        <f t="shared" si="40"/>
        <v>0</v>
      </c>
      <c r="P141" s="514">
        <f t="shared" si="41"/>
        <v>0</v>
      </c>
      <c r="Q141" s="269"/>
    </row>
    <row r="142" spans="2:17" ht="12.5">
      <c r="B142" s="195" t="str">
        <f t="shared" si="42"/>
        <v/>
      </c>
      <c r="C142" s="507">
        <f>IF(D93="","-",+C141+1)</f>
        <v>2054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3"/>
        <v>0</v>
      </c>
      <c r="G142" s="523">
        <f t="shared" si="35"/>
        <v>0</v>
      </c>
      <c r="H142" s="526">
        <f t="shared" si="36"/>
        <v>0</v>
      </c>
      <c r="I142" s="577">
        <f t="shared" si="37"/>
        <v>0</v>
      </c>
      <c r="J142" s="514">
        <f t="shared" si="38"/>
        <v>0</v>
      </c>
      <c r="K142" s="514"/>
      <c r="L142" s="525"/>
      <c r="M142" s="514">
        <f t="shared" si="39"/>
        <v>0</v>
      </c>
      <c r="N142" s="525"/>
      <c r="O142" s="514">
        <f t="shared" si="40"/>
        <v>0</v>
      </c>
      <c r="P142" s="514">
        <f t="shared" si="41"/>
        <v>0</v>
      </c>
      <c r="Q142" s="269"/>
    </row>
    <row r="143" spans="2:17" ht="12.5">
      <c r="B143" s="195" t="str">
        <f t="shared" si="42"/>
        <v/>
      </c>
      <c r="C143" s="507">
        <f>IF(D93="","-",+C142+1)</f>
        <v>2055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3"/>
        <v>0</v>
      </c>
      <c r="G143" s="523">
        <f t="shared" si="35"/>
        <v>0</v>
      </c>
      <c r="H143" s="526">
        <f t="shared" si="36"/>
        <v>0</v>
      </c>
      <c r="I143" s="577">
        <f t="shared" si="37"/>
        <v>0</v>
      </c>
      <c r="J143" s="514">
        <f t="shared" si="38"/>
        <v>0</v>
      </c>
      <c r="K143" s="514"/>
      <c r="L143" s="525"/>
      <c r="M143" s="514">
        <f t="shared" si="39"/>
        <v>0</v>
      </c>
      <c r="N143" s="525"/>
      <c r="O143" s="514">
        <f t="shared" si="40"/>
        <v>0</v>
      </c>
      <c r="P143" s="514">
        <f t="shared" si="41"/>
        <v>0</v>
      </c>
      <c r="Q143" s="269"/>
    </row>
    <row r="144" spans="2:17" ht="12.5">
      <c r="B144" s="195" t="str">
        <f t="shared" si="42"/>
        <v/>
      </c>
      <c r="C144" s="507">
        <f>IF(D93="","-",+C143+1)</f>
        <v>2056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3"/>
        <v>0</v>
      </c>
      <c r="G144" s="523">
        <f t="shared" si="35"/>
        <v>0</v>
      </c>
      <c r="H144" s="526">
        <f t="shared" si="36"/>
        <v>0</v>
      </c>
      <c r="I144" s="577">
        <f t="shared" si="37"/>
        <v>0</v>
      </c>
      <c r="J144" s="514">
        <f t="shared" si="38"/>
        <v>0</v>
      </c>
      <c r="K144" s="514"/>
      <c r="L144" s="525"/>
      <c r="M144" s="514">
        <f t="shared" si="39"/>
        <v>0</v>
      </c>
      <c r="N144" s="525"/>
      <c r="O144" s="514">
        <f t="shared" si="40"/>
        <v>0</v>
      </c>
      <c r="P144" s="514">
        <f t="shared" si="41"/>
        <v>0</v>
      </c>
      <c r="Q144" s="269"/>
    </row>
    <row r="145" spans="2:17" ht="12.5">
      <c r="B145" s="195" t="str">
        <f t="shared" si="42"/>
        <v/>
      </c>
      <c r="C145" s="507">
        <f>IF(D93="","-",+C144+1)</f>
        <v>2057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3"/>
        <v>0</v>
      </c>
      <c r="G145" s="523">
        <f t="shared" si="35"/>
        <v>0</v>
      </c>
      <c r="H145" s="526">
        <f t="shared" si="36"/>
        <v>0</v>
      </c>
      <c r="I145" s="577">
        <f t="shared" si="37"/>
        <v>0</v>
      </c>
      <c r="J145" s="514">
        <f t="shared" si="38"/>
        <v>0</v>
      </c>
      <c r="K145" s="514"/>
      <c r="L145" s="525"/>
      <c r="M145" s="514">
        <f t="shared" si="39"/>
        <v>0</v>
      </c>
      <c r="N145" s="525"/>
      <c r="O145" s="514">
        <f t="shared" si="40"/>
        <v>0</v>
      </c>
      <c r="P145" s="514">
        <f t="shared" si="41"/>
        <v>0</v>
      </c>
      <c r="Q145" s="269"/>
    </row>
    <row r="146" spans="2:17" ht="12.5">
      <c r="B146" s="195" t="str">
        <f t="shared" si="42"/>
        <v/>
      </c>
      <c r="C146" s="507">
        <f>IF(D93="","-",+C145+1)</f>
        <v>2058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3"/>
        <v>0</v>
      </c>
      <c r="G146" s="523">
        <f t="shared" si="35"/>
        <v>0</v>
      </c>
      <c r="H146" s="526">
        <f t="shared" si="36"/>
        <v>0</v>
      </c>
      <c r="I146" s="577">
        <f t="shared" si="37"/>
        <v>0</v>
      </c>
      <c r="J146" s="514">
        <f t="shared" si="38"/>
        <v>0</v>
      </c>
      <c r="K146" s="514"/>
      <c r="L146" s="525"/>
      <c r="M146" s="514">
        <f t="shared" si="39"/>
        <v>0</v>
      </c>
      <c r="N146" s="525"/>
      <c r="O146" s="514">
        <f t="shared" si="40"/>
        <v>0</v>
      </c>
      <c r="P146" s="514">
        <f t="shared" si="41"/>
        <v>0</v>
      </c>
      <c r="Q146" s="269"/>
    </row>
    <row r="147" spans="2:17" ht="12.5">
      <c r="B147" s="195" t="str">
        <f t="shared" si="42"/>
        <v/>
      </c>
      <c r="C147" s="507">
        <f>IF(D93="","-",+C146+1)</f>
        <v>2059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3"/>
        <v>0</v>
      </c>
      <c r="G147" s="523">
        <f t="shared" si="35"/>
        <v>0</v>
      </c>
      <c r="H147" s="526">
        <f t="shared" si="36"/>
        <v>0</v>
      </c>
      <c r="I147" s="577">
        <f t="shared" si="37"/>
        <v>0</v>
      </c>
      <c r="J147" s="514">
        <f t="shared" si="38"/>
        <v>0</v>
      </c>
      <c r="K147" s="514"/>
      <c r="L147" s="525"/>
      <c r="M147" s="514">
        <f t="shared" si="39"/>
        <v>0</v>
      </c>
      <c r="N147" s="525"/>
      <c r="O147" s="514">
        <f t="shared" si="40"/>
        <v>0</v>
      </c>
      <c r="P147" s="514">
        <f t="shared" si="41"/>
        <v>0</v>
      </c>
      <c r="Q147" s="269"/>
    </row>
    <row r="148" spans="2:17" ht="12.5">
      <c r="B148" s="195" t="str">
        <f t="shared" si="42"/>
        <v/>
      </c>
      <c r="C148" s="507">
        <f>IF(D93="","-",+C147+1)</f>
        <v>2060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3"/>
        <v>0</v>
      </c>
      <c r="G148" s="523">
        <f t="shared" si="35"/>
        <v>0</v>
      </c>
      <c r="H148" s="526">
        <f t="shared" si="36"/>
        <v>0</v>
      </c>
      <c r="I148" s="577">
        <f t="shared" si="37"/>
        <v>0</v>
      </c>
      <c r="J148" s="514">
        <f t="shared" si="38"/>
        <v>0</v>
      </c>
      <c r="K148" s="514"/>
      <c r="L148" s="525"/>
      <c r="M148" s="514">
        <f t="shared" si="39"/>
        <v>0</v>
      </c>
      <c r="N148" s="525"/>
      <c r="O148" s="514">
        <f t="shared" si="40"/>
        <v>0</v>
      </c>
      <c r="P148" s="514">
        <f t="shared" si="41"/>
        <v>0</v>
      </c>
      <c r="Q148" s="269"/>
    </row>
    <row r="149" spans="2:17" ht="12.5">
      <c r="B149" s="195" t="str">
        <f t="shared" si="42"/>
        <v/>
      </c>
      <c r="C149" s="507">
        <f>IF(D93="","-",+C148+1)</f>
        <v>2061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3"/>
        <v>0</v>
      </c>
      <c r="G149" s="523">
        <f t="shared" si="35"/>
        <v>0</v>
      </c>
      <c r="H149" s="526">
        <f t="shared" si="36"/>
        <v>0</v>
      </c>
      <c r="I149" s="577">
        <f t="shared" si="37"/>
        <v>0</v>
      </c>
      <c r="J149" s="514">
        <f t="shared" si="38"/>
        <v>0</v>
      </c>
      <c r="K149" s="514"/>
      <c r="L149" s="525"/>
      <c r="M149" s="514">
        <f t="shared" si="39"/>
        <v>0</v>
      </c>
      <c r="N149" s="525"/>
      <c r="O149" s="514">
        <f t="shared" si="40"/>
        <v>0</v>
      </c>
      <c r="P149" s="514">
        <f t="shared" si="41"/>
        <v>0</v>
      </c>
      <c r="Q149" s="269"/>
    </row>
    <row r="150" spans="2:17" ht="12.5">
      <c r="B150" s="195" t="str">
        <f t="shared" si="42"/>
        <v/>
      </c>
      <c r="C150" s="507">
        <f>IF(D93="","-",+C149+1)</f>
        <v>2062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3"/>
        <v>0</v>
      </c>
      <c r="G150" s="523">
        <f t="shared" si="35"/>
        <v>0</v>
      </c>
      <c r="H150" s="526">
        <f t="shared" si="36"/>
        <v>0</v>
      </c>
      <c r="I150" s="577">
        <f t="shared" si="37"/>
        <v>0</v>
      </c>
      <c r="J150" s="514">
        <f t="shared" si="38"/>
        <v>0</v>
      </c>
      <c r="K150" s="514"/>
      <c r="L150" s="525"/>
      <c r="M150" s="514">
        <f t="shared" si="39"/>
        <v>0</v>
      </c>
      <c r="N150" s="525"/>
      <c r="O150" s="514">
        <f t="shared" si="40"/>
        <v>0</v>
      </c>
      <c r="P150" s="514">
        <f t="shared" si="41"/>
        <v>0</v>
      </c>
      <c r="Q150" s="269"/>
    </row>
    <row r="151" spans="2:17" ht="12.5">
      <c r="B151" s="195" t="str">
        <f t="shared" si="42"/>
        <v/>
      </c>
      <c r="C151" s="507">
        <f>IF(D93="","-",+C150+1)</f>
        <v>2063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3"/>
        <v>0</v>
      </c>
      <c r="G151" s="523">
        <f t="shared" si="35"/>
        <v>0</v>
      </c>
      <c r="H151" s="526">
        <f t="shared" si="36"/>
        <v>0</v>
      </c>
      <c r="I151" s="577">
        <f t="shared" si="37"/>
        <v>0</v>
      </c>
      <c r="J151" s="514">
        <f t="shared" si="38"/>
        <v>0</v>
      </c>
      <c r="K151" s="514"/>
      <c r="L151" s="525"/>
      <c r="M151" s="514">
        <f t="shared" si="39"/>
        <v>0</v>
      </c>
      <c r="N151" s="525"/>
      <c r="O151" s="514">
        <f t="shared" si="40"/>
        <v>0</v>
      </c>
      <c r="P151" s="514">
        <f t="shared" si="41"/>
        <v>0</v>
      </c>
      <c r="Q151" s="269"/>
    </row>
    <row r="152" spans="2:17" ht="12.5">
      <c r="B152" s="195" t="str">
        <f t="shared" si="42"/>
        <v/>
      </c>
      <c r="C152" s="507">
        <f>IF(D93="","-",+C151+1)</f>
        <v>2064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3"/>
        <v>0</v>
      </c>
      <c r="G152" s="523">
        <f t="shared" si="35"/>
        <v>0</v>
      </c>
      <c r="H152" s="526">
        <f t="shared" si="36"/>
        <v>0</v>
      </c>
      <c r="I152" s="577">
        <f t="shared" si="37"/>
        <v>0</v>
      </c>
      <c r="J152" s="514">
        <f t="shared" si="38"/>
        <v>0</v>
      </c>
      <c r="K152" s="514"/>
      <c r="L152" s="525"/>
      <c r="M152" s="514">
        <f t="shared" si="39"/>
        <v>0</v>
      </c>
      <c r="N152" s="525"/>
      <c r="O152" s="514">
        <f t="shared" si="40"/>
        <v>0</v>
      </c>
      <c r="P152" s="514">
        <f t="shared" si="41"/>
        <v>0</v>
      </c>
      <c r="Q152" s="269"/>
    </row>
    <row r="153" spans="2:17" ht="12.5">
      <c r="B153" s="195" t="str">
        <f t="shared" si="42"/>
        <v/>
      </c>
      <c r="C153" s="507">
        <f>IF(D93="","-",+C152+1)</f>
        <v>2065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3"/>
        <v>0</v>
      </c>
      <c r="G153" s="523">
        <f t="shared" si="35"/>
        <v>0</v>
      </c>
      <c r="H153" s="526">
        <f t="shared" si="36"/>
        <v>0</v>
      </c>
      <c r="I153" s="577">
        <f t="shared" si="37"/>
        <v>0</v>
      </c>
      <c r="J153" s="514">
        <f t="shared" si="38"/>
        <v>0</v>
      </c>
      <c r="K153" s="514"/>
      <c r="L153" s="525"/>
      <c r="M153" s="514">
        <f t="shared" si="39"/>
        <v>0</v>
      </c>
      <c r="N153" s="525"/>
      <c r="O153" s="514">
        <f t="shared" si="40"/>
        <v>0</v>
      </c>
      <c r="P153" s="514">
        <f t="shared" si="41"/>
        <v>0</v>
      </c>
      <c r="Q153" s="269"/>
    </row>
    <row r="154" spans="2:17" ht="13" thickBot="1">
      <c r="B154" s="195" t="str">
        <f t="shared" si="42"/>
        <v/>
      </c>
      <c r="C154" s="527">
        <f>IF(D93="","-",+C153+1)</f>
        <v>2066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3"/>
        <v>0</v>
      </c>
      <c r="G154" s="528">
        <f t="shared" si="35"/>
        <v>0</v>
      </c>
      <c r="H154" s="530">
        <f t="shared" si="36"/>
        <v>0</v>
      </c>
      <c r="I154" s="579">
        <f t="shared" si="37"/>
        <v>0</v>
      </c>
      <c r="J154" s="533">
        <f t="shared" si="38"/>
        <v>0</v>
      </c>
      <c r="K154" s="514"/>
      <c r="L154" s="532"/>
      <c r="M154" s="533">
        <f t="shared" si="39"/>
        <v>0</v>
      </c>
      <c r="N154" s="532"/>
      <c r="O154" s="533">
        <f t="shared" si="40"/>
        <v>0</v>
      </c>
      <c r="P154" s="533">
        <f t="shared" si="41"/>
        <v>0</v>
      </c>
      <c r="Q154" s="269"/>
    </row>
    <row r="155" spans="2:17" ht="12.5">
      <c r="C155" s="374" t="s">
        <v>78</v>
      </c>
      <c r="D155" s="375"/>
      <c r="E155" s="375">
        <f>SUM(E99:E154)</f>
        <v>249141</v>
      </c>
      <c r="F155" s="375"/>
      <c r="G155" s="375"/>
      <c r="H155" s="375">
        <f>SUM(H99:H154)</f>
        <v>853208.12132570834</v>
      </c>
      <c r="I155" s="375">
        <f>SUM(I99:I154)</f>
        <v>853208.12132570834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9" priority="1" stopIfTrue="1" operator="equal">
      <formula>$I$10</formula>
    </cfRule>
  </conditionalFormatting>
  <conditionalFormatting sqref="C99:C154">
    <cfRule type="cellIs" dxfId="10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S137"/>
  <sheetViews>
    <sheetView zoomScale="70" zoomScaleNormal="70" zoomScaleSheetLayoutView="70" workbookViewId="0">
      <selection sqref="A1:K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0.7265625" style="183" customWidth="1"/>
    <col min="4" max="9" width="17.7265625" style="183" customWidth="1"/>
    <col min="10" max="10" width="17.7265625" style="183" bestFit="1" customWidth="1"/>
    <col min="11" max="11" width="2.1796875" style="183" customWidth="1"/>
    <col min="12" max="15" width="17.7265625" style="183" customWidth="1"/>
    <col min="16" max="16" width="19.54296875" style="183" customWidth="1"/>
    <col min="17" max="17" width="2.1796875" style="183" customWidth="1"/>
    <col min="18" max="18" width="16.453125" style="183" customWidth="1"/>
    <col min="19" max="19" width="52.453125" style="183" customWidth="1"/>
    <col min="20" max="16384" width="8.7265625" style="183"/>
  </cols>
  <sheetData>
    <row r="1" spans="1:19" ht="17.5">
      <c r="A1" s="677" t="str">
        <f>SWE.WS.F.BPU.ATRR.Projected!A1</f>
        <v xml:space="preserve">AEP West SPP Member Companies 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Q1" s="233"/>
      <c r="R1" s="233"/>
    </row>
    <row r="2" spans="1:19" ht="17.5">
      <c r="A2" s="677" t="str">
        <f>SWE.WS.F.BPU.ATRR.Projected!A2</f>
        <v>2020 Cost of Service Formula Rate Projected on 2020 FF1 Balances</v>
      </c>
      <c r="B2" s="683"/>
      <c r="C2" s="683"/>
      <c r="D2" s="683"/>
      <c r="E2" s="683"/>
      <c r="F2" s="683"/>
      <c r="G2" s="683"/>
      <c r="H2" s="683"/>
      <c r="I2" s="683"/>
      <c r="J2" s="683"/>
      <c r="K2" s="683"/>
      <c r="Q2" s="267" t="s">
        <v>111</v>
      </c>
      <c r="R2" s="233"/>
    </row>
    <row r="3" spans="1:19" ht="18">
      <c r="A3" s="680" t="s">
        <v>126</v>
      </c>
      <c r="B3" s="679"/>
      <c r="C3" s="679"/>
      <c r="D3" s="679"/>
      <c r="E3" s="679"/>
      <c r="F3" s="679"/>
      <c r="G3" s="679"/>
      <c r="H3" s="679"/>
      <c r="I3" s="679"/>
      <c r="J3" s="679"/>
      <c r="K3" s="679"/>
      <c r="Q3" s="233"/>
      <c r="R3" s="233"/>
    </row>
    <row r="4" spans="1:19" ht="17.5">
      <c r="A4" s="679" t="str">
        <f>"Based on a Carrying Charge Derived from ""Trued-Up"" "&amp;M16&amp;" Data"</f>
        <v>Based on a Carrying Charge Derived from "Trued-Up" 2020 Data</v>
      </c>
      <c r="B4" s="679"/>
      <c r="C4" s="679"/>
      <c r="D4" s="679"/>
      <c r="E4" s="679"/>
      <c r="F4" s="679"/>
      <c r="G4" s="679"/>
      <c r="H4" s="679"/>
      <c r="I4" s="679"/>
      <c r="J4" s="679"/>
      <c r="K4" s="679"/>
      <c r="Q4" s="233"/>
      <c r="R4" s="233"/>
    </row>
    <row r="5" spans="1:19" ht="18">
      <c r="A5" s="684" t="str">
        <f>SWE.WS.F.BPU.ATRR.Projected!A5</f>
        <v>SOUTHWESTERN ELECTRIC POWER COMPANY</v>
      </c>
      <c r="B5" s="685"/>
      <c r="C5" s="685"/>
      <c r="D5" s="685"/>
      <c r="E5" s="685"/>
      <c r="F5" s="685"/>
      <c r="G5" s="685"/>
      <c r="H5" s="685"/>
      <c r="I5" s="685"/>
      <c r="J5" s="685"/>
      <c r="K5" s="685"/>
      <c r="N5" s="249"/>
      <c r="Q5" s="233"/>
      <c r="R5" s="233"/>
    </row>
    <row r="6" spans="1:19" ht="20">
      <c r="A6" s="401"/>
      <c r="C6" s="332"/>
      <c r="D6" s="195"/>
      <c r="I6" s="247"/>
      <c r="K6" s="233"/>
      <c r="Q6" s="233"/>
      <c r="R6" s="233"/>
    </row>
    <row r="7" spans="1:19" ht="12.5">
      <c r="D7" s="195"/>
      <c r="I7" s="247"/>
      <c r="K7" s="233"/>
      <c r="Q7" s="233"/>
      <c r="R7" s="233"/>
    </row>
    <row r="8" spans="1:19" ht="17.5">
      <c r="B8" s="273" t="s">
        <v>0</v>
      </c>
      <c r="C8" s="674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75"/>
      <c r="E8" s="675"/>
      <c r="F8" s="675"/>
      <c r="G8" s="675"/>
      <c r="H8" s="675"/>
      <c r="I8" s="675"/>
      <c r="K8" s="233"/>
      <c r="Q8" s="233"/>
      <c r="R8" s="233"/>
    </row>
    <row r="9" spans="1:19" ht="15.75" customHeight="1">
      <c r="C9" s="402"/>
      <c r="D9" s="402"/>
      <c r="E9" s="402"/>
      <c r="F9" s="402"/>
      <c r="G9" s="402"/>
      <c r="H9" s="402"/>
      <c r="I9" s="402"/>
      <c r="K9" s="233"/>
      <c r="Q9" s="233"/>
      <c r="R9" s="233"/>
    </row>
    <row r="10" spans="1:19" ht="15.5">
      <c r="C10" s="274" t="str">
        <f>"A.   Determine 'R' with hypothetical "&amp;F13&amp;" basis point increase in ROE for Identified Projects"</f>
        <v>A.   Determine 'R' with hypothetical 0 basis point increase in ROE for Identified Projects</v>
      </c>
      <c r="D10" s="195"/>
      <c r="I10" s="247"/>
      <c r="K10" s="233"/>
      <c r="Q10" s="233"/>
      <c r="R10" s="233"/>
    </row>
    <row r="11" spans="1:19" ht="12.5">
      <c r="D11" s="195"/>
      <c r="I11" s="247"/>
      <c r="K11" s="233"/>
      <c r="Q11" s="233"/>
      <c r="R11" s="233"/>
    </row>
    <row r="12" spans="1:19" ht="12.5">
      <c r="C12" s="277" t="str">
        <f>S105</f>
        <v xml:space="preserve">   ROE w/o incentives  (True-Up TCOS, ln 135)</v>
      </c>
      <c r="D12" s="195"/>
      <c r="E12" s="278"/>
      <c r="F12" s="279">
        <f>+R105</f>
        <v>0.105</v>
      </c>
      <c r="G12" s="279"/>
      <c r="H12" s="280"/>
      <c r="I12" s="281"/>
      <c r="J12" s="282"/>
      <c r="K12" s="283"/>
      <c r="L12" s="282"/>
      <c r="M12" s="282"/>
      <c r="N12" s="282"/>
      <c r="O12" s="282"/>
      <c r="P12" s="282"/>
      <c r="Q12" s="283"/>
      <c r="R12" s="272"/>
      <c r="S12" s="269"/>
    </row>
    <row r="13" spans="1:19" ht="13" thickBot="1">
      <c r="C13" s="277" t="s">
        <v>1</v>
      </c>
      <c r="D13" s="195"/>
      <c r="E13" s="278"/>
      <c r="F13" s="403">
        <f>R106</f>
        <v>0</v>
      </c>
      <c r="G13" s="404" t="s">
        <v>155</v>
      </c>
      <c r="L13" s="282"/>
      <c r="M13" s="282"/>
      <c r="N13" s="282"/>
      <c r="O13" s="282"/>
      <c r="P13" s="282"/>
      <c r="Q13" s="283"/>
      <c r="R13" s="272"/>
      <c r="S13" s="269"/>
    </row>
    <row r="14" spans="1:19" ht="13">
      <c r="C14" s="277" t="str">
        <f>"   ROE with additional "&amp;F13&amp;" basis point incentive"</f>
        <v xml:space="preserve">   ROE with additional 0 basis point incentive</v>
      </c>
      <c r="D14" s="278"/>
      <c r="E14" s="278"/>
      <c r="F14" s="285">
        <f>IF((F12+(F13/10000)&gt;0.1245),"ERROR",F12+(F13/10000))</f>
        <v>0.105</v>
      </c>
      <c r="G14" s="286" t="s">
        <v>2</v>
      </c>
      <c r="I14" s="282"/>
      <c r="J14" s="282"/>
      <c r="K14" s="283"/>
      <c r="L14" s="405" t="s">
        <v>81</v>
      </c>
      <c r="M14" s="406"/>
      <c r="N14" s="406"/>
      <c r="O14" s="406"/>
      <c r="P14" s="407"/>
      <c r="Q14" s="283"/>
      <c r="R14" s="272"/>
      <c r="S14" s="269"/>
    </row>
    <row r="15" spans="1:19" ht="12.5">
      <c r="C15" s="277" t="s">
        <v>3</v>
      </c>
      <c r="D15" s="195"/>
      <c r="E15" s="278"/>
      <c r="F15" s="285"/>
      <c r="G15" s="285"/>
      <c r="H15" s="278"/>
      <c r="I15" s="282"/>
      <c r="J15" s="282"/>
      <c r="K15" s="283"/>
      <c r="L15" s="295"/>
      <c r="M15" s="283"/>
      <c r="N15" s="283" t="s">
        <v>9</v>
      </c>
      <c r="O15" s="283" t="s">
        <v>10</v>
      </c>
      <c r="P15" s="297" t="s">
        <v>11</v>
      </c>
      <c r="Q15" s="283"/>
      <c r="R15" s="272"/>
      <c r="S15" s="269"/>
    </row>
    <row r="16" spans="1:19" ht="12.5">
      <c r="C16" s="283"/>
      <c r="D16" s="287" t="s">
        <v>5</v>
      </c>
      <c r="E16" s="287" t="s">
        <v>6</v>
      </c>
      <c r="F16" s="288" t="s">
        <v>7</v>
      </c>
      <c r="G16" s="288"/>
      <c r="H16" s="278"/>
      <c r="I16" s="282"/>
      <c r="J16" s="282"/>
      <c r="K16" s="283"/>
      <c r="L16" s="295" t="s">
        <v>82</v>
      </c>
      <c r="M16" s="408">
        <f>+R104</f>
        <v>2020</v>
      </c>
      <c r="N16" s="233"/>
      <c r="O16" s="233"/>
      <c r="P16" s="302"/>
      <c r="Q16" s="283"/>
      <c r="R16" s="272"/>
      <c r="S16" s="269"/>
    </row>
    <row r="17" spans="3:19" ht="12.5">
      <c r="C17" s="289" t="s">
        <v>8</v>
      </c>
      <c r="D17" s="290">
        <f>R107</f>
        <v>0.50670946853051035</v>
      </c>
      <c r="E17" s="291">
        <f>R108</f>
        <v>4.1467141232114368E-2</v>
      </c>
      <c r="F17" s="409">
        <f>E17*D17</f>
        <v>2.1011793095204283E-2</v>
      </c>
      <c r="G17" s="409"/>
      <c r="H17" s="278"/>
      <c r="I17" s="282"/>
      <c r="J17" s="293"/>
      <c r="K17" s="294"/>
      <c r="L17" s="301"/>
      <c r="M17" s="410" t="s">
        <v>245</v>
      </c>
      <c r="N17" s="411">
        <f>SUM('S.001:S.xyz - blank'!M87)</f>
        <v>79416494.826505467</v>
      </c>
      <c r="O17" s="411">
        <f>SUM('S.001:S.xyz - blank'!N87)</f>
        <v>79416494.826505467</v>
      </c>
      <c r="P17" s="412">
        <f>+O17-N17</f>
        <v>0</v>
      </c>
      <c r="Q17" s="294"/>
      <c r="R17" s="272"/>
      <c r="S17" s="269"/>
    </row>
    <row r="18" spans="3:19" ht="13" thickBot="1">
      <c r="C18" s="289" t="s">
        <v>12</v>
      </c>
      <c r="D18" s="290">
        <f>R109</f>
        <v>0</v>
      </c>
      <c r="E18" s="291">
        <f>R110</f>
        <v>0</v>
      </c>
      <c r="F18" s="409">
        <f>E18*D18</f>
        <v>0</v>
      </c>
      <c r="G18" s="409"/>
      <c r="H18" s="298"/>
      <c r="I18" s="298"/>
      <c r="J18" s="299"/>
      <c r="K18" s="300"/>
      <c r="L18" s="301"/>
      <c r="M18" s="410" t="s">
        <v>246</v>
      </c>
      <c r="N18" s="413">
        <f>SUM('S.001:S.xyz - blank'!M88)</f>
        <v>83510906.370861635</v>
      </c>
      <c r="O18" s="413">
        <f>SUM('S.001:S.xyz - blank'!N88)</f>
        <v>83510906.370861635</v>
      </c>
      <c r="P18" s="308">
        <f>+O18-N18</f>
        <v>0</v>
      </c>
      <c r="Q18" s="300"/>
      <c r="R18" s="272"/>
      <c r="S18" s="269"/>
    </row>
    <row r="19" spans="3:19" ht="12.5">
      <c r="C19" s="303" t="s">
        <v>13</v>
      </c>
      <c r="D19" s="290">
        <f>R111</f>
        <v>0.4932905314694897</v>
      </c>
      <c r="E19" s="291">
        <f>+F14</f>
        <v>0.105</v>
      </c>
      <c r="F19" s="414">
        <f>E19*D19</f>
        <v>5.179550580429642E-2</v>
      </c>
      <c r="G19" s="414"/>
      <c r="H19" s="298"/>
      <c r="I19" s="298"/>
      <c r="J19" s="285"/>
      <c r="K19" s="300"/>
      <c r="L19" s="301"/>
      <c r="M19" s="410" t="str">
        <f>"True-up Adjustment For "&amp;M16&amp;""</f>
        <v>True-up Adjustment For 2020</v>
      </c>
      <c r="N19" s="415">
        <f>ROUND(N18-N17,0)</f>
        <v>4094412</v>
      </c>
      <c r="O19" s="415">
        <f>+O18-O17</f>
        <v>4094411.5443561673</v>
      </c>
      <c r="P19" s="416">
        <f>+P18-P17</f>
        <v>0</v>
      </c>
      <c r="Q19" s="300"/>
      <c r="R19" s="272"/>
      <c r="S19" s="269"/>
    </row>
    <row r="20" spans="3:19" ht="12.5">
      <c r="C20" s="277"/>
      <c r="D20" s="278"/>
      <c r="E20" s="309" t="s">
        <v>15</v>
      </c>
      <c r="F20" s="409">
        <f>SUM(F17:F19)</f>
        <v>7.2807298899500703E-2</v>
      </c>
      <c r="G20" s="409"/>
      <c r="H20" s="417"/>
      <c r="I20" s="298"/>
      <c r="J20" s="299"/>
      <c r="K20" s="300"/>
      <c r="L20" s="301"/>
      <c r="M20" s="233"/>
      <c r="N20" s="310" t="str">
        <f>IF(N19=ROUND(SUM('S.001:S.xyz - blank'!M89),0),"","ERROR")</f>
        <v/>
      </c>
      <c r="O20" s="310"/>
      <c r="P20" s="310" t="str">
        <f>IF(P19=SUM('S.001:S.xyz - blank'!O89),"","ERROR")</f>
        <v/>
      </c>
      <c r="Q20" s="300"/>
      <c r="R20" s="272"/>
      <c r="S20" s="269"/>
    </row>
    <row r="21" spans="3:19" ht="13" thickBot="1">
      <c r="D21" s="311"/>
      <c r="E21" s="311"/>
      <c r="F21" s="298"/>
      <c r="G21" s="298"/>
      <c r="H21" s="298"/>
      <c r="I21" s="298"/>
      <c r="J21" s="298"/>
      <c r="K21" s="312"/>
      <c r="L21" s="418"/>
      <c r="M21" s="419"/>
      <c r="N21" s="420"/>
      <c r="O21" s="420"/>
      <c r="P21" s="308"/>
      <c r="Q21" s="312"/>
      <c r="R21" s="272"/>
      <c r="S21" s="269"/>
    </row>
    <row r="22" spans="3:19" ht="15.5">
      <c r="C22" s="274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311"/>
      <c r="E22" s="311"/>
      <c r="F22" s="313"/>
      <c r="G22" s="313"/>
      <c r="H22" s="298"/>
      <c r="I22" s="278"/>
      <c r="J22" s="298"/>
      <c r="K22" s="312"/>
      <c r="L22" s="298"/>
      <c r="M22" s="298"/>
      <c r="N22" s="298"/>
      <c r="O22" s="298"/>
      <c r="P22" s="298"/>
      <c r="Q22" s="312"/>
      <c r="R22" s="272"/>
      <c r="S22" s="269"/>
    </row>
    <row r="23" spans="3:19" ht="13">
      <c r="C23" s="283"/>
      <c r="D23" s="311"/>
      <c r="E23" s="311"/>
      <c r="F23" s="312"/>
      <c r="G23" s="312"/>
      <c r="H23" s="312"/>
      <c r="I23" s="312"/>
      <c r="J23" s="312"/>
      <c r="K23" s="312"/>
      <c r="L23" s="212" t="s">
        <v>16</v>
      </c>
      <c r="M23" s="312"/>
      <c r="N23" s="312"/>
      <c r="O23" s="312"/>
      <c r="P23" s="312"/>
      <c r="Q23" s="312"/>
      <c r="R23" s="272"/>
      <c r="S23" s="269"/>
    </row>
    <row r="24" spans="3:19" ht="12.5">
      <c r="C24" s="277" t="str">
        <f>S112</f>
        <v xml:space="preserve">   Rate Base  (TCOS, ln 63)</v>
      </c>
      <c r="D24" s="278"/>
      <c r="E24" s="315">
        <f>R112</f>
        <v>1195614949.2845118</v>
      </c>
      <c r="F24" s="316"/>
      <c r="G24" s="316"/>
      <c r="H24" s="312"/>
      <c r="I24" s="312"/>
      <c r="J24" s="312"/>
      <c r="K24" s="312"/>
      <c r="L24" s="183" t="s">
        <v>17</v>
      </c>
      <c r="M24" s="312"/>
      <c r="N24" s="312"/>
      <c r="O24" s="312"/>
      <c r="P24" s="316"/>
      <c r="Q24" s="312"/>
      <c r="R24" s="272"/>
      <c r="S24" s="269"/>
    </row>
    <row r="25" spans="3:19" ht="12.5">
      <c r="C25" s="283" t="s">
        <v>18</v>
      </c>
      <c r="D25" s="280"/>
      <c r="E25" s="317">
        <f>F20</f>
        <v>7.2807298899500703E-2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272"/>
      <c r="S25" s="269"/>
    </row>
    <row r="26" spans="3:19" ht="12.5">
      <c r="C26" s="318" t="s">
        <v>19</v>
      </c>
      <c r="D26" s="318"/>
      <c r="E26" s="299">
        <f>E24*E25</f>
        <v>87049494.981268823</v>
      </c>
      <c r="F26" s="312"/>
      <c r="G26" s="312"/>
      <c r="H26" s="312"/>
      <c r="I26" s="312"/>
      <c r="J26" s="300"/>
      <c r="K26" s="300"/>
      <c r="L26" s="300"/>
      <c r="M26" s="300"/>
      <c r="N26" s="421"/>
      <c r="O26" s="300"/>
      <c r="P26" s="312"/>
      <c r="Q26" s="300"/>
      <c r="R26" s="272"/>
      <c r="S26" s="269"/>
    </row>
    <row r="27" spans="3:19" ht="12.5">
      <c r="C27" s="319"/>
      <c r="D27" s="282"/>
      <c r="E27" s="282"/>
      <c r="F27" s="312"/>
      <c r="G27" s="312"/>
      <c r="H27" s="312"/>
      <c r="I27" s="312"/>
      <c r="J27" s="300"/>
      <c r="K27" s="300"/>
      <c r="L27" s="300"/>
      <c r="M27" s="300"/>
      <c r="N27" s="310"/>
      <c r="O27" s="300"/>
      <c r="P27" s="312"/>
      <c r="Q27" s="300"/>
      <c r="R27" s="272"/>
      <c r="S27" s="269"/>
    </row>
    <row r="28" spans="3:19" ht="15.5">
      <c r="C28" s="274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320"/>
      <c r="E28" s="320"/>
      <c r="F28" s="321"/>
      <c r="G28" s="321"/>
      <c r="H28" s="321"/>
      <c r="I28" s="321"/>
      <c r="J28" s="322"/>
      <c r="K28" s="322"/>
      <c r="L28" s="322"/>
      <c r="M28" s="322"/>
      <c r="N28" s="422"/>
      <c r="O28" s="322"/>
      <c r="P28" s="321"/>
      <c r="Q28" s="322"/>
      <c r="R28" s="272"/>
      <c r="S28" s="269"/>
    </row>
    <row r="29" spans="3:19" ht="12.5">
      <c r="C29" s="277"/>
      <c r="D29" s="282"/>
      <c r="E29" s="282"/>
      <c r="F29" s="312"/>
      <c r="G29" s="312"/>
      <c r="H29" s="312"/>
      <c r="I29" s="312"/>
      <c r="J29" s="300"/>
      <c r="K29" s="300"/>
      <c r="L29" s="300"/>
      <c r="M29" s="300"/>
      <c r="N29" s="300"/>
      <c r="O29" s="300"/>
      <c r="P29" s="312"/>
      <c r="Q29" s="300"/>
      <c r="R29" s="272"/>
      <c r="S29" s="269"/>
    </row>
    <row r="30" spans="3:19" ht="12.5">
      <c r="C30" s="283" t="s">
        <v>20</v>
      </c>
      <c r="D30" s="309"/>
      <c r="E30" s="323">
        <f>E26</f>
        <v>87049494.981268823</v>
      </c>
      <c r="F30" s="312"/>
      <c r="G30" s="312"/>
      <c r="H30" s="312"/>
      <c r="I30" s="312"/>
      <c r="J30" s="312"/>
      <c r="K30" s="312"/>
      <c r="L30" s="312"/>
      <c r="M30" s="312"/>
      <c r="N30" s="423"/>
      <c r="O30" s="312"/>
      <c r="P30" s="312"/>
      <c r="Q30" s="312"/>
      <c r="R30" s="272"/>
      <c r="S30" s="269"/>
    </row>
    <row r="31" spans="3:19" ht="12.5">
      <c r="C31" s="277" t="str">
        <f>S113</f>
        <v xml:space="preserve">   Tax Rate  (TCOS, ln 99)</v>
      </c>
      <c r="D31" s="309"/>
      <c r="E31" s="324">
        <f>R113</f>
        <v>0.249421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272"/>
      <c r="S31" s="269"/>
    </row>
    <row r="32" spans="3:19" ht="12.5">
      <c r="C32" s="283" t="s">
        <v>21</v>
      </c>
      <c r="D32" s="270"/>
      <c r="E32" s="285">
        <f>IF(F17&gt;0,($E31/(1-$E31))*(1-$F17/$F20),0)</f>
        <v>0.23640342586882657</v>
      </c>
      <c r="F32" s="269"/>
      <c r="G32" s="269"/>
      <c r="H32" s="269"/>
      <c r="I32" s="271"/>
      <c r="J32" s="269"/>
      <c r="K32" s="272"/>
      <c r="L32" s="269"/>
      <c r="M32" s="269"/>
      <c r="N32" s="269"/>
      <c r="O32" s="269"/>
      <c r="P32" s="269"/>
      <c r="Q32" s="272"/>
      <c r="R32" s="272"/>
      <c r="S32" s="366"/>
    </row>
    <row r="33" spans="2:19" ht="12.5">
      <c r="C33" s="319" t="s">
        <v>22</v>
      </c>
      <c r="D33" s="270"/>
      <c r="E33" s="326">
        <f>E30*E32</f>
        <v>20578798.833723176</v>
      </c>
      <c r="F33" s="269"/>
      <c r="G33" s="269"/>
      <c r="H33" s="269"/>
      <c r="I33" s="271"/>
      <c r="J33" s="269"/>
      <c r="K33" s="272"/>
      <c r="L33" s="269"/>
      <c r="M33" s="269"/>
      <c r="N33" s="269"/>
      <c r="O33" s="269"/>
      <c r="P33" s="269"/>
      <c r="Q33" s="272"/>
      <c r="R33" s="272"/>
      <c r="S33" s="269"/>
    </row>
    <row r="34" spans="2:19" ht="15.5">
      <c r="C34" s="277" t="str">
        <f>S114</f>
        <v xml:space="preserve">   ITC Adjustment  (TCOS, ln 108)</v>
      </c>
      <c r="D34" s="327"/>
      <c r="E34" s="328">
        <f>R114</f>
        <v>-361613.38372186676</v>
      </c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9"/>
      <c r="Q34" s="327"/>
      <c r="R34" s="272"/>
      <c r="S34" s="269"/>
    </row>
    <row r="35" spans="2:19" ht="15.5">
      <c r="C35" s="334" t="str">
        <f>+S115</f>
        <v xml:space="preserve">   Excess DFIT Adjustment  (TCOS, ln 109)</v>
      </c>
      <c r="D35" s="327"/>
      <c r="E35" s="328">
        <f>R115</f>
        <v>-3813733.3178785983</v>
      </c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9"/>
      <c r="Q35" s="327"/>
      <c r="R35" s="272"/>
      <c r="S35" s="269"/>
    </row>
    <row r="36" spans="2:19" ht="15.5">
      <c r="C36" s="334" t="str">
        <f>+S116</f>
        <v xml:space="preserve">   Tax Effect of Permanent and Flow Through Differences (TCOS, ln 110)</v>
      </c>
      <c r="D36" s="327"/>
      <c r="E36" s="328">
        <f>R116</f>
        <v>334922.16009240871</v>
      </c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9"/>
      <c r="Q36" s="327"/>
      <c r="R36" s="272"/>
      <c r="S36" s="269"/>
    </row>
    <row r="37" spans="2:19" ht="15.5">
      <c r="C37" s="319" t="s">
        <v>23</v>
      </c>
      <c r="D37" s="327"/>
      <c r="E37" s="328">
        <f>E33+E34+E35+E36</f>
        <v>16738374.29221512</v>
      </c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30"/>
      <c r="Q37" s="327"/>
      <c r="R37" s="272"/>
      <c r="S37" s="269"/>
    </row>
    <row r="38" spans="2:19" ht="12.75" customHeight="1">
      <c r="C38" s="331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30"/>
      <c r="Q38" s="327"/>
      <c r="R38" s="272"/>
      <c r="S38" s="269"/>
    </row>
    <row r="39" spans="2:19" ht="18">
      <c r="B39" s="273" t="s">
        <v>24</v>
      </c>
      <c r="C39" s="33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30"/>
      <c r="Q39" s="327"/>
      <c r="R39" s="272"/>
      <c r="S39" s="269"/>
    </row>
    <row r="40" spans="2:19" ht="18.75" customHeight="1">
      <c r="B40" s="273"/>
      <c r="C40" s="332" t="str">
        <f>"ROE increase."</f>
        <v>ROE increase.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30"/>
      <c r="Q40" s="327"/>
      <c r="R40" s="272"/>
      <c r="S40" s="269"/>
    </row>
    <row r="41" spans="2:19" ht="12.75" customHeight="1">
      <c r="C41" s="331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30"/>
      <c r="Q41" s="327"/>
      <c r="R41" s="272"/>
      <c r="S41" s="269"/>
    </row>
    <row r="42" spans="2:19" ht="15.5">
      <c r="C42" s="274" t="s">
        <v>25</v>
      </c>
      <c r="D42" s="327"/>
      <c r="E42" s="327"/>
      <c r="F42" s="333"/>
      <c r="G42" s="333"/>
      <c r="H42" s="327"/>
      <c r="I42" s="327"/>
      <c r="J42" s="327"/>
      <c r="K42" s="327"/>
      <c r="L42" s="327"/>
      <c r="M42" s="327"/>
      <c r="N42" s="327"/>
      <c r="O42" s="327"/>
      <c r="P42" s="330"/>
      <c r="Q42" s="327"/>
      <c r="R42" s="272"/>
      <c r="S42" s="269"/>
    </row>
    <row r="43" spans="2:19" ht="12.5">
      <c r="B43" s="269"/>
      <c r="C43" s="33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28"/>
      <c r="Q43" s="335"/>
      <c r="R43" s="272"/>
      <c r="S43" s="269"/>
    </row>
    <row r="44" spans="2:19" ht="12.75" customHeight="1">
      <c r="B44" s="269"/>
      <c r="C44" s="277" t="str">
        <f>S117</f>
        <v xml:space="preserve">   Net Revenue Requirement  (TCOS, ln 117)</v>
      </c>
      <c r="D44" s="335"/>
      <c r="E44" s="335"/>
      <c r="F44" s="328">
        <f>R117</f>
        <v>205383227.66652349</v>
      </c>
      <c r="G44" s="328"/>
      <c r="H44" s="335"/>
      <c r="I44" s="335"/>
      <c r="J44" s="335"/>
      <c r="K44" s="335"/>
      <c r="L44" s="335"/>
      <c r="M44" s="335"/>
      <c r="N44" s="335"/>
      <c r="O44" s="335"/>
      <c r="P44" s="328"/>
      <c r="Q44" s="335"/>
      <c r="R44" s="272"/>
      <c r="S44" s="269"/>
    </row>
    <row r="45" spans="2:19" ht="12.5">
      <c r="B45" s="269"/>
      <c r="C45" s="277" t="str">
        <f>S118</f>
        <v xml:space="preserve">   Return  (TCOS, ln 112)</v>
      </c>
      <c r="D45" s="335"/>
      <c r="E45" s="335"/>
      <c r="F45" s="328">
        <f>R118</f>
        <v>87049494.981268823</v>
      </c>
      <c r="G45" s="336"/>
      <c r="H45" s="337"/>
      <c r="I45" s="337"/>
      <c r="J45" s="337"/>
      <c r="K45" s="337"/>
      <c r="L45" s="337"/>
      <c r="M45" s="337"/>
      <c r="N45" s="337"/>
      <c r="O45" s="337"/>
      <c r="P45" s="328"/>
      <c r="Q45" s="337"/>
      <c r="R45" s="272"/>
      <c r="S45" s="269"/>
    </row>
    <row r="46" spans="2:19" ht="12.5">
      <c r="B46" s="269"/>
      <c r="C46" s="277" t="str">
        <f>S119</f>
        <v xml:space="preserve">   Income Taxes  (TCOS, ln 111)</v>
      </c>
      <c r="D46" s="335"/>
      <c r="E46" s="335"/>
      <c r="F46" s="328">
        <f>R119</f>
        <v>16738374.29221512</v>
      </c>
      <c r="G46" s="328"/>
      <c r="H46" s="335"/>
      <c r="I46" s="335"/>
      <c r="J46" s="338"/>
      <c r="K46" s="338"/>
      <c r="L46" s="338"/>
      <c r="M46" s="338"/>
      <c r="N46" s="338"/>
      <c r="O46" s="338"/>
      <c r="P46" s="335"/>
      <c r="Q46" s="338"/>
      <c r="R46" s="272"/>
      <c r="S46" s="269"/>
    </row>
    <row r="47" spans="2:19" ht="12.5">
      <c r="B47" s="269"/>
      <c r="C47" s="277" t="str">
        <f>S120</f>
        <v xml:space="preserve">  Gross Margin Taxes  (TCOS, ln 116)</v>
      </c>
      <c r="D47" s="335"/>
      <c r="E47" s="335"/>
      <c r="F47" s="339">
        <f>R120</f>
        <v>83019.38163409727</v>
      </c>
      <c r="G47" s="328"/>
      <c r="H47" s="335"/>
      <c r="I47" s="335"/>
      <c r="J47" s="338"/>
      <c r="K47" s="338"/>
      <c r="L47" s="338"/>
      <c r="M47" s="338"/>
      <c r="N47" s="338"/>
      <c r="O47" s="338"/>
      <c r="P47" s="335"/>
      <c r="Q47" s="338"/>
      <c r="R47" s="272"/>
      <c r="S47" s="269"/>
    </row>
    <row r="48" spans="2:19" ht="12.5">
      <c r="B48" s="269"/>
      <c r="C48" s="340" t="s">
        <v>26</v>
      </c>
      <c r="D48" s="335"/>
      <c r="E48" s="335"/>
      <c r="F48" s="336">
        <f>F44-F45-F46-F47</f>
        <v>101512339.01140544</v>
      </c>
      <c r="G48" s="336"/>
      <c r="H48" s="341"/>
      <c r="I48" s="335"/>
      <c r="J48" s="341"/>
      <c r="K48" s="341"/>
      <c r="L48" s="341"/>
      <c r="M48" s="341"/>
      <c r="N48" s="341"/>
      <c r="O48" s="341"/>
      <c r="P48" s="341"/>
      <c r="Q48" s="341"/>
      <c r="R48" s="272"/>
      <c r="S48" s="269"/>
    </row>
    <row r="49" spans="2:19" ht="12.5">
      <c r="B49" s="269"/>
      <c r="C49" s="334"/>
      <c r="D49" s="335"/>
      <c r="E49" s="335"/>
      <c r="F49" s="328"/>
      <c r="G49" s="328"/>
      <c r="H49" s="342"/>
      <c r="I49" s="343"/>
      <c r="J49" s="343"/>
      <c r="K49" s="343"/>
      <c r="L49" s="343"/>
      <c r="M49" s="343"/>
      <c r="N49" s="343"/>
      <c r="O49" s="343"/>
      <c r="P49" s="343"/>
      <c r="Q49" s="343"/>
      <c r="R49" s="272"/>
      <c r="S49" s="269"/>
    </row>
    <row r="50" spans="2:19" ht="15.5">
      <c r="B50" s="269"/>
      <c r="C50" s="274" t="str">
        <f>"B.   Determine Net Revenue Requirement with hypothetical "&amp;F13&amp;" basis point increase in ROE."</f>
        <v>B.   Determine Net Revenue Requirement with hypothetical 0 basis point increase in ROE.</v>
      </c>
      <c r="D50" s="344"/>
      <c r="E50" s="344"/>
      <c r="F50" s="328"/>
      <c r="G50" s="328"/>
      <c r="H50" s="342"/>
      <c r="I50" s="343"/>
      <c r="J50" s="343"/>
      <c r="K50" s="343"/>
      <c r="L50" s="343"/>
      <c r="M50" s="343"/>
      <c r="N50" s="343"/>
      <c r="O50" s="343"/>
      <c r="P50" s="343"/>
      <c r="Q50" s="343"/>
      <c r="R50" s="272"/>
      <c r="S50" s="269"/>
    </row>
    <row r="51" spans="2:19" ht="12.5">
      <c r="B51" s="269"/>
      <c r="C51" s="334"/>
      <c r="D51" s="344"/>
      <c r="E51" s="344"/>
      <c r="F51" s="328"/>
      <c r="G51" s="328"/>
      <c r="H51" s="342"/>
      <c r="I51" s="343"/>
      <c r="J51" s="343"/>
      <c r="K51" s="343"/>
      <c r="L51" s="343"/>
      <c r="M51" s="343"/>
      <c r="N51" s="343"/>
      <c r="O51" s="343"/>
      <c r="P51" s="343"/>
      <c r="Q51" s="343"/>
      <c r="R51" s="272"/>
      <c r="S51" s="269"/>
    </row>
    <row r="52" spans="2:19" ht="13">
      <c r="B52" s="269"/>
      <c r="C52" s="334" t="str">
        <f>C48</f>
        <v xml:space="preserve">   Net Revenue Requirement, Less Return and Taxes</v>
      </c>
      <c r="D52" s="344"/>
      <c r="E52" s="344"/>
      <c r="F52" s="328">
        <f>F48</f>
        <v>101512339.01140544</v>
      </c>
      <c r="G52" s="328"/>
      <c r="H52" s="335"/>
      <c r="I52" s="335"/>
      <c r="J52" s="335"/>
      <c r="K52" s="335"/>
      <c r="L52" s="335"/>
      <c r="M52" s="335"/>
      <c r="N52" s="335"/>
      <c r="O52" s="335"/>
      <c r="P52" s="347"/>
      <c r="Q52" s="335"/>
      <c r="R52" s="272"/>
      <c r="S52" s="269"/>
    </row>
    <row r="53" spans="2:19" ht="13">
      <c r="B53" s="269"/>
      <c r="C53" s="283" t="s">
        <v>93</v>
      </c>
      <c r="D53" s="349"/>
      <c r="E53" s="340"/>
      <c r="F53" s="350">
        <f>E26</f>
        <v>87049494.981268823</v>
      </c>
      <c r="G53" s="350"/>
      <c r="H53" s="340"/>
      <c r="I53" s="351"/>
      <c r="J53" s="340"/>
      <c r="K53" s="340"/>
      <c r="L53" s="340"/>
      <c r="M53" s="340"/>
      <c r="N53" s="340"/>
      <c r="O53" s="340"/>
      <c r="P53" s="340"/>
      <c r="Q53" s="340"/>
      <c r="R53" s="272"/>
      <c r="S53" s="269"/>
    </row>
    <row r="54" spans="2:19" ht="12.75" customHeight="1">
      <c r="B54" s="269"/>
      <c r="C54" s="277" t="s">
        <v>27</v>
      </c>
      <c r="D54" s="335"/>
      <c r="E54" s="335"/>
      <c r="F54" s="424">
        <f>E37</f>
        <v>16738374.29221512</v>
      </c>
      <c r="G54" s="352"/>
      <c r="H54" s="269"/>
      <c r="I54" s="271"/>
      <c r="J54" s="269"/>
      <c r="K54" s="272"/>
      <c r="L54" s="269"/>
      <c r="M54" s="269"/>
      <c r="N54" s="269"/>
      <c r="O54" s="269"/>
      <c r="P54" s="269"/>
      <c r="Q54" s="272"/>
      <c r="R54" s="272"/>
      <c r="S54" s="269"/>
    </row>
    <row r="55" spans="2:19" ht="12.5">
      <c r="B55" s="269"/>
      <c r="C55" s="340" t="str">
        <f>"   Net Revenue Requirement, with "&amp;F13&amp;" Basis Point ROE increase"</f>
        <v xml:space="preserve">   Net Revenue Requirement, with 0 Basis Point ROE increase</v>
      </c>
      <c r="D55" s="270"/>
      <c r="E55" s="269"/>
      <c r="F55" s="326">
        <f>SUM(F52:F54)</f>
        <v>205300208.28488937</v>
      </c>
      <c r="G55" s="326"/>
      <c r="H55" s="269"/>
      <c r="I55" s="271"/>
      <c r="J55" s="269"/>
      <c r="K55" s="272"/>
      <c r="L55" s="269"/>
      <c r="M55" s="269"/>
      <c r="N55" s="269"/>
      <c r="O55" s="269"/>
      <c r="P55" s="269"/>
      <c r="Q55" s="272"/>
      <c r="R55" s="272"/>
      <c r="S55" s="269"/>
    </row>
    <row r="56" spans="2:19" ht="12.5">
      <c r="B56" s="269"/>
      <c r="C56" s="353" t="str">
        <f>"   Gross Margin Tax with "&amp;F13&amp;" Basis Point ROE Increase (II C. below)"</f>
        <v xml:space="preserve">   Gross Margin Tax with 0 Basis Point ROE Increase (II C. below)</v>
      </c>
      <c r="D56" s="227"/>
      <c r="E56" s="227"/>
      <c r="F56" s="354">
        <f>+F71</f>
        <v>179173.47858621273</v>
      </c>
      <c r="G56" s="350"/>
      <c r="H56" s="269"/>
      <c r="I56" s="271"/>
      <c r="J56" s="269"/>
      <c r="K56" s="272"/>
      <c r="L56" s="269"/>
      <c r="M56" s="269"/>
      <c r="N56" s="269"/>
      <c r="O56" s="269"/>
      <c r="P56" s="269"/>
      <c r="Q56" s="272"/>
      <c r="R56" s="272"/>
      <c r="S56" s="269"/>
    </row>
    <row r="57" spans="2:19" ht="12.5">
      <c r="B57" s="269"/>
      <c r="C57" s="340" t="s">
        <v>28</v>
      </c>
      <c r="D57" s="270"/>
      <c r="E57" s="269"/>
      <c r="F57" s="355">
        <f>+F55+F56</f>
        <v>205479381.7634756</v>
      </c>
      <c r="G57" s="355"/>
      <c r="H57" s="269"/>
      <c r="I57" s="271"/>
      <c r="J57" s="269"/>
      <c r="K57" s="272"/>
      <c r="L57" s="269"/>
      <c r="M57" s="269"/>
      <c r="N57" s="269"/>
      <c r="O57" s="269"/>
      <c r="P57" s="269"/>
      <c r="Q57" s="272"/>
      <c r="R57" s="272"/>
      <c r="S57" s="269"/>
    </row>
    <row r="58" spans="2:19" ht="12.5">
      <c r="B58" s="269"/>
      <c r="C58" s="277" t="str">
        <f>S121</f>
        <v xml:space="preserve">   Less: Depreciation  (TCOS, ln 86)</v>
      </c>
      <c r="D58" s="270"/>
      <c r="E58" s="269"/>
      <c r="F58" s="356">
        <f>R121</f>
        <v>47362741.187169746</v>
      </c>
      <c r="G58" s="356"/>
      <c r="H58" s="269"/>
      <c r="I58" s="271"/>
      <c r="J58" s="269"/>
      <c r="K58" s="272"/>
      <c r="L58" s="269"/>
      <c r="M58" s="269"/>
      <c r="N58" s="269"/>
      <c r="O58" s="269"/>
      <c r="P58" s="269"/>
      <c r="Q58" s="272"/>
      <c r="R58" s="272"/>
      <c r="S58" s="269"/>
    </row>
    <row r="59" spans="2:19" ht="12.5">
      <c r="B59" s="269"/>
      <c r="C59" s="340" t="str">
        <f>"   Net Rev. Req, w/"&amp;F13&amp;" Basis Point ROE increase, less Depreciation"</f>
        <v xml:space="preserve">   Net Rev. Req, w/0 Basis Point ROE increase, less Depreciation</v>
      </c>
      <c r="D59" s="270"/>
      <c r="E59" s="269"/>
      <c r="F59" s="326">
        <f>F57-F58</f>
        <v>158116640.57630587</v>
      </c>
      <c r="G59" s="326"/>
      <c r="H59" s="269"/>
      <c r="I59" s="271"/>
      <c r="J59" s="269"/>
      <c r="K59" s="272"/>
      <c r="L59" s="269"/>
      <c r="M59" s="269"/>
      <c r="N59" s="269"/>
      <c r="O59" s="269"/>
      <c r="P59" s="269"/>
      <c r="Q59" s="272"/>
      <c r="R59" s="272"/>
      <c r="S59" s="269"/>
    </row>
    <row r="60" spans="2:19" ht="12.5">
      <c r="B60" s="269"/>
      <c r="C60" s="269"/>
      <c r="D60" s="270"/>
      <c r="E60" s="269"/>
      <c r="F60" s="269"/>
      <c r="G60" s="269"/>
      <c r="H60" s="269"/>
      <c r="I60" s="271"/>
      <c r="J60" s="269"/>
      <c r="K60" s="272"/>
      <c r="L60" s="269"/>
      <c r="M60" s="269"/>
      <c r="N60" s="269"/>
      <c r="O60" s="269"/>
      <c r="P60" s="269"/>
      <c r="Q60" s="272" t="str">
        <f>IF(ROUND(Q59,0)=ROUND(SUM(Q18:Q58),0),"","Error -- check allocations above).")</f>
        <v/>
      </c>
      <c r="R60" s="272"/>
      <c r="S60" s="269"/>
    </row>
    <row r="61" spans="2:19" ht="15.5">
      <c r="B61" s="269"/>
      <c r="C61" s="358" t="str">
        <f>"C.   Determine Gross Margin Tax with hypothetical "&amp;F13&amp;" basis point increase in ROE."</f>
        <v>C.   Determine Gross Margin Tax with hypothetical 0 basis point increase in ROE.</v>
      </c>
      <c r="D61" s="359"/>
      <c r="E61" s="359"/>
      <c r="F61" s="360"/>
      <c r="G61" s="360"/>
      <c r="H61" s="357"/>
      <c r="I61" s="271"/>
      <c r="J61" s="269"/>
      <c r="K61" s="272"/>
      <c r="L61" s="269"/>
      <c r="M61" s="269"/>
      <c r="N61" s="269"/>
      <c r="O61" s="269"/>
      <c r="P61" s="269"/>
      <c r="Q61" s="272"/>
      <c r="R61" s="272"/>
      <c r="S61" s="269"/>
    </row>
    <row r="62" spans="2:19" ht="12.5">
      <c r="B62" s="269"/>
      <c r="C62" s="353" t="str">
        <f>"   Net Revenue Requirement before Gross Margin Taxes, with "&amp;F13&amp;" "</f>
        <v xml:space="preserve">   Net Revenue Requirement before Gross Margin Taxes, with 0 </v>
      </c>
      <c r="D62" s="359"/>
      <c r="E62" s="359"/>
      <c r="F62" s="360">
        <f>+F55</f>
        <v>205300208.28488937</v>
      </c>
      <c r="G62" s="360"/>
      <c r="H62" s="357"/>
      <c r="I62" s="271"/>
      <c r="J62" s="269"/>
      <c r="K62" s="272"/>
      <c r="L62" s="269"/>
      <c r="M62" s="269"/>
      <c r="N62" s="269"/>
      <c r="O62" s="269"/>
      <c r="P62" s="269"/>
      <c r="Q62" s="272"/>
      <c r="R62" s="272"/>
      <c r="S62" s="269"/>
    </row>
    <row r="63" spans="2:19" ht="12.5">
      <c r="B63" s="269"/>
      <c r="C63" s="353" t="s">
        <v>29</v>
      </c>
      <c r="D63" s="359"/>
      <c r="E63" s="359"/>
      <c r="F63" s="360"/>
      <c r="G63" s="360"/>
      <c r="H63" s="357"/>
      <c r="I63" s="271"/>
      <c r="J63" s="269"/>
      <c r="K63" s="272"/>
      <c r="L63" s="269"/>
      <c r="M63" s="269"/>
      <c r="N63" s="269"/>
      <c r="O63" s="269"/>
      <c r="P63" s="269"/>
      <c r="Q63" s="272"/>
      <c r="R63" s="272"/>
      <c r="S63" s="269"/>
    </row>
    <row r="64" spans="2:19" ht="12.5">
      <c r="B64" s="269"/>
      <c r="C64" s="340" t="str">
        <f>S122</f>
        <v xml:space="preserve">       Apportionment Factor to Texas (Worksheet K, ln 12)</v>
      </c>
      <c r="D64" s="325"/>
      <c r="E64" s="357"/>
      <c r="F64" s="362">
        <f>R122</f>
        <v>0.39634968110566327</v>
      </c>
      <c r="G64" s="425"/>
      <c r="H64" s="357"/>
      <c r="I64" s="271"/>
      <c r="J64" s="269"/>
      <c r="K64" s="272"/>
      <c r="L64" s="269"/>
      <c r="M64" s="269"/>
      <c r="N64" s="269"/>
      <c r="O64" s="269"/>
      <c r="P64" s="269"/>
      <c r="Q64" s="272"/>
      <c r="R64" s="272"/>
      <c r="S64" s="269"/>
    </row>
    <row r="65" spans="2:19" ht="12.5">
      <c r="B65" s="269"/>
      <c r="C65" s="340" t="s">
        <v>30</v>
      </c>
      <c r="D65" s="325"/>
      <c r="E65" s="357"/>
      <c r="F65" s="360">
        <f>+F64*F62</f>
        <v>81370672.084642142</v>
      </c>
      <c r="G65" s="360"/>
      <c r="H65" s="357"/>
      <c r="I65" s="271"/>
      <c r="J65" s="269"/>
      <c r="K65" s="272"/>
      <c r="L65" s="269"/>
      <c r="M65" s="269"/>
      <c r="N65" s="269"/>
      <c r="O65" s="269"/>
      <c r="P65" s="269"/>
      <c r="Q65" s="272"/>
      <c r="R65" s="272"/>
      <c r="S65" s="269"/>
    </row>
    <row r="66" spans="2:19" ht="12.5">
      <c r="B66" s="269"/>
      <c r="C66" s="340" t="str">
        <f>+SWE.WS.F.BPU.ATRR.Projected!C66</f>
        <v xml:space="preserve">       Taxable Percentage of Revenue (22%)</v>
      </c>
      <c r="D66" s="325"/>
      <c r="E66" s="357"/>
      <c r="F66" s="363">
        <f>+SWE.WS.F.BPU.ATRR.Projected!F66</f>
        <v>0.22</v>
      </c>
      <c r="G66" s="426"/>
      <c r="H66" s="357"/>
      <c r="I66" s="271"/>
      <c r="J66" s="269"/>
      <c r="K66" s="272"/>
      <c r="L66" s="269"/>
      <c r="M66" s="269"/>
      <c r="N66" s="269"/>
      <c r="O66" s="269"/>
      <c r="P66" s="269"/>
      <c r="Q66" s="272"/>
      <c r="R66" s="272"/>
      <c r="S66" s="269"/>
    </row>
    <row r="67" spans="2:19" ht="12.5">
      <c r="B67" s="269"/>
      <c r="C67" s="340" t="s">
        <v>31</v>
      </c>
      <c r="D67" s="325"/>
      <c r="E67" s="357"/>
      <c r="F67" s="360">
        <f>+F65*F66</f>
        <v>17901547.858621273</v>
      </c>
      <c r="G67" s="360"/>
      <c r="H67" s="357"/>
      <c r="I67" s="271"/>
      <c r="J67" s="269"/>
      <c r="K67" s="272"/>
      <c r="L67" s="269"/>
      <c r="M67" s="269"/>
      <c r="N67" s="269"/>
      <c r="O67" s="269"/>
      <c r="P67" s="269"/>
      <c r="Q67" s="272"/>
      <c r="R67" s="272"/>
      <c r="S67" s="269"/>
    </row>
    <row r="68" spans="2:19" ht="12.5">
      <c r="B68" s="269"/>
      <c r="C68" s="340" t="s">
        <v>32</v>
      </c>
      <c r="D68" s="325"/>
      <c r="E68" s="357"/>
      <c r="F68" s="363">
        <v>0.01</v>
      </c>
      <c r="G68" s="426"/>
      <c r="H68" s="357"/>
      <c r="I68" s="271"/>
      <c r="J68" s="269"/>
      <c r="K68" s="272"/>
      <c r="L68" s="269"/>
      <c r="M68" s="269"/>
      <c r="N68" s="269"/>
      <c r="O68" s="269"/>
      <c r="P68" s="269"/>
      <c r="Q68" s="272"/>
      <c r="R68" s="272"/>
      <c r="S68" s="269"/>
    </row>
    <row r="69" spans="2:19" ht="12.5">
      <c r="B69" s="269"/>
      <c r="C69" s="340" t="s">
        <v>33</v>
      </c>
      <c r="D69" s="325"/>
      <c r="E69" s="357"/>
      <c r="F69" s="360">
        <f>+F67*F68</f>
        <v>179015.47858621273</v>
      </c>
      <c r="G69" s="360"/>
      <c r="H69" s="357"/>
      <c r="I69" s="271"/>
      <c r="J69" s="269"/>
      <c r="K69" s="272"/>
      <c r="L69" s="269"/>
      <c r="M69" s="269"/>
      <c r="N69" s="269"/>
      <c r="O69" s="269"/>
      <c r="P69" s="269"/>
      <c r="Q69" s="272"/>
      <c r="R69" s="272"/>
      <c r="S69" s="269"/>
    </row>
    <row r="70" spans="2:19" ht="12.5">
      <c r="B70" s="269"/>
      <c r="C70" s="340" t="s">
        <v>34</v>
      </c>
      <c r="D70" s="325"/>
      <c r="E70" s="357"/>
      <c r="F70" s="364">
        <f>+ROUND((F69*F66*F64)/(1-F68)*F68,0)</f>
        <v>158</v>
      </c>
      <c r="G70" s="427"/>
      <c r="H70" s="357"/>
      <c r="I70" s="271"/>
      <c r="J70" s="269"/>
      <c r="K70" s="272"/>
      <c r="L70" s="269"/>
      <c r="M70" s="269"/>
      <c r="N70" s="269"/>
      <c r="O70" s="269"/>
      <c r="P70" s="269"/>
      <c r="Q70" s="272"/>
      <c r="R70" s="272"/>
      <c r="S70" s="269"/>
    </row>
    <row r="71" spans="2:19" ht="12.5">
      <c r="B71" s="269"/>
      <c r="C71" s="340" t="s">
        <v>35</v>
      </c>
      <c r="D71" s="325"/>
      <c r="E71" s="357"/>
      <c r="F71" s="360">
        <f>+F69+F70</f>
        <v>179173.47858621273</v>
      </c>
      <c r="G71" s="360"/>
      <c r="H71" s="357"/>
      <c r="I71" s="271"/>
      <c r="J71" s="269"/>
      <c r="K71" s="272"/>
      <c r="L71" s="269"/>
      <c r="M71" s="269"/>
      <c r="N71" s="269"/>
      <c r="O71" s="269"/>
      <c r="P71" s="269"/>
      <c r="Q71" s="272"/>
      <c r="R71" s="272"/>
      <c r="S71" s="269"/>
    </row>
    <row r="72" spans="2:19" ht="12.5">
      <c r="B72" s="269"/>
      <c r="C72" s="269"/>
      <c r="D72" s="270"/>
      <c r="E72" s="269"/>
      <c r="F72" s="269"/>
      <c r="G72" s="269"/>
      <c r="H72" s="269"/>
      <c r="I72" s="271"/>
      <c r="J72" s="269"/>
      <c r="K72" s="272"/>
      <c r="L72" s="269"/>
      <c r="M72" s="269"/>
      <c r="N72" s="269"/>
      <c r="O72" s="269"/>
      <c r="P72" s="269"/>
      <c r="Q72" s="272"/>
      <c r="R72" s="272"/>
      <c r="S72" s="269"/>
    </row>
    <row r="73" spans="2:19" ht="15.5">
      <c r="B73" s="269"/>
      <c r="C73" s="274" t="str">
        <f>"D.   Determine FCR with hypothetical "&amp;F13&amp;" basis point ROE increase."</f>
        <v>D.   Determine FCR with hypothetical 0 basis point ROE increase.</v>
      </c>
      <c r="D73" s="270"/>
      <c r="E73" s="269"/>
      <c r="F73" s="269"/>
      <c r="G73" s="269"/>
      <c r="H73" s="269"/>
      <c r="I73" s="247"/>
      <c r="J73" s="269"/>
      <c r="K73" s="272"/>
      <c r="L73" s="269"/>
      <c r="M73" s="269"/>
      <c r="N73" s="269"/>
      <c r="O73" s="269"/>
      <c r="P73" s="269"/>
      <c r="Q73" s="272"/>
      <c r="R73" s="272"/>
      <c r="S73" s="269"/>
    </row>
    <row r="74" spans="2:19" ht="12.5">
      <c r="B74" s="269"/>
      <c r="C74" s="269"/>
      <c r="D74" s="270"/>
      <c r="E74" s="269"/>
      <c r="F74" s="269"/>
      <c r="G74" s="269"/>
      <c r="H74" s="269"/>
      <c r="I74" s="271"/>
      <c r="J74" s="269"/>
      <c r="K74" s="272"/>
      <c r="L74" s="269"/>
      <c r="M74" s="269"/>
      <c r="N74" s="269"/>
      <c r="O74" s="269"/>
      <c r="P74" s="269"/>
      <c r="Q74" s="272"/>
      <c r="R74" s="272"/>
      <c r="S74" s="269"/>
    </row>
    <row r="75" spans="2:19" ht="12.5">
      <c r="B75" s="269"/>
      <c r="C75" s="334" t="str">
        <f>S123</f>
        <v xml:space="preserve">   Net Transmission Plant  (TCOS, ln 37)</v>
      </c>
      <c r="D75" s="270"/>
      <c r="E75" s="269"/>
      <c r="F75" s="326">
        <f>R123</f>
        <v>1468949118.9994586</v>
      </c>
      <c r="G75" s="326"/>
      <c r="I75" s="247"/>
      <c r="J75" s="269"/>
      <c r="K75" s="272"/>
      <c r="L75" s="269"/>
      <c r="M75" s="269"/>
      <c r="N75" s="269"/>
      <c r="O75" s="269"/>
      <c r="P75" s="269"/>
      <c r="Q75" s="272"/>
      <c r="R75" s="272"/>
      <c r="S75" s="269"/>
    </row>
    <row r="76" spans="2:19" ht="14">
      <c r="B76" s="269"/>
      <c r="C76" s="340" t="str">
        <f>"   Net Revenue Requirement, with "&amp;F13&amp;" Basis Point ROE increase"</f>
        <v xml:space="preserve">   Net Revenue Requirement, with 0 Basis Point ROE increase</v>
      </c>
      <c r="D76" s="270"/>
      <c r="E76" s="269"/>
      <c r="F76" s="428">
        <f>+F57</f>
        <v>205479381.7634756</v>
      </c>
      <c r="G76" s="428"/>
      <c r="I76" s="247"/>
      <c r="J76" s="269"/>
      <c r="K76" s="272"/>
      <c r="L76" s="269"/>
      <c r="M76" s="269"/>
      <c r="N76" s="269"/>
      <c r="O76" s="269"/>
      <c r="P76" s="269"/>
      <c r="Q76" s="272"/>
      <c r="R76" s="272"/>
      <c r="S76" s="269"/>
    </row>
    <row r="77" spans="2:19" ht="12.5">
      <c r="B77" s="269"/>
      <c r="C77" s="340" t="str">
        <f>"   FCR with "&amp;F13&amp;" Basis Point increase in ROE"</f>
        <v xml:space="preserve">   FCR with 0 Basis Point increase in ROE</v>
      </c>
      <c r="D77" s="270"/>
      <c r="E77" s="269"/>
      <c r="F77" s="366">
        <f>IF(F75=0,0,F76/F75)</f>
        <v>0.1398818918271541</v>
      </c>
      <c r="G77" s="366"/>
      <c r="I77" s="247"/>
      <c r="J77" s="269"/>
      <c r="K77" s="272"/>
      <c r="L77" s="269"/>
      <c r="M77" s="269"/>
      <c r="N77" s="269"/>
      <c r="O77" s="269"/>
      <c r="P77" s="269"/>
      <c r="Q77" s="272"/>
      <c r="R77" s="272"/>
      <c r="S77" s="269"/>
    </row>
    <row r="78" spans="2:19" ht="12.5">
      <c r="B78" s="269"/>
      <c r="D78" s="270"/>
      <c r="E78" s="269"/>
      <c r="F78" s="357"/>
      <c r="G78" s="357"/>
      <c r="H78" s="429"/>
      <c r="I78" s="247"/>
      <c r="J78" s="269"/>
      <c r="K78" s="272"/>
      <c r="L78" s="269"/>
      <c r="M78" s="269"/>
      <c r="N78" s="269"/>
      <c r="O78" s="269"/>
      <c r="P78" s="269"/>
      <c r="Q78" s="272"/>
      <c r="R78" s="272"/>
      <c r="S78" s="269"/>
    </row>
    <row r="79" spans="2:19" ht="12.5">
      <c r="B79" s="269"/>
      <c r="C79" s="340" t="str">
        <f>"   Net Rev. Req, w / "&amp;F13&amp;" Basis Point ROE increase, less Dep."</f>
        <v xml:space="preserve">   Net Rev. Req, w / 0 Basis Point ROE increase, less Dep.</v>
      </c>
      <c r="D79" s="270"/>
      <c r="E79" s="269"/>
      <c r="F79" s="326">
        <f>+F59</f>
        <v>158116640.57630587</v>
      </c>
      <c r="G79" s="326"/>
      <c r="I79" s="247"/>
      <c r="J79" s="269"/>
      <c r="K79" s="272"/>
      <c r="L79" s="269"/>
      <c r="M79" s="269"/>
      <c r="N79" s="269"/>
      <c r="O79" s="269"/>
      <c r="P79" s="269"/>
      <c r="Q79" s="272"/>
      <c r="R79" s="272"/>
      <c r="S79" s="269"/>
    </row>
    <row r="80" spans="2:19" ht="12.5">
      <c r="B80" s="269"/>
      <c r="C80" s="340" t="str">
        <f>"   FCR with "&amp;F13&amp;" Basis Point ROE increase, less Depreciation"</f>
        <v xml:space="preserve">   FCR with 0 Basis Point ROE increase, less Depreciation</v>
      </c>
      <c r="D80" s="270"/>
      <c r="E80" s="269"/>
      <c r="F80" s="366">
        <f>IF(F75=0,0,F79/F75)</f>
        <v>0.10763929024580746</v>
      </c>
      <c r="G80" s="366"/>
      <c r="H80" s="275"/>
      <c r="I80" s="247"/>
      <c r="J80" s="269"/>
      <c r="K80" s="272"/>
      <c r="L80" s="269"/>
      <c r="M80" s="269"/>
      <c r="N80" s="269"/>
      <c r="O80" s="269"/>
      <c r="P80" s="269"/>
      <c r="Q80" s="272"/>
      <c r="R80" s="272"/>
      <c r="S80" s="269"/>
    </row>
    <row r="81" spans="2:19" ht="12.5">
      <c r="B81" s="269"/>
      <c r="C81" s="334" t="str">
        <f>S124</f>
        <v xml:space="preserve">   FCR less Depreciation  (TCOS, ln 10)</v>
      </c>
      <c r="D81" s="270"/>
      <c r="E81" s="269"/>
      <c r="F81" s="367">
        <f>R124</f>
        <v>0.10757383250073754</v>
      </c>
      <c r="G81" s="367"/>
      <c r="H81" s="430"/>
      <c r="I81" s="247"/>
      <c r="J81" s="269"/>
      <c r="K81" s="272"/>
      <c r="L81" s="269"/>
      <c r="M81" s="269"/>
      <c r="N81" s="269"/>
      <c r="O81" s="269"/>
      <c r="P81" s="269"/>
      <c r="Q81" s="272"/>
      <c r="R81" s="272"/>
      <c r="S81" s="269"/>
    </row>
    <row r="82" spans="2:19" ht="12.5">
      <c r="B82" s="269"/>
      <c r="C82" s="340" t="str">
        <f>"   Incremental FCR with "&amp;F13&amp;" Basis Point ROE increase, less Depreciation"</f>
        <v xml:space="preserve">   Incremental FCR with 0 Basis Point ROE increase, less Depreciation</v>
      </c>
      <c r="D82" s="270"/>
      <c r="E82" s="269"/>
      <c r="F82" s="366">
        <f>F80-F81</f>
        <v>6.545774506991342E-5</v>
      </c>
      <c r="G82" s="366"/>
      <c r="I82" s="247"/>
      <c r="J82" s="269"/>
      <c r="K82" s="272"/>
      <c r="L82" s="269"/>
      <c r="M82" s="269"/>
      <c r="N82" s="269"/>
      <c r="O82" s="269"/>
      <c r="P82" s="269"/>
      <c r="Q82" s="272"/>
      <c r="R82" s="272"/>
      <c r="S82" s="269"/>
    </row>
    <row r="83" spans="2:19" ht="12.5">
      <c r="B83" s="269"/>
      <c r="C83" s="340"/>
      <c r="D83" s="270"/>
      <c r="E83" s="269"/>
      <c r="F83" s="366"/>
      <c r="G83" s="366"/>
      <c r="H83" s="269"/>
      <c r="I83" s="271"/>
      <c r="J83" s="269"/>
      <c r="K83" s="272"/>
      <c r="L83" s="269"/>
      <c r="M83" s="269"/>
      <c r="N83" s="269"/>
      <c r="O83" s="269"/>
      <c r="P83" s="269"/>
      <c r="Q83" s="272"/>
      <c r="R83" s="272"/>
      <c r="S83" s="269"/>
    </row>
    <row r="84" spans="2:19" ht="18">
      <c r="B84" s="273" t="s">
        <v>36</v>
      </c>
      <c r="C84" s="332" t="s">
        <v>37</v>
      </c>
      <c r="D84" s="270"/>
      <c r="E84" s="269"/>
      <c r="F84" s="366"/>
      <c r="G84" s="366"/>
      <c r="H84" s="269"/>
      <c r="I84" s="271"/>
      <c r="J84" s="269"/>
      <c r="K84" s="272"/>
      <c r="L84" s="269"/>
      <c r="M84" s="269"/>
      <c r="N84" s="269"/>
      <c r="O84" s="269"/>
      <c r="P84" s="269"/>
      <c r="Q84" s="272"/>
      <c r="R84" s="272"/>
      <c r="S84" s="269"/>
    </row>
    <row r="85" spans="2:19" ht="12.75" customHeight="1">
      <c r="B85" s="273"/>
      <c r="C85" s="332"/>
      <c r="D85" s="270"/>
      <c r="E85" s="269"/>
      <c r="F85" s="366"/>
      <c r="G85" s="366"/>
      <c r="H85" s="269"/>
      <c r="I85" s="271"/>
      <c r="J85" s="269"/>
      <c r="K85" s="272"/>
      <c r="L85" s="269"/>
      <c r="M85" s="269"/>
      <c r="N85" s="269"/>
      <c r="O85" s="269"/>
      <c r="P85" s="269"/>
      <c r="Q85" s="272"/>
      <c r="R85" s="272"/>
      <c r="S85" s="269"/>
    </row>
    <row r="86" spans="2:19" ht="12.75" customHeight="1">
      <c r="B86" s="273"/>
      <c r="C86" s="340" t="s">
        <v>38</v>
      </c>
      <c r="D86" s="270"/>
      <c r="F86" s="361">
        <f>R125</f>
        <v>2061458796</v>
      </c>
      <c r="G86" s="269" t="s">
        <v>39</v>
      </c>
      <c r="I86" s="271"/>
      <c r="J86" s="269"/>
      <c r="K86" s="272"/>
      <c r="L86" s="269"/>
      <c r="M86" s="269"/>
      <c r="N86" s="269"/>
      <c r="O86" s="269"/>
      <c r="P86" s="269"/>
      <c r="Q86" s="272"/>
      <c r="R86" s="272"/>
      <c r="S86" s="269"/>
    </row>
    <row r="87" spans="2:19" ht="12.75" customHeight="1">
      <c r="B87" s="273"/>
      <c r="C87" s="340" t="s">
        <v>40</v>
      </c>
      <c r="D87" s="270"/>
      <c r="F87" s="368">
        <f>R126</f>
        <v>2172102538</v>
      </c>
      <c r="G87" s="269" t="s">
        <v>39</v>
      </c>
      <c r="I87" s="271"/>
      <c r="J87" s="269"/>
      <c r="K87" s="272"/>
      <c r="L87" s="269"/>
      <c r="M87" s="269"/>
      <c r="N87" s="269"/>
      <c r="O87" s="269"/>
      <c r="P87" s="269"/>
      <c r="Q87" s="272"/>
      <c r="R87" s="272"/>
      <c r="S87" s="269"/>
    </row>
    <row r="88" spans="2:19" ht="12.75" customHeight="1">
      <c r="B88" s="273"/>
      <c r="C88" s="340"/>
      <c r="D88" s="270"/>
      <c r="F88" s="271">
        <f>+F87+F86</f>
        <v>4233561334</v>
      </c>
      <c r="G88" s="271"/>
      <c r="H88" s="269"/>
      <c r="I88" s="271"/>
      <c r="J88" s="269"/>
      <c r="K88" s="272"/>
      <c r="L88" s="269"/>
      <c r="M88" s="269"/>
      <c r="N88" s="269"/>
      <c r="O88" s="269"/>
      <c r="P88" s="269"/>
      <c r="Q88" s="272"/>
      <c r="R88" s="272"/>
      <c r="S88" s="269"/>
    </row>
    <row r="89" spans="2:19" ht="12.5">
      <c r="B89" s="269"/>
      <c r="C89" s="340" t="str">
        <f>+S127</f>
        <v>Transmission Plant Average Balance for 2020</v>
      </c>
      <c r="D89" s="325"/>
      <c r="E89" s="191"/>
      <c r="F89" s="351">
        <f>+F88/2</f>
        <v>2116780667</v>
      </c>
      <c r="G89" s="351"/>
      <c r="I89" s="271"/>
      <c r="J89" s="269"/>
      <c r="K89" s="272"/>
      <c r="L89" s="269"/>
      <c r="M89" s="269"/>
      <c r="N89" s="269"/>
      <c r="O89" s="269"/>
      <c r="P89" s="269"/>
      <c r="Q89" s="272"/>
      <c r="R89" s="272"/>
      <c r="S89" s="269"/>
    </row>
    <row r="90" spans="2:19" ht="12.5">
      <c r="B90" s="269"/>
      <c r="C90" s="277" t="str">
        <f>S128</f>
        <v>Annual Depreciation Expense  (True-Up TCOS,  ln 86)</v>
      </c>
      <c r="D90" s="325"/>
      <c r="E90" s="357"/>
      <c r="F90" s="351">
        <f>R128</f>
        <v>49850982</v>
      </c>
      <c r="G90" s="351"/>
      <c r="I90" s="271"/>
      <c r="J90" s="269"/>
      <c r="K90" s="272"/>
      <c r="L90" s="269"/>
      <c r="M90" s="269"/>
      <c r="N90" s="269"/>
      <c r="O90" s="269"/>
      <c r="P90" s="269"/>
      <c r="Q90" s="272"/>
      <c r="R90" s="272"/>
      <c r="S90" s="269"/>
    </row>
    <row r="91" spans="2:19" ht="12.5">
      <c r="B91" s="269"/>
      <c r="C91" s="340" t="s">
        <v>41</v>
      </c>
      <c r="D91" s="270"/>
      <c r="E91" s="269"/>
      <c r="F91" s="366">
        <f>IF(F89=0,0,F90/F89)</f>
        <v>2.3550376653170748E-2</v>
      </c>
      <c r="G91" s="366"/>
      <c r="H91" s="269"/>
      <c r="I91" s="370"/>
      <c r="J91" s="269"/>
      <c r="K91" s="272"/>
      <c r="L91" s="269"/>
      <c r="M91" s="269"/>
      <c r="N91" s="269"/>
      <c r="O91" s="269"/>
      <c r="P91" s="269"/>
      <c r="Q91" s="272"/>
      <c r="R91" s="272"/>
      <c r="S91" s="269"/>
    </row>
    <row r="92" spans="2:19" ht="12.5">
      <c r="B92" s="269"/>
      <c r="C92" s="340" t="s">
        <v>42</v>
      </c>
      <c r="D92" s="270"/>
      <c r="E92" s="269"/>
      <c r="F92" s="371">
        <f>IF(F91=0,0,1/F91)</f>
        <v>42.462165880704212</v>
      </c>
      <c r="G92" s="371"/>
      <c r="H92" s="269"/>
      <c r="I92" s="271"/>
      <c r="J92" s="269"/>
      <c r="K92" s="272"/>
      <c r="L92" s="269"/>
      <c r="M92" s="269"/>
      <c r="N92" s="269"/>
      <c r="O92" s="269"/>
      <c r="P92" s="269"/>
      <c r="Q92" s="272"/>
      <c r="R92" s="272"/>
      <c r="S92" s="269"/>
    </row>
    <row r="93" spans="2:19" ht="12.5">
      <c r="B93" s="269"/>
      <c r="C93" s="340" t="s">
        <v>43</v>
      </c>
      <c r="D93" s="270"/>
      <c r="E93" s="269"/>
      <c r="F93" s="372">
        <f>ROUND(F92,0)</f>
        <v>42</v>
      </c>
      <c r="G93" s="372"/>
      <c r="H93" s="269"/>
      <c r="I93" s="271"/>
      <c r="J93" s="269"/>
      <c r="K93" s="272"/>
      <c r="L93" s="269"/>
      <c r="M93" s="269"/>
      <c r="N93" s="269"/>
      <c r="O93" s="269"/>
      <c r="P93" s="269"/>
      <c r="Q93" s="272"/>
      <c r="R93" s="272"/>
      <c r="S93" s="269"/>
    </row>
    <row r="94" spans="2:19" ht="12.5">
      <c r="B94" s="269"/>
      <c r="C94" s="340"/>
      <c r="D94" s="270"/>
      <c r="E94" s="269"/>
      <c r="F94" s="372"/>
      <c r="G94" s="372"/>
      <c r="H94" s="269"/>
      <c r="I94" s="271"/>
      <c r="J94" s="269"/>
      <c r="K94" s="272"/>
      <c r="L94" s="269"/>
      <c r="M94" s="269"/>
      <c r="N94" s="269"/>
      <c r="O94" s="269"/>
      <c r="P94" s="269"/>
      <c r="Q94" s="272"/>
      <c r="R94" s="272"/>
      <c r="S94" s="269"/>
    </row>
    <row r="95" spans="2:19" ht="12.5">
      <c r="B95" s="269"/>
      <c r="C95" s="340"/>
      <c r="D95" s="270"/>
      <c r="E95" s="269"/>
      <c r="F95" s="372"/>
      <c r="G95" s="372"/>
      <c r="H95" s="269"/>
      <c r="I95" s="271"/>
      <c r="J95" s="269"/>
      <c r="K95" s="272"/>
      <c r="L95" s="269"/>
      <c r="M95" s="269"/>
      <c r="N95" s="269"/>
      <c r="O95" s="269"/>
      <c r="P95" s="269"/>
      <c r="Q95" s="272"/>
      <c r="R95" s="272"/>
      <c r="S95" s="269"/>
    </row>
    <row r="96" spans="2:19" ht="12.5">
      <c r="B96" s="269"/>
      <c r="C96" s="340"/>
      <c r="D96" s="270"/>
      <c r="E96" s="269"/>
      <c r="F96" s="372"/>
      <c r="G96" s="372"/>
      <c r="H96" s="269"/>
      <c r="I96" s="271"/>
      <c r="J96" s="269"/>
      <c r="K96" s="272"/>
      <c r="L96" s="269"/>
      <c r="M96" s="269"/>
      <c r="N96" s="269"/>
      <c r="O96" s="269"/>
      <c r="P96" s="269"/>
      <c r="Q96" s="272"/>
      <c r="R96" s="272"/>
      <c r="S96" s="269"/>
    </row>
    <row r="97" spans="3:19" ht="13">
      <c r="C97" s="269"/>
      <c r="D97" s="270"/>
      <c r="E97" s="269"/>
      <c r="F97" s="269"/>
      <c r="G97" s="269"/>
      <c r="H97" s="269"/>
      <c r="I97" s="271"/>
      <c r="J97" s="269"/>
      <c r="K97" s="272"/>
      <c r="L97" s="269"/>
      <c r="M97" s="269"/>
      <c r="N97" s="269"/>
      <c r="O97" s="269"/>
      <c r="P97" s="269"/>
      <c r="Q97" s="272"/>
      <c r="R97" s="377" t="s">
        <v>112</v>
      </c>
      <c r="S97" s="262" t="s">
        <v>118</v>
      </c>
    </row>
    <row r="98" spans="3:19" ht="12.5">
      <c r="C98" s="269"/>
      <c r="D98" s="270"/>
      <c r="E98" s="269"/>
      <c r="F98" s="269"/>
      <c r="G98" s="269"/>
      <c r="H98" s="269"/>
      <c r="I98" s="271"/>
      <c r="J98" s="269"/>
      <c r="K98" s="272"/>
      <c r="L98" s="269"/>
      <c r="M98" s="269"/>
      <c r="N98" s="269"/>
      <c r="O98" s="269"/>
      <c r="P98" s="269"/>
      <c r="Q98" s="272"/>
    </row>
    <row r="99" spans="3:19" ht="13">
      <c r="C99" s="267" t="s">
        <v>109</v>
      </c>
      <c r="J99" s="233"/>
      <c r="L99" s="267" t="s">
        <v>108</v>
      </c>
      <c r="N99" s="269"/>
      <c r="O99" s="269"/>
      <c r="P99" s="269"/>
      <c r="Q99" s="272"/>
    </row>
    <row r="100" spans="3:19" ht="12.5">
      <c r="C100" s="269"/>
      <c r="D100" s="270"/>
      <c r="E100" s="269"/>
      <c r="F100" s="269"/>
      <c r="G100" s="269"/>
      <c r="H100" s="269"/>
      <c r="I100" s="271"/>
      <c r="J100" s="269"/>
      <c r="K100" s="272"/>
      <c r="L100" s="269"/>
      <c r="M100" s="269"/>
      <c r="N100" s="269"/>
      <c r="O100" s="269"/>
      <c r="P100" s="269"/>
      <c r="Q100" s="272"/>
      <c r="S100" s="262" t="s">
        <v>106</v>
      </c>
    </row>
    <row r="101" spans="3:19" ht="13">
      <c r="C101" s="269"/>
      <c r="D101" s="270"/>
      <c r="E101" s="269"/>
      <c r="F101" s="269"/>
      <c r="G101" s="269"/>
      <c r="H101" s="269"/>
      <c r="I101" s="271"/>
      <c r="J101" s="269"/>
      <c r="K101" s="272"/>
      <c r="L101" s="269"/>
      <c r="M101" s="269"/>
      <c r="N101" s="269"/>
      <c r="O101" s="269"/>
      <c r="P101" s="269"/>
      <c r="Q101" s="272"/>
      <c r="R101" s="377" t="s">
        <v>103</v>
      </c>
      <c r="S101" s="236" t="s">
        <v>120</v>
      </c>
    </row>
    <row r="102" spans="3:19" ht="13.5" thickBot="1">
      <c r="C102" s="269"/>
      <c r="D102" s="270"/>
      <c r="E102" s="269"/>
      <c r="F102" s="269"/>
      <c r="G102" s="269"/>
      <c r="H102" s="269"/>
      <c r="I102" s="271"/>
      <c r="J102" s="269"/>
      <c r="K102" s="272"/>
      <c r="L102" s="269"/>
      <c r="M102" s="269"/>
      <c r="N102" s="269"/>
      <c r="O102" s="269"/>
      <c r="P102" s="269"/>
      <c r="Q102" s="272"/>
      <c r="R102" s="378" t="s">
        <v>138</v>
      </c>
    </row>
    <row r="103" spans="3:19" ht="12.5">
      <c r="C103" s="269"/>
      <c r="D103" s="270"/>
      <c r="E103" s="269"/>
      <c r="F103" s="269"/>
      <c r="G103" s="269"/>
      <c r="H103" s="269"/>
      <c r="I103" s="271"/>
      <c r="J103" s="269"/>
      <c r="K103" s="272"/>
      <c r="L103" s="269"/>
      <c r="M103" s="269"/>
      <c r="N103" s="269"/>
      <c r="O103" s="269"/>
      <c r="P103" s="269"/>
      <c r="Q103" s="272"/>
      <c r="R103" s="431" t="s">
        <v>160</v>
      </c>
      <c r="S103" s="432" t="s">
        <v>127</v>
      </c>
    </row>
    <row r="104" spans="3:19" ht="12.5">
      <c r="C104" s="269"/>
      <c r="D104" s="270"/>
      <c r="E104" s="269"/>
      <c r="F104" s="269"/>
      <c r="G104" s="269"/>
      <c r="H104" s="269"/>
      <c r="I104" s="271"/>
      <c r="J104" s="269"/>
      <c r="K104" s="272"/>
      <c r="L104" s="269"/>
      <c r="M104" s="269"/>
      <c r="N104" s="269"/>
      <c r="O104" s="269"/>
      <c r="P104" s="269"/>
      <c r="Q104" s="272"/>
      <c r="R104" s="433">
        <v>2020</v>
      </c>
      <c r="S104" s="434" t="s">
        <v>82</v>
      </c>
    </row>
    <row r="105" spans="3:19" ht="12.5">
      <c r="C105" s="269"/>
      <c r="D105" s="270"/>
      <c r="E105" s="269"/>
      <c r="F105" s="269"/>
      <c r="G105" s="269"/>
      <c r="H105" s="269"/>
      <c r="I105" s="271"/>
      <c r="J105" s="269"/>
      <c r="K105" s="272"/>
      <c r="L105" s="269"/>
      <c r="M105" s="269"/>
      <c r="N105" s="269"/>
      <c r="O105" s="269"/>
      <c r="P105" s="269"/>
      <c r="Q105" s="272"/>
      <c r="R105" s="435">
        <v>0.105</v>
      </c>
      <c r="S105" s="382" t="s">
        <v>441</v>
      </c>
    </row>
    <row r="106" spans="3:19" ht="12.5">
      <c r="C106" s="269"/>
      <c r="D106" s="270"/>
      <c r="E106" s="269"/>
      <c r="F106" s="269"/>
      <c r="G106" s="269"/>
      <c r="H106" s="269"/>
      <c r="I106" s="271"/>
      <c r="J106" s="269"/>
      <c r="K106" s="272"/>
      <c r="L106" s="269"/>
      <c r="M106" s="269"/>
      <c r="N106" s="269"/>
      <c r="O106" s="269"/>
      <c r="P106" s="269"/>
      <c r="Q106" s="272"/>
      <c r="R106" s="436">
        <v>0</v>
      </c>
      <c r="S106" s="382" t="s">
        <v>1</v>
      </c>
    </row>
    <row r="107" spans="3:19" ht="12.5">
      <c r="C107" s="269"/>
      <c r="D107" s="270"/>
      <c r="E107" s="269"/>
      <c r="F107" s="269"/>
      <c r="G107" s="269"/>
      <c r="H107" s="269"/>
      <c r="I107" s="271"/>
      <c r="J107" s="269"/>
      <c r="K107" s="272"/>
      <c r="L107" s="269"/>
      <c r="M107" s="269"/>
      <c r="N107" s="269"/>
      <c r="O107" s="269"/>
      <c r="P107" s="269"/>
      <c r="Q107" s="272"/>
      <c r="R107" s="435">
        <v>0.50670946853051035</v>
      </c>
      <c r="S107" s="385" t="s">
        <v>98</v>
      </c>
    </row>
    <row r="108" spans="3:19" ht="12.5">
      <c r="C108" s="269"/>
      <c r="D108" s="270"/>
      <c r="E108" s="269"/>
      <c r="F108" s="269"/>
      <c r="G108" s="269"/>
      <c r="H108" s="269"/>
      <c r="I108" s="271"/>
      <c r="J108" s="269"/>
      <c r="K108" s="272"/>
      <c r="L108" s="269"/>
      <c r="M108" s="269"/>
      <c r="N108" s="269"/>
      <c r="O108" s="269"/>
      <c r="P108" s="269"/>
      <c r="Q108" s="272"/>
      <c r="R108" s="437">
        <v>4.1467141232114368E-2</v>
      </c>
      <c r="S108" s="385" t="s">
        <v>99</v>
      </c>
    </row>
    <row r="109" spans="3:19" ht="12.5">
      <c r="C109" s="269"/>
      <c r="D109" s="270"/>
      <c r="E109" s="269"/>
      <c r="F109" s="269"/>
      <c r="G109" s="269"/>
      <c r="H109" s="269"/>
      <c r="I109" s="271"/>
      <c r="J109" s="269"/>
      <c r="K109" s="272"/>
      <c r="L109" s="269"/>
      <c r="M109" s="269"/>
      <c r="N109" s="269"/>
      <c r="O109" s="269"/>
      <c r="P109" s="269"/>
      <c r="Q109" s="272"/>
      <c r="R109" s="435">
        <v>0</v>
      </c>
      <c r="S109" s="385" t="s">
        <v>100</v>
      </c>
    </row>
    <row r="110" spans="3:19" ht="12.5">
      <c r="C110" s="269"/>
      <c r="D110" s="270"/>
      <c r="E110" s="269"/>
      <c r="F110" s="269"/>
      <c r="G110" s="269"/>
      <c r="H110" s="269"/>
      <c r="I110" s="271"/>
      <c r="J110" s="269"/>
      <c r="K110" s="272"/>
      <c r="L110" s="269"/>
      <c r="M110" s="269"/>
      <c r="N110" s="269"/>
      <c r="O110" s="269"/>
      <c r="P110" s="269"/>
      <c r="Q110" s="272"/>
      <c r="R110" s="437">
        <v>0</v>
      </c>
      <c r="S110" s="385" t="s">
        <v>101</v>
      </c>
    </row>
    <row r="111" spans="3:19" ht="12.5">
      <c r="C111" s="269"/>
      <c r="D111" s="270"/>
      <c r="E111" s="269"/>
      <c r="F111" s="269"/>
      <c r="G111" s="269"/>
      <c r="H111" s="269"/>
      <c r="I111" s="271"/>
      <c r="J111" s="269"/>
      <c r="K111" s="272"/>
      <c r="L111" s="269"/>
      <c r="M111" s="269"/>
      <c r="N111" s="269"/>
      <c r="O111" s="269"/>
      <c r="P111" s="269"/>
      <c r="Q111" s="272"/>
      <c r="R111" s="435">
        <v>0.4932905314694897</v>
      </c>
      <c r="S111" s="387" t="s">
        <v>102</v>
      </c>
    </row>
    <row r="112" spans="3:19" ht="12.5">
      <c r="C112" s="269"/>
      <c r="D112" s="270"/>
      <c r="E112" s="269"/>
      <c r="F112" s="269"/>
      <c r="G112" s="269"/>
      <c r="H112" s="269"/>
      <c r="I112" s="271"/>
      <c r="J112" s="269"/>
      <c r="K112" s="272"/>
      <c r="L112" s="269"/>
      <c r="M112" s="269"/>
      <c r="N112" s="269"/>
      <c r="O112" s="269"/>
      <c r="P112" s="269"/>
      <c r="Q112" s="272"/>
      <c r="R112" s="438">
        <v>1195614949.2845118</v>
      </c>
      <c r="S112" s="439" t="s">
        <v>465</v>
      </c>
    </row>
    <row r="113" spans="3:19" ht="12.5">
      <c r="C113" s="269"/>
      <c r="D113" s="270"/>
      <c r="E113" s="269"/>
      <c r="F113" s="269"/>
      <c r="G113" s="269"/>
      <c r="H113" s="269"/>
      <c r="I113" s="271"/>
      <c r="J113" s="269"/>
      <c r="K113" s="272"/>
      <c r="L113" s="269"/>
      <c r="M113" s="269"/>
      <c r="N113" s="269"/>
      <c r="O113" s="269"/>
      <c r="P113" s="269"/>
      <c r="Q113" s="272"/>
      <c r="R113" s="440">
        <v>0.249421</v>
      </c>
      <c r="S113" s="441" t="s">
        <v>466</v>
      </c>
    </row>
    <row r="114" spans="3:19" ht="12.5">
      <c r="C114" s="269"/>
      <c r="D114" s="270"/>
      <c r="E114" s="269"/>
      <c r="F114" s="269"/>
      <c r="G114" s="269"/>
      <c r="H114" s="269"/>
      <c r="I114" s="271"/>
      <c r="J114" s="269"/>
      <c r="K114" s="272"/>
      <c r="L114" s="269"/>
      <c r="M114" s="269"/>
      <c r="N114" s="269"/>
      <c r="O114" s="269"/>
      <c r="P114" s="269"/>
      <c r="Q114" s="272"/>
      <c r="R114" s="438">
        <v>-361613.38372186676</v>
      </c>
      <c r="S114" s="441" t="s">
        <v>467</v>
      </c>
    </row>
    <row r="115" spans="3:19" ht="12.5">
      <c r="C115" s="269"/>
      <c r="D115" s="270"/>
      <c r="E115" s="269"/>
      <c r="F115" s="269"/>
      <c r="G115" s="269"/>
      <c r="H115" s="269"/>
      <c r="I115" s="271"/>
      <c r="J115" s="269"/>
      <c r="K115" s="272"/>
      <c r="L115" s="269"/>
      <c r="M115" s="269"/>
      <c r="N115" s="269"/>
      <c r="O115" s="269"/>
      <c r="P115" s="269"/>
      <c r="Q115" s="272"/>
      <c r="R115" s="438">
        <v>-3813733.3178785983</v>
      </c>
      <c r="S115" s="442" t="s">
        <v>443</v>
      </c>
    </row>
    <row r="116" spans="3:19" ht="12.5">
      <c r="C116" s="269"/>
      <c r="D116" s="270"/>
      <c r="E116" s="269"/>
      <c r="F116" s="269"/>
      <c r="G116" s="269"/>
      <c r="H116" s="269"/>
      <c r="I116" s="271"/>
      <c r="J116" s="269"/>
      <c r="K116" s="272"/>
      <c r="L116" s="269"/>
      <c r="M116" s="269"/>
      <c r="N116" s="269"/>
      <c r="O116" s="269"/>
      <c r="P116" s="269"/>
      <c r="Q116" s="272"/>
      <c r="R116" s="438">
        <v>334922.16009240871</v>
      </c>
      <c r="S116" s="442" t="s">
        <v>444</v>
      </c>
    </row>
    <row r="117" spans="3:19" ht="12.5">
      <c r="C117" s="269"/>
      <c r="D117" s="270"/>
      <c r="E117" s="269"/>
      <c r="F117" s="269"/>
      <c r="G117" s="269"/>
      <c r="H117" s="269"/>
      <c r="I117" s="271"/>
      <c r="J117" s="269"/>
      <c r="K117" s="272"/>
      <c r="L117" s="269"/>
      <c r="M117" s="269"/>
      <c r="N117" s="269"/>
      <c r="O117" s="269"/>
      <c r="P117" s="269"/>
      <c r="Q117" s="272"/>
      <c r="R117" s="438">
        <v>205383227.66652349</v>
      </c>
      <c r="S117" s="441" t="s">
        <v>468</v>
      </c>
    </row>
    <row r="118" spans="3:19" ht="12.5">
      <c r="C118" s="269"/>
      <c r="D118" s="270"/>
      <c r="E118" s="269"/>
      <c r="F118" s="269"/>
      <c r="G118" s="269"/>
      <c r="H118" s="269"/>
      <c r="I118" s="271"/>
      <c r="J118" s="269"/>
      <c r="K118" s="272"/>
      <c r="L118" s="269"/>
      <c r="M118" s="269"/>
      <c r="N118" s="269"/>
      <c r="O118" s="269"/>
      <c r="P118" s="269"/>
      <c r="Q118" s="272"/>
      <c r="R118" s="438">
        <v>87049494.981268823</v>
      </c>
      <c r="S118" s="441" t="s">
        <v>469</v>
      </c>
    </row>
    <row r="119" spans="3:19" ht="12.5">
      <c r="C119" s="269"/>
      <c r="D119" s="270"/>
      <c r="E119" s="269"/>
      <c r="F119" s="269"/>
      <c r="G119" s="269"/>
      <c r="H119" s="269"/>
      <c r="I119" s="271"/>
      <c r="J119" s="269"/>
      <c r="K119" s="272"/>
      <c r="L119" s="269"/>
      <c r="M119" s="269"/>
      <c r="N119" s="269"/>
      <c r="O119" s="269"/>
      <c r="P119" s="269"/>
      <c r="Q119" s="272"/>
      <c r="R119" s="438">
        <v>16738374.29221512</v>
      </c>
      <c r="S119" s="441" t="s">
        <v>470</v>
      </c>
    </row>
    <row r="120" spans="3:19" ht="12.5">
      <c r="C120" s="269"/>
      <c r="D120" s="270"/>
      <c r="E120" s="269"/>
      <c r="F120" s="269"/>
      <c r="G120" s="269"/>
      <c r="H120" s="269"/>
      <c r="I120" s="271"/>
      <c r="J120" s="269"/>
      <c r="K120" s="272"/>
      <c r="L120" s="269"/>
      <c r="M120" s="269"/>
      <c r="N120" s="269"/>
      <c r="O120" s="269"/>
      <c r="P120" s="269"/>
      <c r="Q120" s="272"/>
      <c r="R120" s="438">
        <v>83019.38163409727</v>
      </c>
      <c r="S120" s="441" t="s">
        <v>471</v>
      </c>
    </row>
    <row r="121" spans="3:19" ht="12.5">
      <c r="C121" s="269"/>
      <c r="D121" s="270"/>
      <c r="E121" s="269"/>
      <c r="F121" s="269"/>
      <c r="G121" s="269"/>
      <c r="H121" s="269"/>
      <c r="I121" s="271"/>
      <c r="J121" s="269"/>
      <c r="K121" s="272"/>
      <c r="L121" s="269"/>
      <c r="M121" s="269"/>
      <c r="N121" s="269"/>
      <c r="O121" s="269"/>
      <c r="P121" s="269"/>
      <c r="Q121" s="272"/>
      <c r="R121" s="438">
        <v>47362741.187169746</v>
      </c>
      <c r="S121" s="441" t="s">
        <v>472</v>
      </c>
    </row>
    <row r="122" spans="3:19" ht="12.5">
      <c r="C122" s="269"/>
      <c r="D122" s="270"/>
      <c r="E122" s="269"/>
      <c r="F122" s="269"/>
      <c r="G122" s="269"/>
      <c r="H122" s="269"/>
      <c r="I122" s="271"/>
      <c r="J122" s="269"/>
      <c r="K122" s="272"/>
      <c r="L122" s="269"/>
      <c r="M122" s="269"/>
      <c r="N122" s="269"/>
      <c r="O122" s="269"/>
      <c r="P122" s="269"/>
      <c r="Q122" s="272"/>
      <c r="R122" s="440">
        <v>0.39634968110566327</v>
      </c>
      <c r="S122" s="441" t="s">
        <v>105</v>
      </c>
    </row>
    <row r="123" spans="3:19" ht="12.5">
      <c r="C123" s="269"/>
      <c r="D123" s="270"/>
      <c r="E123" s="269"/>
      <c r="F123" s="269"/>
      <c r="G123" s="269"/>
      <c r="H123" s="269"/>
      <c r="I123" s="271"/>
      <c r="J123" s="269"/>
      <c r="K123" s="272"/>
      <c r="L123" s="269"/>
      <c r="M123" s="269"/>
      <c r="N123" s="269"/>
      <c r="O123" s="269"/>
      <c r="P123" s="269"/>
      <c r="Q123" s="272"/>
      <c r="R123" s="438">
        <v>1468949118.9994586</v>
      </c>
      <c r="S123" s="441" t="s">
        <v>455</v>
      </c>
    </row>
    <row r="124" spans="3:19" ht="12.5">
      <c r="C124" s="269"/>
      <c r="D124" s="270"/>
      <c r="E124" s="269"/>
      <c r="F124" s="269"/>
      <c r="G124" s="269"/>
      <c r="H124" s="269"/>
      <c r="I124" s="271"/>
      <c r="J124" s="269"/>
      <c r="K124" s="272"/>
      <c r="L124" s="269"/>
      <c r="M124" s="269"/>
      <c r="N124" s="269"/>
      <c r="O124" s="269"/>
      <c r="P124" s="269"/>
      <c r="Q124" s="272"/>
      <c r="R124" s="440">
        <v>0.10757383250073754</v>
      </c>
      <c r="S124" s="443" t="s">
        <v>456</v>
      </c>
    </row>
    <row r="125" spans="3:19" ht="12.5">
      <c r="C125" s="269"/>
      <c r="D125" s="270"/>
      <c r="E125" s="269"/>
      <c r="F125" s="269"/>
      <c r="G125" s="269"/>
      <c r="H125" s="269"/>
      <c r="I125" s="271"/>
      <c r="J125" s="269"/>
      <c r="K125" s="272"/>
      <c r="L125" s="269"/>
      <c r="M125" s="269"/>
      <c r="N125" s="269"/>
      <c r="O125" s="269"/>
      <c r="P125" s="269"/>
      <c r="Q125" s="272"/>
      <c r="R125" s="444">
        <v>2061458796</v>
      </c>
      <c r="S125" s="385" t="s">
        <v>38</v>
      </c>
    </row>
    <row r="126" spans="3:19" ht="12.5">
      <c r="C126" s="269"/>
      <c r="D126" s="270"/>
      <c r="E126" s="269"/>
      <c r="F126" s="269"/>
      <c r="G126" s="269"/>
      <c r="H126" s="269"/>
      <c r="I126" s="271"/>
      <c r="J126" s="269"/>
      <c r="K126" s="272"/>
      <c r="L126" s="269"/>
      <c r="M126" s="269"/>
      <c r="N126" s="269"/>
      <c r="O126" s="269"/>
      <c r="P126" s="269"/>
      <c r="Q126" s="272"/>
      <c r="R126" s="445">
        <v>2172102538</v>
      </c>
      <c r="S126" s="387" t="s">
        <v>40</v>
      </c>
    </row>
    <row r="127" spans="3:19" ht="12.5">
      <c r="C127" s="269"/>
      <c r="D127" s="270"/>
      <c r="E127" s="269"/>
      <c r="F127" s="269"/>
      <c r="G127" s="269"/>
      <c r="H127" s="269"/>
      <c r="I127" s="271"/>
      <c r="J127" s="269"/>
      <c r="K127" s="272"/>
      <c r="L127" s="269"/>
      <c r="M127" s="269"/>
      <c r="N127" s="269"/>
      <c r="O127" s="269"/>
      <c r="P127" s="269"/>
      <c r="Q127" s="272"/>
      <c r="R127" s="445">
        <v>2101872773.1538463</v>
      </c>
      <c r="S127" s="395" t="s">
        <v>479</v>
      </c>
    </row>
    <row r="128" spans="3:19" ht="13" thickBot="1">
      <c r="C128" s="269"/>
      <c r="D128" s="270"/>
      <c r="E128" s="269"/>
      <c r="F128" s="269"/>
      <c r="G128" s="269"/>
      <c r="H128" s="269"/>
      <c r="I128" s="271"/>
      <c r="J128" s="269"/>
      <c r="K128" s="272"/>
      <c r="L128" s="269"/>
      <c r="M128" s="269"/>
      <c r="N128" s="269"/>
      <c r="O128" s="269"/>
      <c r="P128" s="269"/>
      <c r="Q128" s="272"/>
      <c r="R128" s="446">
        <v>49850982</v>
      </c>
      <c r="S128" s="397" t="s">
        <v>464</v>
      </c>
    </row>
    <row r="129" spans="3:19" ht="12.5">
      <c r="C129" s="269"/>
      <c r="D129" s="270"/>
      <c r="E129" s="269"/>
      <c r="F129" s="269"/>
      <c r="G129" s="269"/>
      <c r="H129" s="269"/>
      <c r="I129" s="271"/>
      <c r="J129" s="269"/>
      <c r="K129" s="272"/>
      <c r="L129" s="269"/>
      <c r="M129" s="269"/>
      <c r="N129" s="269"/>
      <c r="O129" s="269"/>
      <c r="P129" s="269"/>
      <c r="Q129" s="272"/>
      <c r="R129" s="269"/>
      <c r="S129" s="269"/>
    </row>
    <row r="130" spans="3:19" ht="13">
      <c r="C130" s="269"/>
      <c r="D130" s="270"/>
      <c r="E130" s="269"/>
      <c r="F130" s="269"/>
      <c r="G130" s="269"/>
      <c r="H130" s="269"/>
      <c r="I130" s="271"/>
      <c r="J130" s="269"/>
      <c r="K130" s="272"/>
      <c r="L130" s="269"/>
      <c r="M130" s="269"/>
      <c r="N130" s="269"/>
      <c r="O130" s="269"/>
      <c r="P130" s="269"/>
      <c r="Q130" s="272"/>
      <c r="R130" s="377" t="s">
        <v>104</v>
      </c>
      <c r="S130" s="269" t="s">
        <v>116</v>
      </c>
    </row>
    <row r="131" spans="3:19" ht="13.5" thickBot="1">
      <c r="C131" s="269"/>
      <c r="D131" s="270"/>
      <c r="E131" s="269"/>
      <c r="F131" s="269"/>
      <c r="G131" s="269"/>
      <c r="H131" s="269"/>
      <c r="I131" s="271"/>
      <c r="J131" s="269"/>
      <c r="K131" s="272"/>
      <c r="L131" s="269"/>
      <c r="M131" s="269"/>
      <c r="N131" s="269"/>
      <c r="O131" s="269"/>
      <c r="P131" s="269"/>
      <c r="Q131" s="272"/>
      <c r="R131" s="378" t="s">
        <v>139</v>
      </c>
      <c r="S131" s="269"/>
    </row>
    <row r="132" spans="3:19" ht="12.5">
      <c r="C132" s="269"/>
      <c r="D132" s="270"/>
      <c r="E132" s="269"/>
      <c r="F132" s="269"/>
      <c r="G132" s="269"/>
      <c r="H132" s="269"/>
      <c r="I132" s="271"/>
      <c r="J132" s="269"/>
      <c r="K132" s="272"/>
      <c r="L132" s="269"/>
      <c r="M132" s="269"/>
      <c r="N132" s="269"/>
      <c r="O132" s="269"/>
      <c r="P132" s="269"/>
      <c r="Q132" s="272"/>
      <c r="R132" s="447">
        <f>+N17</f>
        <v>79416494.826505467</v>
      </c>
      <c r="S132" s="183" t="s">
        <v>121</v>
      </c>
    </row>
    <row r="133" spans="3:19" ht="12.5">
      <c r="C133" s="269"/>
      <c r="D133" s="270"/>
      <c r="E133" s="269"/>
      <c r="F133" s="269"/>
      <c r="G133" s="269"/>
      <c r="H133" s="269"/>
      <c r="I133" s="271"/>
      <c r="J133" s="269"/>
      <c r="K133" s="272"/>
      <c r="L133" s="269"/>
      <c r="M133" s="269"/>
      <c r="N133" s="269"/>
      <c r="O133" s="269"/>
      <c r="P133" s="269"/>
      <c r="Q133" s="272"/>
      <c r="R133" s="448">
        <f>+O17</f>
        <v>79416494.826505467</v>
      </c>
      <c r="S133" s="183" t="s">
        <v>122</v>
      </c>
    </row>
    <row r="134" spans="3:19" ht="12.5">
      <c r="C134" s="269"/>
      <c r="D134" s="270"/>
      <c r="E134" s="269"/>
      <c r="F134" s="269"/>
      <c r="G134" s="269"/>
      <c r="H134" s="269"/>
      <c r="I134" s="271"/>
      <c r="J134" s="269"/>
      <c r="K134" s="272"/>
      <c r="L134" s="269"/>
      <c r="M134" s="269"/>
      <c r="N134" s="269"/>
      <c r="O134" s="269"/>
      <c r="P134" s="269"/>
      <c r="Q134" s="272"/>
      <c r="R134" s="448">
        <f>+N18</f>
        <v>83510906.370861635</v>
      </c>
      <c r="S134" s="183" t="s">
        <v>123</v>
      </c>
    </row>
    <row r="135" spans="3:19" ht="13" thickBot="1">
      <c r="C135" s="269"/>
      <c r="D135" s="270"/>
      <c r="E135" s="269"/>
      <c r="F135" s="269"/>
      <c r="G135" s="269"/>
      <c r="H135" s="269"/>
      <c r="I135" s="271"/>
      <c r="J135" s="269"/>
      <c r="K135" s="272"/>
      <c r="L135" s="269"/>
      <c r="M135" s="269"/>
      <c r="N135" s="269"/>
      <c r="O135" s="269"/>
      <c r="P135" s="269"/>
      <c r="Q135" s="272"/>
      <c r="R135" s="449">
        <f>+O18</f>
        <v>83510906.370861635</v>
      </c>
      <c r="S135" s="183" t="s">
        <v>124</v>
      </c>
    </row>
    <row r="136" spans="3:19" ht="12.75" customHeight="1">
      <c r="R136" s="269"/>
      <c r="S136" s="269"/>
    </row>
    <row r="137" spans="3:19" ht="12.75" customHeight="1">
      <c r="R137" s="377" t="s">
        <v>114</v>
      </c>
      <c r="S137" s="262" t="s">
        <v>119</v>
      </c>
    </row>
  </sheetData>
  <mergeCells count="6">
    <mergeCell ref="C8:I8"/>
    <mergeCell ref="A1:K1"/>
    <mergeCell ref="A2:K2"/>
    <mergeCell ref="A3:K3"/>
    <mergeCell ref="A4:K4"/>
    <mergeCell ref="A5:K5"/>
  </mergeCells>
  <phoneticPr fontId="0" type="noConversion"/>
  <printOptions horizontalCentered="1"/>
  <pageMargins left="0.25" right="0.25" top="0.75" bottom="0.25" header="0.25" footer="0.5"/>
  <pageSetup scale="41" fitToHeight="5" orientation="landscape" horizontalDpi="1200" verticalDpi="1200" r:id="rId1"/>
  <headerFooter alignWithMargins="0">
    <oddHeader xml:space="preserve">&amp;R&amp;16AEP - SPP Formula Rate
SWEPCO TCOS - WS G
Page: &amp;P of &amp;N
</oddHeader>
    <oddFooter>&amp;L&amp;A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Q162"/>
  <sheetViews>
    <sheetView view="pageBreakPreview" topLeftCell="A70" zoomScale="75" zoomScaleNormal="100" zoomScaleSheetLayoutView="75" workbookViewId="0">
      <selection activeCell="D104" sqref="D10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27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45085.524504887275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45085.524504887275</v>
      </c>
      <c r="O6" s="269"/>
      <c r="P6" s="269"/>
    </row>
    <row r="7" spans="1:17" ht="13.5" thickBot="1">
      <c r="C7" s="467" t="s">
        <v>48</v>
      </c>
      <c r="D7" s="620" t="s">
        <v>279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278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421517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10036.119047619048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450200</v>
      </c>
      <c r="E17" s="509">
        <v>5359.5238095238092</v>
      </c>
      <c r="F17" s="508">
        <v>444840.47619047621</v>
      </c>
      <c r="G17" s="509">
        <v>71516.261736212298</v>
      </c>
      <c r="H17" s="510">
        <v>71516.261736212298</v>
      </c>
      <c r="I17" s="517">
        <v>0</v>
      </c>
      <c r="J17" s="511"/>
      <c r="K17" s="512">
        <f t="shared" ref="K17:K22" si="0">G17</f>
        <v>71516.261736212298</v>
      </c>
      <c r="L17" s="597">
        <f t="shared" ref="L17:L48" si="1">IF(K17&lt;&gt;0,+G17-K17,0)</f>
        <v>0</v>
      </c>
      <c r="M17" s="512">
        <f t="shared" ref="M17:M22" si="2">H17</f>
        <v>71516.261736212298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424657.47619047621</v>
      </c>
      <c r="E18" s="609">
        <v>10238.5</v>
      </c>
      <c r="F18" s="608">
        <v>414418.97619047621</v>
      </c>
      <c r="G18" s="609">
        <v>68251.803233746105</v>
      </c>
      <c r="H18" s="610">
        <v>68251.803233746105</v>
      </c>
      <c r="I18" s="596">
        <v>0</v>
      </c>
      <c r="J18" s="511"/>
      <c r="K18" s="518">
        <f t="shared" si="0"/>
        <v>68251.803233746105</v>
      </c>
      <c r="L18" s="519">
        <f t="shared" ref="L18:L23" si="6">IF(K18&lt;&gt;0,+G18-K18,0)</f>
        <v>0</v>
      </c>
      <c r="M18" s="518">
        <f t="shared" si="2"/>
        <v>68251.803233746105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/>
      </c>
      <c r="C19" s="507">
        <f>IF(D11="","-",+C18+1)</f>
        <v>2014</v>
      </c>
      <c r="D19" s="608">
        <v>414418.97619047621</v>
      </c>
      <c r="E19" s="609">
        <v>10238.5</v>
      </c>
      <c r="F19" s="608">
        <v>404180.47619047621</v>
      </c>
      <c r="G19" s="609">
        <v>64766.693467581994</v>
      </c>
      <c r="H19" s="610">
        <v>64766.693467581994</v>
      </c>
      <c r="I19" s="596">
        <v>0</v>
      </c>
      <c r="J19" s="511"/>
      <c r="K19" s="518">
        <f t="shared" si="0"/>
        <v>64766.693467581994</v>
      </c>
      <c r="L19" s="519">
        <f t="shared" si="6"/>
        <v>0</v>
      </c>
      <c r="M19" s="518">
        <f t="shared" si="2"/>
        <v>64766.693467581994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2015</v>
      </c>
      <c r="D20" s="608">
        <v>395680.47619047621</v>
      </c>
      <c r="E20" s="609">
        <v>10036.119047619048</v>
      </c>
      <c r="F20" s="608">
        <v>385644.35714285716</v>
      </c>
      <c r="G20" s="609">
        <v>60827.332352293794</v>
      </c>
      <c r="H20" s="610">
        <v>60827.332352293794</v>
      </c>
      <c r="I20" s="511">
        <v>0</v>
      </c>
      <c r="J20" s="511"/>
      <c r="K20" s="518">
        <f t="shared" si="0"/>
        <v>60827.332352293794</v>
      </c>
      <c r="L20" s="519">
        <f t="shared" si="6"/>
        <v>0</v>
      </c>
      <c r="M20" s="518">
        <f t="shared" si="2"/>
        <v>60827.332352293794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608">
        <v>385644.35714285716</v>
      </c>
      <c r="E21" s="609">
        <v>10036.119047619048</v>
      </c>
      <c r="F21" s="608">
        <v>375608.23809523811</v>
      </c>
      <c r="G21" s="609">
        <v>58895.229275947575</v>
      </c>
      <c r="H21" s="610">
        <v>58895.229275947575</v>
      </c>
      <c r="I21" s="511">
        <f t="shared" ref="I21:I49" si="9">H21-G21</f>
        <v>0</v>
      </c>
      <c r="J21" s="511"/>
      <c r="K21" s="518">
        <f t="shared" si="0"/>
        <v>58895.229275947575</v>
      </c>
      <c r="L21" s="519">
        <f t="shared" si="6"/>
        <v>0</v>
      </c>
      <c r="M21" s="518">
        <f t="shared" si="2"/>
        <v>58895.229275947575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08">
        <v>375608.23809523811</v>
      </c>
      <c r="E22" s="609">
        <v>9802.7209302325573</v>
      </c>
      <c r="F22" s="608">
        <v>365805.51716500556</v>
      </c>
      <c r="G22" s="609">
        <v>55730.535228858629</v>
      </c>
      <c r="H22" s="610">
        <v>55730.535228858629</v>
      </c>
      <c r="I22" s="511">
        <f t="shared" si="9"/>
        <v>0</v>
      </c>
      <c r="J22" s="511"/>
      <c r="K22" s="518">
        <f t="shared" si="0"/>
        <v>55730.535228858629</v>
      </c>
      <c r="L22" s="519">
        <f t="shared" si="6"/>
        <v>0</v>
      </c>
      <c r="M22" s="518">
        <f t="shared" si="2"/>
        <v>55730.535228858629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365805.51716500556</v>
      </c>
      <c r="E23" s="609">
        <v>10280.90243902439</v>
      </c>
      <c r="F23" s="608">
        <v>355524.61472598114</v>
      </c>
      <c r="G23" s="609">
        <v>56119.304010268112</v>
      </c>
      <c r="H23" s="610">
        <v>56119.304010268112</v>
      </c>
      <c r="I23" s="511">
        <f t="shared" si="9"/>
        <v>0</v>
      </c>
      <c r="J23" s="511"/>
      <c r="K23" s="518">
        <f>G23</f>
        <v>56119.304010268112</v>
      </c>
      <c r="L23" s="519">
        <f t="shared" si="6"/>
        <v>0</v>
      </c>
      <c r="M23" s="518">
        <f>H23</f>
        <v>56119.304010268112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355524.61472598114</v>
      </c>
      <c r="E24" s="609">
        <v>10280.90243902439</v>
      </c>
      <c r="F24" s="608">
        <v>345243.71228695672</v>
      </c>
      <c r="G24" s="609">
        <v>54812.661978610966</v>
      </c>
      <c r="H24" s="610">
        <v>54812.661978610966</v>
      </c>
      <c r="I24" s="511">
        <f t="shared" si="9"/>
        <v>0</v>
      </c>
      <c r="J24" s="511"/>
      <c r="K24" s="518">
        <f>G24</f>
        <v>54812.661978610966</v>
      </c>
      <c r="L24" s="519">
        <f t="shared" ref="L24" si="10">IF(K24&lt;&gt;0,+G24-K24,0)</f>
        <v>0</v>
      </c>
      <c r="M24" s="518">
        <f>H24</f>
        <v>54812.661978610966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08">
        <v>345243.71228695672</v>
      </c>
      <c r="E25" s="609">
        <v>10280.90243902439</v>
      </c>
      <c r="F25" s="608">
        <v>334962.80984793231</v>
      </c>
      <c r="G25" s="609">
        <v>45085.524504887275</v>
      </c>
      <c r="H25" s="610">
        <v>45085.524504887275</v>
      </c>
      <c r="I25" s="511">
        <f t="shared" si="9"/>
        <v>0</v>
      </c>
      <c r="J25" s="511"/>
      <c r="K25" s="518">
        <f>G25</f>
        <v>45085.524504887275</v>
      </c>
      <c r="L25" s="519">
        <f t="shared" ref="L25" si="11">IF(K25&lt;&gt;0,+G25-K25,0)</f>
        <v>0</v>
      </c>
      <c r="M25" s="518">
        <f>H25</f>
        <v>45085.524504887275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/>
      </c>
      <c r="C26" s="507">
        <f>IF(D11="","-",+C25+1)</f>
        <v>2021</v>
      </c>
      <c r="D26" s="523">
        <f>IF(F25+SUM(E$17:E25)=D$10,F25,D$10-SUM(E$17:E25))</f>
        <v>334962.80984793231</v>
      </c>
      <c r="E26" s="522">
        <f>IF(+I14&lt;F25,I14,D26)</f>
        <v>10036.119047619048</v>
      </c>
      <c r="F26" s="523">
        <f t="shared" ref="F26:F49" si="12">+D26-E26</f>
        <v>324926.69080031326</v>
      </c>
      <c r="G26" s="524">
        <f t="shared" ref="G26:G53" si="13">+I$12*((D26+F26)/2)+E26</f>
        <v>45280.148730156398</v>
      </c>
      <c r="H26" s="491">
        <f t="shared" ref="H26:H53" si="14">+I$13*((D26+F26)/2)+E26</f>
        <v>45280.148730156398</v>
      </c>
      <c r="I26" s="511">
        <f t="shared" si="9"/>
        <v>0</v>
      </c>
      <c r="J26" s="511"/>
      <c r="K26" s="525"/>
      <c r="L26" s="514">
        <f t="shared" si="1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324926.69080031326</v>
      </c>
      <c r="E27" s="522">
        <f>IF(+I14&lt;F26,I14,D27)</f>
        <v>10036.119047619048</v>
      </c>
      <c r="F27" s="523">
        <f t="shared" si="12"/>
        <v>314890.5717526942</v>
      </c>
      <c r="G27" s="524">
        <f t="shared" si="13"/>
        <v>44208.11082907056</v>
      </c>
      <c r="H27" s="491">
        <f t="shared" si="14"/>
        <v>44208.11082907056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314890.5717526942</v>
      </c>
      <c r="E28" s="522">
        <f>IF(+I14&lt;F27,I14,D28)</f>
        <v>10036.119047619048</v>
      </c>
      <c r="F28" s="523">
        <f t="shared" si="12"/>
        <v>304854.45270507515</v>
      </c>
      <c r="G28" s="524">
        <f t="shared" si="13"/>
        <v>43136.072927984715</v>
      </c>
      <c r="H28" s="491">
        <f t="shared" si="14"/>
        <v>43136.072927984715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304854.45270507515</v>
      </c>
      <c r="E29" s="522">
        <f>IF(+I14&lt;F28,I14,D29)</f>
        <v>10036.119047619048</v>
      </c>
      <c r="F29" s="523">
        <f t="shared" si="12"/>
        <v>294818.3336574561</v>
      </c>
      <c r="G29" s="524">
        <f t="shared" si="13"/>
        <v>42064.035026898877</v>
      </c>
      <c r="H29" s="491">
        <f t="shared" si="14"/>
        <v>42064.035026898877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294818.3336574561</v>
      </c>
      <c r="E30" s="522">
        <f>IF(+I14&lt;F29,I14,D30)</f>
        <v>10036.119047619048</v>
      </c>
      <c r="F30" s="523">
        <f t="shared" si="12"/>
        <v>284782.21460983704</v>
      </c>
      <c r="G30" s="524">
        <f t="shared" si="13"/>
        <v>40991.997125813039</v>
      </c>
      <c r="H30" s="491">
        <f t="shared" si="14"/>
        <v>40991.997125813039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284782.21460983704</v>
      </c>
      <c r="E31" s="522">
        <f>IF(+I14&lt;F30,I14,D31)</f>
        <v>10036.119047619048</v>
      </c>
      <c r="F31" s="523">
        <f t="shared" si="12"/>
        <v>274746.09556221799</v>
      </c>
      <c r="G31" s="524">
        <f t="shared" si="13"/>
        <v>39919.959224727194</v>
      </c>
      <c r="H31" s="491">
        <f t="shared" si="14"/>
        <v>39919.959224727194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274746.09556221799</v>
      </c>
      <c r="E32" s="522">
        <f>IF(+I14&lt;F31,I14,D32)</f>
        <v>10036.119047619048</v>
      </c>
      <c r="F32" s="523">
        <f t="shared" si="12"/>
        <v>264709.97651459894</v>
      </c>
      <c r="G32" s="524">
        <f t="shared" si="13"/>
        <v>38847.921323641356</v>
      </c>
      <c r="H32" s="491">
        <f t="shared" si="14"/>
        <v>38847.921323641356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264709.97651459894</v>
      </c>
      <c r="E33" s="522">
        <f>IF(+I14&lt;F32,I14,D33)</f>
        <v>10036.119047619048</v>
      </c>
      <c r="F33" s="523">
        <f t="shared" si="12"/>
        <v>254673.85746697988</v>
      </c>
      <c r="G33" s="524">
        <f t="shared" si="13"/>
        <v>37775.883422555518</v>
      </c>
      <c r="H33" s="491">
        <f t="shared" si="14"/>
        <v>37775.883422555518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254673.85746697988</v>
      </c>
      <c r="E34" s="522">
        <f>IF(+I14&lt;F33,I14,D34)</f>
        <v>10036.119047619048</v>
      </c>
      <c r="F34" s="523">
        <f t="shared" si="12"/>
        <v>244637.73841936083</v>
      </c>
      <c r="G34" s="524">
        <f t="shared" si="13"/>
        <v>36703.845521469673</v>
      </c>
      <c r="H34" s="491">
        <f t="shared" si="14"/>
        <v>36703.845521469673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244637.73841936083</v>
      </c>
      <c r="E35" s="522">
        <f>IF(+I14&lt;F34,I14,D35)</f>
        <v>10036.119047619048</v>
      </c>
      <c r="F35" s="523">
        <f t="shared" si="12"/>
        <v>234601.61937174178</v>
      </c>
      <c r="G35" s="524">
        <f t="shared" si="13"/>
        <v>35631.807620383835</v>
      </c>
      <c r="H35" s="491">
        <f t="shared" si="14"/>
        <v>35631.807620383835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234601.61937174178</v>
      </c>
      <c r="E36" s="522">
        <f>IF(+I14&lt;F35,I14,D36)</f>
        <v>10036.119047619048</v>
      </c>
      <c r="F36" s="523">
        <f t="shared" si="12"/>
        <v>224565.50032412272</v>
      </c>
      <c r="G36" s="524">
        <f t="shared" si="13"/>
        <v>34559.76971929799</v>
      </c>
      <c r="H36" s="491">
        <f t="shared" si="14"/>
        <v>34559.76971929799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224565.50032412272</v>
      </c>
      <c r="E37" s="522">
        <f>IF(+I14&lt;F36,I14,D37)</f>
        <v>10036.119047619048</v>
      </c>
      <c r="F37" s="523">
        <f t="shared" si="12"/>
        <v>214529.38127650367</v>
      </c>
      <c r="G37" s="524">
        <f t="shared" si="13"/>
        <v>33487.731818212153</v>
      </c>
      <c r="H37" s="491">
        <f t="shared" si="14"/>
        <v>33487.731818212153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214529.38127650367</v>
      </c>
      <c r="E38" s="522">
        <f>IF(+I14&lt;F37,I14,D38)</f>
        <v>10036.119047619048</v>
      </c>
      <c r="F38" s="523">
        <f t="shared" si="12"/>
        <v>204493.26222888462</v>
      </c>
      <c r="G38" s="524">
        <f t="shared" si="13"/>
        <v>32415.693917126307</v>
      </c>
      <c r="H38" s="491">
        <f t="shared" si="14"/>
        <v>32415.693917126307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204493.26222888462</v>
      </c>
      <c r="E39" s="522">
        <f>IF(+I14&lt;F38,I14,D39)</f>
        <v>10036.119047619048</v>
      </c>
      <c r="F39" s="523">
        <f t="shared" si="12"/>
        <v>194457.14318126556</v>
      </c>
      <c r="G39" s="524">
        <f t="shared" si="13"/>
        <v>31343.65601604047</v>
      </c>
      <c r="H39" s="491">
        <f t="shared" si="14"/>
        <v>31343.65601604047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194457.14318126556</v>
      </c>
      <c r="E40" s="522">
        <f>IF(+I14&lt;F39,I14,D40)</f>
        <v>10036.119047619048</v>
      </c>
      <c r="F40" s="523">
        <f t="shared" si="12"/>
        <v>184421.02413364651</v>
      </c>
      <c r="G40" s="524">
        <f t="shared" si="13"/>
        <v>30271.618114954632</v>
      </c>
      <c r="H40" s="491">
        <f t="shared" si="14"/>
        <v>30271.618114954632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184421.02413364651</v>
      </c>
      <c r="E41" s="522">
        <f>IF(+I14&lt;F40,I14,D41)</f>
        <v>10036.119047619048</v>
      </c>
      <c r="F41" s="523">
        <f t="shared" si="12"/>
        <v>174384.90508602746</v>
      </c>
      <c r="G41" s="524">
        <f t="shared" si="13"/>
        <v>29199.580213868787</v>
      </c>
      <c r="H41" s="491">
        <f t="shared" si="14"/>
        <v>29199.580213868787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174384.90508602746</v>
      </c>
      <c r="E42" s="522">
        <f>IF(+I14&lt;F41,I14,D42)</f>
        <v>10036.119047619048</v>
      </c>
      <c r="F42" s="523">
        <f t="shared" si="12"/>
        <v>164348.78603840841</v>
      </c>
      <c r="G42" s="524">
        <f t="shared" si="13"/>
        <v>28127.542312782949</v>
      </c>
      <c r="H42" s="491">
        <f t="shared" si="14"/>
        <v>28127.542312782949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164348.78603840841</v>
      </c>
      <c r="E43" s="522">
        <f>IF(+I14&lt;F42,I14,D43)</f>
        <v>10036.119047619048</v>
      </c>
      <c r="F43" s="523">
        <f t="shared" si="12"/>
        <v>154312.66699078935</v>
      </c>
      <c r="G43" s="524">
        <f t="shared" si="13"/>
        <v>27055.504411697104</v>
      </c>
      <c r="H43" s="491">
        <f t="shared" si="14"/>
        <v>27055.504411697104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154312.66699078935</v>
      </c>
      <c r="E44" s="522">
        <f>IF(+I14&lt;F43,I14,D44)</f>
        <v>10036.119047619048</v>
      </c>
      <c r="F44" s="523">
        <f t="shared" si="12"/>
        <v>144276.5479431703</v>
      </c>
      <c r="G44" s="524">
        <f t="shared" si="13"/>
        <v>25983.466510611266</v>
      </c>
      <c r="H44" s="491">
        <f t="shared" si="14"/>
        <v>25983.466510611266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144276.5479431703</v>
      </c>
      <c r="E45" s="522">
        <f>IF(+I14&lt;F44,I14,D45)</f>
        <v>10036.119047619048</v>
      </c>
      <c r="F45" s="523">
        <f t="shared" si="12"/>
        <v>134240.42889555125</v>
      </c>
      <c r="G45" s="524">
        <f t="shared" si="13"/>
        <v>24911.428609525421</v>
      </c>
      <c r="H45" s="491">
        <f t="shared" si="14"/>
        <v>24911.428609525421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134240.42889555125</v>
      </c>
      <c r="E46" s="522">
        <f>IF(+I14&lt;F45,I14,D46)</f>
        <v>10036.119047619048</v>
      </c>
      <c r="F46" s="523">
        <f t="shared" si="12"/>
        <v>124204.30984793219</v>
      </c>
      <c r="G46" s="524">
        <f t="shared" si="13"/>
        <v>23839.390708439583</v>
      </c>
      <c r="H46" s="491">
        <f t="shared" si="14"/>
        <v>23839.390708439583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124204.30984793219</v>
      </c>
      <c r="E47" s="522">
        <f>IF(+I14&lt;F46,I14,D47)</f>
        <v>10036.119047619048</v>
      </c>
      <c r="F47" s="523">
        <f t="shared" si="12"/>
        <v>114168.19080031314</v>
      </c>
      <c r="G47" s="524">
        <f t="shared" si="13"/>
        <v>22767.352807353742</v>
      </c>
      <c r="H47" s="491">
        <f t="shared" si="14"/>
        <v>22767.352807353742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114168.19080031314</v>
      </c>
      <c r="E48" s="522">
        <f>IF(+I14&lt;F47,I14,D48)</f>
        <v>10036.119047619048</v>
      </c>
      <c r="F48" s="523">
        <f t="shared" si="12"/>
        <v>104132.07175269409</v>
      </c>
      <c r="G48" s="524">
        <f t="shared" si="13"/>
        <v>21695.3149062679</v>
      </c>
      <c r="H48" s="491">
        <f t="shared" si="14"/>
        <v>21695.3149062679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104132.07175269409</v>
      </c>
      <c r="E49" s="522">
        <f>IF(+I14&lt;F48,I14,D49)</f>
        <v>10036.119047619048</v>
      </c>
      <c r="F49" s="523">
        <f t="shared" si="12"/>
        <v>94095.952705075033</v>
      </c>
      <c r="G49" s="524">
        <f t="shared" si="13"/>
        <v>20623.277005182059</v>
      </c>
      <c r="H49" s="491">
        <f t="shared" si="14"/>
        <v>20623.277005182059</v>
      </c>
      <c r="I49" s="511">
        <f t="shared" si="9"/>
        <v>0</v>
      </c>
      <c r="J49" s="511"/>
      <c r="K49" s="525"/>
      <c r="L49" s="514">
        <f t="shared" ref="L49:L72" si="15">IF(K49&lt;&gt;0,+G49-K49,0)</f>
        <v>0</v>
      </c>
      <c r="M49" s="525"/>
      <c r="N49" s="514">
        <f t="shared" ref="N49:N72" si="16">IF(M49&lt;&gt;0,+H49-M49,0)</f>
        <v>0</v>
      </c>
      <c r="O49" s="514">
        <f t="shared" ref="O49:O72" si="17">+N49-L49</f>
        <v>0</v>
      </c>
      <c r="P49" s="272"/>
    </row>
    <row r="50" spans="2:17" ht="12.5">
      <c r="B50" s="195" t="str">
        <f t="shared" ref="B50:B72" si="18">IF(D50=F49,"","IU")</f>
        <v/>
      </c>
      <c r="C50" s="507">
        <f>IF(D11="","-",+C49+1)</f>
        <v>2045</v>
      </c>
      <c r="D50" s="523">
        <f>IF(F49+SUM(E$17:E49)=D$10,F49,D$10-SUM(E$17:E49))</f>
        <v>94095.952705075033</v>
      </c>
      <c r="E50" s="522">
        <f>IF(+I14&lt;F49,I14,D50)</f>
        <v>10036.119047619048</v>
      </c>
      <c r="F50" s="523">
        <f t="shared" ref="F50:F72" si="19">+D50-E50</f>
        <v>84059.83365745598</v>
      </c>
      <c r="G50" s="524">
        <f t="shared" si="13"/>
        <v>19551.239104096217</v>
      </c>
      <c r="H50" s="491">
        <f t="shared" si="14"/>
        <v>19551.239104096217</v>
      </c>
      <c r="I50" s="511">
        <f t="shared" ref="I50:I72" si="20">H50-G50</f>
        <v>0</v>
      </c>
      <c r="J50" s="511"/>
      <c r="K50" s="525"/>
      <c r="L50" s="514">
        <f t="shared" si="15"/>
        <v>0</v>
      </c>
      <c r="M50" s="525"/>
      <c r="N50" s="514">
        <f t="shared" si="16"/>
        <v>0</v>
      </c>
      <c r="O50" s="514">
        <f t="shared" si="17"/>
        <v>0</v>
      </c>
      <c r="P50" s="272"/>
    </row>
    <row r="51" spans="2:17" ht="12.5">
      <c r="B51" s="195" t="str">
        <f t="shared" si="18"/>
        <v/>
      </c>
      <c r="C51" s="507">
        <f>IF(D11="","-",+C50+1)</f>
        <v>2046</v>
      </c>
      <c r="D51" s="523">
        <f>IF(F50+SUM(E$17:E50)=D$10,F50,D$10-SUM(E$17:E50))</f>
        <v>84059.83365745598</v>
      </c>
      <c r="E51" s="522">
        <f>IF(+I14&lt;F50,I14,D51)</f>
        <v>10036.119047619048</v>
      </c>
      <c r="F51" s="523">
        <f t="shared" si="19"/>
        <v>74023.714609836927</v>
      </c>
      <c r="G51" s="524">
        <f t="shared" si="13"/>
        <v>18479.20120301038</v>
      </c>
      <c r="H51" s="491">
        <f t="shared" si="14"/>
        <v>18479.20120301038</v>
      </c>
      <c r="I51" s="511">
        <f t="shared" si="20"/>
        <v>0</v>
      </c>
      <c r="J51" s="511"/>
      <c r="K51" s="525"/>
      <c r="L51" s="514">
        <f t="shared" si="15"/>
        <v>0</v>
      </c>
      <c r="M51" s="525"/>
      <c r="N51" s="514">
        <f t="shared" si="16"/>
        <v>0</v>
      </c>
      <c r="O51" s="514">
        <f t="shared" si="17"/>
        <v>0</v>
      </c>
      <c r="P51" s="272"/>
    </row>
    <row r="52" spans="2:17" ht="12.5">
      <c r="B52" s="195" t="str">
        <f t="shared" si="18"/>
        <v/>
      </c>
      <c r="C52" s="507">
        <f>IF(D11="","-",+C51+1)</f>
        <v>2047</v>
      </c>
      <c r="D52" s="523">
        <f>IF(F51+SUM(E$17:E51)=D$10,F51,D$10-SUM(E$17:E51))</f>
        <v>74023.714609836927</v>
      </c>
      <c r="E52" s="522">
        <f>IF(+I14&lt;F51,I14,D52)</f>
        <v>10036.119047619048</v>
      </c>
      <c r="F52" s="523">
        <f t="shared" si="19"/>
        <v>63987.595562217881</v>
      </c>
      <c r="G52" s="524">
        <f t="shared" si="13"/>
        <v>17407.163301924538</v>
      </c>
      <c r="H52" s="491">
        <f t="shared" si="14"/>
        <v>17407.163301924538</v>
      </c>
      <c r="I52" s="511">
        <f t="shared" si="20"/>
        <v>0</v>
      </c>
      <c r="J52" s="511"/>
      <c r="K52" s="525"/>
      <c r="L52" s="514">
        <f t="shared" si="15"/>
        <v>0</v>
      </c>
      <c r="M52" s="525"/>
      <c r="N52" s="514">
        <f t="shared" si="16"/>
        <v>0</v>
      </c>
      <c r="O52" s="514">
        <f t="shared" si="17"/>
        <v>0</v>
      </c>
      <c r="P52" s="272"/>
    </row>
    <row r="53" spans="2:17" ht="12.5">
      <c r="B53" s="195" t="str">
        <f t="shared" si="18"/>
        <v/>
      </c>
      <c r="C53" s="507">
        <f>IF(D11="","-",+C52+1)</f>
        <v>2048</v>
      </c>
      <c r="D53" s="523">
        <f>IF(F52+SUM(E$17:E52)=D$10,F52,D$10-SUM(E$17:E52))</f>
        <v>63987.595562217881</v>
      </c>
      <c r="E53" s="522">
        <f>IF(+I14&lt;F52,I14,D53)</f>
        <v>10036.119047619048</v>
      </c>
      <c r="F53" s="523">
        <f t="shared" si="19"/>
        <v>53951.476514598835</v>
      </c>
      <c r="G53" s="524">
        <f t="shared" si="13"/>
        <v>16335.125400838697</v>
      </c>
      <c r="H53" s="491">
        <f t="shared" si="14"/>
        <v>16335.125400838697</v>
      </c>
      <c r="I53" s="511">
        <f t="shared" si="20"/>
        <v>0</v>
      </c>
      <c r="J53" s="511"/>
      <c r="K53" s="525"/>
      <c r="L53" s="514">
        <f t="shared" si="15"/>
        <v>0</v>
      </c>
      <c r="M53" s="525"/>
      <c r="N53" s="514">
        <f t="shared" si="16"/>
        <v>0</v>
      </c>
      <c r="O53" s="514">
        <f t="shared" si="17"/>
        <v>0</v>
      </c>
      <c r="P53" s="272"/>
    </row>
    <row r="54" spans="2:17" ht="12.5">
      <c r="B54" s="195" t="str">
        <f t="shared" si="18"/>
        <v/>
      </c>
      <c r="C54" s="507">
        <f>IF(D11="","-",+C53+1)</f>
        <v>2049</v>
      </c>
      <c r="D54" s="523">
        <f>IF(F53+SUM(E$17:E53)=D$10,F53,D$10-SUM(E$17:E53))</f>
        <v>53951.476514598835</v>
      </c>
      <c r="E54" s="522">
        <f>IF(+I14&lt;F53,I14,D54)</f>
        <v>10036.119047619048</v>
      </c>
      <c r="F54" s="523">
        <f t="shared" si="19"/>
        <v>43915.357466979789</v>
      </c>
      <c r="G54" s="524">
        <f t="shared" ref="G54:G72" si="21">+I$12*((D54+F54)/2)+E54</f>
        <v>15263.087499752855</v>
      </c>
      <c r="H54" s="491">
        <f t="shared" ref="H54:H72" si="22">+I$13*((D54+F54)/2)+E54</f>
        <v>15263.087499752855</v>
      </c>
      <c r="I54" s="511">
        <f t="shared" si="20"/>
        <v>0</v>
      </c>
      <c r="J54" s="511"/>
      <c r="K54" s="525"/>
      <c r="L54" s="514">
        <f t="shared" si="15"/>
        <v>0</v>
      </c>
      <c r="M54" s="525"/>
      <c r="N54" s="514">
        <f t="shared" si="16"/>
        <v>0</v>
      </c>
      <c r="O54" s="514">
        <f t="shared" si="17"/>
        <v>0</v>
      </c>
      <c r="P54" s="272"/>
    </row>
    <row r="55" spans="2:17" ht="12.5">
      <c r="B55" s="195" t="str">
        <f t="shared" si="18"/>
        <v/>
      </c>
      <c r="C55" s="507">
        <f>IF(D11="","-",+C54+1)</f>
        <v>2050</v>
      </c>
      <c r="D55" s="523">
        <f>IF(F54+SUM(E$17:E54)=D$10,F54,D$10-SUM(E$17:E54))</f>
        <v>43915.357466979789</v>
      </c>
      <c r="E55" s="522">
        <f>IF(+I14&lt;F54,I14,D55)</f>
        <v>10036.119047619048</v>
      </c>
      <c r="F55" s="523">
        <f t="shared" si="19"/>
        <v>33879.238419360743</v>
      </c>
      <c r="G55" s="524">
        <f t="shared" si="21"/>
        <v>14191.049598667018</v>
      </c>
      <c r="H55" s="491">
        <f t="shared" si="22"/>
        <v>14191.049598667018</v>
      </c>
      <c r="I55" s="511">
        <f t="shared" si="20"/>
        <v>0</v>
      </c>
      <c r="J55" s="511"/>
      <c r="K55" s="525"/>
      <c r="L55" s="514">
        <f t="shared" si="15"/>
        <v>0</v>
      </c>
      <c r="M55" s="525"/>
      <c r="N55" s="514">
        <f t="shared" si="16"/>
        <v>0</v>
      </c>
      <c r="O55" s="514">
        <f t="shared" si="17"/>
        <v>0</v>
      </c>
      <c r="P55" s="272"/>
    </row>
    <row r="56" spans="2:17" ht="12.5">
      <c r="B56" s="195" t="str">
        <f t="shared" si="18"/>
        <v/>
      </c>
      <c r="C56" s="507">
        <f>IF(D11="","-",+C55+1)</f>
        <v>2051</v>
      </c>
      <c r="D56" s="523">
        <f>IF(F55+SUM(E$17:E55)=D$10,F55,D$10-SUM(E$17:E55))</f>
        <v>33879.238419360743</v>
      </c>
      <c r="E56" s="522">
        <f>IF(+I14&lt;F55,I14,D56)</f>
        <v>10036.119047619048</v>
      </c>
      <c r="F56" s="523">
        <f t="shared" si="19"/>
        <v>23843.119371741697</v>
      </c>
      <c r="G56" s="524">
        <f t="shared" si="21"/>
        <v>13119.011697581176</v>
      </c>
      <c r="H56" s="491">
        <f t="shared" si="22"/>
        <v>13119.011697581176</v>
      </c>
      <c r="I56" s="511">
        <f t="shared" si="20"/>
        <v>0</v>
      </c>
      <c r="J56" s="511"/>
      <c r="K56" s="525"/>
      <c r="L56" s="514">
        <f t="shared" si="15"/>
        <v>0</v>
      </c>
      <c r="M56" s="525"/>
      <c r="N56" s="514">
        <f t="shared" si="16"/>
        <v>0</v>
      </c>
      <c r="O56" s="514">
        <f t="shared" si="17"/>
        <v>0</v>
      </c>
      <c r="P56" s="272"/>
    </row>
    <row r="57" spans="2:17" ht="12.5">
      <c r="B57" s="195" t="str">
        <f t="shared" si="18"/>
        <v/>
      </c>
      <c r="C57" s="507">
        <f>IF(D11="","-",+C56+1)</f>
        <v>2052</v>
      </c>
      <c r="D57" s="523">
        <f>IF(F56+SUM(E$17:E56)=D$10,F56,D$10-SUM(E$17:E56))</f>
        <v>23843.119371741697</v>
      </c>
      <c r="E57" s="522">
        <f>IF(+I14&lt;F56,I14,D57)</f>
        <v>10036.119047619048</v>
      </c>
      <c r="F57" s="523">
        <f t="shared" si="19"/>
        <v>13807.00032412265</v>
      </c>
      <c r="G57" s="524">
        <f t="shared" si="21"/>
        <v>12046.973796495337</v>
      </c>
      <c r="H57" s="491">
        <f t="shared" si="22"/>
        <v>12046.973796495337</v>
      </c>
      <c r="I57" s="511">
        <f t="shared" si="20"/>
        <v>0</v>
      </c>
      <c r="J57" s="511"/>
      <c r="K57" s="525"/>
      <c r="L57" s="514">
        <f t="shared" si="15"/>
        <v>0</v>
      </c>
      <c r="M57" s="525"/>
      <c r="N57" s="514">
        <f t="shared" si="16"/>
        <v>0</v>
      </c>
      <c r="O57" s="514">
        <f t="shared" si="17"/>
        <v>0</v>
      </c>
      <c r="P57" s="272"/>
    </row>
    <row r="58" spans="2:17" ht="12.5">
      <c r="B58" s="195" t="str">
        <f t="shared" si="18"/>
        <v/>
      </c>
      <c r="C58" s="507">
        <f>IF(D11="","-",+C57+1)</f>
        <v>2053</v>
      </c>
      <c r="D58" s="523">
        <f>IF(F57+SUM(E$17:E57)=D$10,F57,D$10-SUM(E$17:E57))</f>
        <v>13807.00032412265</v>
      </c>
      <c r="E58" s="522">
        <f>IF(+I14&lt;F57,I14,D58)</f>
        <v>10036.119047619048</v>
      </c>
      <c r="F58" s="523">
        <f t="shared" si="19"/>
        <v>3770.8812765036018</v>
      </c>
      <c r="G58" s="524">
        <f t="shared" si="21"/>
        <v>10974.935895409495</v>
      </c>
      <c r="H58" s="491">
        <f t="shared" si="22"/>
        <v>10974.935895409495</v>
      </c>
      <c r="I58" s="511">
        <f t="shared" si="20"/>
        <v>0</v>
      </c>
      <c r="J58" s="511"/>
      <c r="K58" s="525"/>
      <c r="L58" s="514">
        <f t="shared" si="15"/>
        <v>0</v>
      </c>
      <c r="M58" s="525"/>
      <c r="N58" s="514">
        <f t="shared" si="16"/>
        <v>0</v>
      </c>
      <c r="O58" s="514">
        <f t="shared" si="17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18"/>
        <v/>
      </c>
      <c r="C59" s="507">
        <f>IF(D11="","-",+C58+1)</f>
        <v>2054</v>
      </c>
      <c r="D59" s="523">
        <f>IF(F58+SUM(E$17:E58)=D$10,F58,D$10-SUM(E$17:E58))</f>
        <v>3770.8812765036018</v>
      </c>
      <c r="E59" s="522">
        <f>IF(+I14&lt;F58,I14,D59)</f>
        <v>3770.8812765036018</v>
      </c>
      <c r="F59" s="523">
        <f t="shared" si="19"/>
        <v>0</v>
      </c>
      <c r="G59" s="524">
        <f t="shared" si="21"/>
        <v>3972.2802251273661</v>
      </c>
      <c r="H59" s="491">
        <f t="shared" si="22"/>
        <v>3972.2802251273661</v>
      </c>
      <c r="I59" s="511">
        <f t="shared" si="20"/>
        <v>0</v>
      </c>
      <c r="J59" s="511"/>
      <c r="K59" s="525"/>
      <c r="L59" s="514">
        <f t="shared" si="15"/>
        <v>0</v>
      </c>
      <c r="M59" s="525"/>
      <c r="N59" s="514">
        <f t="shared" si="16"/>
        <v>0</v>
      </c>
      <c r="O59" s="514">
        <f t="shared" si="17"/>
        <v>0</v>
      </c>
      <c r="P59" s="272"/>
    </row>
    <row r="60" spans="2:17" ht="12.5">
      <c r="B60" s="195" t="str">
        <f t="shared" si="18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9"/>
        <v>0</v>
      </c>
      <c r="G60" s="524">
        <f t="shared" si="21"/>
        <v>0</v>
      </c>
      <c r="H60" s="491">
        <f t="shared" si="22"/>
        <v>0</v>
      </c>
      <c r="I60" s="511">
        <f t="shared" si="20"/>
        <v>0</v>
      </c>
      <c r="J60" s="511"/>
      <c r="K60" s="525"/>
      <c r="L60" s="514">
        <f t="shared" si="15"/>
        <v>0</v>
      </c>
      <c r="M60" s="525"/>
      <c r="N60" s="514">
        <f t="shared" si="16"/>
        <v>0</v>
      </c>
      <c r="O60" s="514">
        <f t="shared" si="17"/>
        <v>0</v>
      </c>
      <c r="P60" s="272"/>
    </row>
    <row r="61" spans="2:17" ht="12.5">
      <c r="B61" s="195" t="str">
        <f t="shared" si="18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9"/>
        <v>0</v>
      </c>
      <c r="G61" s="526">
        <f t="shared" si="21"/>
        <v>0</v>
      </c>
      <c r="H61" s="491">
        <f t="shared" si="22"/>
        <v>0</v>
      </c>
      <c r="I61" s="511">
        <f t="shared" si="20"/>
        <v>0</v>
      </c>
      <c r="J61" s="511"/>
      <c r="K61" s="525"/>
      <c r="L61" s="514">
        <f t="shared" si="15"/>
        <v>0</v>
      </c>
      <c r="M61" s="525"/>
      <c r="N61" s="514">
        <f t="shared" si="16"/>
        <v>0</v>
      </c>
      <c r="O61" s="514">
        <f t="shared" si="17"/>
        <v>0</v>
      </c>
      <c r="P61" s="272"/>
    </row>
    <row r="62" spans="2:17" ht="12.5">
      <c r="B62" s="195" t="str">
        <f t="shared" si="18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9"/>
        <v>0</v>
      </c>
      <c r="G62" s="526">
        <f t="shared" si="21"/>
        <v>0</v>
      </c>
      <c r="H62" s="491">
        <f t="shared" si="22"/>
        <v>0</v>
      </c>
      <c r="I62" s="511">
        <f t="shared" si="20"/>
        <v>0</v>
      </c>
      <c r="J62" s="511"/>
      <c r="K62" s="525"/>
      <c r="L62" s="514">
        <f t="shared" si="15"/>
        <v>0</v>
      </c>
      <c r="M62" s="525"/>
      <c r="N62" s="514">
        <f t="shared" si="16"/>
        <v>0</v>
      </c>
      <c r="O62" s="514">
        <f t="shared" si="17"/>
        <v>0</v>
      </c>
      <c r="P62" s="272"/>
    </row>
    <row r="63" spans="2:17" ht="12.5">
      <c r="B63" s="195" t="str">
        <f t="shared" si="18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9"/>
        <v>0</v>
      </c>
      <c r="G63" s="526">
        <f t="shared" si="21"/>
        <v>0</v>
      </c>
      <c r="H63" s="491">
        <f t="shared" si="22"/>
        <v>0</v>
      </c>
      <c r="I63" s="511">
        <f t="shared" si="20"/>
        <v>0</v>
      </c>
      <c r="J63" s="511"/>
      <c r="K63" s="525"/>
      <c r="L63" s="514">
        <f t="shared" si="15"/>
        <v>0</v>
      </c>
      <c r="M63" s="525"/>
      <c r="N63" s="514">
        <f t="shared" si="16"/>
        <v>0</v>
      </c>
      <c r="O63" s="514">
        <f t="shared" si="17"/>
        <v>0</v>
      </c>
      <c r="P63" s="272"/>
    </row>
    <row r="64" spans="2:17" ht="12.5">
      <c r="B64" s="195" t="str">
        <f t="shared" si="18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9"/>
        <v>0</v>
      </c>
      <c r="G64" s="526">
        <f t="shared" si="21"/>
        <v>0</v>
      </c>
      <c r="H64" s="491">
        <f t="shared" si="22"/>
        <v>0</v>
      </c>
      <c r="I64" s="511">
        <f t="shared" si="20"/>
        <v>0</v>
      </c>
      <c r="J64" s="511"/>
      <c r="K64" s="525"/>
      <c r="L64" s="514">
        <f t="shared" si="15"/>
        <v>0</v>
      </c>
      <c r="M64" s="525"/>
      <c r="N64" s="514">
        <f t="shared" si="16"/>
        <v>0</v>
      </c>
      <c r="O64" s="514">
        <f t="shared" si="17"/>
        <v>0</v>
      </c>
      <c r="P64" s="272"/>
    </row>
    <row r="65" spans="1:16" ht="12.5">
      <c r="B65" s="195" t="str">
        <f t="shared" si="18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9"/>
        <v>0</v>
      </c>
      <c r="G65" s="526">
        <f t="shared" si="21"/>
        <v>0</v>
      </c>
      <c r="H65" s="491">
        <f t="shared" si="22"/>
        <v>0</v>
      </c>
      <c r="I65" s="511">
        <f t="shared" si="20"/>
        <v>0</v>
      </c>
      <c r="J65" s="511"/>
      <c r="K65" s="525"/>
      <c r="L65" s="514">
        <f t="shared" si="15"/>
        <v>0</v>
      </c>
      <c r="M65" s="525"/>
      <c r="N65" s="514">
        <f t="shared" si="16"/>
        <v>0</v>
      </c>
      <c r="O65" s="514">
        <f t="shared" si="17"/>
        <v>0</v>
      </c>
      <c r="P65" s="272"/>
    </row>
    <row r="66" spans="1:16" ht="12.5">
      <c r="B66" s="195" t="str">
        <f t="shared" si="18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9"/>
        <v>0</v>
      </c>
      <c r="G66" s="526">
        <f t="shared" si="21"/>
        <v>0</v>
      </c>
      <c r="H66" s="491">
        <f t="shared" si="22"/>
        <v>0</v>
      </c>
      <c r="I66" s="511">
        <f t="shared" si="20"/>
        <v>0</v>
      </c>
      <c r="J66" s="511"/>
      <c r="K66" s="525"/>
      <c r="L66" s="514">
        <f t="shared" si="15"/>
        <v>0</v>
      </c>
      <c r="M66" s="525"/>
      <c r="N66" s="514">
        <f t="shared" si="16"/>
        <v>0</v>
      </c>
      <c r="O66" s="514">
        <f t="shared" si="17"/>
        <v>0</v>
      </c>
      <c r="P66" s="272"/>
    </row>
    <row r="67" spans="1:16" ht="12.5">
      <c r="B67" s="195" t="str">
        <f t="shared" si="18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9"/>
        <v>0</v>
      </c>
      <c r="G67" s="526">
        <f t="shared" si="21"/>
        <v>0</v>
      </c>
      <c r="H67" s="491">
        <f t="shared" si="22"/>
        <v>0</v>
      </c>
      <c r="I67" s="511">
        <f t="shared" si="20"/>
        <v>0</v>
      </c>
      <c r="J67" s="511"/>
      <c r="K67" s="525"/>
      <c r="L67" s="514">
        <f t="shared" si="15"/>
        <v>0</v>
      </c>
      <c r="M67" s="525"/>
      <c r="N67" s="514">
        <f t="shared" si="16"/>
        <v>0</v>
      </c>
      <c r="O67" s="514">
        <f t="shared" si="17"/>
        <v>0</v>
      </c>
      <c r="P67" s="272"/>
    </row>
    <row r="68" spans="1:16" ht="12.5">
      <c r="B68" s="195" t="str">
        <f t="shared" si="18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9"/>
        <v>0</v>
      </c>
      <c r="G68" s="526">
        <f t="shared" si="21"/>
        <v>0</v>
      </c>
      <c r="H68" s="491">
        <f t="shared" si="22"/>
        <v>0</v>
      </c>
      <c r="I68" s="511">
        <f t="shared" si="20"/>
        <v>0</v>
      </c>
      <c r="J68" s="511"/>
      <c r="K68" s="525"/>
      <c r="L68" s="514">
        <f t="shared" si="15"/>
        <v>0</v>
      </c>
      <c r="M68" s="525"/>
      <c r="N68" s="514">
        <f t="shared" si="16"/>
        <v>0</v>
      </c>
      <c r="O68" s="514">
        <f t="shared" si="17"/>
        <v>0</v>
      </c>
      <c r="P68" s="272"/>
    </row>
    <row r="69" spans="1:16" ht="12.5">
      <c r="B69" s="195" t="str">
        <f t="shared" si="18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9"/>
        <v>0</v>
      </c>
      <c r="G69" s="526">
        <f t="shared" si="21"/>
        <v>0</v>
      </c>
      <c r="H69" s="491">
        <f t="shared" si="22"/>
        <v>0</v>
      </c>
      <c r="I69" s="511">
        <f t="shared" si="20"/>
        <v>0</v>
      </c>
      <c r="J69" s="511"/>
      <c r="K69" s="525"/>
      <c r="L69" s="514">
        <f t="shared" si="15"/>
        <v>0</v>
      </c>
      <c r="M69" s="525"/>
      <c r="N69" s="514">
        <f t="shared" si="16"/>
        <v>0</v>
      </c>
      <c r="O69" s="514">
        <f t="shared" si="17"/>
        <v>0</v>
      </c>
      <c r="P69" s="272"/>
    </row>
    <row r="70" spans="1:16" ht="12.5">
      <c r="B70" s="195" t="str">
        <f t="shared" si="18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9"/>
        <v>0</v>
      </c>
      <c r="G70" s="526">
        <f t="shared" si="21"/>
        <v>0</v>
      </c>
      <c r="H70" s="491">
        <f t="shared" si="22"/>
        <v>0</v>
      </c>
      <c r="I70" s="511">
        <f t="shared" si="20"/>
        <v>0</v>
      </c>
      <c r="J70" s="511"/>
      <c r="K70" s="525"/>
      <c r="L70" s="514">
        <f t="shared" si="15"/>
        <v>0</v>
      </c>
      <c r="M70" s="525"/>
      <c r="N70" s="514">
        <f t="shared" si="16"/>
        <v>0</v>
      </c>
      <c r="O70" s="514">
        <f t="shared" si="17"/>
        <v>0</v>
      </c>
      <c r="P70" s="272"/>
    </row>
    <row r="71" spans="1:16" ht="12.5">
      <c r="B71" s="195" t="str">
        <f t="shared" si="18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9"/>
        <v>0</v>
      </c>
      <c r="G71" s="526">
        <f t="shared" si="21"/>
        <v>0</v>
      </c>
      <c r="H71" s="491">
        <f t="shared" si="22"/>
        <v>0</v>
      </c>
      <c r="I71" s="511">
        <f t="shared" si="20"/>
        <v>0</v>
      </c>
      <c r="J71" s="511"/>
      <c r="K71" s="525"/>
      <c r="L71" s="514">
        <f t="shared" si="15"/>
        <v>0</v>
      </c>
      <c r="M71" s="525"/>
      <c r="N71" s="514">
        <f t="shared" si="16"/>
        <v>0</v>
      </c>
      <c r="O71" s="514">
        <f t="shared" si="17"/>
        <v>0</v>
      </c>
      <c r="P71" s="272"/>
    </row>
    <row r="72" spans="1:16" ht="13" thickBot="1">
      <c r="B72" s="195" t="str">
        <f t="shared" si="18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9"/>
        <v>0</v>
      </c>
      <c r="G72" s="530">
        <f t="shared" si="21"/>
        <v>0</v>
      </c>
      <c r="H72" s="471">
        <f t="shared" si="22"/>
        <v>0</v>
      </c>
      <c r="I72" s="531">
        <f t="shared" si="20"/>
        <v>0</v>
      </c>
      <c r="J72" s="511"/>
      <c r="K72" s="532"/>
      <c r="L72" s="533">
        <f t="shared" si="15"/>
        <v>0</v>
      </c>
      <c r="M72" s="532"/>
      <c r="N72" s="533">
        <f t="shared" si="16"/>
        <v>0</v>
      </c>
      <c r="O72" s="533">
        <f t="shared" si="17"/>
        <v>0</v>
      </c>
      <c r="P72" s="272"/>
    </row>
    <row r="73" spans="1:16" ht="12.5">
      <c r="C73" s="374" t="s">
        <v>78</v>
      </c>
      <c r="D73" s="375"/>
      <c r="E73" s="375">
        <f>SUM(E17:E72)</f>
        <v>421516.99999999994</v>
      </c>
      <c r="F73" s="375"/>
      <c r="G73" s="375">
        <f>SUM(G17:G72)</f>
        <v>1468186.5223353712</v>
      </c>
      <c r="H73" s="375">
        <f>SUM(H17:H72)</f>
        <v>1468186.5223353712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27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45085.524504887275</v>
      </c>
      <c r="N87" s="546">
        <f>IF(J92&lt;D11,0,VLOOKUP(J92,C17:O72,11))</f>
        <v>45085.524504887275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46760.886604706458</v>
      </c>
      <c r="N88" s="550">
        <f>IF(J92&lt;D11,0,VLOOKUP(J92,C99:P154,7))</f>
        <v>46760.886604706458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Linwood - Powell Street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1675.3620998191836</v>
      </c>
      <c r="N89" s="555">
        <f>+N88-N87</f>
        <v>1675.3620998191836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TP2009015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421517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10036.119047619048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5119.25</v>
      </c>
      <c r="F99" s="515">
        <v>424897.75</v>
      </c>
      <c r="G99" s="574">
        <v>212448.875</v>
      </c>
      <c r="H99" s="575">
        <v>36381.937261919113</v>
      </c>
      <c r="I99" s="576">
        <v>36381.937261919113</v>
      </c>
      <c r="J99" s="613">
        <f t="shared" ref="J99:J130" si="23">+I99-H99</f>
        <v>0</v>
      </c>
      <c r="K99" s="514"/>
      <c r="L99" s="512">
        <f t="shared" ref="L99:L104" si="24">H99</f>
        <v>36381.937261919113</v>
      </c>
      <c r="M99" s="597">
        <f t="shared" ref="M99:M130" si="25">IF(L99&lt;&gt;0,+H99-L99,0)</f>
        <v>0</v>
      </c>
      <c r="N99" s="512">
        <f t="shared" ref="N99:N104" si="26">I99</f>
        <v>36381.937261919113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 ht="12.5">
      <c r="B100" s="195" t="str">
        <f t="shared" ref="B100:B131" si="29">IF(D100=F99,"","IU")</f>
        <v/>
      </c>
      <c r="C100" s="507">
        <f>IF(D93="","-",+C99+1)</f>
        <v>2013</v>
      </c>
      <c r="D100" s="508">
        <v>424897.75</v>
      </c>
      <c r="E100" s="516">
        <v>10238.5</v>
      </c>
      <c r="F100" s="515">
        <v>414659.25</v>
      </c>
      <c r="G100" s="515">
        <v>419778.5</v>
      </c>
      <c r="H100" s="575">
        <v>67031.047857906437</v>
      </c>
      <c r="I100" s="576">
        <v>67031.047857906437</v>
      </c>
      <c r="J100" s="613">
        <v>0</v>
      </c>
      <c r="K100" s="514"/>
      <c r="L100" s="518">
        <f t="shared" si="24"/>
        <v>67031.047857906437</v>
      </c>
      <c r="M100" s="519">
        <f t="shared" ref="M100:M105" si="30">IF(L100&lt;&gt;0,+H100-L100,0)</f>
        <v>0</v>
      </c>
      <c r="N100" s="518">
        <f t="shared" si="26"/>
        <v>67031.047857906437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29"/>
        <v>IU</v>
      </c>
      <c r="C101" s="507">
        <f>IF(D93="","-",+C100+1)</f>
        <v>2014</v>
      </c>
      <c r="D101" s="508">
        <v>406159.25</v>
      </c>
      <c r="E101" s="516">
        <v>10036.119047619048</v>
      </c>
      <c r="F101" s="515">
        <v>396123.13095238095</v>
      </c>
      <c r="G101" s="515">
        <v>401141.19047619047</v>
      </c>
      <c r="H101" s="575">
        <v>64560.617511183853</v>
      </c>
      <c r="I101" s="576">
        <v>64560.617511183853</v>
      </c>
      <c r="J101" s="514">
        <v>0</v>
      </c>
      <c r="K101" s="514"/>
      <c r="L101" s="518">
        <f t="shared" si="24"/>
        <v>64560.617511183853</v>
      </c>
      <c r="M101" s="519">
        <f t="shared" si="30"/>
        <v>0</v>
      </c>
      <c r="N101" s="518">
        <f t="shared" si="26"/>
        <v>64560.617511183853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9"/>
        <v/>
      </c>
      <c r="C102" s="507">
        <f>IF(D93="","-",+C101+1)</f>
        <v>2015</v>
      </c>
      <c r="D102" s="508">
        <v>396123.13095238095</v>
      </c>
      <c r="E102" s="516">
        <v>10036.119047619048</v>
      </c>
      <c r="F102" s="515">
        <v>386087.01190476189</v>
      </c>
      <c r="G102" s="515">
        <v>391105.07142857142</v>
      </c>
      <c r="H102" s="575">
        <v>61571.595440980236</v>
      </c>
      <c r="I102" s="576">
        <v>61571.595440980236</v>
      </c>
      <c r="J102" s="514">
        <f t="shared" si="23"/>
        <v>0</v>
      </c>
      <c r="K102" s="514"/>
      <c r="L102" s="518">
        <f t="shared" si="24"/>
        <v>61571.595440980236</v>
      </c>
      <c r="M102" s="519">
        <f t="shared" si="30"/>
        <v>0</v>
      </c>
      <c r="N102" s="518">
        <f t="shared" si="26"/>
        <v>61571.595440980236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9"/>
        <v/>
      </c>
      <c r="C103" s="507">
        <f>IF(D93="","-",+C102+1)</f>
        <v>2016</v>
      </c>
      <c r="D103" s="508">
        <v>386087.01190476189</v>
      </c>
      <c r="E103" s="516">
        <v>9802.7209302325573</v>
      </c>
      <c r="F103" s="515">
        <v>376284.29097452934</v>
      </c>
      <c r="G103" s="515">
        <v>381185.65143964562</v>
      </c>
      <c r="H103" s="575">
        <v>58194.234916187183</v>
      </c>
      <c r="I103" s="576">
        <v>58194.234916187183</v>
      </c>
      <c r="J103" s="514">
        <f t="shared" si="23"/>
        <v>0</v>
      </c>
      <c r="K103" s="514"/>
      <c r="L103" s="518">
        <f t="shared" si="24"/>
        <v>58194.234916187183</v>
      </c>
      <c r="M103" s="519">
        <f t="shared" si="30"/>
        <v>0</v>
      </c>
      <c r="N103" s="518">
        <f t="shared" si="26"/>
        <v>58194.234916187183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9"/>
        <v/>
      </c>
      <c r="C104" s="507">
        <f>IF(D93="","-",+C103+1)</f>
        <v>2017</v>
      </c>
      <c r="D104" s="508">
        <v>376284.29097452934</v>
      </c>
      <c r="E104" s="516">
        <v>10036.119047619048</v>
      </c>
      <c r="F104" s="515">
        <v>366248.17192691029</v>
      </c>
      <c r="G104" s="515">
        <v>371266.23145071982</v>
      </c>
      <c r="H104" s="575">
        <v>55134.369370776643</v>
      </c>
      <c r="I104" s="576">
        <v>55134.369370776643</v>
      </c>
      <c r="J104" s="514">
        <f t="shared" si="23"/>
        <v>0</v>
      </c>
      <c r="K104" s="514"/>
      <c r="L104" s="518">
        <f t="shared" si="24"/>
        <v>55134.369370776643</v>
      </c>
      <c r="M104" s="519">
        <f t="shared" si="30"/>
        <v>0</v>
      </c>
      <c r="N104" s="518">
        <f t="shared" si="26"/>
        <v>55134.369370776643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9"/>
        <v/>
      </c>
      <c r="C105" s="507">
        <f>IF(D93="","-",+C104+1)</f>
        <v>2018</v>
      </c>
      <c r="D105" s="508">
        <v>366248.17192691029</v>
      </c>
      <c r="E105" s="516">
        <v>10036.119047619048</v>
      </c>
      <c r="F105" s="515">
        <v>356212.05287929124</v>
      </c>
      <c r="G105" s="515">
        <v>361230.11240310076</v>
      </c>
      <c r="H105" s="575">
        <v>48183.675453584445</v>
      </c>
      <c r="I105" s="576">
        <v>48183.675453584445</v>
      </c>
      <c r="J105" s="514">
        <f t="shared" si="23"/>
        <v>0</v>
      </c>
      <c r="K105" s="514"/>
      <c r="L105" s="518">
        <f t="shared" ref="L105" si="31">H105</f>
        <v>48183.675453584445</v>
      </c>
      <c r="M105" s="519">
        <f t="shared" si="30"/>
        <v>0</v>
      </c>
      <c r="N105" s="518">
        <f t="shared" ref="N105" si="32">I105</f>
        <v>48183.675453584445</v>
      </c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9"/>
        <v/>
      </c>
      <c r="C106" s="507">
        <f>IF(D93="","-",+C105+1)</f>
        <v>2019</v>
      </c>
      <c r="D106" s="508">
        <v>356212.05287929124</v>
      </c>
      <c r="E106" s="516">
        <v>9802.7209302325573</v>
      </c>
      <c r="F106" s="515">
        <v>346409.33194905869</v>
      </c>
      <c r="G106" s="515">
        <v>351310.69241417496</v>
      </c>
      <c r="H106" s="575">
        <v>47407.209452315969</v>
      </c>
      <c r="I106" s="576">
        <v>47407.209452315969</v>
      </c>
      <c r="J106" s="514">
        <f t="shared" si="23"/>
        <v>0</v>
      </c>
      <c r="K106" s="514"/>
      <c r="L106" s="518">
        <f t="shared" ref="L106" si="33">H106</f>
        <v>47407.209452315969</v>
      </c>
      <c r="M106" s="519">
        <f t="shared" ref="M106" si="34">IF(L106&lt;&gt;0,+H106-L106,0)</f>
        <v>0</v>
      </c>
      <c r="N106" s="518">
        <f t="shared" ref="N106" si="35">I106</f>
        <v>47407.209452315969</v>
      </c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9"/>
        <v/>
      </c>
      <c r="C107" s="507">
        <f>IF(D93="","-",+C106+1)</f>
        <v>2020</v>
      </c>
      <c r="D107" s="374">
        <f>IF(F106+SUM(E$99:E106)=D$92,F106,D$92-SUM(E$99:E106))</f>
        <v>346409.33194905869</v>
      </c>
      <c r="E107" s="522">
        <f>IF(+J96&lt;F106,J96,D107)</f>
        <v>10036.119047619048</v>
      </c>
      <c r="F107" s="523">
        <f t="shared" ref="F107:F131" si="36">+D107-E107</f>
        <v>336373.21290143963</v>
      </c>
      <c r="G107" s="523">
        <f t="shared" ref="G107:G130" si="37">+(F107+D107)/2</f>
        <v>341391.27242524916</v>
      </c>
      <c r="H107" s="526">
        <f t="shared" ref="H107:H130" si="38">+J$94*G107+E107</f>
        <v>46760.886604706458</v>
      </c>
      <c r="I107" s="577">
        <f t="shared" ref="I107:I130" si="39">+J$95*G107+E107</f>
        <v>46760.886604706458</v>
      </c>
      <c r="J107" s="514">
        <f t="shared" si="23"/>
        <v>0</v>
      </c>
      <c r="K107" s="514"/>
      <c r="L107" s="525"/>
      <c r="M107" s="514">
        <f t="shared" si="25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9"/>
        <v/>
      </c>
      <c r="C108" s="507">
        <f>IF(D93="","-",+C107+1)</f>
        <v>2021</v>
      </c>
      <c r="D108" s="374">
        <f>IF(F107+SUM(E$99:E107)=D$92,F107,D$92-SUM(E$99:E107))</f>
        <v>336373.21290143963</v>
      </c>
      <c r="E108" s="522">
        <f>IF(+J96&lt;F107,J96,D108)</f>
        <v>10036.119047619048</v>
      </c>
      <c r="F108" s="523">
        <f t="shared" si="36"/>
        <v>326337.09385382058</v>
      </c>
      <c r="G108" s="523">
        <f t="shared" si="37"/>
        <v>331355.15337763011</v>
      </c>
      <c r="H108" s="526">
        <f t="shared" si="38"/>
        <v>45681.262815320428</v>
      </c>
      <c r="I108" s="577">
        <f t="shared" si="39"/>
        <v>45681.262815320428</v>
      </c>
      <c r="J108" s="514">
        <f t="shared" si="23"/>
        <v>0</v>
      </c>
      <c r="K108" s="514"/>
      <c r="L108" s="525"/>
      <c r="M108" s="514">
        <f t="shared" si="25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9"/>
        <v/>
      </c>
      <c r="C109" s="507">
        <f>IF(D93="","-",+C108+1)</f>
        <v>2022</v>
      </c>
      <c r="D109" s="374">
        <f>IF(F108+SUM(E$99:E108)=D$92,F108,D$92-SUM(E$99:E108))</f>
        <v>326337.09385382058</v>
      </c>
      <c r="E109" s="522">
        <f>IF(+J96&lt;F108,J96,D109)</f>
        <v>10036.119047619048</v>
      </c>
      <c r="F109" s="523">
        <f t="shared" si="36"/>
        <v>316300.97480620153</v>
      </c>
      <c r="G109" s="523">
        <f t="shared" si="37"/>
        <v>321319.03433001105</v>
      </c>
      <c r="H109" s="526">
        <f t="shared" si="38"/>
        <v>44601.63902593439</v>
      </c>
      <c r="I109" s="577">
        <f t="shared" si="39"/>
        <v>44601.63902593439</v>
      </c>
      <c r="J109" s="514">
        <f t="shared" si="23"/>
        <v>0</v>
      </c>
      <c r="K109" s="514"/>
      <c r="L109" s="525"/>
      <c r="M109" s="514">
        <f t="shared" si="25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9"/>
        <v/>
      </c>
      <c r="C110" s="507">
        <f>IF(D93="","-",+C109+1)</f>
        <v>2023</v>
      </c>
      <c r="D110" s="374">
        <f>IF(F109+SUM(E$99:E109)=D$92,F109,D$92-SUM(E$99:E109))</f>
        <v>316300.97480620153</v>
      </c>
      <c r="E110" s="522">
        <f>IF(+J96&lt;F109,J96,D110)</f>
        <v>10036.119047619048</v>
      </c>
      <c r="F110" s="523">
        <f t="shared" si="36"/>
        <v>306264.85575858247</v>
      </c>
      <c r="G110" s="523">
        <f t="shared" si="37"/>
        <v>311282.915282392</v>
      </c>
      <c r="H110" s="526">
        <f t="shared" si="38"/>
        <v>43522.015236548359</v>
      </c>
      <c r="I110" s="577">
        <f t="shared" si="39"/>
        <v>43522.015236548359</v>
      </c>
      <c r="J110" s="514">
        <f t="shared" si="23"/>
        <v>0</v>
      </c>
      <c r="K110" s="514"/>
      <c r="L110" s="525"/>
      <c r="M110" s="514">
        <f t="shared" si="25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9"/>
        <v/>
      </c>
      <c r="C111" s="507">
        <f>IF(D93="","-",+C110+1)</f>
        <v>2024</v>
      </c>
      <c r="D111" s="374">
        <f>IF(F110+SUM(E$99:E110)=D$92,F110,D$92-SUM(E$99:E110))</f>
        <v>306264.85575858247</v>
      </c>
      <c r="E111" s="522">
        <f>IF(+J96&lt;F110,J96,D111)</f>
        <v>10036.119047619048</v>
      </c>
      <c r="F111" s="523">
        <f t="shared" si="36"/>
        <v>296228.73671096342</v>
      </c>
      <c r="G111" s="523">
        <f t="shared" si="37"/>
        <v>301246.79623477295</v>
      </c>
      <c r="H111" s="526">
        <f t="shared" si="38"/>
        <v>42442.391447162328</v>
      </c>
      <c r="I111" s="577">
        <f t="shared" si="39"/>
        <v>42442.391447162328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9"/>
        <v/>
      </c>
      <c r="C112" s="507">
        <f>IF(D93="","-",+C111+1)</f>
        <v>2025</v>
      </c>
      <c r="D112" s="374">
        <f>IF(F111+SUM(E$99:E111)=D$92,F111,D$92-SUM(E$99:E111))</f>
        <v>296228.73671096342</v>
      </c>
      <c r="E112" s="522">
        <f>IF(+J96&lt;F111,J96,D112)</f>
        <v>10036.119047619048</v>
      </c>
      <c r="F112" s="523">
        <f t="shared" si="36"/>
        <v>286192.61766334437</v>
      </c>
      <c r="G112" s="523">
        <f t="shared" si="37"/>
        <v>291210.67718715389</v>
      </c>
      <c r="H112" s="526">
        <f t="shared" si="38"/>
        <v>41362.76765777629</v>
      </c>
      <c r="I112" s="577">
        <f t="shared" si="39"/>
        <v>41362.76765777629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9"/>
        <v/>
      </c>
      <c r="C113" s="507">
        <f>IF(D93="","-",+C112+1)</f>
        <v>2026</v>
      </c>
      <c r="D113" s="374">
        <f>IF(F112+SUM(E$99:E112)=D$92,F112,D$92-SUM(E$99:E112))</f>
        <v>286192.61766334437</v>
      </c>
      <c r="E113" s="522">
        <f>IF(+J96&lt;F112,J96,D113)</f>
        <v>10036.119047619048</v>
      </c>
      <c r="F113" s="523">
        <f t="shared" si="36"/>
        <v>276156.49861572532</v>
      </c>
      <c r="G113" s="523">
        <f t="shared" si="37"/>
        <v>281174.55813953484</v>
      </c>
      <c r="H113" s="526">
        <f t="shared" si="38"/>
        <v>40283.14386839026</v>
      </c>
      <c r="I113" s="577">
        <f t="shared" si="39"/>
        <v>40283.14386839026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9"/>
        <v/>
      </c>
      <c r="C114" s="507">
        <f>IF(D93="","-",+C113+1)</f>
        <v>2027</v>
      </c>
      <c r="D114" s="374">
        <f>IF(F113+SUM(E$99:E113)=D$92,F113,D$92-SUM(E$99:E113))</f>
        <v>276156.49861572532</v>
      </c>
      <c r="E114" s="522">
        <f>IF(+J96&lt;F113,J96,D114)</f>
        <v>10036.119047619048</v>
      </c>
      <c r="F114" s="523">
        <f t="shared" si="36"/>
        <v>266120.37956810626</v>
      </c>
      <c r="G114" s="523">
        <f t="shared" si="37"/>
        <v>271138.43909191579</v>
      </c>
      <c r="H114" s="526">
        <f t="shared" si="38"/>
        <v>39203.520079004222</v>
      </c>
      <c r="I114" s="577">
        <f t="shared" si="39"/>
        <v>39203.520079004222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9"/>
        <v/>
      </c>
      <c r="C115" s="507">
        <f>IF(D93="","-",+C114+1)</f>
        <v>2028</v>
      </c>
      <c r="D115" s="374">
        <f>IF(F114+SUM(E$99:E114)=D$92,F114,D$92-SUM(E$99:E114))</f>
        <v>266120.37956810626</v>
      </c>
      <c r="E115" s="522">
        <f>IF(+J96&lt;F114,J96,D115)</f>
        <v>10036.119047619048</v>
      </c>
      <c r="F115" s="523">
        <f t="shared" si="36"/>
        <v>256084.26052048721</v>
      </c>
      <c r="G115" s="523">
        <f t="shared" si="37"/>
        <v>261102.32004429674</v>
      </c>
      <c r="H115" s="526">
        <f t="shared" si="38"/>
        <v>38123.896289618191</v>
      </c>
      <c r="I115" s="577">
        <f t="shared" si="39"/>
        <v>38123.896289618191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9"/>
        <v/>
      </c>
      <c r="C116" s="507">
        <f>IF(D93="","-",+C115+1)</f>
        <v>2029</v>
      </c>
      <c r="D116" s="374">
        <f>IF(F115+SUM(E$99:E115)=D$92,F115,D$92-SUM(E$99:E115))</f>
        <v>256084.26052048721</v>
      </c>
      <c r="E116" s="522">
        <f>IF(+J96&lt;F115,J96,D116)</f>
        <v>10036.119047619048</v>
      </c>
      <c r="F116" s="523">
        <f t="shared" si="36"/>
        <v>246048.14147286816</v>
      </c>
      <c r="G116" s="523">
        <f t="shared" si="37"/>
        <v>251066.20099667768</v>
      </c>
      <c r="H116" s="526">
        <f t="shared" si="38"/>
        <v>37044.27250023216</v>
      </c>
      <c r="I116" s="577">
        <f t="shared" si="39"/>
        <v>37044.27250023216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9"/>
        <v/>
      </c>
      <c r="C117" s="507">
        <f>IF(D93="","-",+C116+1)</f>
        <v>2030</v>
      </c>
      <c r="D117" s="374">
        <f>IF(F116+SUM(E$99:E116)=D$92,F116,D$92-SUM(E$99:E116))</f>
        <v>246048.14147286816</v>
      </c>
      <c r="E117" s="522">
        <f>IF(+J96&lt;F116,J96,D117)</f>
        <v>10036.119047619048</v>
      </c>
      <c r="F117" s="523">
        <f t="shared" si="36"/>
        <v>236012.0224252491</v>
      </c>
      <c r="G117" s="523">
        <f t="shared" si="37"/>
        <v>241030.08194905863</v>
      </c>
      <c r="H117" s="526">
        <f t="shared" si="38"/>
        <v>35964.648710846122</v>
      </c>
      <c r="I117" s="577">
        <f t="shared" si="39"/>
        <v>35964.648710846122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9"/>
        <v/>
      </c>
      <c r="C118" s="507">
        <f>IF(D93="","-",+C117+1)</f>
        <v>2031</v>
      </c>
      <c r="D118" s="374">
        <f>IF(F117+SUM(E$99:E117)=D$92,F117,D$92-SUM(E$99:E117))</f>
        <v>236012.0224252491</v>
      </c>
      <c r="E118" s="522">
        <f>IF(+J96&lt;F117,J96,D118)</f>
        <v>10036.119047619048</v>
      </c>
      <c r="F118" s="523">
        <f t="shared" si="36"/>
        <v>225975.90337763005</v>
      </c>
      <c r="G118" s="523">
        <f t="shared" si="37"/>
        <v>230993.96290143958</v>
      </c>
      <c r="H118" s="526">
        <f t="shared" si="38"/>
        <v>34885.024921460092</v>
      </c>
      <c r="I118" s="577">
        <f t="shared" si="39"/>
        <v>34885.024921460092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9"/>
        <v/>
      </c>
      <c r="C119" s="507">
        <f>IF(D93="","-",+C118+1)</f>
        <v>2032</v>
      </c>
      <c r="D119" s="374">
        <f>IF(F118+SUM(E$99:E118)=D$92,F118,D$92-SUM(E$99:E118))</f>
        <v>225975.90337763005</v>
      </c>
      <c r="E119" s="522">
        <f>IF(+J96&lt;F118,J96,D119)</f>
        <v>10036.119047619048</v>
      </c>
      <c r="F119" s="523">
        <f t="shared" si="36"/>
        <v>215939.784330011</v>
      </c>
      <c r="G119" s="523">
        <f t="shared" si="37"/>
        <v>220957.84385382052</v>
      </c>
      <c r="H119" s="526">
        <f t="shared" si="38"/>
        <v>33805.401132074054</v>
      </c>
      <c r="I119" s="577">
        <f t="shared" si="39"/>
        <v>33805.401132074054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9"/>
        <v/>
      </c>
      <c r="C120" s="507">
        <f>IF(D93="","-",+C119+1)</f>
        <v>2033</v>
      </c>
      <c r="D120" s="374">
        <f>IF(F119+SUM(E$99:E119)=D$92,F119,D$92-SUM(E$99:E119))</f>
        <v>215939.784330011</v>
      </c>
      <c r="E120" s="522">
        <f>IF(+J96&lt;F119,J96,D120)</f>
        <v>10036.119047619048</v>
      </c>
      <c r="F120" s="523">
        <f t="shared" si="36"/>
        <v>205903.66528239194</v>
      </c>
      <c r="G120" s="523">
        <f t="shared" si="37"/>
        <v>210921.72480620147</v>
      </c>
      <c r="H120" s="526">
        <f t="shared" si="38"/>
        <v>32725.777342688023</v>
      </c>
      <c r="I120" s="577">
        <f t="shared" si="39"/>
        <v>32725.777342688023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9"/>
        <v/>
      </c>
      <c r="C121" s="507">
        <f>IF(D93="","-",+C120+1)</f>
        <v>2034</v>
      </c>
      <c r="D121" s="374">
        <f>IF(F120+SUM(E$99:E120)=D$92,F120,D$92-SUM(E$99:E120))</f>
        <v>205903.66528239194</v>
      </c>
      <c r="E121" s="522">
        <f>IF(+J96&lt;F120,J96,D121)</f>
        <v>10036.119047619048</v>
      </c>
      <c r="F121" s="523">
        <f t="shared" si="36"/>
        <v>195867.54623477289</v>
      </c>
      <c r="G121" s="523">
        <f t="shared" si="37"/>
        <v>200885.60575858242</v>
      </c>
      <c r="H121" s="526">
        <f t="shared" si="38"/>
        <v>31646.153553301992</v>
      </c>
      <c r="I121" s="577">
        <f t="shared" si="39"/>
        <v>31646.153553301992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9"/>
        <v/>
      </c>
      <c r="C122" s="507">
        <f>IF(D93="","-",+C121+1)</f>
        <v>2035</v>
      </c>
      <c r="D122" s="374">
        <f>IF(F121+SUM(E$99:E121)=D$92,F121,D$92-SUM(E$99:E121))</f>
        <v>195867.54623477289</v>
      </c>
      <c r="E122" s="522">
        <f>IF(+J96&lt;F121,J96,D122)</f>
        <v>10036.119047619048</v>
      </c>
      <c r="F122" s="523">
        <f t="shared" si="36"/>
        <v>185831.42718715384</v>
      </c>
      <c r="G122" s="523">
        <f t="shared" si="37"/>
        <v>190849.48671096336</v>
      </c>
      <c r="H122" s="526">
        <f t="shared" si="38"/>
        <v>30566.529763915954</v>
      </c>
      <c r="I122" s="577">
        <f t="shared" si="39"/>
        <v>30566.529763915954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9"/>
        <v/>
      </c>
      <c r="C123" s="507">
        <f>IF(D93="","-",+C122+1)</f>
        <v>2036</v>
      </c>
      <c r="D123" s="374">
        <f>IF(F122+SUM(E$99:E122)=D$92,F122,D$92-SUM(E$99:E122))</f>
        <v>185831.42718715384</v>
      </c>
      <c r="E123" s="522">
        <f>IF(+J96&lt;F122,J96,D123)</f>
        <v>10036.119047619048</v>
      </c>
      <c r="F123" s="523">
        <f t="shared" si="36"/>
        <v>175795.30813953478</v>
      </c>
      <c r="G123" s="523">
        <f t="shared" si="37"/>
        <v>180813.36766334431</v>
      </c>
      <c r="H123" s="526">
        <f t="shared" si="38"/>
        <v>29486.905974529924</v>
      </c>
      <c r="I123" s="577">
        <f t="shared" si="39"/>
        <v>29486.905974529924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9"/>
        <v/>
      </c>
      <c r="C124" s="507">
        <f>IF(D93="","-",+C123+1)</f>
        <v>2037</v>
      </c>
      <c r="D124" s="374">
        <f>IF(F123+SUM(E$99:E123)=D$92,F123,D$92-SUM(E$99:E123))</f>
        <v>175795.30813953478</v>
      </c>
      <c r="E124" s="522">
        <f>IF(+J96&lt;F123,J96,D124)</f>
        <v>10036.119047619048</v>
      </c>
      <c r="F124" s="523">
        <f t="shared" si="36"/>
        <v>165759.18909191573</v>
      </c>
      <c r="G124" s="523">
        <f t="shared" si="37"/>
        <v>170777.24861572526</v>
      </c>
      <c r="H124" s="526">
        <f t="shared" si="38"/>
        <v>28407.282185143886</v>
      </c>
      <c r="I124" s="577">
        <f t="shared" si="39"/>
        <v>28407.282185143886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9"/>
        <v/>
      </c>
      <c r="C125" s="507">
        <f>IF(D93="","-",+C124+1)</f>
        <v>2038</v>
      </c>
      <c r="D125" s="374">
        <f>IF(F124+SUM(E$99:E124)=D$92,F124,D$92-SUM(E$99:E124))</f>
        <v>165759.18909191573</v>
      </c>
      <c r="E125" s="522">
        <f>IF(+J96&lt;F124,J96,D125)</f>
        <v>10036.119047619048</v>
      </c>
      <c r="F125" s="523">
        <f t="shared" si="36"/>
        <v>155723.07004429668</v>
      </c>
      <c r="G125" s="523">
        <f t="shared" si="37"/>
        <v>160741.1295681062</v>
      </c>
      <c r="H125" s="526">
        <f t="shared" si="38"/>
        <v>27327.658395757855</v>
      </c>
      <c r="I125" s="577">
        <f t="shared" si="39"/>
        <v>27327.658395757855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9"/>
        <v/>
      </c>
      <c r="C126" s="507">
        <f>IF(D93="","-",+C125+1)</f>
        <v>2039</v>
      </c>
      <c r="D126" s="374">
        <f>IF(F125+SUM(E$99:E125)=D$92,F125,D$92-SUM(E$99:E125))</f>
        <v>155723.07004429668</v>
      </c>
      <c r="E126" s="522">
        <f>IF(+J96&lt;F125,J96,D126)</f>
        <v>10036.119047619048</v>
      </c>
      <c r="F126" s="523">
        <f t="shared" si="36"/>
        <v>145686.95099667762</v>
      </c>
      <c r="G126" s="523">
        <f t="shared" si="37"/>
        <v>150705.01052048715</v>
      </c>
      <c r="H126" s="526">
        <f t="shared" si="38"/>
        <v>26248.034606371824</v>
      </c>
      <c r="I126" s="577">
        <f t="shared" si="39"/>
        <v>26248.034606371824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9"/>
        <v/>
      </c>
      <c r="C127" s="507">
        <f>IF(D93="","-",+C126+1)</f>
        <v>2040</v>
      </c>
      <c r="D127" s="374">
        <f>IF(F126+SUM(E$99:E126)=D$92,F126,D$92-SUM(E$99:E126))</f>
        <v>145686.95099667762</v>
      </c>
      <c r="E127" s="522">
        <f>IF(+J96&lt;F126,J96,D127)</f>
        <v>10036.119047619048</v>
      </c>
      <c r="F127" s="523">
        <f t="shared" si="36"/>
        <v>135650.83194905857</v>
      </c>
      <c r="G127" s="523">
        <f t="shared" si="37"/>
        <v>140668.8914728681</v>
      </c>
      <c r="H127" s="526">
        <f t="shared" si="38"/>
        <v>25168.410816985786</v>
      </c>
      <c r="I127" s="577">
        <f t="shared" si="39"/>
        <v>25168.410816985786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9"/>
        <v/>
      </c>
      <c r="C128" s="507">
        <f>IF(D93="","-",+C127+1)</f>
        <v>2041</v>
      </c>
      <c r="D128" s="374">
        <f>IF(F127+SUM(E$99:E127)=D$92,F127,D$92-SUM(E$99:E127))</f>
        <v>135650.83194905857</v>
      </c>
      <c r="E128" s="522">
        <f>IF(+J96&lt;F127,J96,D128)</f>
        <v>10036.119047619048</v>
      </c>
      <c r="F128" s="523">
        <f t="shared" si="36"/>
        <v>125614.71290143952</v>
      </c>
      <c r="G128" s="523">
        <f t="shared" si="37"/>
        <v>130632.77242524904</v>
      </c>
      <c r="H128" s="526">
        <f t="shared" si="38"/>
        <v>24088.787027599756</v>
      </c>
      <c r="I128" s="577">
        <f t="shared" si="39"/>
        <v>24088.787027599756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9"/>
        <v/>
      </c>
      <c r="C129" s="507">
        <f>IF(D93="","-",+C128+1)</f>
        <v>2042</v>
      </c>
      <c r="D129" s="374">
        <f>IF(F128+SUM(E$99:E128)=D$92,F128,D$92-SUM(E$99:E128))</f>
        <v>125614.71290143952</v>
      </c>
      <c r="E129" s="522">
        <f>IF(+J96&lt;F128,J96,D129)</f>
        <v>10036.119047619048</v>
      </c>
      <c r="F129" s="523">
        <f t="shared" si="36"/>
        <v>115578.59385382046</v>
      </c>
      <c r="G129" s="523">
        <f t="shared" si="37"/>
        <v>120596.65337762999</v>
      </c>
      <c r="H129" s="526">
        <f t="shared" si="38"/>
        <v>23009.163238213721</v>
      </c>
      <c r="I129" s="577">
        <f t="shared" si="39"/>
        <v>23009.163238213721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9"/>
        <v/>
      </c>
      <c r="C130" s="507">
        <f>IF(D93="","-",+C129+1)</f>
        <v>2043</v>
      </c>
      <c r="D130" s="374">
        <f>IF(F129+SUM(E$99:E129)=D$92,F129,D$92-SUM(E$99:E129))</f>
        <v>115578.59385382046</v>
      </c>
      <c r="E130" s="522">
        <f>IF(+J96&lt;F129,J96,D130)</f>
        <v>10036.119047619048</v>
      </c>
      <c r="F130" s="523">
        <f t="shared" si="36"/>
        <v>105542.47480620141</v>
      </c>
      <c r="G130" s="523">
        <f t="shared" si="37"/>
        <v>110560.53433001094</v>
      </c>
      <c r="H130" s="526">
        <f t="shared" si="38"/>
        <v>21929.539448827687</v>
      </c>
      <c r="I130" s="577">
        <f t="shared" si="39"/>
        <v>21929.539448827687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9"/>
        <v/>
      </c>
      <c r="C131" s="507">
        <f>IF(D93="","-",+C130+1)</f>
        <v>2044</v>
      </c>
      <c r="D131" s="374">
        <f>IF(F130+SUM(E$99:E130)=D$92,F130,D$92-SUM(E$99:E130))</f>
        <v>105542.47480620141</v>
      </c>
      <c r="E131" s="522">
        <f>IF(+J96&lt;F130,J96,D131)</f>
        <v>10036.119047619048</v>
      </c>
      <c r="F131" s="523">
        <f t="shared" si="36"/>
        <v>95506.355758582358</v>
      </c>
      <c r="G131" s="523">
        <f t="shared" ref="G131:G154" si="40">+(F131+D131)/2</f>
        <v>100524.41528239188</v>
      </c>
      <c r="H131" s="526">
        <f t="shared" ref="H131:H154" si="41">+J$94*G131+E131</f>
        <v>20849.915659441656</v>
      </c>
      <c r="I131" s="577">
        <f t="shared" ref="I131:I154" si="42">+J$95*G131+E131</f>
        <v>20849.915659441656</v>
      </c>
      <c r="J131" s="514">
        <f t="shared" ref="J131:J154" si="43">+I131-H131</f>
        <v>0</v>
      </c>
      <c r="K131" s="514"/>
      <c r="L131" s="525"/>
      <c r="M131" s="514">
        <f t="shared" ref="M131:M154" si="44">IF(L131&lt;&gt;0,+H131-L131,0)</f>
        <v>0</v>
      </c>
      <c r="N131" s="525"/>
      <c r="O131" s="514">
        <f t="shared" ref="O131:O154" si="45">IF(N131&lt;&gt;0,+I131-N131,0)</f>
        <v>0</v>
      </c>
      <c r="P131" s="514">
        <f t="shared" ref="P131:P154" si="46">+O131-M131</f>
        <v>0</v>
      </c>
      <c r="Q131" s="269"/>
    </row>
    <row r="132" spans="2:17" ht="12.5">
      <c r="B132" s="195" t="str">
        <f t="shared" ref="B132:B154" si="47">IF(D132=F131,"","IU")</f>
        <v/>
      </c>
      <c r="C132" s="507">
        <f>IF(D93="","-",+C131+1)</f>
        <v>2045</v>
      </c>
      <c r="D132" s="374">
        <f>IF(F131+SUM(E$99:E131)=D$92,F131,D$92-SUM(E$99:E131))</f>
        <v>95506.355758582358</v>
      </c>
      <c r="E132" s="522">
        <f>IF(+J96&lt;F131,J96,D132)</f>
        <v>10036.119047619048</v>
      </c>
      <c r="F132" s="523">
        <f t="shared" ref="F132:F154" si="48">+D132-E132</f>
        <v>85470.236710963305</v>
      </c>
      <c r="G132" s="523">
        <f t="shared" si="40"/>
        <v>90488.296234772832</v>
      </c>
      <c r="H132" s="526">
        <f t="shared" si="41"/>
        <v>19770.291870055618</v>
      </c>
      <c r="I132" s="577">
        <f t="shared" si="42"/>
        <v>19770.291870055618</v>
      </c>
      <c r="J132" s="514">
        <f t="shared" si="43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 ht="12.5">
      <c r="B133" s="195" t="str">
        <f t="shared" si="47"/>
        <v/>
      </c>
      <c r="C133" s="507">
        <f>IF(D93="","-",+C132+1)</f>
        <v>2046</v>
      </c>
      <c r="D133" s="374">
        <f>IF(F132+SUM(E$99:E132)=D$92,F132,D$92-SUM(E$99:E132))</f>
        <v>85470.236710963305</v>
      </c>
      <c r="E133" s="522">
        <f>IF(+J96&lt;F132,J96,D133)</f>
        <v>10036.119047619048</v>
      </c>
      <c r="F133" s="523">
        <f t="shared" si="48"/>
        <v>75434.117663344252</v>
      </c>
      <c r="G133" s="523">
        <f t="shared" si="40"/>
        <v>80452.177187153779</v>
      </c>
      <c r="H133" s="526">
        <f t="shared" si="41"/>
        <v>18690.668080669588</v>
      </c>
      <c r="I133" s="577">
        <f t="shared" si="42"/>
        <v>18690.668080669588</v>
      </c>
      <c r="J133" s="514">
        <f t="shared" si="43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 ht="12.5">
      <c r="B134" s="195" t="str">
        <f t="shared" si="47"/>
        <v/>
      </c>
      <c r="C134" s="507">
        <f>IF(D93="","-",+C133+1)</f>
        <v>2047</v>
      </c>
      <c r="D134" s="374">
        <f>IF(F133+SUM(E$99:E133)=D$92,F133,D$92-SUM(E$99:E133))</f>
        <v>75434.117663344252</v>
      </c>
      <c r="E134" s="522">
        <f>IF(+J96&lt;F133,J96,D134)</f>
        <v>10036.119047619048</v>
      </c>
      <c r="F134" s="523">
        <f t="shared" si="48"/>
        <v>65397.998615725206</v>
      </c>
      <c r="G134" s="523">
        <f t="shared" si="40"/>
        <v>70416.058139534725</v>
      </c>
      <c r="H134" s="526">
        <f t="shared" si="41"/>
        <v>17611.044291283553</v>
      </c>
      <c r="I134" s="577">
        <f t="shared" si="42"/>
        <v>17611.044291283553</v>
      </c>
      <c r="J134" s="514">
        <f t="shared" si="43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 ht="12.5">
      <c r="B135" s="195" t="str">
        <f t="shared" si="47"/>
        <v/>
      </c>
      <c r="C135" s="507">
        <f>IF(D93="","-",+C134+1)</f>
        <v>2048</v>
      </c>
      <c r="D135" s="374">
        <f>IF(F134+SUM(E$99:E134)=D$92,F134,D$92-SUM(E$99:E134))</f>
        <v>65397.998615725206</v>
      </c>
      <c r="E135" s="522">
        <f>IF(+J96&lt;F134,J96,D135)</f>
        <v>10036.119047619048</v>
      </c>
      <c r="F135" s="523">
        <f t="shared" si="48"/>
        <v>55361.87956810616</v>
      </c>
      <c r="G135" s="523">
        <f t="shared" si="40"/>
        <v>60379.939091915687</v>
      </c>
      <c r="H135" s="526">
        <f t="shared" si="41"/>
        <v>16531.420501897519</v>
      </c>
      <c r="I135" s="577">
        <f t="shared" si="42"/>
        <v>16531.420501897519</v>
      </c>
      <c r="J135" s="514">
        <f t="shared" si="43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 ht="12.5">
      <c r="B136" s="195" t="str">
        <f t="shared" si="47"/>
        <v/>
      </c>
      <c r="C136" s="507">
        <f>IF(D93="","-",+C135+1)</f>
        <v>2049</v>
      </c>
      <c r="D136" s="374">
        <f>IF(F135+SUM(E$99:E135)=D$92,F135,D$92-SUM(E$99:E135))</f>
        <v>55361.87956810616</v>
      </c>
      <c r="E136" s="522">
        <f>IF(+J96&lt;F135,J96,D136)</f>
        <v>10036.119047619048</v>
      </c>
      <c r="F136" s="523">
        <f t="shared" si="48"/>
        <v>45325.760520487114</v>
      </c>
      <c r="G136" s="523">
        <f t="shared" si="40"/>
        <v>50343.820044296634</v>
      </c>
      <c r="H136" s="526">
        <f t="shared" si="41"/>
        <v>15451.796712511488</v>
      </c>
      <c r="I136" s="577">
        <f t="shared" si="42"/>
        <v>15451.796712511488</v>
      </c>
      <c r="J136" s="514">
        <f t="shared" si="43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 ht="12.5">
      <c r="B137" s="195" t="str">
        <f t="shared" si="47"/>
        <v/>
      </c>
      <c r="C137" s="507">
        <f>IF(D93="","-",+C136+1)</f>
        <v>2050</v>
      </c>
      <c r="D137" s="374">
        <f>IF(F136+SUM(E$99:E136)=D$92,F136,D$92-SUM(E$99:E136))</f>
        <v>45325.760520487114</v>
      </c>
      <c r="E137" s="522">
        <f>IF(+J96&lt;F136,J96,D137)</f>
        <v>10036.119047619048</v>
      </c>
      <c r="F137" s="523">
        <f t="shared" si="48"/>
        <v>35289.641472868068</v>
      </c>
      <c r="G137" s="523">
        <f t="shared" si="40"/>
        <v>40307.700996677595</v>
      </c>
      <c r="H137" s="526">
        <f t="shared" si="41"/>
        <v>14372.172923125454</v>
      </c>
      <c r="I137" s="577">
        <f t="shared" si="42"/>
        <v>14372.172923125454</v>
      </c>
      <c r="J137" s="514">
        <f t="shared" si="43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 ht="12.5">
      <c r="B138" s="195" t="str">
        <f t="shared" si="47"/>
        <v/>
      </c>
      <c r="C138" s="507">
        <f>IF(D93="","-",+C137+1)</f>
        <v>2051</v>
      </c>
      <c r="D138" s="374">
        <f>IF(F137+SUM(E$99:E137)=D$92,F137,D$92-SUM(E$99:E137))</f>
        <v>35289.641472868068</v>
      </c>
      <c r="E138" s="522">
        <f>IF(+J96&lt;F137,J96,D138)</f>
        <v>10036.119047619048</v>
      </c>
      <c r="F138" s="523">
        <f t="shared" si="48"/>
        <v>25253.522425249022</v>
      </c>
      <c r="G138" s="523">
        <f t="shared" si="40"/>
        <v>30271.581949058545</v>
      </c>
      <c r="H138" s="526">
        <f t="shared" si="41"/>
        <v>13292.549133739421</v>
      </c>
      <c r="I138" s="577">
        <f t="shared" si="42"/>
        <v>13292.549133739421</v>
      </c>
      <c r="J138" s="514">
        <f t="shared" si="43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 ht="12.5">
      <c r="B139" s="195" t="str">
        <f t="shared" si="47"/>
        <v/>
      </c>
      <c r="C139" s="507">
        <f>IF(D93="","-",+C138+1)</f>
        <v>2052</v>
      </c>
      <c r="D139" s="374">
        <f>IF(F138+SUM(E$99:E138)=D$92,F138,D$92-SUM(E$99:E138))</f>
        <v>25253.522425249022</v>
      </c>
      <c r="E139" s="522">
        <f>IF(+J96&lt;F138,J96,D139)</f>
        <v>10036.119047619048</v>
      </c>
      <c r="F139" s="523">
        <f t="shared" si="48"/>
        <v>15217.403377629975</v>
      </c>
      <c r="G139" s="523">
        <f t="shared" si="40"/>
        <v>20235.4629014395</v>
      </c>
      <c r="H139" s="526">
        <f t="shared" si="41"/>
        <v>12212.925344353389</v>
      </c>
      <c r="I139" s="577">
        <f t="shared" si="42"/>
        <v>12212.925344353389</v>
      </c>
      <c r="J139" s="514">
        <f t="shared" si="43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 ht="12.5">
      <c r="B140" s="195" t="str">
        <f t="shared" si="47"/>
        <v/>
      </c>
      <c r="C140" s="507">
        <f>IF(D93="","-",+C139+1)</f>
        <v>2053</v>
      </c>
      <c r="D140" s="374">
        <f>IF(F139+SUM(E$99:E139)=D$92,F139,D$92-SUM(E$99:E139))</f>
        <v>15217.403377629975</v>
      </c>
      <c r="E140" s="522">
        <f>IF(+J96&lt;F139,J96,D140)</f>
        <v>10036.119047619048</v>
      </c>
      <c r="F140" s="523">
        <f t="shared" si="48"/>
        <v>5181.2843300109271</v>
      </c>
      <c r="G140" s="523">
        <f t="shared" si="40"/>
        <v>10199.34385382045</v>
      </c>
      <c r="H140" s="526">
        <f t="shared" si="41"/>
        <v>11133.301554967356</v>
      </c>
      <c r="I140" s="577">
        <f t="shared" si="42"/>
        <v>11133.301554967356</v>
      </c>
      <c r="J140" s="514">
        <f t="shared" si="43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 ht="12.5">
      <c r="B141" s="195" t="str">
        <f t="shared" si="47"/>
        <v/>
      </c>
      <c r="C141" s="507">
        <f>IF(D93="","-",+C140+1)</f>
        <v>2054</v>
      </c>
      <c r="D141" s="374">
        <f>IF(F140+SUM(E$99:E140)=D$92,F140,D$92-SUM(E$99:E140))</f>
        <v>5181.2843300109271</v>
      </c>
      <c r="E141" s="522">
        <f>IF(+J96&lt;F140,J96,D141)</f>
        <v>5181.2843300109271</v>
      </c>
      <c r="F141" s="523">
        <f t="shared" si="48"/>
        <v>0</v>
      </c>
      <c r="G141" s="523">
        <f t="shared" si="40"/>
        <v>2590.6421650054635</v>
      </c>
      <c r="H141" s="526">
        <f t="shared" si="41"/>
        <v>5459.9696363385729</v>
      </c>
      <c r="I141" s="577">
        <f t="shared" si="42"/>
        <v>5459.9696363385729</v>
      </c>
      <c r="J141" s="514">
        <f t="shared" si="43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 ht="12.5">
      <c r="B142" s="195" t="str">
        <f t="shared" si="47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8"/>
        <v>0</v>
      </c>
      <c r="G142" s="523">
        <f t="shared" si="40"/>
        <v>0</v>
      </c>
      <c r="H142" s="526">
        <f t="shared" si="41"/>
        <v>0</v>
      </c>
      <c r="I142" s="577">
        <f t="shared" si="42"/>
        <v>0</v>
      </c>
      <c r="J142" s="514">
        <f t="shared" si="43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 ht="12.5">
      <c r="B143" s="195" t="str">
        <f t="shared" si="47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8"/>
        <v>0</v>
      </c>
      <c r="G143" s="523">
        <f t="shared" si="40"/>
        <v>0</v>
      </c>
      <c r="H143" s="526">
        <f t="shared" si="41"/>
        <v>0</v>
      </c>
      <c r="I143" s="577">
        <f t="shared" si="42"/>
        <v>0</v>
      </c>
      <c r="J143" s="514">
        <f t="shared" si="43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 ht="12.5">
      <c r="B144" s="195" t="str">
        <f t="shared" si="47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8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43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 ht="12.5">
      <c r="B145" s="195" t="str">
        <f t="shared" si="47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8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43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 ht="12.5">
      <c r="B146" s="195" t="str">
        <f t="shared" si="47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8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43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 ht="12.5">
      <c r="B147" s="195" t="str">
        <f t="shared" si="47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8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43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 ht="12.5">
      <c r="B148" s="195" t="str">
        <f t="shared" si="47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8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43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 ht="12.5">
      <c r="B149" s="195" t="str">
        <f t="shared" si="47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8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43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 ht="12.5">
      <c r="B150" s="195" t="str">
        <f t="shared" si="47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8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43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 ht="12.5">
      <c r="B151" s="195" t="str">
        <f t="shared" si="47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8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43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 ht="12.5">
      <c r="B152" s="195" t="str">
        <f t="shared" si="47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8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43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 ht="12.5">
      <c r="B153" s="195" t="str">
        <f t="shared" si="47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8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43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" thickBot="1">
      <c r="B154" s="195" t="str">
        <f t="shared" si="47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8"/>
        <v>0</v>
      </c>
      <c r="G154" s="528">
        <f t="shared" si="40"/>
        <v>0</v>
      </c>
      <c r="H154" s="530">
        <f t="shared" si="41"/>
        <v>0</v>
      </c>
      <c r="I154" s="579">
        <f t="shared" si="42"/>
        <v>0</v>
      </c>
      <c r="J154" s="533">
        <f t="shared" si="43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 ht="12.5">
      <c r="C155" s="374" t="s">
        <v>78</v>
      </c>
      <c r="D155" s="375"/>
      <c r="E155" s="375">
        <f>SUM(E99:E154)</f>
        <v>421517</v>
      </c>
      <c r="F155" s="375"/>
      <c r="G155" s="375"/>
      <c r="H155" s="375">
        <f>SUM(H99:H154)</f>
        <v>1428125.8556156475</v>
      </c>
      <c r="I155" s="375">
        <f>SUM(I99:I154)</f>
        <v>1428125.8556156475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7" priority="1" stopIfTrue="1" operator="equal">
      <formula>$I$10</formula>
    </cfRule>
  </conditionalFormatting>
  <conditionalFormatting sqref="C99:C154">
    <cfRule type="cellIs" dxfId="10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Q162"/>
  <sheetViews>
    <sheetView view="pageBreakPreview" topLeftCell="A73" zoomScale="75" zoomScaleNormal="100" zoomScaleSheetLayoutView="75" workbookViewId="0">
      <selection activeCell="G108" sqref="G108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28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563802.60432385455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563802.60432385455</v>
      </c>
      <c r="O6" s="269"/>
      <c r="P6" s="269"/>
    </row>
    <row r="7" spans="1:17" ht="13.5" thickBot="1">
      <c r="C7" s="467" t="s">
        <v>48</v>
      </c>
      <c r="D7" s="620" t="s">
        <v>281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280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5268479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125439.97619047618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5819300</v>
      </c>
      <c r="E17" s="509">
        <v>69277.380952380947</v>
      </c>
      <c r="F17" s="508">
        <v>5750022.6190476194</v>
      </c>
      <c r="G17" s="509">
        <v>924421.55024775688</v>
      </c>
      <c r="H17" s="510">
        <v>924421.55024775688</v>
      </c>
      <c r="I17" s="517">
        <v>0</v>
      </c>
      <c r="J17" s="511"/>
      <c r="K17" s="512">
        <f t="shared" ref="K17:K22" si="0">G17</f>
        <v>924421.55024775688</v>
      </c>
      <c r="L17" s="597">
        <f t="shared" ref="L17:L48" si="1">IF(K17&lt;&gt;0,+G17-K17,0)</f>
        <v>0</v>
      </c>
      <c r="M17" s="512">
        <f t="shared" ref="M17:M22" si="2">H17</f>
        <v>924421.55024775688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5198431.6190476194</v>
      </c>
      <c r="E18" s="609">
        <v>125421.64285714286</v>
      </c>
      <c r="F18" s="608">
        <v>5073009.9761904767</v>
      </c>
      <c r="G18" s="609">
        <v>835577.50676548237</v>
      </c>
      <c r="H18" s="610">
        <v>835577.50676548237</v>
      </c>
      <c r="I18" s="596">
        <v>0</v>
      </c>
      <c r="J18" s="511"/>
      <c r="K18" s="518">
        <f t="shared" si="0"/>
        <v>835577.50676548237</v>
      </c>
      <c r="L18" s="519">
        <f t="shared" ref="L18:L23" si="6">IF(K18&lt;&gt;0,+G18-K18,0)</f>
        <v>0</v>
      </c>
      <c r="M18" s="518">
        <f t="shared" si="2"/>
        <v>835577.50676548237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608">
        <v>5073787.9761904757</v>
      </c>
      <c r="E19" s="609">
        <v>125440.16666666667</v>
      </c>
      <c r="F19" s="608">
        <v>4948347.8095238088</v>
      </c>
      <c r="G19" s="609">
        <v>793024.28464727127</v>
      </c>
      <c r="H19" s="610">
        <v>793024.28464727127</v>
      </c>
      <c r="I19" s="596">
        <v>0</v>
      </c>
      <c r="J19" s="511"/>
      <c r="K19" s="518">
        <f t="shared" si="0"/>
        <v>793024.28464727127</v>
      </c>
      <c r="L19" s="519">
        <f t="shared" si="6"/>
        <v>0</v>
      </c>
      <c r="M19" s="518">
        <f t="shared" si="2"/>
        <v>793024.28464727127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/>
      </c>
      <c r="C20" s="507">
        <f>IF(D11="","-",+C19+1)</f>
        <v>2015</v>
      </c>
      <c r="D20" s="608">
        <v>4948347.8095238088</v>
      </c>
      <c r="E20" s="609">
        <v>125440.16666666667</v>
      </c>
      <c r="F20" s="608">
        <v>4822907.6428571418</v>
      </c>
      <c r="G20" s="609">
        <v>760640.25789050967</v>
      </c>
      <c r="H20" s="610">
        <v>760640.25789050967</v>
      </c>
      <c r="I20" s="511">
        <v>0</v>
      </c>
      <c r="J20" s="511"/>
      <c r="K20" s="518">
        <f t="shared" si="0"/>
        <v>760640.25789050967</v>
      </c>
      <c r="L20" s="519">
        <f t="shared" si="6"/>
        <v>0</v>
      </c>
      <c r="M20" s="518">
        <f t="shared" si="2"/>
        <v>760640.25789050967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>IU</v>
      </c>
      <c r="C21" s="507">
        <f>IF(D12="","-",+C20+1)</f>
        <v>2016</v>
      </c>
      <c r="D21" s="608">
        <v>4822899.6428571427</v>
      </c>
      <c r="E21" s="609">
        <v>125439.97619047618</v>
      </c>
      <c r="F21" s="608">
        <v>4697459.666666667</v>
      </c>
      <c r="G21" s="609">
        <v>736485.41228285304</v>
      </c>
      <c r="H21" s="610">
        <v>736485.41228285304</v>
      </c>
      <c r="I21" s="511">
        <f t="shared" ref="I21:I48" si="9">H21-G21</f>
        <v>0</v>
      </c>
      <c r="J21" s="511"/>
      <c r="K21" s="518">
        <f t="shared" si="0"/>
        <v>736485.41228285304</v>
      </c>
      <c r="L21" s="519">
        <f t="shared" si="6"/>
        <v>0</v>
      </c>
      <c r="M21" s="518">
        <f t="shared" si="2"/>
        <v>736485.41228285304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08">
        <v>4697459.666666667</v>
      </c>
      <c r="E22" s="609">
        <v>122522.76744186046</v>
      </c>
      <c r="F22" s="608">
        <v>4574936.8992248066</v>
      </c>
      <c r="G22" s="609">
        <v>696913.1190640803</v>
      </c>
      <c r="H22" s="610">
        <v>696913.1190640803</v>
      </c>
      <c r="I22" s="511">
        <f t="shared" si="9"/>
        <v>0</v>
      </c>
      <c r="J22" s="511"/>
      <c r="K22" s="518">
        <f t="shared" si="0"/>
        <v>696913.1190640803</v>
      </c>
      <c r="L22" s="519">
        <f t="shared" si="6"/>
        <v>0</v>
      </c>
      <c r="M22" s="518">
        <f t="shared" si="2"/>
        <v>696913.1190640803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4574936.8992248066</v>
      </c>
      <c r="E23" s="609">
        <v>128499.48780487805</v>
      </c>
      <c r="F23" s="608">
        <v>4446437.4114199281</v>
      </c>
      <c r="G23" s="609">
        <v>701781.20735784783</v>
      </c>
      <c r="H23" s="610">
        <v>701781.20735784783</v>
      </c>
      <c r="I23" s="511">
        <f t="shared" si="9"/>
        <v>0</v>
      </c>
      <c r="J23" s="511"/>
      <c r="K23" s="518">
        <f>G23</f>
        <v>701781.20735784783</v>
      </c>
      <c r="L23" s="519">
        <f t="shared" si="6"/>
        <v>0</v>
      </c>
      <c r="M23" s="518">
        <f>H23</f>
        <v>701781.20735784783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4446437.4114199281</v>
      </c>
      <c r="E24" s="609">
        <v>128499.48780487805</v>
      </c>
      <c r="F24" s="608">
        <v>4317937.9236150496</v>
      </c>
      <c r="G24" s="609">
        <v>685449.68074254401</v>
      </c>
      <c r="H24" s="610">
        <v>685449.68074254401</v>
      </c>
      <c r="I24" s="511">
        <f t="shared" si="9"/>
        <v>0</v>
      </c>
      <c r="J24" s="511"/>
      <c r="K24" s="518">
        <f>G24</f>
        <v>685449.68074254401</v>
      </c>
      <c r="L24" s="519">
        <f t="shared" ref="L24" si="10">IF(K24&lt;&gt;0,+G24-K24,0)</f>
        <v>0</v>
      </c>
      <c r="M24" s="518">
        <f>H24</f>
        <v>685449.68074254401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08">
        <v>4317937.9236150496</v>
      </c>
      <c r="E25" s="609">
        <v>128499.48780487805</v>
      </c>
      <c r="F25" s="608">
        <v>4189438.4358101715</v>
      </c>
      <c r="G25" s="609">
        <v>563802.60432385455</v>
      </c>
      <c r="H25" s="610">
        <v>563802.60432385455</v>
      </c>
      <c r="I25" s="511">
        <f t="shared" si="9"/>
        <v>0</v>
      </c>
      <c r="J25" s="511"/>
      <c r="K25" s="518">
        <f>G25</f>
        <v>563802.60432385455</v>
      </c>
      <c r="L25" s="519">
        <f t="shared" ref="L25" si="11">IF(K25&lt;&gt;0,+G25-K25,0)</f>
        <v>0</v>
      </c>
      <c r="M25" s="518">
        <f>H25</f>
        <v>563802.60432385455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/>
      </c>
      <c r="C26" s="507">
        <f>IF(D11="","-",+C25+1)</f>
        <v>2021</v>
      </c>
      <c r="D26" s="523">
        <f>IF(F25+SUM(E$17:E25)=D$10,F25,D$10-SUM(E$17:E25))</f>
        <v>4189438.4358101715</v>
      </c>
      <c r="E26" s="522">
        <f>IF(+I14&lt;F25,I14,D26)</f>
        <v>125439.97619047618</v>
      </c>
      <c r="F26" s="523">
        <f t="shared" ref="F26:F48" si="12">+D26-E26</f>
        <v>4063998.4596196953</v>
      </c>
      <c r="G26" s="524">
        <f t="shared" ref="G26:G53" si="13">+I$12*((D26+F26)/2)+E26</f>
        <v>566247.67905546725</v>
      </c>
      <c r="H26" s="491">
        <f t="shared" ref="H26:H53" si="14">+I$13*((D26+F26)/2)+E26</f>
        <v>566247.67905546725</v>
      </c>
      <c r="I26" s="511">
        <f t="shared" si="9"/>
        <v>0</v>
      </c>
      <c r="J26" s="511"/>
      <c r="K26" s="525"/>
      <c r="L26" s="514">
        <f t="shared" si="1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4063998.4596196953</v>
      </c>
      <c r="E27" s="522">
        <f>IF(+I14&lt;F26,I14,D27)</f>
        <v>125439.97619047618</v>
      </c>
      <c r="F27" s="523">
        <f t="shared" si="12"/>
        <v>3938558.4834292191</v>
      </c>
      <c r="G27" s="524">
        <f t="shared" si="13"/>
        <v>552848.4349702351</v>
      </c>
      <c r="H27" s="491">
        <f t="shared" si="14"/>
        <v>552848.4349702351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3938558.4834292191</v>
      </c>
      <c r="E28" s="522">
        <f>IF(+I14&lt;F27,I14,D28)</f>
        <v>125439.97619047618</v>
      </c>
      <c r="F28" s="523">
        <f t="shared" si="12"/>
        <v>3813118.5072387429</v>
      </c>
      <c r="G28" s="524">
        <f t="shared" si="13"/>
        <v>539449.19088500284</v>
      </c>
      <c r="H28" s="491">
        <f t="shared" si="14"/>
        <v>539449.19088500284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3813118.5072387429</v>
      </c>
      <c r="E29" s="522">
        <f>IF(+I14&lt;F28,I14,D29)</f>
        <v>125439.97619047618</v>
      </c>
      <c r="F29" s="523">
        <f t="shared" si="12"/>
        <v>3687678.5310482667</v>
      </c>
      <c r="G29" s="524">
        <f t="shared" si="13"/>
        <v>526049.9467997707</v>
      </c>
      <c r="H29" s="491">
        <f t="shared" si="14"/>
        <v>526049.9467997707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3687678.5310482667</v>
      </c>
      <c r="E30" s="522">
        <f>IF(+I14&lt;F29,I14,D30)</f>
        <v>125439.97619047618</v>
      </c>
      <c r="F30" s="523">
        <f t="shared" si="12"/>
        <v>3562238.5548577905</v>
      </c>
      <c r="G30" s="524">
        <f t="shared" si="13"/>
        <v>512650.70271453843</v>
      </c>
      <c r="H30" s="491">
        <f t="shared" si="14"/>
        <v>512650.70271453843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3562238.5548577905</v>
      </c>
      <c r="E31" s="522">
        <f>IF(+I14&lt;F30,I14,D31)</f>
        <v>125439.97619047618</v>
      </c>
      <c r="F31" s="523">
        <f t="shared" si="12"/>
        <v>3436798.5786673143</v>
      </c>
      <c r="G31" s="524">
        <f t="shared" si="13"/>
        <v>499251.45862930617</v>
      </c>
      <c r="H31" s="491">
        <f t="shared" si="14"/>
        <v>499251.45862930617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3436798.5786673143</v>
      </c>
      <c r="E32" s="522">
        <f>IF(+I14&lt;F31,I14,D32)</f>
        <v>125439.97619047618</v>
      </c>
      <c r="F32" s="523">
        <f t="shared" si="12"/>
        <v>3311358.602476838</v>
      </c>
      <c r="G32" s="524">
        <f t="shared" si="13"/>
        <v>485852.21454407391</v>
      </c>
      <c r="H32" s="491">
        <f t="shared" si="14"/>
        <v>485852.21454407391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3311358.602476838</v>
      </c>
      <c r="E33" s="522">
        <f>IF(+I14&lt;F32,I14,D33)</f>
        <v>125439.97619047618</v>
      </c>
      <c r="F33" s="523">
        <f t="shared" si="12"/>
        <v>3185918.6262863618</v>
      </c>
      <c r="G33" s="524">
        <f t="shared" si="13"/>
        <v>472452.97045884177</v>
      </c>
      <c r="H33" s="491">
        <f t="shared" si="14"/>
        <v>472452.97045884177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3185918.6262863618</v>
      </c>
      <c r="E34" s="522">
        <f>IF(+I14&lt;F33,I14,D34)</f>
        <v>125439.97619047618</v>
      </c>
      <c r="F34" s="523">
        <f t="shared" si="12"/>
        <v>3060478.6500958856</v>
      </c>
      <c r="G34" s="524">
        <f t="shared" si="13"/>
        <v>459053.7263736095</v>
      </c>
      <c r="H34" s="491">
        <f t="shared" si="14"/>
        <v>459053.7263736095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3060478.6500958856</v>
      </c>
      <c r="E35" s="522">
        <f>IF(+I14&lt;F34,I14,D35)</f>
        <v>125439.97619047618</v>
      </c>
      <c r="F35" s="523">
        <f t="shared" si="12"/>
        <v>2935038.6739054094</v>
      </c>
      <c r="G35" s="524">
        <f t="shared" si="13"/>
        <v>445654.48228837736</v>
      </c>
      <c r="H35" s="491">
        <f t="shared" si="14"/>
        <v>445654.48228837736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2935038.6739054094</v>
      </c>
      <c r="E36" s="522">
        <f>IF(+I14&lt;F35,I14,D36)</f>
        <v>125439.97619047618</v>
      </c>
      <c r="F36" s="523">
        <f t="shared" si="12"/>
        <v>2809598.6977149332</v>
      </c>
      <c r="G36" s="524">
        <f t="shared" si="13"/>
        <v>432255.2382031451</v>
      </c>
      <c r="H36" s="491">
        <f t="shared" si="14"/>
        <v>432255.2382031451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2809598.6977149332</v>
      </c>
      <c r="E37" s="522">
        <f>IF(+I14&lt;F36,I14,D37)</f>
        <v>125439.97619047618</v>
      </c>
      <c r="F37" s="523">
        <f t="shared" si="12"/>
        <v>2684158.721524457</v>
      </c>
      <c r="G37" s="524">
        <f t="shared" si="13"/>
        <v>418855.99411791295</v>
      </c>
      <c r="H37" s="491">
        <f t="shared" si="14"/>
        <v>418855.99411791295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2684158.721524457</v>
      </c>
      <c r="E38" s="522">
        <f>IF(+I14&lt;F37,I14,D38)</f>
        <v>125439.97619047618</v>
      </c>
      <c r="F38" s="523">
        <f t="shared" si="12"/>
        <v>2558718.7453339808</v>
      </c>
      <c r="G38" s="524">
        <f t="shared" si="13"/>
        <v>405456.75003268069</v>
      </c>
      <c r="H38" s="491">
        <f t="shared" si="14"/>
        <v>405456.75003268069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2558718.7453339808</v>
      </c>
      <c r="E39" s="522">
        <f>IF(+I14&lt;F38,I14,D39)</f>
        <v>125439.97619047618</v>
      </c>
      <c r="F39" s="523">
        <f t="shared" si="12"/>
        <v>2433278.7691435046</v>
      </c>
      <c r="G39" s="524">
        <f t="shared" si="13"/>
        <v>392057.50594744843</v>
      </c>
      <c r="H39" s="491">
        <f t="shared" si="14"/>
        <v>392057.50594744843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2433278.7691435046</v>
      </c>
      <c r="E40" s="522">
        <f>IF(+I14&lt;F39,I14,D40)</f>
        <v>125439.97619047618</v>
      </c>
      <c r="F40" s="523">
        <f t="shared" si="12"/>
        <v>2307838.7929530283</v>
      </c>
      <c r="G40" s="524">
        <f t="shared" si="13"/>
        <v>378658.26186221623</v>
      </c>
      <c r="H40" s="491">
        <f t="shared" si="14"/>
        <v>378658.26186221623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2307838.7929530283</v>
      </c>
      <c r="E41" s="522">
        <f>IF(+I14&lt;F40,I14,D41)</f>
        <v>125439.97619047618</v>
      </c>
      <c r="F41" s="523">
        <f t="shared" si="12"/>
        <v>2182398.8167625521</v>
      </c>
      <c r="G41" s="524">
        <f t="shared" si="13"/>
        <v>365259.01777698402</v>
      </c>
      <c r="H41" s="491">
        <f t="shared" si="14"/>
        <v>365259.01777698402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2182398.8167625521</v>
      </c>
      <c r="E42" s="522">
        <f>IF(+I14&lt;F41,I14,D42)</f>
        <v>125439.97619047618</v>
      </c>
      <c r="F42" s="523">
        <f t="shared" si="12"/>
        <v>2056958.8405720759</v>
      </c>
      <c r="G42" s="524">
        <f t="shared" si="13"/>
        <v>351859.77369175176</v>
      </c>
      <c r="H42" s="491">
        <f t="shared" si="14"/>
        <v>351859.77369175176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2056958.8405720759</v>
      </c>
      <c r="E43" s="522">
        <f>IF(+I14&lt;F42,I14,D43)</f>
        <v>125439.97619047618</v>
      </c>
      <c r="F43" s="523">
        <f t="shared" si="12"/>
        <v>1931518.8643815997</v>
      </c>
      <c r="G43" s="524">
        <f t="shared" si="13"/>
        <v>338460.52960651962</v>
      </c>
      <c r="H43" s="491">
        <f t="shared" si="14"/>
        <v>338460.52960651962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1931518.8643815997</v>
      </c>
      <c r="E44" s="522">
        <f>IF(+I14&lt;F43,I14,D44)</f>
        <v>125439.97619047618</v>
      </c>
      <c r="F44" s="523">
        <f t="shared" si="12"/>
        <v>1806078.8881911235</v>
      </c>
      <c r="G44" s="524">
        <f t="shared" si="13"/>
        <v>325061.28552128735</v>
      </c>
      <c r="H44" s="491">
        <f t="shared" si="14"/>
        <v>325061.28552128735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1806078.8881911235</v>
      </c>
      <c r="E45" s="522">
        <f>IF(+I14&lt;F44,I14,D45)</f>
        <v>125439.97619047618</v>
      </c>
      <c r="F45" s="523">
        <f t="shared" si="12"/>
        <v>1680638.9120006473</v>
      </c>
      <c r="G45" s="524">
        <f t="shared" si="13"/>
        <v>311662.04143605515</v>
      </c>
      <c r="H45" s="491">
        <f t="shared" si="14"/>
        <v>311662.04143605515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1680638.9120006473</v>
      </c>
      <c r="E46" s="522">
        <f>IF(+I14&lt;F45,I14,D46)</f>
        <v>125439.97619047618</v>
      </c>
      <c r="F46" s="523">
        <f t="shared" si="12"/>
        <v>1555198.9358101711</v>
      </c>
      <c r="G46" s="524">
        <f t="shared" si="13"/>
        <v>298262.79735082295</v>
      </c>
      <c r="H46" s="491">
        <f t="shared" si="14"/>
        <v>298262.79735082295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1555198.9358101711</v>
      </c>
      <c r="E47" s="522">
        <f>IF(+I14&lt;F46,I14,D47)</f>
        <v>125439.97619047618</v>
      </c>
      <c r="F47" s="523">
        <f t="shared" si="12"/>
        <v>1429758.9596196949</v>
      </c>
      <c r="G47" s="524">
        <f t="shared" si="13"/>
        <v>284863.55326559069</v>
      </c>
      <c r="H47" s="491">
        <f t="shared" si="14"/>
        <v>284863.55326559069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1429758.9596196949</v>
      </c>
      <c r="E48" s="522">
        <f>IF(+I14&lt;F47,I14,D48)</f>
        <v>125439.97619047618</v>
      </c>
      <c r="F48" s="523">
        <f t="shared" si="12"/>
        <v>1304318.9834292186</v>
      </c>
      <c r="G48" s="524">
        <f t="shared" si="13"/>
        <v>271464.30918035854</v>
      </c>
      <c r="H48" s="491">
        <f t="shared" si="14"/>
        <v>271464.30918035854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1304318.9834292186</v>
      </c>
      <c r="E49" s="522">
        <f>IF(+I14&lt;F48,I14,D49)</f>
        <v>125439.97619047618</v>
      </c>
      <c r="F49" s="523">
        <f t="shared" ref="F49:F72" si="15">+D49-E49</f>
        <v>1178879.0072387424</v>
      </c>
      <c r="G49" s="524">
        <f t="shared" si="13"/>
        <v>258065.06509512631</v>
      </c>
      <c r="H49" s="491">
        <f t="shared" si="14"/>
        <v>258065.06509512631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ref="B50:B72" si="20">IF(D50=F49,"","IU")</f>
        <v/>
      </c>
      <c r="C50" s="507">
        <f>IF(D11="","-",+C49+1)</f>
        <v>2045</v>
      </c>
      <c r="D50" s="523">
        <f>IF(F49+SUM(E$17:E49)=D$10,F49,D$10-SUM(E$17:E49))</f>
        <v>1178879.0072387424</v>
      </c>
      <c r="E50" s="522">
        <f>IF(+I14&lt;F49,I14,D50)</f>
        <v>125439.97619047618</v>
      </c>
      <c r="F50" s="523">
        <f t="shared" si="15"/>
        <v>1053439.0310482662</v>
      </c>
      <c r="G50" s="524">
        <f t="shared" si="13"/>
        <v>244665.82100989408</v>
      </c>
      <c r="H50" s="491">
        <f t="shared" si="14"/>
        <v>244665.82100989408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20"/>
        <v/>
      </c>
      <c r="C51" s="507">
        <f>IF(D11="","-",+C50+1)</f>
        <v>2046</v>
      </c>
      <c r="D51" s="523">
        <f>IF(F50+SUM(E$17:E50)=D$10,F50,D$10-SUM(E$17:E50))</f>
        <v>1053439.0310482662</v>
      </c>
      <c r="E51" s="522">
        <f>IF(+I14&lt;F50,I14,D51)</f>
        <v>125439.97619047618</v>
      </c>
      <c r="F51" s="523">
        <f t="shared" si="15"/>
        <v>927999.05485779</v>
      </c>
      <c r="G51" s="524">
        <f t="shared" si="13"/>
        <v>231266.57692466187</v>
      </c>
      <c r="H51" s="491">
        <f t="shared" si="14"/>
        <v>231266.57692466187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20"/>
        <v/>
      </c>
      <c r="C52" s="507">
        <f>IF(D11="","-",+C51+1)</f>
        <v>2047</v>
      </c>
      <c r="D52" s="523">
        <f>IF(F51+SUM(E$17:E51)=D$10,F51,D$10-SUM(E$17:E51))</f>
        <v>927999.05485779</v>
      </c>
      <c r="E52" s="522">
        <f>IF(+I14&lt;F51,I14,D52)</f>
        <v>125439.97619047618</v>
      </c>
      <c r="F52" s="523">
        <f t="shared" si="15"/>
        <v>802559.07866731379</v>
      </c>
      <c r="G52" s="524">
        <f t="shared" si="13"/>
        <v>217867.33283942964</v>
      </c>
      <c r="H52" s="491">
        <f t="shared" si="14"/>
        <v>217867.33283942964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20"/>
        <v/>
      </c>
      <c r="C53" s="507">
        <f>IF(D11="","-",+C52+1)</f>
        <v>2048</v>
      </c>
      <c r="D53" s="523">
        <f>IF(F52+SUM(E$17:E52)=D$10,F52,D$10-SUM(E$17:E52))</f>
        <v>802559.07866731379</v>
      </c>
      <c r="E53" s="522">
        <f>IF(+I14&lt;F52,I14,D53)</f>
        <v>125439.97619047618</v>
      </c>
      <c r="F53" s="523">
        <f t="shared" si="15"/>
        <v>677119.10247683758</v>
      </c>
      <c r="G53" s="524">
        <f t="shared" si="13"/>
        <v>204468.08875419744</v>
      </c>
      <c r="H53" s="491">
        <f t="shared" si="14"/>
        <v>204468.08875419744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20"/>
        <v/>
      </c>
      <c r="C54" s="507">
        <f>IF(D11="","-",+C53+1)</f>
        <v>2049</v>
      </c>
      <c r="D54" s="523">
        <f>IF(F53+SUM(E$17:E53)=D$10,F53,D$10-SUM(E$17:E53))</f>
        <v>677119.10247683758</v>
      </c>
      <c r="E54" s="522">
        <f>IF(+I14&lt;F53,I14,D54)</f>
        <v>125439.97619047618</v>
      </c>
      <c r="F54" s="523">
        <f t="shared" si="15"/>
        <v>551679.12628636137</v>
      </c>
      <c r="G54" s="524">
        <f t="shared" ref="G54:G72" si="21">+I$12*((D54+F54)/2)+E54</f>
        <v>191068.8446689652</v>
      </c>
      <c r="H54" s="491">
        <f t="shared" ref="H54:H72" si="22">+I$13*((D54+F54)/2)+E54</f>
        <v>191068.8446689652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20"/>
        <v/>
      </c>
      <c r="C55" s="507">
        <f>IF(D11="","-",+C54+1)</f>
        <v>2050</v>
      </c>
      <c r="D55" s="523">
        <f>IF(F54+SUM(E$17:E54)=D$10,F54,D$10-SUM(E$17:E54))</f>
        <v>551679.12628636137</v>
      </c>
      <c r="E55" s="522">
        <f>IF(+I14&lt;F54,I14,D55)</f>
        <v>125439.97619047618</v>
      </c>
      <c r="F55" s="523">
        <f t="shared" si="15"/>
        <v>426239.15009588515</v>
      </c>
      <c r="G55" s="524">
        <f t="shared" si="21"/>
        <v>177669.600583733</v>
      </c>
      <c r="H55" s="491">
        <f t="shared" si="22"/>
        <v>177669.600583733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20"/>
        <v/>
      </c>
      <c r="C56" s="507">
        <f>IF(D11="","-",+C55+1)</f>
        <v>2051</v>
      </c>
      <c r="D56" s="523">
        <f>IF(F55+SUM(E$17:E55)=D$10,F55,D$10-SUM(E$17:E55))</f>
        <v>426239.15009588515</v>
      </c>
      <c r="E56" s="522">
        <f>IF(+I14&lt;F55,I14,D56)</f>
        <v>125439.97619047618</v>
      </c>
      <c r="F56" s="523">
        <f t="shared" si="15"/>
        <v>300799.17390540894</v>
      </c>
      <c r="G56" s="524">
        <f t="shared" si="21"/>
        <v>164270.3564985008</v>
      </c>
      <c r="H56" s="491">
        <f t="shared" si="22"/>
        <v>164270.3564985008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20"/>
        <v/>
      </c>
      <c r="C57" s="507">
        <f>IF(D11="","-",+C56+1)</f>
        <v>2052</v>
      </c>
      <c r="D57" s="523">
        <f>IF(F56+SUM(E$17:E56)=D$10,F56,D$10-SUM(E$17:E56))</f>
        <v>300799.17390540894</v>
      </c>
      <c r="E57" s="522">
        <f>IF(+I14&lt;F56,I14,D57)</f>
        <v>125439.97619047618</v>
      </c>
      <c r="F57" s="523">
        <f t="shared" si="15"/>
        <v>175359.19771493276</v>
      </c>
      <c r="G57" s="524">
        <f t="shared" si="21"/>
        <v>150871.11241326857</v>
      </c>
      <c r="H57" s="491">
        <f t="shared" si="22"/>
        <v>150871.11241326857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20"/>
        <v/>
      </c>
      <c r="C58" s="507">
        <f>IF(D11="","-",+C57+1)</f>
        <v>2053</v>
      </c>
      <c r="D58" s="523">
        <f>IF(F57+SUM(E$17:E57)=D$10,F57,D$10-SUM(E$17:E57))</f>
        <v>175359.19771493276</v>
      </c>
      <c r="E58" s="522">
        <f>IF(+I14&lt;F57,I14,D58)</f>
        <v>125439.97619047618</v>
      </c>
      <c r="F58" s="523">
        <f t="shared" si="15"/>
        <v>49919.221524456574</v>
      </c>
      <c r="G58" s="524">
        <f t="shared" si="21"/>
        <v>137471.86832803636</v>
      </c>
      <c r="H58" s="491">
        <f t="shared" si="22"/>
        <v>137471.86832803636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0"/>
        <v/>
      </c>
      <c r="C59" s="507">
        <f>IF(D11="","-",+C58+1)</f>
        <v>2054</v>
      </c>
      <c r="D59" s="523">
        <f>IF(F58+SUM(E$17:E58)=D$10,F58,D$10-SUM(E$17:E58))</f>
        <v>49919.221524456574</v>
      </c>
      <c r="E59" s="522">
        <f>IF(+I14&lt;F58,I14,D59)</f>
        <v>49919.221524456574</v>
      </c>
      <c r="F59" s="523">
        <f t="shared" si="15"/>
        <v>0</v>
      </c>
      <c r="G59" s="524">
        <f t="shared" si="21"/>
        <v>52585.356571928605</v>
      </c>
      <c r="H59" s="491">
        <f t="shared" si="22"/>
        <v>52585.356571928605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20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21"/>
        <v>0</v>
      </c>
      <c r="H60" s="491">
        <f t="shared" si="22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20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21"/>
        <v>0</v>
      </c>
      <c r="H61" s="491">
        <f t="shared" si="22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20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21"/>
        <v>0</v>
      </c>
      <c r="H62" s="491">
        <f t="shared" si="22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20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21"/>
        <v>0</v>
      </c>
      <c r="H63" s="491">
        <f t="shared" si="22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20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21"/>
        <v>0</v>
      </c>
      <c r="H64" s="491">
        <f t="shared" si="22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20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21"/>
        <v>0</v>
      </c>
      <c r="H65" s="491">
        <f t="shared" si="22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20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21"/>
        <v>0</v>
      </c>
      <c r="H66" s="491">
        <f t="shared" si="22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20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21"/>
        <v>0</v>
      </c>
      <c r="H67" s="491">
        <f t="shared" si="22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20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21"/>
        <v>0</v>
      </c>
      <c r="H68" s="491">
        <f t="shared" si="22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20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21"/>
        <v>0</v>
      </c>
      <c r="H69" s="491">
        <f t="shared" si="22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20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21"/>
        <v>0</v>
      </c>
      <c r="H70" s="491">
        <f t="shared" si="22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20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21"/>
        <v>0</v>
      </c>
      <c r="H71" s="491">
        <f t="shared" si="22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20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21"/>
        <v>0</v>
      </c>
      <c r="H72" s="471">
        <f t="shared" si="22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5268478.9999999953</v>
      </c>
      <c r="F73" s="375"/>
      <c r="G73" s="375">
        <f>SUM(G17:G72)</f>
        <v>18362053.511721939</v>
      </c>
      <c r="H73" s="375">
        <f>SUM(H17:H72)</f>
        <v>18362053.511721939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28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563802.60432385455</v>
      </c>
      <c r="N87" s="546">
        <f>IF(J92&lt;D11,0,VLOOKUP(J92,C17:O72,11))</f>
        <v>563802.60432385455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584866.55753278674</v>
      </c>
      <c r="N88" s="550">
        <f>IF(J92&lt;D11,0,VLOOKUP(J92,C99:P154,7))</f>
        <v>584866.55753278674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Bloomburg-Texarkana Plant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21063.953208932187</v>
      </c>
      <c r="N89" s="555">
        <f>+N88-N87</f>
        <v>21063.953208932187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TP2008027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5268479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125439.97619047618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62710.82142857142</v>
      </c>
      <c r="F99" s="622">
        <v>5204998.1785714282</v>
      </c>
      <c r="G99" s="574">
        <v>2602499.0892857141</v>
      </c>
      <c r="H99" s="576">
        <v>445678.79491286777</v>
      </c>
      <c r="I99" s="576">
        <v>445678.79491286777</v>
      </c>
      <c r="J99" s="514">
        <f t="shared" ref="J99:J130" si="23">+I99-H99</f>
        <v>0</v>
      </c>
      <c r="K99" s="514"/>
      <c r="L99" s="512">
        <f t="shared" ref="L99:L104" si="24">H99</f>
        <v>445678.79491286777</v>
      </c>
      <c r="M99" s="597">
        <f t="shared" ref="M99:M130" si="25">IF(L99&lt;&gt;0,+H99-L99,0)</f>
        <v>0</v>
      </c>
      <c r="N99" s="512">
        <f t="shared" ref="N99:N104" si="26">I99</f>
        <v>445678.79491286777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 ht="12.5">
      <c r="B100" s="195" t="str">
        <f t="shared" ref="B100:B131" si="29">IF(D100=F99,"","IU")</f>
        <v>IU</v>
      </c>
      <c r="C100" s="507">
        <f>IF(D93="","-",+C99+1)</f>
        <v>2013</v>
      </c>
      <c r="D100" s="508">
        <v>5205776.1785714282</v>
      </c>
      <c r="E100" s="516">
        <v>125440.16666666667</v>
      </c>
      <c r="F100" s="515">
        <v>5080336.0119047612</v>
      </c>
      <c r="G100" s="515">
        <v>5143056.0952380951</v>
      </c>
      <c r="H100" s="575">
        <v>821252.98086440889</v>
      </c>
      <c r="I100" s="576">
        <v>821252.98086440889</v>
      </c>
      <c r="J100" s="514">
        <v>0</v>
      </c>
      <c r="K100" s="514"/>
      <c r="L100" s="518">
        <f t="shared" si="24"/>
        <v>821252.98086440889</v>
      </c>
      <c r="M100" s="519">
        <f t="shared" ref="M100:M105" si="30">IF(L100&lt;&gt;0,+H100-L100,0)</f>
        <v>0</v>
      </c>
      <c r="N100" s="518">
        <f t="shared" si="26"/>
        <v>821252.98086440889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29"/>
        <v/>
      </c>
      <c r="C101" s="507">
        <f>IF(D93="","-",+C100+1)</f>
        <v>2014</v>
      </c>
      <c r="D101" s="508">
        <v>5080336.0119047612</v>
      </c>
      <c r="E101" s="516">
        <v>125440.16666666667</v>
      </c>
      <c r="F101" s="515">
        <v>4954895.8452380942</v>
      </c>
      <c r="G101" s="515">
        <v>5017615.9285714272</v>
      </c>
      <c r="H101" s="575">
        <v>807451.88344744302</v>
      </c>
      <c r="I101" s="576">
        <v>807451.88344744302</v>
      </c>
      <c r="J101" s="514">
        <v>0</v>
      </c>
      <c r="K101" s="514"/>
      <c r="L101" s="518">
        <f t="shared" si="24"/>
        <v>807451.88344744302</v>
      </c>
      <c r="M101" s="519">
        <f t="shared" si="30"/>
        <v>0</v>
      </c>
      <c r="N101" s="518">
        <f t="shared" si="26"/>
        <v>807451.88344744302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9"/>
        <v>IU</v>
      </c>
      <c r="C102" s="507">
        <f>IF(D93="","-",+C101+1)</f>
        <v>2015</v>
      </c>
      <c r="D102" s="508">
        <v>4954887.8452380951</v>
      </c>
      <c r="E102" s="516">
        <v>125439.97619047618</v>
      </c>
      <c r="F102" s="515">
        <v>4829447.8690476194</v>
      </c>
      <c r="G102" s="515">
        <v>4892167.8571428573</v>
      </c>
      <c r="H102" s="575">
        <v>770075.44510229141</v>
      </c>
      <c r="I102" s="576">
        <v>770075.44510229141</v>
      </c>
      <c r="J102" s="514">
        <f t="shared" si="23"/>
        <v>0</v>
      </c>
      <c r="K102" s="514"/>
      <c r="L102" s="518">
        <f t="shared" si="24"/>
        <v>770075.44510229141</v>
      </c>
      <c r="M102" s="519">
        <f t="shared" si="30"/>
        <v>0</v>
      </c>
      <c r="N102" s="518">
        <f t="shared" si="26"/>
        <v>770075.44510229141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9"/>
        <v/>
      </c>
      <c r="C103" s="507">
        <f>IF(D93="","-",+C102+1)</f>
        <v>2016</v>
      </c>
      <c r="D103" s="508">
        <v>4829447.8690476194</v>
      </c>
      <c r="E103" s="516">
        <v>122522.76744186046</v>
      </c>
      <c r="F103" s="515">
        <v>4706925.101605759</v>
      </c>
      <c r="G103" s="515">
        <v>4768186.4853266887</v>
      </c>
      <c r="H103" s="575">
        <v>727843.98591080913</v>
      </c>
      <c r="I103" s="576">
        <v>727843.98591080913</v>
      </c>
      <c r="J103" s="514">
        <f t="shared" si="23"/>
        <v>0</v>
      </c>
      <c r="K103" s="514"/>
      <c r="L103" s="518">
        <f t="shared" si="24"/>
        <v>727843.98591080913</v>
      </c>
      <c r="M103" s="519">
        <f t="shared" si="30"/>
        <v>0</v>
      </c>
      <c r="N103" s="518">
        <f t="shared" si="26"/>
        <v>727843.98591080913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9"/>
        <v/>
      </c>
      <c r="C104" s="507">
        <f>IF(D93="","-",+C103+1)</f>
        <v>2017</v>
      </c>
      <c r="D104" s="508">
        <v>4706925.101605759</v>
      </c>
      <c r="E104" s="516">
        <v>125439.97619047618</v>
      </c>
      <c r="F104" s="515">
        <v>4581485.1254152833</v>
      </c>
      <c r="G104" s="515">
        <v>4644205.1135105211</v>
      </c>
      <c r="H104" s="575">
        <v>689578.34111200261</v>
      </c>
      <c r="I104" s="576">
        <v>689578.34111200261</v>
      </c>
      <c r="J104" s="514">
        <f t="shared" si="23"/>
        <v>0</v>
      </c>
      <c r="K104" s="514"/>
      <c r="L104" s="518">
        <f t="shared" si="24"/>
        <v>689578.34111200261</v>
      </c>
      <c r="M104" s="519">
        <f t="shared" si="30"/>
        <v>0</v>
      </c>
      <c r="N104" s="518">
        <f t="shared" si="26"/>
        <v>689578.34111200261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9"/>
        <v/>
      </c>
      <c r="C105" s="507">
        <f>IF(D93="","-",+C104+1)</f>
        <v>2018</v>
      </c>
      <c r="D105" s="508">
        <v>4581485.1254152833</v>
      </c>
      <c r="E105" s="516">
        <v>125439.97619047618</v>
      </c>
      <c r="F105" s="515">
        <v>4456045.1492248075</v>
      </c>
      <c r="G105" s="515">
        <v>4518765.1373200454</v>
      </c>
      <c r="H105" s="575">
        <v>602642.29693406296</v>
      </c>
      <c r="I105" s="576">
        <v>602642.29693406296</v>
      </c>
      <c r="J105" s="514">
        <f t="shared" si="23"/>
        <v>0</v>
      </c>
      <c r="K105" s="514"/>
      <c r="L105" s="518">
        <f t="shared" ref="L105" si="31">H105</f>
        <v>602642.29693406296</v>
      </c>
      <c r="M105" s="519">
        <f t="shared" si="30"/>
        <v>0</v>
      </c>
      <c r="N105" s="518">
        <f t="shared" ref="N105" si="32">I105</f>
        <v>602642.29693406296</v>
      </c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9"/>
        <v/>
      </c>
      <c r="C106" s="507">
        <f>IF(D93="","-",+C105+1)</f>
        <v>2019</v>
      </c>
      <c r="D106" s="508">
        <v>4456045.1492248075</v>
      </c>
      <c r="E106" s="516">
        <v>122522.76744186046</v>
      </c>
      <c r="F106" s="515">
        <v>4333522.3817829471</v>
      </c>
      <c r="G106" s="515">
        <v>4394783.7655038778</v>
      </c>
      <c r="H106" s="575">
        <v>592942.82363557536</v>
      </c>
      <c r="I106" s="576">
        <v>592942.82363557536</v>
      </c>
      <c r="J106" s="514">
        <f t="shared" si="23"/>
        <v>0</v>
      </c>
      <c r="K106" s="514"/>
      <c r="L106" s="518">
        <f t="shared" ref="L106" si="33">H106</f>
        <v>592942.82363557536</v>
      </c>
      <c r="M106" s="519">
        <f t="shared" ref="M106" si="34">IF(L106&lt;&gt;0,+H106-L106,0)</f>
        <v>0</v>
      </c>
      <c r="N106" s="518">
        <f t="shared" ref="N106" si="35">I106</f>
        <v>592942.82363557536</v>
      </c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9"/>
        <v/>
      </c>
      <c r="C107" s="507">
        <f>IF(D93="","-",+C106+1)</f>
        <v>2020</v>
      </c>
      <c r="D107" s="374">
        <f>IF(F106+SUM(E$99:E106)=D$92,F106,D$92-SUM(E$99:E106))</f>
        <v>4333522.3817829471</v>
      </c>
      <c r="E107" s="522">
        <f>IF(+J96&lt;F106,J96,D107)</f>
        <v>125439.97619047618</v>
      </c>
      <c r="F107" s="523">
        <f t="shared" ref="F107:F131" si="36">+D107-E107</f>
        <v>4208082.4055924714</v>
      </c>
      <c r="G107" s="523">
        <f t="shared" ref="G107:G130" si="37">+(F107+D107)/2</f>
        <v>4270802.3936877092</v>
      </c>
      <c r="H107" s="526">
        <f t="shared" ref="H107:H130" si="38">+J$94*G107+E107</f>
        <v>584866.55753278674</v>
      </c>
      <c r="I107" s="577">
        <f t="shared" ref="I107:I130" si="39">+J$95*G107+E107</f>
        <v>584866.55753278674</v>
      </c>
      <c r="J107" s="514">
        <f t="shared" si="23"/>
        <v>0</v>
      </c>
      <c r="K107" s="514"/>
      <c r="L107" s="525"/>
      <c r="M107" s="514">
        <f t="shared" si="25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9"/>
        <v/>
      </c>
      <c r="C108" s="507">
        <f>IF(D93="","-",+C107+1)</f>
        <v>2021</v>
      </c>
      <c r="D108" s="374">
        <f>IF(F107+SUM(E$99:E107)=D$92,F107,D$92-SUM(E$99:E107))</f>
        <v>4208082.4055924714</v>
      </c>
      <c r="E108" s="522">
        <f>IF(+J96&lt;F107,J96,D108)</f>
        <v>125439.97619047618</v>
      </c>
      <c r="F108" s="523">
        <f t="shared" si="36"/>
        <v>4082642.4294019951</v>
      </c>
      <c r="G108" s="523">
        <f t="shared" si="37"/>
        <v>4145362.4174972335</v>
      </c>
      <c r="H108" s="526">
        <f t="shared" si="38"/>
        <v>571372.498545176</v>
      </c>
      <c r="I108" s="577">
        <f t="shared" si="39"/>
        <v>571372.498545176</v>
      </c>
      <c r="J108" s="514">
        <f t="shared" si="23"/>
        <v>0</v>
      </c>
      <c r="K108" s="514"/>
      <c r="L108" s="525"/>
      <c r="M108" s="514">
        <f t="shared" si="25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9"/>
        <v/>
      </c>
      <c r="C109" s="507">
        <f>IF(D93="","-",+C108+1)</f>
        <v>2022</v>
      </c>
      <c r="D109" s="374">
        <f>IF(F108+SUM(E$99:E108)=D$92,F108,D$92-SUM(E$99:E108))</f>
        <v>4082642.4294019951</v>
      </c>
      <c r="E109" s="522">
        <f>IF(+J96&lt;F108,J96,D109)</f>
        <v>125439.97619047618</v>
      </c>
      <c r="F109" s="523">
        <f t="shared" si="36"/>
        <v>3957202.4532115189</v>
      </c>
      <c r="G109" s="523">
        <f t="shared" si="37"/>
        <v>4019922.4413067568</v>
      </c>
      <c r="H109" s="526">
        <f t="shared" si="38"/>
        <v>557878.43955756514</v>
      </c>
      <c r="I109" s="577">
        <f t="shared" si="39"/>
        <v>557878.43955756514</v>
      </c>
      <c r="J109" s="514">
        <f t="shared" si="23"/>
        <v>0</v>
      </c>
      <c r="K109" s="514"/>
      <c r="L109" s="525"/>
      <c r="M109" s="514">
        <f t="shared" si="25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9"/>
        <v/>
      </c>
      <c r="C110" s="507">
        <f>IF(D93="","-",+C109+1)</f>
        <v>2023</v>
      </c>
      <c r="D110" s="374">
        <f>IF(F109+SUM(E$99:E109)=D$92,F109,D$92-SUM(E$99:E109))</f>
        <v>3957202.4532115189</v>
      </c>
      <c r="E110" s="522">
        <f>IF(+J96&lt;F109,J96,D110)</f>
        <v>125439.97619047618</v>
      </c>
      <c r="F110" s="523">
        <f t="shared" si="36"/>
        <v>3831762.4770210427</v>
      </c>
      <c r="G110" s="523">
        <f t="shared" si="37"/>
        <v>3894482.4651162811</v>
      </c>
      <c r="H110" s="526">
        <f t="shared" si="38"/>
        <v>544384.3805699544</v>
      </c>
      <c r="I110" s="577">
        <f t="shared" si="39"/>
        <v>544384.3805699544</v>
      </c>
      <c r="J110" s="514">
        <f t="shared" si="23"/>
        <v>0</v>
      </c>
      <c r="K110" s="514"/>
      <c r="L110" s="525"/>
      <c r="M110" s="514">
        <f t="shared" si="25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9"/>
        <v/>
      </c>
      <c r="C111" s="507">
        <f>IF(D93="","-",+C110+1)</f>
        <v>2024</v>
      </c>
      <c r="D111" s="374">
        <f>IF(F110+SUM(E$99:E110)=D$92,F110,D$92-SUM(E$99:E110))</f>
        <v>3831762.4770210427</v>
      </c>
      <c r="E111" s="522">
        <f>IF(+J96&lt;F110,J96,D111)</f>
        <v>125439.97619047618</v>
      </c>
      <c r="F111" s="523">
        <f t="shared" si="36"/>
        <v>3706322.5008305665</v>
      </c>
      <c r="G111" s="523">
        <f t="shared" si="37"/>
        <v>3769042.4889258044</v>
      </c>
      <c r="H111" s="526">
        <f t="shared" si="38"/>
        <v>530890.32158234355</v>
      </c>
      <c r="I111" s="577">
        <f t="shared" si="39"/>
        <v>530890.32158234355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9"/>
        <v/>
      </c>
      <c r="C112" s="507">
        <f>IF(D93="","-",+C111+1)</f>
        <v>2025</v>
      </c>
      <c r="D112" s="374">
        <f>IF(F111+SUM(E$99:E111)=D$92,F111,D$92-SUM(E$99:E111))</f>
        <v>3706322.5008305665</v>
      </c>
      <c r="E112" s="522">
        <f>IF(+J96&lt;F111,J96,D112)</f>
        <v>125439.97619047618</v>
      </c>
      <c r="F112" s="523">
        <f t="shared" si="36"/>
        <v>3580882.5246400903</v>
      </c>
      <c r="G112" s="523">
        <f t="shared" si="37"/>
        <v>3643602.5127353286</v>
      </c>
      <c r="H112" s="526">
        <f t="shared" si="38"/>
        <v>517396.26259473281</v>
      </c>
      <c r="I112" s="577">
        <f t="shared" si="39"/>
        <v>517396.26259473281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9"/>
        <v/>
      </c>
      <c r="C113" s="507">
        <f>IF(D93="","-",+C112+1)</f>
        <v>2026</v>
      </c>
      <c r="D113" s="374">
        <f>IF(F112+SUM(E$99:E112)=D$92,F112,D$92-SUM(E$99:E112))</f>
        <v>3580882.5246400903</v>
      </c>
      <c r="E113" s="522">
        <f>IF(+J96&lt;F112,J96,D113)</f>
        <v>125439.97619047618</v>
      </c>
      <c r="F113" s="523">
        <f t="shared" si="36"/>
        <v>3455442.5484496141</v>
      </c>
      <c r="G113" s="523">
        <f t="shared" si="37"/>
        <v>3518162.536544852</v>
      </c>
      <c r="H113" s="526">
        <f t="shared" si="38"/>
        <v>503902.20360712206</v>
      </c>
      <c r="I113" s="577">
        <f t="shared" si="39"/>
        <v>503902.20360712206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9"/>
        <v/>
      </c>
      <c r="C114" s="507">
        <f>IF(D93="","-",+C113+1)</f>
        <v>2027</v>
      </c>
      <c r="D114" s="374">
        <f>IF(F113+SUM(E$99:E113)=D$92,F113,D$92-SUM(E$99:E113))</f>
        <v>3455442.5484496141</v>
      </c>
      <c r="E114" s="522">
        <f>IF(+J96&lt;F113,J96,D114)</f>
        <v>125439.97619047618</v>
      </c>
      <c r="F114" s="523">
        <f t="shared" si="36"/>
        <v>3330002.5722591379</v>
      </c>
      <c r="G114" s="523">
        <f t="shared" si="37"/>
        <v>3392722.5603543762</v>
      </c>
      <c r="H114" s="526">
        <f t="shared" si="38"/>
        <v>490408.14461951132</v>
      </c>
      <c r="I114" s="577">
        <f t="shared" si="39"/>
        <v>490408.14461951132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9"/>
        <v/>
      </c>
      <c r="C115" s="507">
        <f>IF(D93="","-",+C114+1)</f>
        <v>2028</v>
      </c>
      <c r="D115" s="374">
        <f>IF(F114+SUM(E$99:E114)=D$92,F114,D$92-SUM(E$99:E114))</f>
        <v>3330002.5722591379</v>
      </c>
      <c r="E115" s="522">
        <f>IF(+J96&lt;F114,J96,D115)</f>
        <v>125439.97619047618</v>
      </c>
      <c r="F115" s="523">
        <f t="shared" si="36"/>
        <v>3204562.5960686617</v>
      </c>
      <c r="G115" s="523">
        <f t="shared" si="37"/>
        <v>3267282.5841638995</v>
      </c>
      <c r="H115" s="526">
        <f t="shared" si="38"/>
        <v>476914.08563190047</v>
      </c>
      <c r="I115" s="577">
        <f t="shared" si="39"/>
        <v>476914.08563190047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9"/>
        <v/>
      </c>
      <c r="C116" s="507">
        <f>IF(D93="","-",+C115+1)</f>
        <v>2029</v>
      </c>
      <c r="D116" s="374">
        <f>IF(F115+SUM(E$99:E115)=D$92,F115,D$92-SUM(E$99:E115))</f>
        <v>3204562.5960686617</v>
      </c>
      <c r="E116" s="522">
        <f>IF(+J96&lt;F115,J96,D116)</f>
        <v>125439.97619047618</v>
      </c>
      <c r="F116" s="523">
        <f t="shared" si="36"/>
        <v>3079122.6198781854</v>
      </c>
      <c r="G116" s="523">
        <f t="shared" si="37"/>
        <v>3141842.6079734238</v>
      </c>
      <c r="H116" s="526">
        <f t="shared" si="38"/>
        <v>463420.02664428973</v>
      </c>
      <c r="I116" s="577">
        <f t="shared" si="39"/>
        <v>463420.02664428973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9"/>
        <v/>
      </c>
      <c r="C117" s="507">
        <f>IF(D93="","-",+C116+1)</f>
        <v>2030</v>
      </c>
      <c r="D117" s="374">
        <f>IF(F116+SUM(E$99:E116)=D$92,F116,D$92-SUM(E$99:E116))</f>
        <v>3079122.6198781854</v>
      </c>
      <c r="E117" s="522">
        <f>IF(+J96&lt;F116,J96,D117)</f>
        <v>125439.97619047618</v>
      </c>
      <c r="F117" s="523">
        <f t="shared" si="36"/>
        <v>2953682.6436877092</v>
      </c>
      <c r="G117" s="523">
        <f t="shared" si="37"/>
        <v>3016402.6317829471</v>
      </c>
      <c r="H117" s="526">
        <f t="shared" si="38"/>
        <v>449925.96765667887</v>
      </c>
      <c r="I117" s="577">
        <f t="shared" si="39"/>
        <v>449925.96765667887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9"/>
        <v/>
      </c>
      <c r="C118" s="507">
        <f>IF(D93="","-",+C117+1)</f>
        <v>2031</v>
      </c>
      <c r="D118" s="374">
        <f>IF(F117+SUM(E$99:E117)=D$92,F117,D$92-SUM(E$99:E117))</f>
        <v>2953682.6436877092</v>
      </c>
      <c r="E118" s="522">
        <f>IF(+J96&lt;F117,J96,D118)</f>
        <v>125439.97619047618</v>
      </c>
      <c r="F118" s="523">
        <f t="shared" si="36"/>
        <v>2828242.667497233</v>
      </c>
      <c r="G118" s="523">
        <f t="shared" si="37"/>
        <v>2890962.6555924714</v>
      </c>
      <c r="H118" s="526">
        <f t="shared" si="38"/>
        <v>436431.90866906813</v>
      </c>
      <c r="I118" s="577">
        <f t="shared" si="39"/>
        <v>436431.90866906813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9"/>
        <v/>
      </c>
      <c r="C119" s="507">
        <f>IF(D93="","-",+C118+1)</f>
        <v>2032</v>
      </c>
      <c r="D119" s="374">
        <f>IF(F118+SUM(E$99:E118)=D$92,F118,D$92-SUM(E$99:E118))</f>
        <v>2828242.667497233</v>
      </c>
      <c r="E119" s="522">
        <f>IF(+J96&lt;F118,J96,D119)</f>
        <v>125439.97619047618</v>
      </c>
      <c r="F119" s="523">
        <f t="shared" si="36"/>
        <v>2702802.6913067568</v>
      </c>
      <c r="G119" s="523">
        <f t="shared" si="37"/>
        <v>2765522.6794019947</v>
      </c>
      <c r="H119" s="526">
        <f t="shared" si="38"/>
        <v>422937.84968145727</v>
      </c>
      <c r="I119" s="577">
        <f t="shared" si="39"/>
        <v>422937.84968145727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9"/>
        <v/>
      </c>
      <c r="C120" s="507">
        <f>IF(D93="","-",+C119+1)</f>
        <v>2033</v>
      </c>
      <c r="D120" s="374">
        <f>IF(F119+SUM(E$99:E119)=D$92,F119,D$92-SUM(E$99:E119))</f>
        <v>2702802.6913067568</v>
      </c>
      <c r="E120" s="522">
        <f>IF(+J96&lt;F119,J96,D120)</f>
        <v>125439.97619047618</v>
      </c>
      <c r="F120" s="523">
        <f t="shared" si="36"/>
        <v>2577362.7151162806</v>
      </c>
      <c r="G120" s="523">
        <f t="shared" si="37"/>
        <v>2640082.7032115189</v>
      </c>
      <c r="H120" s="526">
        <f t="shared" si="38"/>
        <v>409443.79069384653</v>
      </c>
      <c r="I120" s="577">
        <f t="shared" si="39"/>
        <v>409443.79069384653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9"/>
        <v/>
      </c>
      <c r="C121" s="507">
        <f>IF(D93="","-",+C120+1)</f>
        <v>2034</v>
      </c>
      <c r="D121" s="374">
        <f>IF(F120+SUM(E$99:E120)=D$92,F120,D$92-SUM(E$99:E120))</f>
        <v>2577362.7151162806</v>
      </c>
      <c r="E121" s="522">
        <f>IF(+J96&lt;F120,J96,D121)</f>
        <v>125439.97619047618</v>
      </c>
      <c r="F121" s="523">
        <f t="shared" si="36"/>
        <v>2451922.7389258044</v>
      </c>
      <c r="G121" s="523">
        <f t="shared" si="37"/>
        <v>2514642.7270210423</v>
      </c>
      <c r="H121" s="526">
        <f t="shared" si="38"/>
        <v>395949.73170623567</v>
      </c>
      <c r="I121" s="577">
        <f t="shared" si="39"/>
        <v>395949.73170623567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9"/>
        <v/>
      </c>
      <c r="C122" s="507">
        <f>IF(D93="","-",+C121+1)</f>
        <v>2035</v>
      </c>
      <c r="D122" s="374">
        <f>IF(F121+SUM(E$99:E121)=D$92,F121,D$92-SUM(E$99:E121))</f>
        <v>2451922.7389258044</v>
      </c>
      <c r="E122" s="522">
        <f>IF(+J96&lt;F121,J96,D122)</f>
        <v>125439.97619047618</v>
      </c>
      <c r="F122" s="523">
        <f t="shared" si="36"/>
        <v>2326482.7627353282</v>
      </c>
      <c r="G122" s="523">
        <f t="shared" si="37"/>
        <v>2389202.7508305665</v>
      </c>
      <c r="H122" s="526">
        <f t="shared" si="38"/>
        <v>382455.67271862493</v>
      </c>
      <c r="I122" s="577">
        <f t="shared" si="39"/>
        <v>382455.67271862493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9"/>
        <v/>
      </c>
      <c r="C123" s="507">
        <f>IF(D93="","-",+C122+1)</f>
        <v>2036</v>
      </c>
      <c r="D123" s="374">
        <f>IF(F122+SUM(E$99:E122)=D$92,F122,D$92-SUM(E$99:E122))</f>
        <v>2326482.7627353282</v>
      </c>
      <c r="E123" s="522">
        <f>IF(+J96&lt;F122,J96,D123)</f>
        <v>125439.97619047618</v>
      </c>
      <c r="F123" s="523">
        <f t="shared" si="36"/>
        <v>2201042.786544852</v>
      </c>
      <c r="G123" s="523">
        <f t="shared" si="37"/>
        <v>2263762.7746400898</v>
      </c>
      <c r="H123" s="526">
        <f t="shared" si="38"/>
        <v>368961.61373101408</v>
      </c>
      <c r="I123" s="577">
        <f t="shared" si="39"/>
        <v>368961.61373101408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9"/>
        <v/>
      </c>
      <c r="C124" s="507">
        <f>IF(D93="","-",+C123+1)</f>
        <v>2037</v>
      </c>
      <c r="D124" s="374">
        <f>IF(F123+SUM(E$99:E123)=D$92,F123,D$92-SUM(E$99:E123))</f>
        <v>2201042.786544852</v>
      </c>
      <c r="E124" s="522">
        <f>IF(+J96&lt;F123,J96,D124)</f>
        <v>125439.97619047618</v>
      </c>
      <c r="F124" s="523">
        <f t="shared" si="36"/>
        <v>2075602.8103543757</v>
      </c>
      <c r="G124" s="523">
        <f t="shared" si="37"/>
        <v>2138322.7984496141</v>
      </c>
      <c r="H124" s="526">
        <f t="shared" si="38"/>
        <v>355467.55474340334</v>
      </c>
      <c r="I124" s="577">
        <f t="shared" si="39"/>
        <v>355467.55474340334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9"/>
        <v/>
      </c>
      <c r="C125" s="507">
        <f>IF(D93="","-",+C124+1)</f>
        <v>2038</v>
      </c>
      <c r="D125" s="374">
        <f>IF(F124+SUM(E$99:E124)=D$92,F124,D$92-SUM(E$99:E124))</f>
        <v>2075602.8103543757</v>
      </c>
      <c r="E125" s="522">
        <f>IF(+J96&lt;F124,J96,D125)</f>
        <v>125439.97619047618</v>
      </c>
      <c r="F125" s="523">
        <f t="shared" si="36"/>
        <v>1950162.8341638995</v>
      </c>
      <c r="G125" s="523">
        <f t="shared" si="37"/>
        <v>2012882.8222591376</v>
      </c>
      <c r="H125" s="526">
        <f t="shared" si="38"/>
        <v>341973.49575579248</v>
      </c>
      <c r="I125" s="577">
        <f t="shared" si="39"/>
        <v>341973.49575579248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9"/>
        <v/>
      </c>
      <c r="C126" s="507">
        <f>IF(D93="","-",+C125+1)</f>
        <v>2039</v>
      </c>
      <c r="D126" s="374">
        <f>IF(F125+SUM(E$99:E125)=D$92,F125,D$92-SUM(E$99:E125))</f>
        <v>1950162.8341638995</v>
      </c>
      <c r="E126" s="522">
        <f>IF(+J96&lt;F125,J96,D126)</f>
        <v>125439.97619047618</v>
      </c>
      <c r="F126" s="523">
        <f t="shared" si="36"/>
        <v>1824722.8579734233</v>
      </c>
      <c r="G126" s="523">
        <f t="shared" si="37"/>
        <v>1887442.8460686614</v>
      </c>
      <c r="H126" s="526">
        <f t="shared" si="38"/>
        <v>328479.43676818174</v>
      </c>
      <c r="I126" s="577">
        <f t="shared" si="39"/>
        <v>328479.43676818174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9"/>
        <v/>
      </c>
      <c r="C127" s="507">
        <f>IF(D93="","-",+C126+1)</f>
        <v>2040</v>
      </c>
      <c r="D127" s="374">
        <f>IF(F126+SUM(E$99:E126)=D$92,F126,D$92-SUM(E$99:E126))</f>
        <v>1824722.8579734233</v>
      </c>
      <c r="E127" s="522">
        <f>IF(+J96&lt;F126,J96,D127)</f>
        <v>125439.97619047618</v>
      </c>
      <c r="F127" s="523">
        <f t="shared" si="36"/>
        <v>1699282.8817829471</v>
      </c>
      <c r="G127" s="523">
        <f t="shared" si="37"/>
        <v>1762002.8698781852</v>
      </c>
      <c r="H127" s="526">
        <f t="shared" si="38"/>
        <v>314985.37778057094</v>
      </c>
      <c r="I127" s="577">
        <f t="shared" si="39"/>
        <v>314985.37778057094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9"/>
        <v/>
      </c>
      <c r="C128" s="507">
        <f>IF(D93="","-",+C127+1)</f>
        <v>2041</v>
      </c>
      <c r="D128" s="374">
        <f>IF(F127+SUM(E$99:E127)=D$92,F127,D$92-SUM(E$99:E127))</f>
        <v>1699282.8817829471</v>
      </c>
      <c r="E128" s="522">
        <f>IF(+J96&lt;F127,J96,D128)</f>
        <v>125439.97619047618</v>
      </c>
      <c r="F128" s="523">
        <f t="shared" si="36"/>
        <v>1573842.9055924709</v>
      </c>
      <c r="G128" s="523">
        <f t="shared" si="37"/>
        <v>1636562.893687709</v>
      </c>
      <c r="H128" s="526">
        <f t="shared" si="38"/>
        <v>301491.31879296014</v>
      </c>
      <c r="I128" s="577">
        <f t="shared" si="39"/>
        <v>301491.31879296014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9"/>
        <v/>
      </c>
      <c r="C129" s="507">
        <f>IF(D93="","-",+C128+1)</f>
        <v>2042</v>
      </c>
      <c r="D129" s="374">
        <f>IF(F128+SUM(E$99:E128)=D$92,F128,D$92-SUM(E$99:E128))</f>
        <v>1573842.9055924709</v>
      </c>
      <c r="E129" s="522">
        <f>IF(+J96&lt;F128,J96,D129)</f>
        <v>125439.97619047618</v>
      </c>
      <c r="F129" s="523">
        <f t="shared" si="36"/>
        <v>1448402.9294019947</v>
      </c>
      <c r="G129" s="523">
        <f t="shared" si="37"/>
        <v>1511122.9174972328</v>
      </c>
      <c r="H129" s="526">
        <f t="shared" si="38"/>
        <v>287997.25980534934</v>
      </c>
      <c r="I129" s="577">
        <f t="shared" si="39"/>
        <v>287997.25980534934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9"/>
        <v/>
      </c>
      <c r="C130" s="507">
        <f>IF(D93="","-",+C129+1)</f>
        <v>2043</v>
      </c>
      <c r="D130" s="374">
        <f>IF(F129+SUM(E$99:E129)=D$92,F129,D$92-SUM(E$99:E129))</f>
        <v>1448402.9294019947</v>
      </c>
      <c r="E130" s="522">
        <f>IF(+J96&lt;F129,J96,D130)</f>
        <v>125439.97619047618</v>
      </c>
      <c r="F130" s="523">
        <f t="shared" si="36"/>
        <v>1322962.9532115185</v>
      </c>
      <c r="G130" s="523">
        <f t="shared" si="37"/>
        <v>1385682.9413067566</v>
      </c>
      <c r="H130" s="526">
        <f t="shared" si="38"/>
        <v>274503.20081773854</v>
      </c>
      <c r="I130" s="577">
        <f t="shared" si="39"/>
        <v>274503.20081773854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9"/>
        <v/>
      </c>
      <c r="C131" s="507">
        <f>IF(D93="","-",+C130+1)</f>
        <v>2044</v>
      </c>
      <c r="D131" s="374">
        <f>IF(F130+SUM(E$99:E130)=D$92,F130,D$92-SUM(E$99:E130))</f>
        <v>1322962.9532115185</v>
      </c>
      <c r="E131" s="522">
        <f>IF(+J96&lt;F130,J96,D131)</f>
        <v>125439.97619047618</v>
      </c>
      <c r="F131" s="523">
        <f t="shared" si="36"/>
        <v>1197522.9770210423</v>
      </c>
      <c r="G131" s="523">
        <f t="shared" ref="G131:G154" si="40">+(F131+D131)/2</f>
        <v>1260242.9651162804</v>
      </c>
      <c r="H131" s="526">
        <f t="shared" ref="H131:H154" si="41">+J$94*G131+E131</f>
        <v>261009.14183012774</v>
      </c>
      <c r="I131" s="577">
        <f t="shared" ref="I131:I154" si="42">+J$95*G131+E131</f>
        <v>261009.14183012774</v>
      </c>
      <c r="J131" s="514">
        <f t="shared" ref="J131:J154" si="43">+I131-H131</f>
        <v>0</v>
      </c>
      <c r="K131" s="514"/>
      <c r="L131" s="525"/>
      <c r="M131" s="514">
        <f t="shared" ref="M131:M154" si="44">IF(L131&lt;&gt;0,+H131-L131,0)</f>
        <v>0</v>
      </c>
      <c r="N131" s="525"/>
      <c r="O131" s="514">
        <f t="shared" ref="O131:O154" si="45">IF(N131&lt;&gt;0,+I131-N131,0)</f>
        <v>0</v>
      </c>
      <c r="P131" s="514">
        <f t="shared" ref="P131:P154" si="46">+O131-M131</f>
        <v>0</v>
      </c>
      <c r="Q131" s="269"/>
    </row>
    <row r="132" spans="2:17" ht="12.5">
      <c r="B132" s="195" t="str">
        <f t="shared" ref="B132:B154" si="47">IF(D132=F131,"","IU")</f>
        <v/>
      </c>
      <c r="C132" s="507">
        <f>IF(D93="","-",+C131+1)</f>
        <v>2045</v>
      </c>
      <c r="D132" s="374">
        <f>IF(F131+SUM(E$99:E131)=D$92,F131,D$92-SUM(E$99:E131))</f>
        <v>1197522.9770210423</v>
      </c>
      <c r="E132" s="522">
        <f>IF(+J96&lt;F131,J96,D132)</f>
        <v>125439.97619047618</v>
      </c>
      <c r="F132" s="523">
        <f t="shared" ref="F132:F154" si="48">+D132-E132</f>
        <v>1072083.000830566</v>
      </c>
      <c r="G132" s="523">
        <f t="shared" si="40"/>
        <v>1134802.9889258042</v>
      </c>
      <c r="H132" s="526">
        <f t="shared" si="41"/>
        <v>247515.08284251695</v>
      </c>
      <c r="I132" s="577">
        <f t="shared" si="42"/>
        <v>247515.08284251695</v>
      </c>
      <c r="J132" s="514">
        <f t="shared" si="43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 ht="12.5">
      <c r="B133" s="195" t="str">
        <f t="shared" si="47"/>
        <v/>
      </c>
      <c r="C133" s="507">
        <f>IF(D93="","-",+C132+1)</f>
        <v>2046</v>
      </c>
      <c r="D133" s="374">
        <f>IF(F132+SUM(E$99:E132)=D$92,F132,D$92-SUM(E$99:E132))</f>
        <v>1072083.000830566</v>
      </c>
      <c r="E133" s="522">
        <f>IF(+J96&lt;F132,J96,D133)</f>
        <v>125439.97619047618</v>
      </c>
      <c r="F133" s="523">
        <f t="shared" si="48"/>
        <v>946643.02464008983</v>
      </c>
      <c r="G133" s="523">
        <f t="shared" si="40"/>
        <v>1009363.0127353279</v>
      </c>
      <c r="H133" s="526">
        <f t="shared" si="41"/>
        <v>234021.02385490615</v>
      </c>
      <c r="I133" s="577">
        <f t="shared" si="42"/>
        <v>234021.02385490615</v>
      </c>
      <c r="J133" s="514">
        <f t="shared" si="43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 ht="12.5">
      <c r="B134" s="195" t="str">
        <f t="shared" si="47"/>
        <v/>
      </c>
      <c r="C134" s="507">
        <f>IF(D93="","-",+C133+1)</f>
        <v>2047</v>
      </c>
      <c r="D134" s="374">
        <f>IF(F133+SUM(E$99:E133)=D$92,F133,D$92-SUM(E$99:E133))</f>
        <v>946643.02464008983</v>
      </c>
      <c r="E134" s="522">
        <f>IF(+J96&lt;F133,J96,D134)</f>
        <v>125439.97619047618</v>
      </c>
      <c r="F134" s="523">
        <f t="shared" si="48"/>
        <v>821203.04844961362</v>
      </c>
      <c r="G134" s="523">
        <f t="shared" si="40"/>
        <v>883923.03654485173</v>
      </c>
      <c r="H134" s="526">
        <f t="shared" si="41"/>
        <v>220526.96486729538</v>
      </c>
      <c r="I134" s="577">
        <f t="shared" si="42"/>
        <v>220526.96486729538</v>
      </c>
      <c r="J134" s="514">
        <f t="shared" si="43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 ht="12.5">
      <c r="B135" s="195" t="str">
        <f t="shared" si="47"/>
        <v/>
      </c>
      <c r="C135" s="507">
        <f>IF(D93="","-",+C134+1)</f>
        <v>2048</v>
      </c>
      <c r="D135" s="374">
        <f>IF(F134+SUM(E$99:E134)=D$92,F134,D$92-SUM(E$99:E134))</f>
        <v>821203.04844961362</v>
      </c>
      <c r="E135" s="522">
        <f>IF(+J96&lt;F134,J96,D135)</f>
        <v>125439.97619047618</v>
      </c>
      <c r="F135" s="523">
        <f t="shared" si="48"/>
        <v>695763.07225913741</v>
      </c>
      <c r="G135" s="523">
        <f t="shared" si="40"/>
        <v>758483.06035437551</v>
      </c>
      <c r="H135" s="526">
        <f t="shared" si="41"/>
        <v>207032.90587968458</v>
      </c>
      <c r="I135" s="577">
        <f t="shared" si="42"/>
        <v>207032.90587968458</v>
      </c>
      <c r="J135" s="514">
        <f t="shared" si="43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 ht="12.5">
      <c r="B136" s="195" t="str">
        <f t="shared" si="47"/>
        <v/>
      </c>
      <c r="C136" s="507">
        <f>IF(D93="","-",+C135+1)</f>
        <v>2049</v>
      </c>
      <c r="D136" s="374">
        <f>IF(F135+SUM(E$99:E135)=D$92,F135,D$92-SUM(E$99:E135))</f>
        <v>695763.07225913741</v>
      </c>
      <c r="E136" s="522">
        <f>IF(+J96&lt;F135,J96,D136)</f>
        <v>125439.97619047618</v>
      </c>
      <c r="F136" s="523">
        <f t="shared" si="48"/>
        <v>570323.09606866119</v>
      </c>
      <c r="G136" s="523">
        <f t="shared" si="40"/>
        <v>633043.0841638993</v>
      </c>
      <c r="H136" s="526">
        <f t="shared" si="41"/>
        <v>193538.84689207378</v>
      </c>
      <c r="I136" s="577">
        <f t="shared" si="42"/>
        <v>193538.84689207378</v>
      </c>
      <c r="J136" s="514">
        <f t="shared" si="43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 ht="12.5">
      <c r="B137" s="195" t="str">
        <f t="shared" si="47"/>
        <v/>
      </c>
      <c r="C137" s="507">
        <f>IF(D93="","-",+C136+1)</f>
        <v>2050</v>
      </c>
      <c r="D137" s="374">
        <f>IF(F136+SUM(E$99:E136)=D$92,F136,D$92-SUM(E$99:E136))</f>
        <v>570323.09606866119</v>
      </c>
      <c r="E137" s="522">
        <f>IF(+J96&lt;F136,J96,D137)</f>
        <v>125439.97619047618</v>
      </c>
      <c r="F137" s="523">
        <f t="shared" si="48"/>
        <v>444883.11987818498</v>
      </c>
      <c r="G137" s="523">
        <f t="shared" si="40"/>
        <v>507603.10797342309</v>
      </c>
      <c r="H137" s="526">
        <f t="shared" si="41"/>
        <v>180044.78790446301</v>
      </c>
      <c r="I137" s="577">
        <f t="shared" si="42"/>
        <v>180044.78790446301</v>
      </c>
      <c r="J137" s="514">
        <f t="shared" si="43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 ht="12.5">
      <c r="B138" s="195" t="str">
        <f t="shared" si="47"/>
        <v/>
      </c>
      <c r="C138" s="507">
        <f>IF(D93="","-",+C137+1)</f>
        <v>2051</v>
      </c>
      <c r="D138" s="374">
        <f>IF(F137+SUM(E$99:E137)=D$92,F137,D$92-SUM(E$99:E137))</f>
        <v>444883.11987818498</v>
      </c>
      <c r="E138" s="522">
        <f>IF(+J96&lt;F137,J96,D138)</f>
        <v>125439.97619047618</v>
      </c>
      <c r="F138" s="523">
        <f t="shared" si="48"/>
        <v>319443.14368770877</v>
      </c>
      <c r="G138" s="523">
        <f t="shared" si="40"/>
        <v>382163.13178294688</v>
      </c>
      <c r="H138" s="526">
        <f t="shared" si="41"/>
        <v>166550.72891685221</v>
      </c>
      <c r="I138" s="577">
        <f t="shared" si="42"/>
        <v>166550.72891685221</v>
      </c>
      <c r="J138" s="514">
        <f t="shared" si="43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 ht="12.5">
      <c r="B139" s="195" t="str">
        <f t="shared" si="47"/>
        <v/>
      </c>
      <c r="C139" s="507">
        <f>IF(D93="","-",+C138+1)</f>
        <v>2052</v>
      </c>
      <c r="D139" s="374">
        <f>IF(F138+SUM(E$99:E138)=D$92,F138,D$92-SUM(E$99:E138))</f>
        <v>319443.14368770877</v>
      </c>
      <c r="E139" s="522">
        <f>IF(+J96&lt;F138,J96,D139)</f>
        <v>125439.97619047618</v>
      </c>
      <c r="F139" s="523">
        <f t="shared" si="48"/>
        <v>194003.16749723259</v>
      </c>
      <c r="G139" s="523">
        <f t="shared" si="40"/>
        <v>256723.15559247066</v>
      </c>
      <c r="H139" s="526">
        <f t="shared" si="41"/>
        <v>153056.66992924141</v>
      </c>
      <c r="I139" s="577">
        <f t="shared" si="42"/>
        <v>153056.66992924141</v>
      </c>
      <c r="J139" s="514">
        <f t="shared" si="43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 ht="12.5">
      <c r="B140" s="195" t="str">
        <f t="shared" si="47"/>
        <v/>
      </c>
      <c r="C140" s="507">
        <f>IF(D93="","-",+C139+1)</f>
        <v>2053</v>
      </c>
      <c r="D140" s="374">
        <f>IF(F139+SUM(E$99:E139)=D$92,F139,D$92-SUM(E$99:E139))</f>
        <v>194003.16749723259</v>
      </c>
      <c r="E140" s="522">
        <f>IF(+J96&lt;F139,J96,D140)</f>
        <v>125439.97619047618</v>
      </c>
      <c r="F140" s="523">
        <f t="shared" si="48"/>
        <v>68563.191306756402</v>
      </c>
      <c r="G140" s="523">
        <f t="shared" si="40"/>
        <v>131283.17940199451</v>
      </c>
      <c r="H140" s="526">
        <f t="shared" si="41"/>
        <v>139562.61094163061</v>
      </c>
      <c r="I140" s="577">
        <f t="shared" si="42"/>
        <v>139562.61094163061</v>
      </c>
      <c r="J140" s="514">
        <f t="shared" si="43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 ht="12.5">
      <c r="B141" s="195" t="str">
        <f t="shared" si="47"/>
        <v/>
      </c>
      <c r="C141" s="507">
        <f>IF(D93="","-",+C140+1)</f>
        <v>2054</v>
      </c>
      <c r="D141" s="374">
        <f>IF(F140+SUM(E$99:E140)=D$92,F140,D$92-SUM(E$99:E140))</f>
        <v>68563.191306756402</v>
      </c>
      <c r="E141" s="522">
        <f>IF(+J96&lt;F140,J96,D141)</f>
        <v>68563.191306756402</v>
      </c>
      <c r="F141" s="523">
        <f t="shared" si="48"/>
        <v>0</v>
      </c>
      <c r="G141" s="523">
        <f t="shared" si="40"/>
        <v>34281.595653378201</v>
      </c>
      <c r="H141" s="526">
        <f t="shared" si="41"/>
        <v>72250.993935430917</v>
      </c>
      <c r="I141" s="577">
        <f t="shared" si="42"/>
        <v>72250.993935430917</v>
      </c>
      <c r="J141" s="514">
        <f t="shared" si="43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 ht="12.5">
      <c r="B142" s="195" t="str">
        <f t="shared" si="47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8"/>
        <v>0</v>
      </c>
      <c r="G142" s="523">
        <f t="shared" si="40"/>
        <v>0</v>
      </c>
      <c r="H142" s="526">
        <f t="shared" si="41"/>
        <v>0</v>
      </c>
      <c r="I142" s="577">
        <f t="shared" si="42"/>
        <v>0</v>
      </c>
      <c r="J142" s="514">
        <f t="shared" si="43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 ht="12.5">
      <c r="B143" s="195" t="str">
        <f t="shared" si="47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8"/>
        <v>0</v>
      </c>
      <c r="G143" s="523">
        <f t="shared" si="40"/>
        <v>0</v>
      </c>
      <c r="H143" s="526">
        <f t="shared" si="41"/>
        <v>0</v>
      </c>
      <c r="I143" s="577">
        <f t="shared" si="42"/>
        <v>0</v>
      </c>
      <c r="J143" s="514">
        <f t="shared" si="43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 ht="12.5">
      <c r="B144" s="195" t="str">
        <f t="shared" si="47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8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43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 ht="12.5">
      <c r="B145" s="195" t="str">
        <f t="shared" si="47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8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43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 ht="12.5">
      <c r="B146" s="195" t="str">
        <f t="shared" si="47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8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43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 ht="12.5">
      <c r="B147" s="195" t="str">
        <f t="shared" si="47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8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43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 ht="12.5">
      <c r="B148" s="195" t="str">
        <f t="shared" si="47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8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43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 ht="12.5">
      <c r="B149" s="195" t="str">
        <f t="shared" si="47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8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43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 ht="12.5">
      <c r="B150" s="195" t="str">
        <f t="shared" si="47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8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43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 ht="12.5">
      <c r="B151" s="195" t="str">
        <f t="shared" si="47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8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43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 ht="12.5">
      <c r="B152" s="195" t="str">
        <f t="shared" si="47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8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43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 ht="12.5">
      <c r="B153" s="195" t="str">
        <f t="shared" si="47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8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43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" thickBot="1">
      <c r="B154" s="195" t="str">
        <f t="shared" si="47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8"/>
        <v>0</v>
      </c>
      <c r="G154" s="528">
        <f t="shared" si="40"/>
        <v>0</v>
      </c>
      <c r="H154" s="530">
        <f t="shared" si="41"/>
        <v>0</v>
      </c>
      <c r="I154" s="579">
        <f t="shared" si="42"/>
        <v>0</v>
      </c>
      <c r="J154" s="533">
        <f t="shared" si="43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 ht="12.5">
      <c r="C155" s="374" t="s">
        <v>78</v>
      </c>
      <c r="D155" s="375"/>
      <c r="E155" s="375">
        <f>SUM(E99:E154)</f>
        <v>5268478.9999999981</v>
      </c>
      <c r="F155" s="375"/>
      <c r="G155" s="375"/>
      <c r="H155" s="375">
        <f>SUM(H99:H154)</f>
        <v>17845013.409919985</v>
      </c>
      <c r="I155" s="375">
        <f>SUM(I99:I154)</f>
        <v>17845013.409919985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5" priority="1" stopIfTrue="1" operator="equal">
      <formula>$I$10</formula>
    </cfRule>
  </conditionalFormatting>
  <conditionalFormatting sqref="C99:C154">
    <cfRule type="cellIs" dxfId="10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Q162"/>
  <sheetViews>
    <sheetView view="pageBreakPreview" topLeftCell="A79" zoomScale="75" zoomScaleNormal="100" zoomScaleSheetLayoutView="75" workbookViewId="0">
      <selection activeCell="E109" sqref="E109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29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203908.67428410932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203908.67428410932</v>
      </c>
      <c r="O6" s="269"/>
      <c r="P6" s="269"/>
    </row>
    <row r="7" spans="1:17" ht="13.5" thickBot="1">
      <c r="C7" s="467" t="s">
        <v>48</v>
      </c>
      <c r="D7" s="620" t="s">
        <v>283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282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1881887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44806.833333333336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1521900</v>
      </c>
      <c r="E17" s="509">
        <v>0</v>
      </c>
      <c r="F17" s="508">
        <v>1521900</v>
      </c>
      <c r="G17" s="509">
        <v>226337.18116854847</v>
      </c>
      <c r="H17" s="510">
        <v>226337.18116854847</v>
      </c>
      <c r="I17" s="517">
        <v>0</v>
      </c>
      <c r="J17" s="511"/>
      <c r="K17" s="512">
        <f t="shared" ref="K17:K22" si="0">G17</f>
        <v>226337.18116854847</v>
      </c>
      <c r="L17" s="597">
        <f t="shared" ref="L17:L48" si="1">IF(K17&lt;&gt;0,+G17-K17,0)</f>
        <v>0</v>
      </c>
      <c r="M17" s="512">
        <f t="shared" ref="M17:M22" si="2">H17</f>
        <v>226337.18116854847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1886753</v>
      </c>
      <c r="E18" s="609">
        <v>44922.690476190473</v>
      </c>
      <c r="F18" s="608">
        <v>1841830.3095238095</v>
      </c>
      <c r="G18" s="609">
        <v>302755.14118520013</v>
      </c>
      <c r="H18" s="610">
        <v>302755.14118520013</v>
      </c>
      <c r="I18" s="596">
        <v>0</v>
      </c>
      <c r="J18" s="511"/>
      <c r="K18" s="518">
        <f t="shared" si="0"/>
        <v>302755.14118520013</v>
      </c>
      <c r="L18" s="519">
        <f t="shared" ref="L18:L23" si="6">IF(K18&lt;&gt;0,+G18-K18,0)</f>
        <v>0</v>
      </c>
      <c r="M18" s="518">
        <f t="shared" si="2"/>
        <v>302755.14118520013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608">
        <v>1836964.3095238095</v>
      </c>
      <c r="E19" s="609">
        <v>44806.833333333336</v>
      </c>
      <c r="F19" s="608">
        <v>1792157.4761904762</v>
      </c>
      <c r="G19" s="609">
        <v>286587.70931021811</v>
      </c>
      <c r="H19" s="610">
        <v>286587.70931021811</v>
      </c>
      <c r="I19" s="596">
        <v>0</v>
      </c>
      <c r="J19" s="511"/>
      <c r="K19" s="518">
        <f t="shared" si="0"/>
        <v>286587.70931021811</v>
      </c>
      <c r="L19" s="519">
        <f t="shared" si="6"/>
        <v>0</v>
      </c>
      <c r="M19" s="518">
        <f t="shared" si="2"/>
        <v>286587.70931021811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/>
      </c>
      <c r="C20" s="507">
        <f>IF(D11="","-",+C19+1)</f>
        <v>2015</v>
      </c>
      <c r="D20" s="608">
        <v>1792157.4761904762</v>
      </c>
      <c r="E20" s="609">
        <v>44806.833333333336</v>
      </c>
      <c r="F20" s="608">
        <v>1747350.642857143</v>
      </c>
      <c r="G20" s="609">
        <v>274941.30198456615</v>
      </c>
      <c r="H20" s="610">
        <v>274941.30198456615</v>
      </c>
      <c r="I20" s="511">
        <v>0</v>
      </c>
      <c r="J20" s="511"/>
      <c r="K20" s="518">
        <f t="shared" si="0"/>
        <v>274941.30198456615</v>
      </c>
      <c r="L20" s="519">
        <f t="shared" si="6"/>
        <v>0</v>
      </c>
      <c r="M20" s="518">
        <f t="shared" si="2"/>
        <v>274941.30198456615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608">
        <v>1747350.642857143</v>
      </c>
      <c r="E21" s="609">
        <v>44806.833333333336</v>
      </c>
      <c r="F21" s="608">
        <v>1702543.8095238097</v>
      </c>
      <c r="G21" s="609">
        <v>266273.68954480469</v>
      </c>
      <c r="H21" s="610">
        <v>266273.68954480469</v>
      </c>
      <c r="I21" s="511">
        <f t="shared" ref="I21:I48" si="9">H21-G21</f>
        <v>0</v>
      </c>
      <c r="J21" s="511"/>
      <c r="K21" s="518">
        <f t="shared" si="0"/>
        <v>266273.68954480469</v>
      </c>
      <c r="L21" s="519">
        <f t="shared" si="6"/>
        <v>0</v>
      </c>
      <c r="M21" s="518">
        <f t="shared" si="2"/>
        <v>266273.68954480469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08">
        <v>1702543.8095238097</v>
      </c>
      <c r="E22" s="609">
        <v>43764.813953488374</v>
      </c>
      <c r="F22" s="608">
        <v>1658778.9955703213</v>
      </c>
      <c r="G22" s="609">
        <v>251986.21326636171</v>
      </c>
      <c r="H22" s="610">
        <v>251986.21326636171</v>
      </c>
      <c r="I22" s="511">
        <f t="shared" si="9"/>
        <v>0</v>
      </c>
      <c r="J22" s="511"/>
      <c r="K22" s="518">
        <f t="shared" si="0"/>
        <v>251986.21326636171</v>
      </c>
      <c r="L22" s="519">
        <f t="shared" si="6"/>
        <v>0</v>
      </c>
      <c r="M22" s="518">
        <f t="shared" si="2"/>
        <v>251986.21326636171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1658778.9955703213</v>
      </c>
      <c r="E23" s="609">
        <v>45899.682926829271</v>
      </c>
      <c r="F23" s="608">
        <v>1612879.3126434921</v>
      </c>
      <c r="G23" s="609">
        <v>253803.9152686233</v>
      </c>
      <c r="H23" s="610">
        <v>253803.9152686233</v>
      </c>
      <c r="I23" s="511">
        <f t="shared" si="9"/>
        <v>0</v>
      </c>
      <c r="J23" s="511"/>
      <c r="K23" s="518">
        <f>G23</f>
        <v>253803.9152686233</v>
      </c>
      <c r="L23" s="519">
        <f t="shared" si="6"/>
        <v>0</v>
      </c>
      <c r="M23" s="518">
        <f>H23</f>
        <v>253803.9152686233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1612879.3126434921</v>
      </c>
      <c r="E24" s="609">
        <v>45899.682926829271</v>
      </c>
      <c r="F24" s="608">
        <v>1566979.6297166629</v>
      </c>
      <c r="G24" s="609">
        <v>247970.33642594516</v>
      </c>
      <c r="H24" s="610">
        <v>247970.33642594516</v>
      </c>
      <c r="I24" s="511">
        <f t="shared" si="9"/>
        <v>0</v>
      </c>
      <c r="J24" s="511"/>
      <c r="K24" s="518">
        <f>G24</f>
        <v>247970.33642594516</v>
      </c>
      <c r="L24" s="519">
        <f t="shared" ref="L24" si="10">IF(K24&lt;&gt;0,+G24-K24,0)</f>
        <v>0</v>
      </c>
      <c r="M24" s="518">
        <f>H24</f>
        <v>247970.33642594516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08">
        <v>1566979.6297166629</v>
      </c>
      <c r="E25" s="609">
        <v>45899.682926829271</v>
      </c>
      <c r="F25" s="608">
        <v>1521079.9467898337</v>
      </c>
      <c r="G25" s="609">
        <v>203908.67428410932</v>
      </c>
      <c r="H25" s="610">
        <v>203908.67428410932</v>
      </c>
      <c r="I25" s="511">
        <f t="shared" si="9"/>
        <v>0</v>
      </c>
      <c r="J25" s="511"/>
      <c r="K25" s="518">
        <f>G25</f>
        <v>203908.67428410932</v>
      </c>
      <c r="L25" s="519">
        <f t="shared" ref="L25" si="11">IF(K25&lt;&gt;0,+G25-K25,0)</f>
        <v>0</v>
      </c>
      <c r="M25" s="518">
        <f>H25</f>
        <v>203908.67428410932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/>
      </c>
      <c r="C26" s="507">
        <f>IF(D11="","-",+C25+1)</f>
        <v>2021</v>
      </c>
      <c r="D26" s="523">
        <f>IF(F25+SUM(E$17:E25)=D$10,F25,D$10-SUM(E$17:E25))</f>
        <v>1521079.9467898337</v>
      </c>
      <c r="E26" s="522">
        <f>IF(+I14&lt;F25,I14,D26)</f>
        <v>44806.833333333336</v>
      </c>
      <c r="F26" s="523">
        <f t="shared" ref="F26:F48" si="12">+D26-E26</f>
        <v>1476273.1134565005</v>
      </c>
      <c r="G26" s="524">
        <f t="shared" ref="G26:G53" si="13">+I$12*((D26+F26)/2)+E26</f>
        <v>204892.4236035092</v>
      </c>
      <c r="H26" s="491">
        <f t="shared" ref="H26:H53" si="14">+I$13*((D26+F26)/2)+E26</f>
        <v>204892.4236035092</v>
      </c>
      <c r="I26" s="511">
        <f t="shared" si="9"/>
        <v>0</v>
      </c>
      <c r="J26" s="511"/>
      <c r="K26" s="525"/>
      <c r="L26" s="514">
        <f t="shared" si="1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1476273.1134565005</v>
      </c>
      <c r="E27" s="522">
        <f>IF(+I14&lt;F26,I14,D27)</f>
        <v>44806.833333333336</v>
      </c>
      <c r="F27" s="523">
        <f t="shared" si="12"/>
        <v>1431466.2801231672</v>
      </c>
      <c r="G27" s="524">
        <f t="shared" si="13"/>
        <v>200106.24845621802</v>
      </c>
      <c r="H27" s="491">
        <f t="shared" si="14"/>
        <v>200106.24845621802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1431466.2801231672</v>
      </c>
      <c r="E28" s="522">
        <f>IF(+I14&lt;F27,I14,D28)</f>
        <v>44806.833333333336</v>
      </c>
      <c r="F28" s="523">
        <f t="shared" si="12"/>
        <v>1386659.4467898339</v>
      </c>
      <c r="G28" s="524">
        <f t="shared" si="13"/>
        <v>195320.07330892689</v>
      </c>
      <c r="H28" s="491">
        <f t="shared" si="14"/>
        <v>195320.07330892689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1386659.4467898339</v>
      </c>
      <c r="E29" s="522">
        <f>IF(+I14&lt;F28,I14,D29)</f>
        <v>44806.833333333336</v>
      </c>
      <c r="F29" s="523">
        <f t="shared" si="12"/>
        <v>1341852.6134565007</v>
      </c>
      <c r="G29" s="524">
        <f t="shared" si="13"/>
        <v>190533.89816163571</v>
      </c>
      <c r="H29" s="491">
        <f t="shared" si="14"/>
        <v>190533.89816163571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1341852.6134565007</v>
      </c>
      <c r="E30" s="522">
        <f>IF(+I14&lt;F29,I14,D30)</f>
        <v>44806.833333333336</v>
      </c>
      <c r="F30" s="523">
        <f t="shared" si="12"/>
        <v>1297045.7801231674</v>
      </c>
      <c r="G30" s="524">
        <f t="shared" si="13"/>
        <v>185747.72301434458</v>
      </c>
      <c r="H30" s="491">
        <f t="shared" si="14"/>
        <v>185747.72301434458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1297045.7801231674</v>
      </c>
      <c r="E31" s="522">
        <f>IF(+I14&lt;F30,I14,D31)</f>
        <v>44806.833333333336</v>
      </c>
      <c r="F31" s="523">
        <f t="shared" si="12"/>
        <v>1252238.9467898342</v>
      </c>
      <c r="G31" s="524">
        <f t="shared" si="13"/>
        <v>180961.54786705339</v>
      </c>
      <c r="H31" s="491">
        <f t="shared" si="14"/>
        <v>180961.54786705339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1252238.9467898342</v>
      </c>
      <c r="E32" s="522">
        <f>IF(+I14&lt;F31,I14,D32)</f>
        <v>44806.833333333336</v>
      </c>
      <c r="F32" s="523">
        <f t="shared" si="12"/>
        <v>1207432.1134565009</v>
      </c>
      <c r="G32" s="524">
        <f t="shared" si="13"/>
        <v>176175.37271976226</v>
      </c>
      <c r="H32" s="491">
        <f t="shared" si="14"/>
        <v>176175.37271976226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1207432.1134565009</v>
      </c>
      <c r="E33" s="522">
        <f>IF(+I14&lt;F32,I14,D33)</f>
        <v>44806.833333333336</v>
      </c>
      <c r="F33" s="523">
        <f t="shared" si="12"/>
        <v>1162625.2801231677</v>
      </c>
      <c r="G33" s="524">
        <f t="shared" si="13"/>
        <v>171389.19757247108</v>
      </c>
      <c r="H33" s="491">
        <f t="shared" si="14"/>
        <v>171389.19757247108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1162625.2801231677</v>
      </c>
      <c r="E34" s="522">
        <f>IF(+I14&lt;F33,I14,D34)</f>
        <v>44806.833333333336</v>
      </c>
      <c r="F34" s="523">
        <f t="shared" si="12"/>
        <v>1117818.4467898344</v>
      </c>
      <c r="G34" s="524">
        <f t="shared" si="13"/>
        <v>166603.02242517995</v>
      </c>
      <c r="H34" s="491">
        <f t="shared" si="14"/>
        <v>166603.02242517995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1117818.4467898344</v>
      </c>
      <c r="E35" s="522">
        <f>IF(+I14&lt;F34,I14,D35)</f>
        <v>44806.833333333336</v>
      </c>
      <c r="F35" s="523">
        <f t="shared" si="12"/>
        <v>1073011.6134565012</v>
      </c>
      <c r="G35" s="524">
        <f t="shared" si="13"/>
        <v>161816.8472778888</v>
      </c>
      <c r="H35" s="491">
        <f t="shared" si="14"/>
        <v>161816.8472778888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1073011.6134565012</v>
      </c>
      <c r="E36" s="522">
        <f>IF(+I14&lt;F35,I14,D36)</f>
        <v>44806.833333333336</v>
      </c>
      <c r="F36" s="523">
        <f t="shared" si="12"/>
        <v>1028204.7801231678</v>
      </c>
      <c r="G36" s="524">
        <f t="shared" si="13"/>
        <v>157030.67213059764</v>
      </c>
      <c r="H36" s="491">
        <f t="shared" si="14"/>
        <v>157030.67213059764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1028204.7801231678</v>
      </c>
      <c r="E37" s="522">
        <f>IF(+I14&lt;F36,I14,D37)</f>
        <v>44806.833333333336</v>
      </c>
      <c r="F37" s="523">
        <f t="shared" si="12"/>
        <v>983397.94678983442</v>
      </c>
      <c r="G37" s="524">
        <f t="shared" si="13"/>
        <v>152244.49698330648</v>
      </c>
      <c r="H37" s="491">
        <f t="shared" si="14"/>
        <v>152244.49698330648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983397.94678983442</v>
      </c>
      <c r="E38" s="522">
        <f>IF(+I14&lt;F37,I14,D38)</f>
        <v>44806.833333333336</v>
      </c>
      <c r="F38" s="523">
        <f t="shared" si="12"/>
        <v>938591.11345650104</v>
      </c>
      <c r="G38" s="524">
        <f t="shared" si="13"/>
        <v>147458.3218360153</v>
      </c>
      <c r="H38" s="491">
        <f t="shared" si="14"/>
        <v>147458.3218360153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938591.11345650104</v>
      </c>
      <c r="E39" s="522">
        <f>IF(+I14&lt;F38,I14,D39)</f>
        <v>44806.833333333336</v>
      </c>
      <c r="F39" s="523">
        <f t="shared" si="12"/>
        <v>893784.28012316767</v>
      </c>
      <c r="G39" s="524">
        <f t="shared" si="13"/>
        <v>142672.14668872414</v>
      </c>
      <c r="H39" s="491">
        <f t="shared" si="14"/>
        <v>142672.14668872414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893784.28012316767</v>
      </c>
      <c r="E40" s="522">
        <f>IF(+I14&lt;F39,I14,D40)</f>
        <v>44806.833333333336</v>
      </c>
      <c r="F40" s="523">
        <f t="shared" si="12"/>
        <v>848977.4467898343</v>
      </c>
      <c r="G40" s="524">
        <f t="shared" si="13"/>
        <v>137885.97154143295</v>
      </c>
      <c r="H40" s="491">
        <f t="shared" si="14"/>
        <v>137885.97154143295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848977.4467898343</v>
      </c>
      <c r="E41" s="522">
        <f>IF(+I14&lt;F40,I14,D41)</f>
        <v>44806.833333333336</v>
      </c>
      <c r="F41" s="523">
        <f t="shared" si="12"/>
        <v>804170.61345650093</v>
      </c>
      <c r="G41" s="524">
        <f t="shared" si="13"/>
        <v>133099.7963941418</v>
      </c>
      <c r="H41" s="491">
        <f t="shared" si="14"/>
        <v>133099.7963941418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804170.61345650093</v>
      </c>
      <c r="E42" s="522">
        <f>IF(+I14&lt;F41,I14,D42)</f>
        <v>44806.833333333336</v>
      </c>
      <c r="F42" s="523">
        <f t="shared" si="12"/>
        <v>759363.78012316755</v>
      </c>
      <c r="G42" s="524">
        <f t="shared" si="13"/>
        <v>128313.62124685064</v>
      </c>
      <c r="H42" s="491">
        <f t="shared" si="14"/>
        <v>128313.62124685064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759363.78012316755</v>
      </c>
      <c r="E43" s="522">
        <f>IF(+I14&lt;F42,I14,D43)</f>
        <v>44806.833333333336</v>
      </c>
      <c r="F43" s="523">
        <f t="shared" si="12"/>
        <v>714556.94678983418</v>
      </c>
      <c r="G43" s="524">
        <f t="shared" si="13"/>
        <v>123527.44609955949</v>
      </c>
      <c r="H43" s="491">
        <f t="shared" si="14"/>
        <v>123527.44609955949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714556.94678983418</v>
      </c>
      <c r="E44" s="522">
        <f>IF(+I14&lt;F43,I14,D44)</f>
        <v>44806.833333333336</v>
      </c>
      <c r="F44" s="523">
        <f t="shared" si="12"/>
        <v>669750.11345650081</v>
      </c>
      <c r="G44" s="524">
        <f t="shared" si="13"/>
        <v>118741.2709522683</v>
      </c>
      <c r="H44" s="491">
        <f t="shared" si="14"/>
        <v>118741.2709522683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669750.11345650081</v>
      </c>
      <c r="E45" s="522">
        <f>IF(+I14&lt;F44,I14,D45)</f>
        <v>44806.833333333336</v>
      </c>
      <c r="F45" s="523">
        <f t="shared" si="12"/>
        <v>624943.28012316744</v>
      </c>
      <c r="G45" s="524">
        <f t="shared" si="13"/>
        <v>113955.09580497714</v>
      </c>
      <c r="H45" s="491">
        <f t="shared" si="14"/>
        <v>113955.09580497714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624943.28012316744</v>
      </c>
      <c r="E46" s="522">
        <f>IF(+I14&lt;F45,I14,D46)</f>
        <v>44806.833333333336</v>
      </c>
      <c r="F46" s="523">
        <f t="shared" si="12"/>
        <v>580136.44678983407</v>
      </c>
      <c r="G46" s="524">
        <f t="shared" si="13"/>
        <v>109168.92065768596</v>
      </c>
      <c r="H46" s="491">
        <f t="shared" si="14"/>
        <v>109168.92065768596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580136.44678983407</v>
      </c>
      <c r="E47" s="522">
        <f>IF(+I14&lt;F46,I14,D47)</f>
        <v>44806.833333333336</v>
      </c>
      <c r="F47" s="523">
        <f t="shared" si="12"/>
        <v>535329.61345650069</v>
      </c>
      <c r="G47" s="524">
        <f t="shared" si="13"/>
        <v>104382.7455103948</v>
      </c>
      <c r="H47" s="491">
        <f t="shared" si="14"/>
        <v>104382.7455103948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535329.61345650069</v>
      </c>
      <c r="E48" s="522">
        <f>IF(+I14&lt;F47,I14,D48)</f>
        <v>44806.833333333336</v>
      </c>
      <c r="F48" s="523">
        <f t="shared" si="12"/>
        <v>490522.78012316738</v>
      </c>
      <c r="G48" s="524">
        <f t="shared" si="13"/>
        <v>99596.570363103645</v>
      </c>
      <c r="H48" s="491">
        <f t="shared" si="14"/>
        <v>99596.570363103645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490522.78012316738</v>
      </c>
      <c r="E49" s="522">
        <f>IF(+I14&lt;F48,I14,D49)</f>
        <v>44806.833333333336</v>
      </c>
      <c r="F49" s="523">
        <f t="shared" ref="F49:F72" si="15">+D49-E49</f>
        <v>445715.94678983407</v>
      </c>
      <c r="G49" s="524">
        <f t="shared" si="13"/>
        <v>94810.395215812474</v>
      </c>
      <c r="H49" s="491">
        <f t="shared" si="14"/>
        <v>94810.395215812474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ref="B50:B72" si="20">IF(D50=F49,"","IU")</f>
        <v/>
      </c>
      <c r="C50" s="507">
        <f>IF(D11="","-",+C49+1)</f>
        <v>2045</v>
      </c>
      <c r="D50" s="523">
        <f>IF(F49+SUM(E$17:E49)=D$10,F49,D$10-SUM(E$17:E49))</f>
        <v>445715.94678983407</v>
      </c>
      <c r="E50" s="522">
        <f>IF(+I14&lt;F49,I14,D50)</f>
        <v>44806.833333333336</v>
      </c>
      <c r="F50" s="523">
        <f t="shared" si="15"/>
        <v>400909.11345650075</v>
      </c>
      <c r="G50" s="524">
        <f t="shared" si="13"/>
        <v>90024.220068521317</v>
      </c>
      <c r="H50" s="491">
        <f t="shared" si="14"/>
        <v>90024.220068521317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20"/>
        <v/>
      </c>
      <c r="C51" s="507">
        <f>IF(D11="","-",+C50+1)</f>
        <v>2046</v>
      </c>
      <c r="D51" s="523">
        <f>IF(F50+SUM(E$17:E50)=D$10,F50,D$10-SUM(E$17:E50))</f>
        <v>400909.11345650075</v>
      </c>
      <c r="E51" s="522">
        <f>IF(+I14&lt;F50,I14,D51)</f>
        <v>44806.833333333336</v>
      </c>
      <c r="F51" s="523">
        <f t="shared" si="15"/>
        <v>356102.28012316744</v>
      </c>
      <c r="G51" s="524">
        <f t="shared" si="13"/>
        <v>85238.044921230146</v>
      </c>
      <c r="H51" s="491">
        <f t="shared" si="14"/>
        <v>85238.044921230146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20"/>
        <v/>
      </c>
      <c r="C52" s="507">
        <f>IF(D11="","-",+C51+1)</f>
        <v>2047</v>
      </c>
      <c r="D52" s="523">
        <f>IF(F51+SUM(E$17:E51)=D$10,F51,D$10-SUM(E$17:E51))</f>
        <v>356102.28012316744</v>
      </c>
      <c r="E52" s="522">
        <f>IF(+I14&lt;F51,I14,D52)</f>
        <v>44806.833333333336</v>
      </c>
      <c r="F52" s="523">
        <f t="shared" si="15"/>
        <v>311295.44678983412</v>
      </c>
      <c r="G52" s="524">
        <f t="shared" si="13"/>
        <v>80451.86977393899</v>
      </c>
      <c r="H52" s="491">
        <f t="shared" si="14"/>
        <v>80451.86977393899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20"/>
        <v/>
      </c>
      <c r="C53" s="507">
        <f>IF(D11="","-",+C52+1)</f>
        <v>2048</v>
      </c>
      <c r="D53" s="523">
        <f>IF(F52+SUM(E$17:E52)=D$10,F52,D$10-SUM(E$17:E52))</f>
        <v>311295.44678983412</v>
      </c>
      <c r="E53" s="522">
        <f>IF(+I14&lt;F52,I14,D53)</f>
        <v>44806.833333333336</v>
      </c>
      <c r="F53" s="523">
        <f t="shared" si="15"/>
        <v>266488.61345650081</v>
      </c>
      <c r="G53" s="524">
        <f t="shared" si="13"/>
        <v>75665.694626647834</v>
      </c>
      <c r="H53" s="491">
        <f t="shared" si="14"/>
        <v>75665.694626647834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20"/>
        <v/>
      </c>
      <c r="C54" s="507">
        <f>IF(D11="","-",+C53+1)</f>
        <v>2049</v>
      </c>
      <c r="D54" s="523">
        <f>IF(F53+SUM(E$17:E53)=D$10,F53,D$10-SUM(E$17:E53))</f>
        <v>266488.61345650081</v>
      </c>
      <c r="E54" s="522">
        <f>IF(+I14&lt;F53,I14,D54)</f>
        <v>44806.833333333336</v>
      </c>
      <c r="F54" s="523">
        <f t="shared" si="15"/>
        <v>221681.78012316747</v>
      </c>
      <c r="G54" s="524">
        <f t="shared" ref="G54:G72" si="21">+I$12*((D54+F54)/2)+E54</f>
        <v>70879.519479356677</v>
      </c>
      <c r="H54" s="491">
        <f t="shared" ref="H54:H72" si="22">+I$13*((D54+F54)/2)+E54</f>
        <v>70879.519479356677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20"/>
        <v/>
      </c>
      <c r="C55" s="507">
        <f>IF(D11="","-",+C54+1)</f>
        <v>2050</v>
      </c>
      <c r="D55" s="523">
        <f>IF(F54+SUM(E$17:E54)=D$10,F54,D$10-SUM(E$17:E54))</f>
        <v>221681.78012316747</v>
      </c>
      <c r="E55" s="522">
        <f>IF(+I14&lt;F54,I14,D55)</f>
        <v>44806.833333333336</v>
      </c>
      <c r="F55" s="523">
        <f t="shared" si="15"/>
        <v>176874.94678983412</v>
      </c>
      <c r="G55" s="524">
        <f t="shared" si="21"/>
        <v>66093.344332065521</v>
      </c>
      <c r="H55" s="491">
        <f t="shared" si="22"/>
        <v>66093.344332065521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20"/>
        <v/>
      </c>
      <c r="C56" s="507">
        <f>IF(D11="","-",+C55+1)</f>
        <v>2051</v>
      </c>
      <c r="D56" s="523">
        <f>IF(F55+SUM(E$17:E55)=D$10,F55,D$10-SUM(E$17:E55))</f>
        <v>176874.94678983412</v>
      </c>
      <c r="E56" s="522">
        <f>IF(+I14&lt;F55,I14,D56)</f>
        <v>44806.833333333336</v>
      </c>
      <c r="F56" s="523">
        <f t="shared" si="15"/>
        <v>132068.11345650078</v>
      </c>
      <c r="G56" s="524">
        <f t="shared" si="21"/>
        <v>61307.16918477435</v>
      </c>
      <c r="H56" s="491">
        <f t="shared" si="22"/>
        <v>61307.16918477435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20"/>
        <v/>
      </c>
      <c r="C57" s="507">
        <f>IF(D11="","-",+C56+1)</f>
        <v>2052</v>
      </c>
      <c r="D57" s="523">
        <f>IF(F56+SUM(E$17:E56)=D$10,F56,D$10-SUM(E$17:E56))</f>
        <v>132068.11345650078</v>
      </c>
      <c r="E57" s="522">
        <f>IF(+I14&lt;F56,I14,D57)</f>
        <v>44806.833333333336</v>
      </c>
      <c r="F57" s="523">
        <f t="shared" si="15"/>
        <v>87261.280123167438</v>
      </c>
      <c r="G57" s="524">
        <f t="shared" si="21"/>
        <v>56520.994037483186</v>
      </c>
      <c r="H57" s="491">
        <f t="shared" si="22"/>
        <v>56520.994037483186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20"/>
        <v/>
      </c>
      <c r="C58" s="507">
        <f>IF(D11="","-",+C57+1)</f>
        <v>2053</v>
      </c>
      <c r="D58" s="523">
        <f>IF(F57+SUM(E$17:E57)=D$10,F57,D$10-SUM(E$17:E57))</f>
        <v>87261.280123167438</v>
      </c>
      <c r="E58" s="522">
        <f>IF(+I14&lt;F57,I14,D58)</f>
        <v>44806.833333333336</v>
      </c>
      <c r="F58" s="523">
        <f t="shared" si="15"/>
        <v>42454.446789834103</v>
      </c>
      <c r="G58" s="524">
        <f t="shared" si="21"/>
        <v>51734.818890192022</v>
      </c>
      <c r="H58" s="491">
        <f t="shared" si="22"/>
        <v>51734.818890192022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0"/>
        <v/>
      </c>
      <c r="C59" s="507">
        <f>IF(D11="","-",+C58+1)</f>
        <v>2054</v>
      </c>
      <c r="D59" s="523">
        <f>IF(F58+SUM(E$17:E58)=D$10,F58,D$10-SUM(E$17:E58))</f>
        <v>42454.446789834103</v>
      </c>
      <c r="E59" s="522">
        <f>IF(+I14&lt;F58,I14,D59)</f>
        <v>42454.446789834103</v>
      </c>
      <c r="F59" s="523">
        <f t="shared" si="15"/>
        <v>0</v>
      </c>
      <c r="G59" s="524">
        <f t="shared" si="21"/>
        <v>44721.895781440653</v>
      </c>
      <c r="H59" s="491">
        <f t="shared" si="22"/>
        <v>44721.895781440653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20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21"/>
        <v>0</v>
      </c>
      <c r="H60" s="491">
        <f t="shared" si="22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20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21"/>
        <v>0</v>
      </c>
      <c r="H61" s="491">
        <f t="shared" si="22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20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21"/>
        <v>0</v>
      </c>
      <c r="H62" s="491">
        <f t="shared" si="22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20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21"/>
        <v>0</v>
      </c>
      <c r="H63" s="491">
        <f t="shared" si="22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20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21"/>
        <v>0</v>
      </c>
      <c r="H64" s="491">
        <f t="shared" si="22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20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21"/>
        <v>0</v>
      </c>
      <c r="H65" s="491">
        <f t="shared" si="22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20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21"/>
        <v>0</v>
      </c>
      <c r="H66" s="491">
        <f t="shared" si="22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20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21"/>
        <v>0</v>
      </c>
      <c r="H67" s="491">
        <f t="shared" si="22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20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21"/>
        <v>0</v>
      </c>
      <c r="H68" s="491">
        <f t="shared" si="22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20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21"/>
        <v>0</v>
      </c>
      <c r="H69" s="491">
        <f t="shared" si="22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20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21"/>
        <v>0</v>
      </c>
      <c r="H70" s="491">
        <f t="shared" si="22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20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21"/>
        <v>0</v>
      </c>
      <c r="H71" s="491">
        <f t="shared" si="22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20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21"/>
        <v>0</v>
      </c>
      <c r="H72" s="471">
        <f t="shared" si="22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1881887</v>
      </c>
      <c r="F73" s="375"/>
      <c r="G73" s="375">
        <f>SUM(G17:G72)</f>
        <v>6593635.5593658872</v>
      </c>
      <c r="H73" s="375">
        <f>SUM(H17:H72)</f>
        <v>6593635.5593658872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29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203908.67428410932</v>
      </c>
      <c r="N87" s="546">
        <f>IF(J92&lt;D11,0,VLOOKUP(J92,C17:O72,11))</f>
        <v>203908.67428410932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211322.4974139453</v>
      </c>
      <c r="N88" s="550">
        <f>IF(J92&lt;D11,0,VLOOKUP(J92,C99:P154,7))</f>
        <v>211322.4974139453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Knox Lee - Pirkey 138 kV / Pirkey - Whitney 138 kV - Replace Breaker,  Wavetraps, and reset relays and CT's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7413.8231298359751</v>
      </c>
      <c r="N89" s="555">
        <f>+N88-N87</f>
        <v>7413.8231298359751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TP2010062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1881887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44806.833333333336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0</v>
      </c>
      <c r="F99" s="515">
        <v>1886753</v>
      </c>
      <c r="G99" s="574">
        <v>943376.5</v>
      </c>
      <c r="H99" s="575">
        <v>138821.56113909211</v>
      </c>
      <c r="I99" s="576">
        <v>138821.56113909211</v>
      </c>
      <c r="J99" s="613">
        <f t="shared" ref="J99:J130" si="23">+I99-H99</f>
        <v>0</v>
      </c>
      <c r="K99" s="514"/>
      <c r="L99" s="512">
        <f t="shared" ref="L99:L104" si="24">H99</f>
        <v>138821.56113909211</v>
      </c>
      <c r="M99" s="597">
        <f t="shared" ref="M99:M130" si="25">IF(L99&lt;&gt;0,+H99-L99,0)</f>
        <v>0</v>
      </c>
      <c r="N99" s="512">
        <f t="shared" ref="N99:N104" si="26">I99</f>
        <v>138821.56113909211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 ht="12.5">
      <c r="B100" s="195" t="str">
        <f t="shared" ref="B100:B131" si="29">IF(D100=F99,"","IU")</f>
        <v>IU</v>
      </c>
      <c r="C100" s="507">
        <f>IF(D93="","-",+C99+1)</f>
        <v>2013</v>
      </c>
      <c r="D100" s="508">
        <v>1881887</v>
      </c>
      <c r="E100" s="516">
        <v>44806.833333333336</v>
      </c>
      <c r="F100" s="515">
        <v>1837080.1666666667</v>
      </c>
      <c r="G100" s="515">
        <v>1859483.5833333335</v>
      </c>
      <c r="H100" s="575">
        <v>296379.53273897158</v>
      </c>
      <c r="I100" s="576">
        <v>296379.53273897158</v>
      </c>
      <c r="J100" s="613">
        <v>0</v>
      </c>
      <c r="K100" s="514"/>
      <c r="L100" s="518">
        <f t="shared" si="24"/>
        <v>296379.53273897158</v>
      </c>
      <c r="M100" s="519">
        <f t="shared" ref="M100:M105" si="30">IF(L100&lt;&gt;0,+H100-L100,0)</f>
        <v>0</v>
      </c>
      <c r="N100" s="518">
        <f t="shared" si="26"/>
        <v>296379.53273897158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29"/>
        <v/>
      </c>
      <c r="C101" s="507">
        <f>IF(D93="","-",+C100+1)</f>
        <v>2014</v>
      </c>
      <c r="D101" s="508">
        <v>1837080.1666666667</v>
      </c>
      <c r="E101" s="516">
        <v>44806.833333333336</v>
      </c>
      <c r="F101" s="515">
        <v>1792273.3333333335</v>
      </c>
      <c r="G101" s="515">
        <v>1814676.75</v>
      </c>
      <c r="H101" s="575">
        <v>291463.97554748988</v>
      </c>
      <c r="I101" s="576">
        <v>291463.97554748988</v>
      </c>
      <c r="J101" s="514">
        <v>0</v>
      </c>
      <c r="K101" s="514"/>
      <c r="L101" s="518">
        <f t="shared" si="24"/>
        <v>291463.97554748988</v>
      </c>
      <c r="M101" s="519">
        <f t="shared" si="30"/>
        <v>0</v>
      </c>
      <c r="N101" s="518">
        <f t="shared" si="26"/>
        <v>291463.97554748988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9"/>
        <v/>
      </c>
      <c r="C102" s="507">
        <f>IF(D93="","-",+C101+1)</f>
        <v>2015</v>
      </c>
      <c r="D102" s="508">
        <v>1792273.3333333335</v>
      </c>
      <c r="E102" s="516">
        <v>44806.833333333336</v>
      </c>
      <c r="F102" s="515">
        <v>1747466.5000000002</v>
      </c>
      <c r="G102" s="515">
        <v>1769869.916666667</v>
      </c>
      <c r="H102" s="575">
        <v>278020.60623720445</v>
      </c>
      <c r="I102" s="576">
        <v>278020.60623720445</v>
      </c>
      <c r="J102" s="514">
        <f t="shared" si="23"/>
        <v>0</v>
      </c>
      <c r="K102" s="514"/>
      <c r="L102" s="518">
        <f t="shared" si="24"/>
        <v>278020.60623720445</v>
      </c>
      <c r="M102" s="519">
        <f t="shared" si="30"/>
        <v>0</v>
      </c>
      <c r="N102" s="518">
        <f t="shared" si="26"/>
        <v>278020.60623720445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9"/>
        <v/>
      </c>
      <c r="C103" s="507">
        <f>IF(D93="","-",+C102+1)</f>
        <v>2016</v>
      </c>
      <c r="D103" s="508">
        <v>1747466.5000000002</v>
      </c>
      <c r="E103" s="516">
        <v>43764.813953488374</v>
      </c>
      <c r="F103" s="515">
        <v>1703701.6860465119</v>
      </c>
      <c r="G103" s="515">
        <v>1725584.0930232559</v>
      </c>
      <c r="H103" s="575">
        <v>262827.69435337436</v>
      </c>
      <c r="I103" s="576">
        <v>262827.69435337436</v>
      </c>
      <c r="J103" s="514">
        <f t="shared" si="23"/>
        <v>0</v>
      </c>
      <c r="K103" s="514"/>
      <c r="L103" s="518">
        <f t="shared" si="24"/>
        <v>262827.69435337436</v>
      </c>
      <c r="M103" s="519">
        <f t="shared" si="30"/>
        <v>0</v>
      </c>
      <c r="N103" s="518">
        <f t="shared" si="26"/>
        <v>262827.69435337436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9"/>
        <v/>
      </c>
      <c r="C104" s="507">
        <f>IF(D93="","-",+C103+1)</f>
        <v>2017</v>
      </c>
      <c r="D104" s="508">
        <v>1703701.6860465119</v>
      </c>
      <c r="E104" s="516">
        <v>44806.833333333336</v>
      </c>
      <c r="F104" s="515">
        <v>1658894.8527131786</v>
      </c>
      <c r="G104" s="515">
        <v>1681298.2693798454</v>
      </c>
      <c r="H104" s="575">
        <v>249036.58491645948</v>
      </c>
      <c r="I104" s="576">
        <v>249036.58491645948</v>
      </c>
      <c r="J104" s="514">
        <f t="shared" si="23"/>
        <v>0</v>
      </c>
      <c r="K104" s="514"/>
      <c r="L104" s="518">
        <f t="shared" si="24"/>
        <v>249036.58491645948</v>
      </c>
      <c r="M104" s="519">
        <f t="shared" si="30"/>
        <v>0</v>
      </c>
      <c r="N104" s="518">
        <f t="shared" si="26"/>
        <v>249036.58491645948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9"/>
        <v/>
      </c>
      <c r="C105" s="507">
        <f>IF(D93="","-",+C104+1)</f>
        <v>2018</v>
      </c>
      <c r="D105" s="508">
        <v>1658894.8527131786</v>
      </c>
      <c r="E105" s="516">
        <v>44806.833333333336</v>
      </c>
      <c r="F105" s="515">
        <v>1614088.0193798454</v>
      </c>
      <c r="G105" s="515">
        <v>1636491.4360465119</v>
      </c>
      <c r="H105" s="575">
        <v>217627.83363465747</v>
      </c>
      <c r="I105" s="576">
        <v>217627.83363465747</v>
      </c>
      <c r="J105" s="514">
        <f t="shared" si="23"/>
        <v>0</v>
      </c>
      <c r="K105" s="514"/>
      <c r="L105" s="518">
        <f t="shared" ref="L105" si="31">H105</f>
        <v>217627.83363465747</v>
      </c>
      <c r="M105" s="519">
        <f t="shared" si="30"/>
        <v>0</v>
      </c>
      <c r="N105" s="518">
        <f t="shared" ref="N105" si="32">I105</f>
        <v>217627.83363465747</v>
      </c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9"/>
        <v/>
      </c>
      <c r="C106" s="507">
        <f>IF(D93="","-",+C105+1)</f>
        <v>2019</v>
      </c>
      <c r="D106" s="508">
        <v>1614088.0193798454</v>
      </c>
      <c r="E106" s="516">
        <v>43764.813953488374</v>
      </c>
      <c r="F106" s="515">
        <v>1570323.205426357</v>
      </c>
      <c r="G106" s="515">
        <v>1592205.6124031013</v>
      </c>
      <c r="H106" s="575">
        <v>214195.37291245433</v>
      </c>
      <c r="I106" s="576">
        <v>214195.37291245433</v>
      </c>
      <c r="J106" s="514">
        <f t="shared" si="23"/>
        <v>0</v>
      </c>
      <c r="K106" s="514"/>
      <c r="L106" s="518">
        <f t="shared" ref="L106" si="33">H106</f>
        <v>214195.37291245433</v>
      </c>
      <c r="M106" s="519">
        <f t="shared" ref="M106" si="34">IF(L106&lt;&gt;0,+H106-L106,0)</f>
        <v>0</v>
      </c>
      <c r="N106" s="518">
        <f t="shared" ref="N106" si="35">I106</f>
        <v>214195.37291245433</v>
      </c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9"/>
        <v/>
      </c>
      <c r="C107" s="507">
        <f>IF(D93="","-",+C106+1)</f>
        <v>2020</v>
      </c>
      <c r="D107" s="374">
        <f>IF(F106+SUM(E$99:E106)=D$92,F106,D$92-SUM(E$99:E106))</f>
        <v>1570323.205426357</v>
      </c>
      <c r="E107" s="522">
        <f>IF(+J96&lt;F106,J96,D107)</f>
        <v>44806.833333333336</v>
      </c>
      <c r="F107" s="523">
        <f t="shared" ref="F107:F131" si="36">+D107-E107</f>
        <v>1525516.3720930237</v>
      </c>
      <c r="G107" s="523">
        <f t="shared" ref="G107:G130" si="37">+(F107+D107)/2</f>
        <v>1547919.7887596902</v>
      </c>
      <c r="H107" s="526">
        <f t="shared" ref="H107:H130" si="38">+J$94*G107+E107</f>
        <v>211322.4974139453</v>
      </c>
      <c r="I107" s="577">
        <f t="shared" ref="I107:I130" si="39">+J$95*G107+E107</f>
        <v>211322.4974139453</v>
      </c>
      <c r="J107" s="514">
        <f t="shared" si="23"/>
        <v>0</v>
      </c>
      <c r="K107" s="514"/>
      <c r="L107" s="525"/>
      <c r="M107" s="514">
        <f t="shared" si="25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9"/>
        <v/>
      </c>
      <c r="C108" s="507">
        <f>IF(D93="","-",+C107+1)</f>
        <v>2021</v>
      </c>
      <c r="D108" s="374">
        <f>IF(F107+SUM(E$99:E107)=D$92,F107,D$92-SUM(E$99:E107))</f>
        <v>1525516.3720930237</v>
      </c>
      <c r="E108" s="522">
        <f>IF(+J96&lt;F107,J96,D108)</f>
        <v>44806.833333333336</v>
      </c>
      <c r="F108" s="523">
        <f t="shared" si="36"/>
        <v>1480709.5387596905</v>
      </c>
      <c r="G108" s="523">
        <f t="shared" si="37"/>
        <v>1503112.9554263572</v>
      </c>
      <c r="H108" s="526">
        <f t="shared" si="38"/>
        <v>206502.45463005686</v>
      </c>
      <c r="I108" s="577">
        <f t="shared" si="39"/>
        <v>206502.45463005686</v>
      </c>
      <c r="J108" s="514">
        <f t="shared" si="23"/>
        <v>0</v>
      </c>
      <c r="K108" s="514"/>
      <c r="L108" s="525"/>
      <c r="M108" s="514">
        <f t="shared" si="25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9"/>
        <v/>
      </c>
      <c r="C109" s="507">
        <f>IF(D93="","-",+C108+1)</f>
        <v>2022</v>
      </c>
      <c r="D109" s="374">
        <f>IF(F108+SUM(E$99:E108)=D$92,F108,D$92-SUM(E$99:E108))</f>
        <v>1480709.5387596905</v>
      </c>
      <c r="E109" s="522">
        <f>IF(+J96&lt;F108,J96,D109)</f>
        <v>44806.833333333336</v>
      </c>
      <c r="F109" s="523">
        <f t="shared" si="36"/>
        <v>1435902.7054263572</v>
      </c>
      <c r="G109" s="523">
        <f t="shared" si="37"/>
        <v>1458306.1220930237</v>
      </c>
      <c r="H109" s="526">
        <f t="shared" si="38"/>
        <v>201682.4118461684</v>
      </c>
      <c r="I109" s="577">
        <f t="shared" si="39"/>
        <v>201682.4118461684</v>
      </c>
      <c r="J109" s="514">
        <f t="shared" si="23"/>
        <v>0</v>
      </c>
      <c r="K109" s="514"/>
      <c r="L109" s="525"/>
      <c r="M109" s="514">
        <f t="shared" si="25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9"/>
        <v/>
      </c>
      <c r="C110" s="507">
        <f>IF(D93="","-",+C109+1)</f>
        <v>2023</v>
      </c>
      <c r="D110" s="374">
        <f>IF(F109+SUM(E$99:E109)=D$92,F109,D$92-SUM(E$99:E109))</f>
        <v>1435902.7054263572</v>
      </c>
      <c r="E110" s="522">
        <f>IF(+J96&lt;F109,J96,D110)</f>
        <v>44806.833333333336</v>
      </c>
      <c r="F110" s="523">
        <f t="shared" si="36"/>
        <v>1391095.872093024</v>
      </c>
      <c r="G110" s="523">
        <f t="shared" si="37"/>
        <v>1413499.2887596907</v>
      </c>
      <c r="H110" s="526">
        <f t="shared" si="38"/>
        <v>196862.36906227996</v>
      </c>
      <c r="I110" s="577">
        <f t="shared" si="39"/>
        <v>196862.36906227996</v>
      </c>
      <c r="J110" s="514">
        <f t="shared" si="23"/>
        <v>0</v>
      </c>
      <c r="K110" s="514"/>
      <c r="L110" s="525"/>
      <c r="M110" s="514">
        <f t="shared" si="25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9"/>
        <v/>
      </c>
      <c r="C111" s="507">
        <f>IF(D93="","-",+C110+1)</f>
        <v>2024</v>
      </c>
      <c r="D111" s="374">
        <f>IF(F110+SUM(E$99:E110)=D$92,F110,D$92-SUM(E$99:E110))</f>
        <v>1391095.872093024</v>
      </c>
      <c r="E111" s="522">
        <f>IF(+J96&lt;F110,J96,D111)</f>
        <v>44806.833333333336</v>
      </c>
      <c r="F111" s="523">
        <f t="shared" si="36"/>
        <v>1346289.0387596907</v>
      </c>
      <c r="G111" s="523">
        <f t="shared" si="37"/>
        <v>1368692.4554263572</v>
      </c>
      <c r="H111" s="526">
        <f t="shared" si="38"/>
        <v>192042.32627839147</v>
      </c>
      <c r="I111" s="577">
        <f t="shared" si="39"/>
        <v>192042.32627839147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9"/>
        <v/>
      </c>
      <c r="C112" s="507">
        <f>IF(D93="","-",+C111+1)</f>
        <v>2025</v>
      </c>
      <c r="D112" s="374">
        <f>IF(F111+SUM(E$99:E111)=D$92,F111,D$92-SUM(E$99:E111))</f>
        <v>1346289.0387596907</v>
      </c>
      <c r="E112" s="522">
        <f>IF(+J96&lt;F111,J96,D112)</f>
        <v>44806.833333333336</v>
      </c>
      <c r="F112" s="523">
        <f t="shared" si="36"/>
        <v>1301482.2054263575</v>
      </c>
      <c r="G112" s="523">
        <f t="shared" si="37"/>
        <v>1323885.6220930242</v>
      </c>
      <c r="H112" s="526">
        <f t="shared" si="38"/>
        <v>187222.28349450306</v>
      </c>
      <c r="I112" s="577">
        <f t="shared" si="39"/>
        <v>187222.28349450306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9"/>
        <v/>
      </c>
      <c r="C113" s="507">
        <f>IF(D93="","-",+C112+1)</f>
        <v>2026</v>
      </c>
      <c r="D113" s="374">
        <f>IF(F112+SUM(E$99:E112)=D$92,F112,D$92-SUM(E$99:E112))</f>
        <v>1301482.2054263575</v>
      </c>
      <c r="E113" s="522">
        <f>IF(+J96&lt;F112,J96,D113)</f>
        <v>44806.833333333336</v>
      </c>
      <c r="F113" s="523">
        <f t="shared" si="36"/>
        <v>1256675.3720930242</v>
      </c>
      <c r="G113" s="523">
        <f t="shared" si="37"/>
        <v>1279078.7887596907</v>
      </c>
      <c r="H113" s="526">
        <f t="shared" si="38"/>
        <v>182402.24071061457</v>
      </c>
      <c r="I113" s="577">
        <f t="shared" si="39"/>
        <v>182402.24071061457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9"/>
        <v/>
      </c>
      <c r="C114" s="507">
        <f>IF(D93="","-",+C113+1)</f>
        <v>2027</v>
      </c>
      <c r="D114" s="374">
        <f>IF(F113+SUM(E$99:E113)=D$92,F113,D$92-SUM(E$99:E113))</f>
        <v>1256675.3720930242</v>
      </c>
      <c r="E114" s="522">
        <f>IF(+J96&lt;F113,J96,D114)</f>
        <v>44806.833333333336</v>
      </c>
      <c r="F114" s="523">
        <f t="shared" si="36"/>
        <v>1211868.5387596909</v>
      </c>
      <c r="G114" s="523">
        <f t="shared" si="37"/>
        <v>1234271.9554263577</v>
      </c>
      <c r="H114" s="526">
        <f t="shared" si="38"/>
        <v>177582.19792672613</v>
      </c>
      <c r="I114" s="577">
        <f t="shared" si="39"/>
        <v>177582.19792672613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9"/>
        <v/>
      </c>
      <c r="C115" s="507">
        <f>IF(D93="","-",+C114+1)</f>
        <v>2028</v>
      </c>
      <c r="D115" s="374">
        <f>IF(F114+SUM(E$99:E114)=D$92,F114,D$92-SUM(E$99:E114))</f>
        <v>1211868.5387596909</v>
      </c>
      <c r="E115" s="522">
        <f>IF(+J96&lt;F114,J96,D115)</f>
        <v>44806.833333333336</v>
      </c>
      <c r="F115" s="523">
        <f t="shared" si="36"/>
        <v>1167061.7054263577</v>
      </c>
      <c r="G115" s="523">
        <f t="shared" si="37"/>
        <v>1189465.1220930242</v>
      </c>
      <c r="H115" s="526">
        <f t="shared" si="38"/>
        <v>172762.15514283764</v>
      </c>
      <c r="I115" s="577">
        <f t="shared" si="39"/>
        <v>172762.15514283764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9"/>
        <v/>
      </c>
      <c r="C116" s="507">
        <f>IF(D93="","-",+C115+1)</f>
        <v>2029</v>
      </c>
      <c r="D116" s="374">
        <f>IF(F115+SUM(E$99:E115)=D$92,F115,D$92-SUM(E$99:E115))</f>
        <v>1167061.7054263577</v>
      </c>
      <c r="E116" s="522">
        <f>IF(+J96&lt;F115,J96,D116)</f>
        <v>44806.833333333336</v>
      </c>
      <c r="F116" s="523">
        <f t="shared" si="36"/>
        <v>1122254.8720930244</v>
      </c>
      <c r="G116" s="523">
        <f t="shared" si="37"/>
        <v>1144658.2887596912</v>
      </c>
      <c r="H116" s="526">
        <f t="shared" si="38"/>
        <v>167942.11235894923</v>
      </c>
      <c r="I116" s="577">
        <f t="shared" si="39"/>
        <v>167942.11235894923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9"/>
        <v/>
      </c>
      <c r="C117" s="507">
        <f>IF(D93="","-",+C116+1)</f>
        <v>2030</v>
      </c>
      <c r="D117" s="374">
        <f>IF(F116+SUM(E$99:E116)=D$92,F116,D$92-SUM(E$99:E116))</f>
        <v>1122254.8720930244</v>
      </c>
      <c r="E117" s="522">
        <f>IF(+J96&lt;F116,J96,D117)</f>
        <v>44806.833333333336</v>
      </c>
      <c r="F117" s="523">
        <f t="shared" si="36"/>
        <v>1077448.0387596912</v>
      </c>
      <c r="G117" s="523">
        <f t="shared" si="37"/>
        <v>1099851.4554263577</v>
      </c>
      <c r="H117" s="526">
        <f t="shared" si="38"/>
        <v>163122.06957506074</v>
      </c>
      <c r="I117" s="577">
        <f t="shared" si="39"/>
        <v>163122.06957506074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9"/>
        <v/>
      </c>
      <c r="C118" s="507">
        <f>IF(D93="","-",+C117+1)</f>
        <v>2031</v>
      </c>
      <c r="D118" s="374">
        <f>IF(F117+SUM(E$99:E117)=D$92,F117,D$92-SUM(E$99:E117))</f>
        <v>1077448.0387596912</v>
      </c>
      <c r="E118" s="522">
        <f>IF(+J96&lt;F117,J96,D118)</f>
        <v>44806.833333333336</v>
      </c>
      <c r="F118" s="523">
        <f t="shared" si="36"/>
        <v>1032641.2054263578</v>
      </c>
      <c r="G118" s="523">
        <f t="shared" si="37"/>
        <v>1055044.6220930244</v>
      </c>
      <c r="H118" s="526">
        <f t="shared" si="38"/>
        <v>158302.02679117228</v>
      </c>
      <c r="I118" s="577">
        <f t="shared" si="39"/>
        <v>158302.02679117228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9"/>
        <v/>
      </c>
      <c r="C119" s="507">
        <f>IF(D93="","-",+C118+1)</f>
        <v>2032</v>
      </c>
      <c r="D119" s="374">
        <f>IF(F118+SUM(E$99:E118)=D$92,F118,D$92-SUM(E$99:E118))</f>
        <v>1032641.2054263578</v>
      </c>
      <c r="E119" s="522">
        <f>IF(+J96&lt;F118,J96,D119)</f>
        <v>44806.833333333336</v>
      </c>
      <c r="F119" s="523">
        <f t="shared" si="36"/>
        <v>987834.37209302443</v>
      </c>
      <c r="G119" s="523">
        <f t="shared" si="37"/>
        <v>1010237.7887596912</v>
      </c>
      <c r="H119" s="526">
        <f t="shared" si="38"/>
        <v>153481.98400728384</v>
      </c>
      <c r="I119" s="577">
        <f t="shared" si="39"/>
        <v>153481.98400728384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9"/>
        <v/>
      </c>
      <c r="C120" s="507">
        <f>IF(D93="","-",+C119+1)</f>
        <v>2033</v>
      </c>
      <c r="D120" s="374">
        <f>IF(F119+SUM(E$99:E119)=D$92,F119,D$92-SUM(E$99:E119))</f>
        <v>987834.37209302443</v>
      </c>
      <c r="E120" s="522">
        <f>IF(+J96&lt;F119,J96,D120)</f>
        <v>44806.833333333336</v>
      </c>
      <c r="F120" s="523">
        <f t="shared" si="36"/>
        <v>943027.53875969106</v>
      </c>
      <c r="G120" s="523">
        <f t="shared" si="37"/>
        <v>965430.95542635769</v>
      </c>
      <c r="H120" s="526">
        <f t="shared" si="38"/>
        <v>148661.94122339535</v>
      </c>
      <c r="I120" s="577">
        <f t="shared" si="39"/>
        <v>148661.94122339535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9"/>
        <v/>
      </c>
      <c r="C121" s="507">
        <f>IF(D93="","-",+C120+1)</f>
        <v>2034</v>
      </c>
      <c r="D121" s="374">
        <f>IF(F120+SUM(E$99:E120)=D$92,F120,D$92-SUM(E$99:E120))</f>
        <v>943027.53875969106</v>
      </c>
      <c r="E121" s="522">
        <f>IF(+J96&lt;F120,J96,D121)</f>
        <v>44806.833333333336</v>
      </c>
      <c r="F121" s="523">
        <f t="shared" si="36"/>
        <v>898220.70542635769</v>
      </c>
      <c r="G121" s="523">
        <f t="shared" si="37"/>
        <v>920624.12209302443</v>
      </c>
      <c r="H121" s="526">
        <f t="shared" si="38"/>
        <v>143841.89843950688</v>
      </c>
      <c r="I121" s="577">
        <f t="shared" si="39"/>
        <v>143841.89843950688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9"/>
        <v/>
      </c>
      <c r="C122" s="507">
        <f>IF(D93="","-",+C121+1)</f>
        <v>2035</v>
      </c>
      <c r="D122" s="374">
        <f>IF(F121+SUM(E$99:E121)=D$92,F121,D$92-SUM(E$99:E121))</f>
        <v>898220.70542635769</v>
      </c>
      <c r="E122" s="522">
        <f>IF(+J96&lt;F121,J96,D122)</f>
        <v>44806.833333333336</v>
      </c>
      <c r="F122" s="523">
        <f t="shared" si="36"/>
        <v>853413.87209302431</v>
      </c>
      <c r="G122" s="523">
        <f t="shared" si="37"/>
        <v>875817.28875969094</v>
      </c>
      <c r="H122" s="526">
        <f t="shared" si="38"/>
        <v>139021.85565561842</v>
      </c>
      <c r="I122" s="577">
        <f t="shared" si="39"/>
        <v>139021.85565561842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9"/>
        <v/>
      </c>
      <c r="C123" s="507">
        <f>IF(D93="","-",+C122+1)</f>
        <v>2036</v>
      </c>
      <c r="D123" s="374">
        <f>IF(F122+SUM(E$99:E122)=D$92,F122,D$92-SUM(E$99:E122))</f>
        <v>853413.87209302431</v>
      </c>
      <c r="E123" s="522">
        <f>IF(+J96&lt;F122,J96,D123)</f>
        <v>44806.833333333336</v>
      </c>
      <c r="F123" s="523">
        <f t="shared" si="36"/>
        <v>808607.03875969094</v>
      </c>
      <c r="G123" s="523">
        <f t="shared" si="37"/>
        <v>831010.45542635769</v>
      </c>
      <c r="H123" s="526">
        <f t="shared" si="38"/>
        <v>134201.81287172996</v>
      </c>
      <c r="I123" s="577">
        <f t="shared" si="39"/>
        <v>134201.81287172996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9"/>
        <v/>
      </c>
      <c r="C124" s="507">
        <f>IF(D93="","-",+C123+1)</f>
        <v>2037</v>
      </c>
      <c r="D124" s="374">
        <f>IF(F123+SUM(E$99:E123)=D$92,F123,D$92-SUM(E$99:E123))</f>
        <v>808607.03875969094</v>
      </c>
      <c r="E124" s="522">
        <f>IF(+J96&lt;F123,J96,D124)</f>
        <v>44806.833333333336</v>
      </c>
      <c r="F124" s="523">
        <f t="shared" si="36"/>
        <v>763800.20542635757</v>
      </c>
      <c r="G124" s="523">
        <f t="shared" si="37"/>
        <v>786203.6220930242</v>
      </c>
      <c r="H124" s="526">
        <f t="shared" si="38"/>
        <v>129381.77008784149</v>
      </c>
      <c r="I124" s="577">
        <f t="shared" si="39"/>
        <v>129381.77008784149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9"/>
        <v/>
      </c>
      <c r="C125" s="507">
        <f>IF(D93="","-",+C124+1)</f>
        <v>2038</v>
      </c>
      <c r="D125" s="374">
        <f>IF(F124+SUM(E$99:E124)=D$92,F124,D$92-SUM(E$99:E124))</f>
        <v>763800.20542635757</v>
      </c>
      <c r="E125" s="522">
        <f>IF(+J96&lt;F124,J96,D125)</f>
        <v>44806.833333333336</v>
      </c>
      <c r="F125" s="523">
        <f t="shared" si="36"/>
        <v>718993.3720930242</v>
      </c>
      <c r="G125" s="523">
        <f t="shared" si="37"/>
        <v>741396.78875969094</v>
      </c>
      <c r="H125" s="526">
        <f t="shared" si="38"/>
        <v>124561.72730395303</v>
      </c>
      <c r="I125" s="577">
        <f t="shared" si="39"/>
        <v>124561.72730395303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9"/>
        <v/>
      </c>
      <c r="C126" s="507">
        <f>IF(D93="","-",+C125+1)</f>
        <v>2039</v>
      </c>
      <c r="D126" s="374">
        <f>IF(F125+SUM(E$99:E125)=D$92,F125,D$92-SUM(E$99:E125))</f>
        <v>718993.3720930242</v>
      </c>
      <c r="E126" s="522">
        <f>IF(+J96&lt;F125,J96,D126)</f>
        <v>44806.833333333336</v>
      </c>
      <c r="F126" s="523">
        <f t="shared" si="36"/>
        <v>674186.53875969083</v>
      </c>
      <c r="G126" s="523">
        <f t="shared" si="37"/>
        <v>696589.95542635745</v>
      </c>
      <c r="H126" s="526">
        <f t="shared" si="38"/>
        <v>119741.68452006453</v>
      </c>
      <c r="I126" s="577">
        <f t="shared" si="39"/>
        <v>119741.68452006453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9"/>
        <v/>
      </c>
      <c r="C127" s="507">
        <f>IF(D93="","-",+C126+1)</f>
        <v>2040</v>
      </c>
      <c r="D127" s="374">
        <f>IF(F126+SUM(E$99:E126)=D$92,F126,D$92-SUM(E$99:E126))</f>
        <v>674186.53875969083</v>
      </c>
      <c r="E127" s="522">
        <f>IF(+J96&lt;F126,J96,D127)</f>
        <v>44806.833333333336</v>
      </c>
      <c r="F127" s="523">
        <f t="shared" si="36"/>
        <v>629379.70542635745</v>
      </c>
      <c r="G127" s="523">
        <f t="shared" si="37"/>
        <v>651783.1220930242</v>
      </c>
      <c r="H127" s="526">
        <f t="shared" si="38"/>
        <v>114921.6417361761</v>
      </c>
      <c r="I127" s="577">
        <f t="shared" si="39"/>
        <v>114921.6417361761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9"/>
        <v/>
      </c>
      <c r="C128" s="507">
        <f>IF(D93="","-",+C127+1)</f>
        <v>2041</v>
      </c>
      <c r="D128" s="374">
        <f>IF(F127+SUM(E$99:E127)=D$92,F127,D$92-SUM(E$99:E127))</f>
        <v>629379.70542635745</v>
      </c>
      <c r="E128" s="522">
        <f>IF(+J96&lt;F127,J96,D128)</f>
        <v>44806.833333333336</v>
      </c>
      <c r="F128" s="523">
        <f t="shared" si="36"/>
        <v>584572.87209302408</v>
      </c>
      <c r="G128" s="523">
        <f t="shared" si="37"/>
        <v>606976.28875969071</v>
      </c>
      <c r="H128" s="526">
        <f t="shared" si="38"/>
        <v>110101.5989522876</v>
      </c>
      <c r="I128" s="577">
        <f t="shared" si="39"/>
        <v>110101.5989522876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9"/>
        <v/>
      </c>
      <c r="C129" s="507">
        <f>IF(D93="","-",+C128+1)</f>
        <v>2042</v>
      </c>
      <c r="D129" s="374">
        <f>IF(F128+SUM(E$99:E128)=D$92,F128,D$92-SUM(E$99:E128))</f>
        <v>584572.87209302408</v>
      </c>
      <c r="E129" s="522">
        <f>IF(+J96&lt;F128,J96,D129)</f>
        <v>44806.833333333336</v>
      </c>
      <c r="F129" s="523">
        <f t="shared" si="36"/>
        <v>539766.03875969071</v>
      </c>
      <c r="G129" s="523">
        <f t="shared" si="37"/>
        <v>562169.45542635745</v>
      </c>
      <c r="H129" s="526">
        <f t="shared" si="38"/>
        <v>105281.55616839915</v>
      </c>
      <c r="I129" s="577">
        <f t="shared" si="39"/>
        <v>105281.55616839915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9"/>
        <v/>
      </c>
      <c r="C130" s="507">
        <f>IF(D93="","-",+C129+1)</f>
        <v>2043</v>
      </c>
      <c r="D130" s="374">
        <f>IF(F129+SUM(E$99:E129)=D$92,F129,D$92-SUM(E$99:E129))</f>
        <v>539766.03875969071</v>
      </c>
      <c r="E130" s="522">
        <f>IF(+J96&lt;F129,J96,D130)</f>
        <v>44806.833333333336</v>
      </c>
      <c r="F130" s="523">
        <f t="shared" si="36"/>
        <v>494959.2054263574</v>
      </c>
      <c r="G130" s="523">
        <f t="shared" si="37"/>
        <v>517362.62209302408</v>
      </c>
      <c r="H130" s="526">
        <f t="shared" si="38"/>
        <v>100461.51338451068</v>
      </c>
      <c r="I130" s="577">
        <f t="shared" si="39"/>
        <v>100461.51338451068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9"/>
        <v/>
      </c>
      <c r="C131" s="507">
        <f>IF(D93="","-",+C130+1)</f>
        <v>2044</v>
      </c>
      <c r="D131" s="374">
        <f>IF(F130+SUM(E$99:E130)=D$92,F130,D$92-SUM(E$99:E130))</f>
        <v>494959.2054263574</v>
      </c>
      <c r="E131" s="522">
        <f>IF(+J96&lt;F130,J96,D131)</f>
        <v>44806.833333333336</v>
      </c>
      <c r="F131" s="523">
        <f t="shared" si="36"/>
        <v>450152.37209302408</v>
      </c>
      <c r="G131" s="523">
        <f t="shared" ref="G131:G154" si="40">+(F131+D131)/2</f>
        <v>472555.78875969071</v>
      </c>
      <c r="H131" s="526">
        <f t="shared" ref="H131:H154" si="41">+J$94*G131+E131</f>
        <v>95641.470600622211</v>
      </c>
      <c r="I131" s="577">
        <f t="shared" ref="I131:I154" si="42">+J$95*G131+E131</f>
        <v>95641.470600622211</v>
      </c>
      <c r="J131" s="514">
        <f t="shared" ref="J131:J154" si="43">+I131-H131</f>
        <v>0</v>
      </c>
      <c r="K131" s="514"/>
      <c r="L131" s="525"/>
      <c r="M131" s="514">
        <f t="shared" ref="M131:M154" si="44">IF(L131&lt;&gt;0,+H131-L131,0)</f>
        <v>0</v>
      </c>
      <c r="N131" s="525"/>
      <c r="O131" s="514">
        <f t="shared" ref="O131:O154" si="45">IF(N131&lt;&gt;0,+I131-N131,0)</f>
        <v>0</v>
      </c>
      <c r="P131" s="514">
        <f t="shared" ref="P131:P154" si="46">+O131-M131</f>
        <v>0</v>
      </c>
      <c r="Q131" s="269"/>
    </row>
    <row r="132" spans="2:17" ht="12.5">
      <c r="B132" s="195" t="str">
        <f t="shared" ref="B132:B154" si="47">IF(D132=F131,"","IU")</f>
        <v/>
      </c>
      <c r="C132" s="507">
        <f>IF(D93="","-",+C131+1)</f>
        <v>2045</v>
      </c>
      <c r="D132" s="374">
        <f>IF(F131+SUM(E$99:E131)=D$92,F131,D$92-SUM(E$99:E131))</f>
        <v>450152.37209302408</v>
      </c>
      <c r="E132" s="522">
        <f>IF(+J96&lt;F131,J96,D132)</f>
        <v>44806.833333333336</v>
      </c>
      <c r="F132" s="523">
        <f t="shared" ref="F132:F154" si="48">+D132-E132</f>
        <v>405345.53875969077</v>
      </c>
      <c r="G132" s="523">
        <f t="shared" si="40"/>
        <v>427748.95542635745</v>
      </c>
      <c r="H132" s="526">
        <f t="shared" si="41"/>
        <v>90821.427816733762</v>
      </c>
      <c r="I132" s="577">
        <f t="shared" si="42"/>
        <v>90821.427816733762</v>
      </c>
      <c r="J132" s="514">
        <f t="shared" si="43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 ht="12.5">
      <c r="B133" s="195" t="str">
        <f t="shared" si="47"/>
        <v/>
      </c>
      <c r="C133" s="507">
        <f>IF(D93="","-",+C132+1)</f>
        <v>2046</v>
      </c>
      <c r="D133" s="374">
        <f>IF(F132+SUM(E$99:E132)=D$92,F132,D$92-SUM(E$99:E132))</f>
        <v>405345.53875969077</v>
      </c>
      <c r="E133" s="522">
        <f>IF(+J96&lt;F132,J96,D133)</f>
        <v>44806.833333333336</v>
      </c>
      <c r="F133" s="523">
        <f t="shared" si="48"/>
        <v>360538.70542635745</v>
      </c>
      <c r="G133" s="523">
        <f t="shared" si="40"/>
        <v>382942.12209302408</v>
      </c>
      <c r="H133" s="526">
        <f t="shared" si="41"/>
        <v>86001.385032845297</v>
      </c>
      <c r="I133" s="577">
        <f t="shared" si="42"/>
        <v>86001.385032845297</v>
      </c>
      <c r="J133" s="514">
        <f t="shared" si="43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 ht="12.5">
      <c r="B134" s="195" t="str">
        <f t="shared" si="47"/>
        <v/>
      </c>
      <c r="C134" s="507">
        <f>IF(D93="","-",+C133+1)</f>
        <v>2047</v>
      </c>
      <c r="D134" s="374">
        <f>IF(F133+SUM(E$99:E133)=D$92,F133,D$92-SUM(E$99:E133))</f>
        <v>360538.70542635745</v>
      </c>
      <c r="E134" s="522">
        <f>IF(+J96&lt;F133,J96,D134)</f>
        <v>44806.833333333336</v>
      </c>
      <c r="F134" s="523">
        <f t="shared" si="48"/>
        <v>315731.87209302414</v>
      </c>
      <c r="G134" s="523">
        <f t="shared" si="40"/>
        <v>338135.28875969083</v>
      </c>
      <c r="H134" s="526">
        <f t="shared" si="41"/>
        <v>81181.342248956847</v>
      </c>
      <c r="I134" s="577">
        <f t="shared" si="42"/>
        <v>81181.342248956847</v>
      </c>
      <c r="J134" s="514">
        <f t="shared" si="43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 ht="12.5">
      <c r="B135" s="195" t="str">
        <f t="shared" si="47"/>
        <v/>
      </c>
      <c r="C135" s="507">
        <f>IF(D93="","-",+C134+1)</f>
        <v>2048</v>
      </c>
      <c r="D135" s="374">
        <f>IF(F134+SUM(E$99:E134)=D$92,F134,D$92-SUM(E$99:E134))</f>
        <v>315731.87209302414</v>
      </c>
      <c r="E135" s="522">
        <f>IF(+J96&lt;F134,J96,D135)</f>
        <v>44806.833333333336</v>
      </c>
      <c r="F135" s="523">
        <f t="shared" si="48"/>
        <v>270925.03875969083</v>
      </c>
      <c r="G135" s="523">
        <f t="shared" si="40"/>
        <v>293328.45542635745</v>
      </c>
      <c r="H135" s="526">
        <f t="shared" si="41"/>
        <v>76361.299465068369</v>
      </c>
      <c r="I135" s="577">
        <f t="shared" si="42"/>
        <v>76361.299465068369</v>
      </c>
      <c r="J135" s="514">
        <f t="shared" si="43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 ht="12.5">
      <c r="B136" s="195" t="str">
        <f t="shared" si="47"/>
        <v/>
      </c>
      <c r="C136" s="507">
        <f>IF(D93="","-",+C135+1)</f>
        <v>2049</v>
      </c>
      <c r="D136" s="374">
        <f>IF(F135+SUM(E$99:E135)=D$92,F135,D$92-SUM(E$99:E135))</f>
        <v>270925.03875969083</v>
      </c>
      <c r="E136" s="522">
        <f>IF(+J96&lt;F135,J96,D136)</f>
        <v>44806.833333333336</v>
      </c>
      <c r="F136" s="523">
        <f t="shared" si="48"/>
        <v>226118.20542635748</v>
      </c>
      <c r="G136" s="523">
        <f t="shared" si="40"/>
        <v>248521.62209302414</v>
      </c>
      <c r="H136" s="526">
        <f t="shared" si="41"/>
        <v>71541.256681179904</v>
      </c>
      <c r="I136" s="577">
        <f t="shared" si="42"/>
        <v>71541.256681179904</v>
      </c>
      <c r="J136" s="514">
        <f t="shared" si="43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 ht="12.5">
      <c r="B137" s="195" t="str">
        <f t="shared" si="47"/>
        <v/>
      </c>
      <c r="C137" s="507">
        <f>IF(D93="","-",+C136+1)</f>
        <v>2050</v>
      </c>
      <c r="D137" s="374">
        <f>IF(F136+SUM(E$99:E136)=D$92,F136,D$92-SUM(E$99:E136))</f>
        <v>226118.20542635748</v>
      </c>
      <c r="E137" s="522">
        <f>IF(+J96&lt;F136,J96,D137)</f>
        <v>44806.833333333336</v>
      </c>
      <c r="F137" s="523">
        <f t="shared" si="48"/>
        <v>181311.37209302414</v>
      </c>
      <c r="G137" s="523">
        <f t="shared" si="40"/>
        <v>203714.78875969083</v>
      </c>
      <c r="H137" s="526">
        <f t="shared" si="41"/>
        <v>66721.213897291454</v>
      </c>
      <c r="I137" s="577">
        <f t="shared" si="42"/>
        <v>66721.213897291454</v>
      </c>
      <c r="J137" s="514">
        <f t="shared" si="43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 ht="12.5">
      <c r="B138" s="195" t="str">
        <f t="shared" si="47"/>
        <v/>
      </c>
      <c r="C138" s="507">
        <f>IF(D93="","-",+C137+1)</f>
        <v>2051</v>
      </c>
      <c r="D138" s="374">
        <f>IF(F137+SUM(E$99:E137)=D$92,F137,D$92-SUM(E$99:E137))</f>
        <v>181311.37209302414</v>
      </c>
      <c r="E138" s="522">
        <f>IF(+J96&lt;F137,J96,D138)</f>
        <v>44806.833333333336</v>
      </c>
      <c r="F138" s="523">
        <f t="shared" si="48"/>
        <v>136504.5387596908</v>
      </c>
      <c r="G138" s="523">
        <f t="shared" si="40"/>
        <v>158907.95542635745</v>
      </c>
      <c r="H138" s="526">
        <f t="shared" si="41"/>
        <v>61901.171113402976</v>
      </c>
      <c r="I138" s="577">
        <f t="shared" si="42"/>
        <v>61901.171113402976</v>
      </c>
      <c r="J138" s="514">
        <f t="shared" si="43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 ht="12.5">
      <c r="B139" s="195" t="str">
        <f t="shared" si="47"/>
        <v/>
      </c>
      <c r="C139" s="507">
        <f>IF(D93="","-",+C138+1)</f>
        <v>2052</v>
      </c>
      <c r="D139" s="374">
        <f>IF(F138+SUM(E$99:E138)=D$92,F138,D$92-SUM(E$99:E138))</f>
        <v>136504.5387596908</v>
      </c>
      <c r="E139" s="522">
        <f>IF(+J96&lt;F138,J96,D139)</f>
        <v>44806.833333333336</v>
      </c>
      <c r="F139" s="523">
        <f t="shared" si="48"/>
        <v>91697.705426357454</v>
      </c>
      <c r="G139" s="523">
        <f t="shared" si="40"/>
        <v>114101.12209302413</v>
      </c>
      <c r="H139" s="526">
        <f t="shared" si="41"/>
        <v>57081.128329514519</v>
      </c>
      <c r="I139" s="577">
        <f t="shared" si="42"/>
        <v>57081.128329514519</v>
      </c>
      <c r="J139" s="514">
        <f t="shared" si="43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 ht="12.5">
      <c r="B140" s="195" t="str">
        <f t="shared" si="47"/>
        <v/>
      </c>
      <c r="C140" s="507">
        <f>IF(D93="","-",+C139+1)</f>
        <v>2053</v>
      </c>
      <c r="D140" s="374">
        <f>IF(F139+SUM(E$99:E139)=D$92,F139,D$92-SUM(E$99:E139))</f>
        <v>91697.705426357454</v>
      </c>
      <c r="E140" s="522">
        <f>IF(+J96&lt;F139,J96,D140)</f>
        <v>44806.833333333336</v>
      </c>
      <c r="F140" s="523">
        <f t="shared" si="48"/>
        <v>46890.872093024118</v>
      </c>
      <c r="G140" s="523">
        <f t="shared" si="40"/>
        <v>69294.288759690782</v>
      </c>
      <c r="H140" s="526">
        <f t="shared" si="41"/>
        <v>52261.085545626054</v>
      </c>
      <c r="I140" s="577">
        <f t="shared" si="42"/>
        <v>52261.085545626054</v>
      </c>
      <c r="J140" s="514">
        <f t="shared" si="43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 ht="12.5">
      <c r="B141" s="195" t="str">
        <f t="shared" si="47"/>
        <v/>
      </c>
      <c r="C141" s="507">
        <f>IF(D93="","-",+C140+1)</f>
        <v>2054</v>
      </c>
      <c r="D141" s="374">
        <f>IF(F140+SUM(E$99:E140)=D$92,F140,D$92-SUM(E$99:E140))</f>
        <v>46890.872093024118</v>
      </c>
      <c r="E141" s="522">
        <f>IF(+J96&lt;F140,J96,D141)</f>
        <v>44806.833333333336</v>
      </c>
      <c r="F141" s="523">
        <f t="shared" si="48"/>
        <v>2084.0387596907822</v>
      </c>
      <c r="G141" s="523">
        <f t="shared" si="40"/>
        <v>24487.45542635745</v>
      </c>
      <c r="H141" s="526">
        <f t="shared" si="41"/>
        <v>47441.04276173759</v>
      </c>
      <c r="I141" s="577">
        <f t="shared" si="42"/>
        <v>47441.04276173759</v>
      </c>
      <c r="J141" s="514">
        <f t="shared" si="43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 ht="12.5">
      <c r="B142" s="195" t="str">
        <f t="shared" si="47"/>
        <v/>
      </c>
      <c r="C142" s="507">
        <f>IF(D93="","-",+C141+1)</f>
        <v>2055</v>
      </c>
      <c r="D142" s="374">
        <f>IF(F141+SUM(E$99:E141)=D$92,F141,D$92-SUM(E$99:E141))</f>
        <v>2084.0387596907822</v>
      </c>
      <c r="E142" s="522">
        <f>IF(+J96&lt;F141,J96,D142)</f>
        <v>2084.0387596907822</v>
      </c>
      <c r="F142" s="523">
        <f t="shared" si="48"/>
        <v>0</v>
      </c>
      <c r="G142" s="523">
        <f t="shared" si="40"/>
        <v>1042.0193798453911</v>
      </c>
      <c r="H142" s="526">
        <f t="shared" si="41"/>
        <v>2196.1327779207927</v>
      </c>
      <c r="I142" s="577">
        <f t="shared" si="42"/>
        <v>2196.1327779207927</v>
      </c>
      <c r="J142" s="514">
        <f t="shared" si="43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 ht="12.5">
      <c r="B143" s="195" t="str">
        <f t="shared" si="47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8"/>
        <v>0</v>
      </c>
      <c r="G143" s="523">
        <f t="shared" si="40"/>
        <v>0</v>
      </c>
      <c r="H143" s="526">
        <f t="shared" si="41"/>
        <v>0</v>
      </c>
      <c r="I143" s="577">
        <f t="shared" si="42"/>
        <v>0</v>
      </c>
      <c r="J143" s="514">
        <f t="shared" si="43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 ht="12.5">
      <c r="B144" s="195" t="str">
        <f t="shared" si="47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8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43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 ht="12.5">
      <c r="B145" s="195" t="str">
        <f t="shared" si="47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8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43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 ht="12.5">
      <c r="B146" s="195" t="str">
        <f t="shared" si="47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8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43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 ht="12.5">
      <c r="B147" s="195" t="str">
        <f t="shared" si="47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8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43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 ht="12.5">
      <c r="B148" s="195" t="str">
        <f t="shared" si="47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8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43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 ht="12.5">
      <c r="B149" s="195" t="str">
        <f t="shared" si="47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8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43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 ht="12.5">
      <c r="B150" s="195" t="str">
        <f t="shared" si="47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8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43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 ht="12.5">
      <c r="B151" s="195" t="str">
        <f t="shared" si="47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8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43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 ht="12.5">
      <c r="B152" s="195" t="str">
        <f t="shared" si="47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8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43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 ht="12.5">
      <c r="B153" s="195" t="str">
        <f t="shared" si="47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8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43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" thickBot="1">
      <c r="B154" s="195" t="str">
        <f t="shared" si="47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8"/>
        <v>0</v>
      </c>
      <c r="G154" s="528">
        <f t="shared" si="40"/>
        <v>0</v>
      </c>
      <c r="H154" s="530">
        <f t="shared" si="41"/>
        <v>0</v>
      </c>
      <c r="I154" s="579">
        <f t="shared" si="42"/>
        <v>0</v>
      </c>
      <c r="J154" s="533">
        <f t="shared" si="43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 ht="12.5">
      <c r="C155" s="374" t="s">
        <v>78</v>
      </c>
      <c r="D155" s="375"/>
      <c r="E155" s="375">
        <f>SUM(E99:E154)</f>
        <v>1881886.9999999998</v>
      </c>
      <c r="F155" s="375"/>
      <c r="G155" s="375"/>
      <c r="H155" s="375">
        <f>SUM(H99:H154)</f>
        <v>6478931.2473320756</v>
      </c>
      <c r="I155" s="375">
        <f>SUM(I99:I154)</f>
        <v>6478931.2473320756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3" priority="1" stopIfTrue="1" operator="equal">
      <formula>$I$10</formula>
    </cfRule>
  </conditionalFormatting>
  <conditionalFormatting sqref="C99:C154">
    <cfRule type="cellIs" dxfId="10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Q162"/>
  <sheetViews>
    <sheetView view="pageBreakPreview" topLeftCell="A79" zoomScale="75" zoomScaleNormal="100" zoomScaleSheetLayoutView="75" workbookViewId="0">
      <selection activeCell="I108" sqref="I108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30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5127681.7221303442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5127681.7221303442</v>
      </c>
      <c r="O6" s="269"/>
      <c r="P6" s="269"/>
    </row>
    <row r="7" spans="1:17" ht="13.5" thickBot="1">
      <c r="C7" s="467" t="s">
        <v>48</v>
      </c>
      <c r="D7" s="620" t="s">
        <v>284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248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47660029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8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1134762.5952380951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47434000</v>
      </c>
      <c r="E17" s="509">
        <v>376460.31746031746</v>
      </c>
      <c r="F17" s="508">
        <v>47057539.682539679</v>
      </c>
      <c r="G17" s="509">
        <v>7374864.2102739988</v>
      </c>
      <c r="H17" s="510">
        <v>7374864.2102739988</v>
      </c>
      <c r="I17" s="617">
        <v>0</v>
      </c>
      <c r="J17" s="511"/>
      <c r="K17" s="512">
        <f t="shared" ref="K17:K22" si="0">G17</f>
        <v>7374864.2102739988</v>
      </c>
      <c r="L17" s="597">
        <f t="shared" ref="L17:L48" si="1">IF(K17&lt;&gt;0,+G17-K17,0)</f>
        <v>0</v>
      </c>
      <c r="M17" s="512">
        <f t="shared" ref="M17:M22" si="2">H17</f>
        <v>7374864.2102739988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46796111.682539679</v>
      </c>
      <c r="E18" s="609">
        <v>1123156.4761904762</v>
      </c>
      <c r="F18" s="608">
        <v>45672955.206349202</v>
      </c>
      <c r="G18" s="609">
        <v>7516780.2053061184</v>
      </c>
      <c r="H18" s="610">
        <v>7516780.2053061184</v>
      </c>
      <c r="I18" s="616">
        <v>0</v>
      </c>
      <c r="J18" s="511"/>
      <c r="K18" s="518">
        <f t="shared" si="0"/>
        <v>7516780.2053061184</v>
      </c>
      <c r="L18" s="519">
        <f t="shared" ref="L18:L23" si="6">IF(K18&lt;&gt;0,+G18-K18,0)</f>
        <v>0</v>
      </c>
      <c r="M18" s="518">
        <f t="shared" si="2"/>
        <v>7516780.2053061184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608">
        <v>45915504.206349209</v>
      </c>
      <c r="E19" s="609">
        <v>1128931.4523809524</v>
      </c>
      <c r="F19" s="608">
        <v>44786572.753968254</v>
      </c>
      <c r="G19" s="609">
        <v>7171110.7453941712</v>
      </c>
      <c r="H19" s="610">
        <v>7171110.7453941712</v>
      </c>
      <c r="I19" s="616">
        <v>0</v>
      </c>
      <c r="J19" s="511"/>
      <c r="K19" s="518">
        <f t="shared" si="0"/>
        <v>7171110.7453941712</v>
      </c>
      <c r="L19" s="519">
        <f t="shared" si="6"/>
        <v>0</v>
      </c>
      <c r="M19" s="518">
        <f t="shared" si="2"/>
        <v>7171110.7453941712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2015</v>
      </c>
      <c r="D20" s="608">
        <v>45031351.753968254</v>
      </c>
      <c r="E20" s="609">
        <v>1134759.5238095238</v>
      </c>
      <c r="F20" s="608">
        <v>43896592.230158731</v>
      </c>
      <c r="G20" s="609">
        <v>6916151.4669681974</v>
      </c>
      <c r="H20" s="610">
        <v>6916151.4669681974</v>
      </c>
      <c r="I20" s="511">
        <v>0</v>
      </c>
      <c r="J20" s="511"/>
      <c r="K20" s="518">
        <f t="shared" si="0"/>
        <v>6916151.4669681974</v>
      </c>
      <c r="L20" s="519">
        <f t="shared" si="6"/>
        <v>0</v>
      </c>
      <c r="M20" s="518">
        <f t="shared" si="2"/>
        <v>6916151.4669681974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608">
        <v>43896592.230158731</v>
      </c>
      <c r="E21" s="609">
        <v>1134759.5238095238</v>
      </c>
      <c r="F21" s="608">
        <v>42761832.706349209</v>
      </c>
      <c r="G21" s="609">
        <v>6697217.6540145967</v>
      </c>
      <c r="H21" s="610">
        <v>6697217.6540145967</v>
      </c>
      <c r="I21" s="511">
        <f t="shared" ref="I21:I48" si="9">H21-G21</f>
        <v>0</v>
      </c>
      <c r="J21" s="511"/>
      <c r="K21" s="518">
        <f t="shared" si="0"/>
        <v>6697217.6540145967</v>
      </c>
      <c r="L21" s="519">
        <f t="shared" si="6"/>
        <v>0</v>
      </c>
      <c r="M21" s="518">
        <f t="shared" si="2"/>
        <v>6697217.6540145967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2017</v>
      </c>
      <c r="D22" s="608">
        <v>42761961.706349209</v>
      </c>
      <c r="E22" s="609">
        <v>1108372.7674418604</v>
      </c>
      <c r="F22" s="608">
        <v>41653588.938907348</v>
      </c>
      <c r="G22" s="609">
        <v>6337600.9904746711</v>
      </c>
      <c r="H22" s="610">
        <v>6337600.9904746711</v>
      </c>
      <c r="I22" s="511">
        <f t="shared" si="9"/>
        <v>0</v>
      </c>
      <c r="J22" s="511"/>
      <c r="K22" s="518">
        <f t="shared" si="0"/>
        <v>6337600.9904746711</v>
      </c>
      <c r="L22" s="519">
        <f t="shared" si="6"/>
        <v>0</v>
      </c>
      <c r="M22" s="518">
        <f t="shared" si="2"/>
        <v>6337600.9904746711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41653588.938907348</v>
      </c>
      <c r="E23" s="609">
        <v>1162439.7317073171</v>
      </c>
      <c r="F23" s="608">
        <v>40491149.207200028</v>
      </c>
      <c r="G23" s="609">
        <v>6382495.4698959831</v>
      </c>
      <c r="H23" s="610">
        <v>6382495.4698959831</v>
      </c>
      <c r="I23" s="511">
        <f t="shared" si="9"/>
        <v>0</v>
      </c>
      <c r="J23" s="511"/>
      <c r="K23" s="518">
        <f>G23</f>
        <v>6382495.4698959831</v>
      </c>
      <c r="L23" s="519">
        <f t="shared" si="6"/>
        <v>0</v>
      </c>
      <c r="M23" s="518">
        <f>H23</f>
        <v>6382495.4698959831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40491149.207200028</v>
      </c>
      <c r="E24" s="609">
        <v>1162439.7317073171</v>
      </c>
      <c r="F24" s="608">
        <v>39328709.475492708</v>
      </c>
      <c r="G24" s="609">
        <v>6234756.239636234</v>
      </c>
      <c r="H24" s="610">
        <v>6234756.239636234</v>
      </c>
      <c r="I24" s="511">
        <f t="shared" si="9"/>
        <v>0</v>
      </c>
      <c r="J24" s="511"/>
      <c r="K24" s="518">
        <f>G24</f>
        <v>6234756.239636234</v>
      </c>
      <c r="L24" s="519">
        <f t="shared" ref="L24" si="10">IF(K24&lt;&gt;0,+G24-K24,0)</f>
        <v>0</v>
      </c>
      <c r="M24" s="518">
        <f>H24</f>
        <v>6234756.239636234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08">
        <v>39328709.475492708</v>
      </c>
      <c r="E25" s="609">
        <v>1162439.7317073171</v>
      </c>
      <c r="F25" s="608">
        <v>38166269.743785389</v>
      </c>
      <c r="G25" s="609">
        <v>5127681.7221303442</v>
      </c>
      <c r="H25" s="610">
        <v>5127681.7221303442</v>
      </c>
      <c r="I25" s="511">
        <f t="shared" si="9"/>
        <v>0</v>
      </c>
      <c r="J25" s="511"/>
      <c r="K25" s="518">
        <f>G25</f>
        <v>5127681.7221303442</v>
      </c>
      <c r="L25" s="519">
        <f t="shared" ref="L25" si="11">IF(K25&lt;&gt;0,+G25-K25,0)</f>
        <v>0</v>
      </c>
      <c r="M25" s="518">
        <f>H25</f>
        <v>5127681.7221303442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/>
      </c>
      <c r="C26" s="507">
        <f>IF(D11="","-",+C25+1)</f>
        <v>2021</v>
      </c>
      <c r="D26" s="523">
        <f>IF(F25+SUM(E$17:E25)=D$10,F25,D$10-SUM(E$17:E25))</f>
        <v>38166269.743785389</v>
      </c>
      <c r="E26" s="522">
        <f>IF(+I14&lt;F25,I14,D26)</f>
        <v>1134762.5952380951</v>
      </c>
      <c r="F26" s="523">
        <f t="shared" ref="F26:F48" si="12">+D26-E26</f>
        <v>37031507.148547292</v>
      </c>
      <c r="G26" s="524">
        <f t="shared" ref="G26:G53" si="13">+I$12*((D26+F26)/2)+E26</f>
        <v>5150999.6747047119</v>
      </c>
      <c r="H26" s="491">
        <f t="shared" ref="H26:H53" si="14">+I$13*((D26+F26)/2)+E26</f>
        <v>5150999.6747047119</v>
      </c>
      <c r="I26" s="511">
        <f t="shared" si="9"/>
        <v>0</v>
      </c>
      <c r="J26" s="511"/>
      <c r="K26" s="525"/>
      <c r="L26" s="514">
        <f t="shared" si="1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37031507.148547292</v>
      </c>
      <c r="E27" s="522">
        <f>IF(+I14&lt;F26,I14,D27)</f>
        <v>1134762.5952380951</v>
      </c>
      <c r="F27" s="523">
        <f t="shared" si="12"/>
        <v>35896744.553309195</v>
      </c>
      <c r="G27" s="524">
        <f t="shared" si="13"/>
        <v>5029786.633582172</v>
      </c>
      <c r="H27" s="491">
        <f t="shared" si="14"/>
        <v>5029786.633582172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35896744.553309195</v>
      </c>
      <c r="E28" s="522">
        <f>IF(+I14&lt;F27,I14,D28)</f>
        <v>1134762.5952380951</v>
      </c>
      <c r="F28" s="523">
        <f t="shared" si="12"/>
        <v>34761981.958071098</v>
      </c>
      <c r="G28" s="524">
        <f t="shared" si="13"/>
        <v>4908573.5924596293</v>
      </c>
      <c r="H28" s="491">
        <f t="shared" si="14"/>
        <v>4908573.5924596293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34761981.958071098</v>
      </c>
      <c r="E29" s="522">
        <f>IF(+I14&lt;F28,I14,D29)</f>
        <v>1134762.5952380951</v>
      </c>
      <c r="F29" s="523">
        <f t="shared" si="12"/>
        <v>33627219.362833001</v>
      </c>
      <c r="G29" s="524">
        <f t="shared" si="13"/>
        <v>4787360.5513370885</v>
      </c>
      <c r="H29" s="491">
        <f t="shared" si="14"/>
        <v>4787360.5513370885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33627219.362833001</v>
      </c>
      <c r="E30" s="522">
        <f>IF(+I14&lt;F29,I14,D30)</f>
        <v>1134762.5952380951</v>
      </c>
      <c r="F30" s="523">
        <f t="shared" si="12"/>
        <v>32492456.767594904</v>
      </c>
      <c r="G30" s="524">
        <f t="shared" si="13"/>
        <v>4666147.5102145467</v>
      </c>
      <c r="H30" s="491">
        <f t="shared" si="14"/>
        <v>4666147.5102145467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32492456.767594904</v>
      </c>
      <c r="E31" s="522">
        <f>IF(+I14&lt;F30,I14,D31)</f>
        <v>1134762.5952380951</v>
      </c>
      <c r="F31" s="523">
        <f t="shared" si="12"/>
        <v>31357694.172356807</v>
      </c>
      <c r="G31" s="524">
        <f t="shared" si="13"/>
        <v>4544934.4690920049</v>
      </c>
      <c r="H31" s="491">
        <f t="shared" si="14"/>
        <v>4544934.4690920049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31357694.172356807</v>
      </c>
      <c r="E32" s="522">
        <f>IF(+I14&lt;F31,I14,D32)</f>
        <v>1134762.5952380951</v>
      </c>
      <c r="F32" s="523">
        <f t="shared" si="12"/>
        <v>30222931.57711871</v>
      </c>
      <c r="G32" s="524">
        <f t="shared" si="13"/>
        <v>4423721.4279694632</v>
      </c>
      <c r="H32" s="491">
        <f t="shared" si="14"/>
        <v>4423721.4279694632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30222931.57711871</v>
      </c>
      <c r="E33" s="522">
        <f>IF(+I14&lt;F32,I14,D33)</f>
        <v>1134762.5952380951</v>
      </c>
      <c r="F33" s="523">
        <f t="shared" si="12"/>
        <v>29088168.981880613</v>
      </c>
      <c r="G33" s="524">
        <f t="shared" si="13"/>
        <v>4302508.3868469223</v>
      </c>
      <c r="H33" s="491">
        <f t="shared" si="14"/>
        <v>4302508.3868469223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29088168.981880613</v>
      </c>
      <c r="E34" s="522">
        <f>IF(+I14&lt;F33,I14,D34)</f>
        <v>1134762.5952380951</v>
      </c>
      <c r="F34" s="523">
        <f t="shared" si="12"/>
        <v>27953406.386642516</v>
      </c>
      <c r="G34" s="524">
        <f t="shared" si="13"/>
        <v>4181295.3457243801</v>
      </c>
      <c r="H34" s="491">
        <f t="shared" si="14"/>
        <v>4181295.3457243801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27953406.386642516</v>
      </c>
      <c r="E35" s="522">
        <f>IF(+I14&lt;F34,I14,D35)</f>
        <v>1134762.5952380951</v>
      </c>
      <c r="F35" s="523">
        <f t="shared" si="12"/>
        <v>26818643.791404419</v>
      </c>
      <c r="G35" s="524">
        <f t="shared" si="13"/>
        <v>4060082.3046018388</v>
      </c>
      <c r="H35" s="491">
        <f t="shared" si="14"/>
        <v>4060082.3046018388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26818643.791404419</v>
      </c>
      <c r="E36" s="522">
        <f>IF(+I14&lt;F35,I14,D36)</f>
        <v>1134762.5952380951</v>
      </c>
      <c r="F36" s="523">
        <f t="shared" si="12"/>
        <v>25683881.196166322</v>
      </c>
      <c r="G36" s="524">
        <f t="shared" si="13"/>
        <v>3938869.263479297</v>
      </c>
      <c r="H36" s="491">
        <f t="shared" si="14"/>
        <v>3938869.263479297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25683881.196166322</v>
      </c>
      <c r="E37" s="522">
        <f>IF(+I14&lt;F36,I14,D37)</f>
        <v>1134762.5952380951</v>
      </c>
      <c r="F37" s="523">
        <f t="shared" si="12"/>
        <v>24549118.600928225</v>
      </c>
      <c r="G37" s="524">
        <f t="shared" si="13"/>
        <v>3817656.2223567553</v>
      </c>
      <c r="H37" s="491">
        <f t="shared" si="14"/>
        <v>3817656.2223567553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24549118.600928225</v>
      </c>
      <c r="E38" s="522">
        <f>IF(+I14&lt;F37,I14,D38)</f>
        <v>1134762.5952380951</v>
      </c>
      <c r="F38" s="523">
        <f t="shared" si="12"/>
        <v>23414356.005690128</v>
      </c>
      <c r="G38" s="524">
        <f t="shared" si="13"/>
        <v>3696443.181234214</v>
      </c>
      <c r="H38" s="491">
        <f t="shared" si="14"/>
        <v>3696443.181234214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23414356.005690128</v>
      </c>
      <c r="E39" s="522">
        <f>IF(+I14&lt;F38,I14,D39)</f>
        <v>1134762.5952380951</v>
      </c>
      <c r="F39" s="523">
        <f t="shared" si="12"/>
        <v>22279593.410452031</v>
      </c>
      <c r="G39" s="524">
        <f t="shared" si="13"/>
        <v>3575230.1401116722</v>
      </c>
      <c r="H39" s="491">
        <f t="shared" si="14"/>
        <v>3575230.1401116722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22279593.410452031</v>
      </c>
      <c r="E40" s="522">
        <f>IF(+I14&lt;F39,I14,D40)</f>
        <v>1134762.5952380951</v>
      </c>
      <c r="F40" s="523">
        <f t="shared" si="12"/>
        <v>21144830.815213934</v>
      </c>
      <c r="G40" s="524">
        <f t="shared" si="13"/>
        <v>3454017.0989891305</v>
      </c>
      <c r="H40" s="491">
        <f t="shared" si="14"/>
        <v>3454017.0989891305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21144830.815213934</v>
      </c>
      <c r="E41" s="522">
        <f>IF(+I14&lt;F40,I14,D41)</f>
        <v>1134762.5952380951</v>
      </c>
      <c r="F41" s="523">
        <f t="shared" si="12"/>
        <v>20010068.219975837</v>
      </c>
      <c r="G41" s="524">
        <f t="shared" si="13"/>
        <v>3332804.0578665892</v>
      </c>
      <c r="H41" s="491">
        <f t="shared" si="14"/>
        <v>3332804.0578665892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20010068.219975837</v>
      </c>
      <c r="E42" s="522">
        <f>IF(+I14&lt;F41,I14,D42)</f>
        <v>1134762.5952380951</v>
      </c>
      <c r="F42" s="523">
        <f t="shared" si="12"/>
        <v>18875305.62473774</v>
      </c>
      <c r="G42" s="524">
        <f t="shared" si="13"/>
        <v>3211591.0167440474</v>
      </c>
      <c r="H42" s="491">
        <f t="shared" si="14"/>
        <v>3211591.0167440474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18875305.62473774</v>
      </c>
      <c r="E43" s="522">
        <f>IF(+I14&lt;F42,I14,D43)</f>
        <v>1134762.5952380951</v>
      </c>
      <c r="F43" s="523">
        <f t="shared" si="12"/>
        <v>17740543.029499643</v>
      </c>
      <c r="G43" s="524">
        <f t="shared" si="13"/>
        <v>3090377.9756215056</v>
      </c>
      <c r="H43" s="491">
        <f t="shared" si="14"/>
        <v>3090377.9756215056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17740543.029499643</v>
      </c>
      <c r="E44" s="522">
        <f>IF(+I14&lt;F43,I14,D44)</f>
        <v>1134762.5952380951</v>
      </c>
      <c r="F44" s="523">
        <f t="shared" si="12"/>
        <v>16605780.434261547</v>
      </c>
      <c r="G44" s="524">
        <f t="shared" si="13"/>
        <v>2969164.9344989643</v>
      </c>
      <c r="H44" s="491">
        <f t="shared" si="14"/>
        <v>2969164.9344989643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16605780.434261547</v>
      </c>
      <c r="E45" s="522">
        <f>IF(+I14&lt;F44,I14,D45)</f>
        <v>1134762.5952380951</v>
      </c>
      <c r="F45" s="523">
        <f t="shared" si="12"/>
        <v>15471017.839023452</v>
      </c>
      <c r="G45" s="524">
        <f t="shared" si="13"/>
        <v>2847951.893376423</v>
      </c>
      <c r="H45" s="491">
        <f t="shared" si="14"/>
        <v>2847951.893376423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15471017.839023452</v>
      </c>
      <c r="E46" s="522">
        <f>IF(+I14&lt;F45,I14,D46)</f>
        <v>1134762.5952380951</v>
      </c>
      <c r="F46" s="523">
        <f t="shared" si="12"/>
        <v>14336255.243785357</v>
      </c>
      <c r="G46" s="524">
        <f t="shared" si="13"/>
        <v>2726738.8522538813</v>
      </c>
      <c r="H46" s="491">
        <f t="shared" si="14"/>
        <v>2726738.8522538813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14336255.243785357</v>
      </c>
      <c r="E47" s="522">
        <f>IF(+I14&lt;F46,I14,D47)</f>
        <v>1134762.5952380951</v>
      </c>
      <c r="F47" s="523">
        <f t="shared" si="12"/>
        <v>13201492.648547262</v>
      </c>
      <c r="G47" s="524">
        <f t="shared" si="13"/>
        <v>2605525.8111313405</v>
      </c>
      <c r="H47" s="491">
        <f t="shared" si="14"/>
        <v>2605525.8111313405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13201492.648547262</v>
      </c>
      <c r="E48" s="522">
        <f>IF(+I14&lt;F47,I14,D48)</f>
        <v>1134762.5952380951</v>
      </c>
      <c r="F48" s="523">
        <f t="shared" si="12"/>
        <v>12066730.053309167</v>
      </c>
      <c r="G48" s="524">
        <f t="shared" si="13"/>
        <v>2484312.7700087987</v>
      </c>
      <c r="H48" s="491">
        <f t="shared" si="14"/>
        <v>2484312.7700087987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12066730.053309167</v>
      </c>
      <c r="E49" s="522">
        <f>IF(+I14&lt;F48,I14,D49)</f>
        <v>1134762.5952380951</v>
      </c>
      <c r="F49" s="523">
        <f t="shared" ref="F49:F72" si="15">+D49-E49</f>
        <v>10931967.458071072</v>
      </c>
      <c r="G49" s="524">
        <f t="shared" si="13"/>
        <v>2363099.7288862579</v>
      </c>
      <c r="H49" s="491">
        <f t="shared" si="14"/>
        <v>2363099.7288862579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ref="B50:B72" si="20">IF(D50=F49,"","IU")</f>
        <v/>
      </c>
      <c r="C50" s="507">
        <f>IF(D11="","-",+C49+1)</f>
        <v>2045</v>
      </c>
      <c r="D50" s="523">
        <f>IF(F49+SUM(E$17:E49)=D$10,F49,D$10-SUM(E$17:E49))</f>
        <v>10931967.458071072</v>
      </c>
      <c r="E50" s="522">
        <f>IF(+I14&lt;F49,I14,D50)</f>
        <v>1134762.5952380951</v>
      </c>
      <c r="F50" s="523">
        <f t="shared" si="15"/>
        <v>9797204.8628329765</v>
      </c>
      <c r="G50" s="524">
        <f t="shared" si="13"/>
        <v>2241886.6877637161</v>
      </c>
      <c r="H50" s="491">
        <f t="shared" si="14"/>
        <v>2241886.6877637161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20"/>
        <v/>
      </c>
      <c r="C51" s="507">
        <f>IF(D11="","-",+C50+1)</f>
        <v>2046</v>
      </c>
      <c r="D51" s="523">
        <f>IF(F50+SUM(E$17:E50)=D$10,F50,D$10-SUM(E$17:E50))</f>
        <v>9797204.8628329765</v>
      </c>
      <c r="E51" s="522">
        <f>IF(+I14&lt;F50,I14,D51)</f>
        <v>1134762.5952380951</v>
      </c>
      <c r="F51" s="523">
        <f t="shared" si="15"/>
        <v>8662442.2675948814</v>
      </c>
      <c r="G51" s="524">
        <f t="shared" si="13"/>
        <v>2120673.6466411748</v>
      </c>
      <c r="H51" s="491">
        <f t="shared" si="14"/>
        <v>2120673.6466411748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20"/>
        <v/>
      </c>
      <c r="C52" s="507">
        <f>IF(D11="","-",+C51+1)</f>
        <v>2047</v>
      </c>
      <c r="D52" s="523">
        <f>IF(F51+SUM(E$17:E51)=D$10,F51,D$10-SUM(E$17:E51))</f>
        <v>8662442.2675948814</v>
      </c>
      <c r="E52" s="522">
        <f>IF(+I14&lt;F51,I14,D52)</f>
        <v>1134762.5952380951</v>
      </c>
      <c r="F52" s="523">
        <f t="shared" si="15"/>
        <v>7527679.6723567862</v>
      </c>
      <c r="G52" s="524">
        <f t="shared" si="13"/>
        <v>1999460.6055186333</v>
      </c>
      <c r="H52" s="491">
        <f t="shared" si="14"/>
        <v>1999460.6055186333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20"/>
        <v/>
      </c>
      <c r="C53" s="507">
        <f>IF(D11="","-",+C52+1)</f>
        <v>2048</v>
      </c>
      <c r="D53" s="523">
        <f>IF(F52+SUM(E$17:E52)=D$10,F52,D$10-SUM(E$17:E52))</f>
        <v>7527679.6723567862</v>
      </c>
      <c r="E53" s="522">
        <f>IF(+I14&lt;F52,I14,D53)</f>
        <v>1134762.5952380951</v>
      </c>
      <c r="F53" s="523">
        <f t="shared" si="15"/>
        <v>6392917.0771186911</v>
      </c>
      <c r="G53" s="524">
        <f t="shared" si="13"/>
        <v>1878247.5643960917</v>
      </c>
      <c r="H53" s="491">
        <f t="shared" si="14"/>
        <v>1878247.5643960917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20"/>
        <v/>
      </c>
      <c r="C54" s="507">
        <f>IF(D11="","-",+C53+1)</f>
        <v>2049</v>
      </c>
      <c r="D54" s="523">
        <f>IF(F53+SUM(E$17:E53)=D$10,F53,D$10-SUM(E$17:E53))</f>
        <v>6392917.0771186911</v>
      </c>
      <c r="E54" s="522">
        <f>IF(+I14&lt;F53,I14,D54)</f>
        <v>1134762.5952380951</v>
      </c>
      <c r="F54" s="523">
        <f t="shared" si="15"/>
        <v>5258154.4818805959</v>
      </c>
      <c r="G54" s="524">
        <f t="shared" ref="G54:G72" si="21">+I$12*((D54+F54)/2)+E54</f>
        <v>1757034.5232735504</v>
      </c>
      <c r="H54" s="491">
        <f t="shared" ref="H54:H72" si="22">+I$13*((D54+F54)/2)+E54</f>
        <v>1757034.5232735504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20"/>
        <v/>
      </c>
      <c r="C55" s="507">
        <f>IF(D11="","-",+C54+1)</f>
        <v>2050</v>
      </c>
      <c r="D55" s="523">
        <f>IF(F54+SUM(E$17:E54)=D$10,F54,D$10-SUM(E$17:E54))</f>
        <v>5258154.4818805959</v>
      </c>
      <c r="E55" s="522">
        <f>IF(+I14&lt;F54,I14,D55)</f>
        <v>1134762.5952380951</v>
      </c>
      <c r="F55" s="523">
        <f t="shared" si="15"/>
        <v>4123391.8866425008</v>
      </c>
      <c r="G55" s="524">
        <f t="shared" si="21"/>
        <v>1635821.4821510091</v>
      </c>
      <c r="H55" s="491">
        <f t="shared" si="22"/>
        <v>1635821.4821510091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20"/>
        <v/>
      </c>
      <c r="C56" s="507">
        <f>IF(D11="","-",+C55+1)</f>
        <v>2051</v>
      </c>
      <c r="D56" s="523">
        <f>IF(F55+SUM(E$17:E55)=D$10,F55,D$10-SUM(E$17:E55))</f>
        <v>4123391.8866425008</v>
      </c>
      <c r="E56" s="522">
        <f>IF(+I14&lt;F55,I14,D56)</f>
        <v>1134762.5952380951</v>
      </c>
      <c r="F56" s="523">
        <f t="shared" si="15"/>
        <v>2988629.2914044056</v>
      </c>
      <c r="G56" s="524">
        <f t="shared" si="21"/>
        <v>1514608.4410284678</v>
      </c>
      <c r="H56" s="491">
        <f t="shared" si="22"/>
        <v>1514608.4410284678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20"/>
        <v/>
      </c>
      <c r="C57" s="507">
        <f>IF(D11="","-",+C56+1)</f>
        <v>2052</v>
      </c>
      <c r="D57" s="523">
        <f>IF(F56+SUM(E$17:E56)=D$10,F56,D$10-SUM(E$17:E56))</f>
        <v>2988629.2914044056</v>
      </c>
      <c r="E57" s="522">
        <f>IF(+I14&lt;F56,I14,D57)</f>
        <v>1134762.5952380951</v>
      </c>
      <c r="F57" s="523">
        <f t="shared" si="15"/>
        <v>1853866.6961663105</v>
      </c>
      <c r="G57" s="524">
        <f t="shared" si="21"/>
        <v>1393395.3999059263</v>
      </c>
      <c r="H57" s="491">
        <f t="shared" si="22"/>
        <v>1393395.3999059263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20"/>
        <v/>
      </c>
      <c r="C58" s="507">
        <f>IF(D11="","-",+C57+1)</f>
        <v>2053</v>
      </c>
      <c r="D58" s="523">
        <f>IF(F57+SUM(E$17:E57)=D$10,F57,D$10-SUM(E$17:E57))</f>
        <v>1853866.6961663105</v>
      </c>
      <c r="E58" s="522">
        <f>IF(+I14&lt;F57,I14,D58)</f>
        <v>1134762.5952380951</v>
      </c>
      <c r="F58" s="523">
        <f t="shared" si="15"/>
        <v>719104.10092821531</v>
      </c>
      <c r="G58" s="524">
        <f t="shared" si="21"/>
        <v>1272182.358783385</v>
      </c>
      <c r="H58" s="491">
        <f t="shared" si="22"/>
        <v>1272182.358783385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0"/>
        <v/>
      </c>
      <c r="C59" s="507">
        <f>IF(D11="","-",+C58+1)</f>
        <v>2054</v>
      </c>
      <c r="D59" s="523">
        <f>IF(F58+SUM(E$17:E58)=D$10,F58,D$10-SUM(E$17:E58))</f>
        <v>719104.10092821531</v>
      </c>
      <c r="E59" s="522">
        <f>IF(+I14&lt;F58,I14,D59)</f>
        <v>719104.10092821531</v>
      </c>
      <c r="F59" s="523">
        <f t="shared" si="15"/>
        <v>0</v>
      </c>
      <c r="G59" s="524">
        <f t="shared" si="21"/>
        <v>757510.72242022492</v>
      </c>
      <c r="H59" s="491">
        <f t="shared" si="22"/>
        <v>757510.72242022492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20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21"/>
        <v>0</v>
      </c>
      <c r="H60" s="491">
        <f t="shared" si="22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20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21"/>
        <v>0</v>
      </c>
      <c r="H61" s="491">
        <f t="shared" si="22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20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21"/>
        <v>0</v>
      </c>
      <c r="H62" s="491">
        <f t="shared" si="22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20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21"/>
        <v>0</v>
      </c>
      <c r="H63" s="491">
        <f t="shared" si="22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20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21"/>
        <v>0</v>
      </c>
      <c r="H64" s="491">
        <f t="shared" si="22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20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21"/>
        <v>0</v>
      </c>
      <c r="H65" s="491">
        <f t="shared" si="22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20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21"/>
        <v>0</v>
      </c>
      <c r="H66" s="491">
        <f t="shared" si="22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20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21"/>
        <v>0</v>
      </c>
      <c r="H67" s="491">
        <f t="shared" si="22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20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21"/>
        <v>0</v>
      </c>
      <c r="H68" s="491">
        <f t="shared" si="22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20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21"/>
        <v>0</v>
      </c>
      <c r="H69" s="491">
        <f t="shared" si="22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20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21"/>
        <v>0</v>
      </c>
      <c r="H70" s="491">
        <f t="shared" si="22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20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21"/>
        <v>0</v>
      </c>
      <c r="H71" s="491">
        <f t="shared" si="22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20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21"/>
        <v>0</v>
      </c>
      <c r="H72" s="471">
        <f t="shared" si="22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47660029.000000007</v>
      </c>
      <c r="F73" s="375"/>
      <c r="G73" s="375">
        <f>SUM(G17:G72)</f>
        <v>166498672.97906807</v>
      </c>
      <c r="H73" s="375">
        <f>SUM(H17:H72)</f>
        <v>166498672.97906807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30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5127681.7221303442</v>
      </c>
      <c r="N87" s="546">
        <f>IF(J92&lt;D11,0,VLOOKUP(J92,C17:O72,11))</f>
        <v>5127681.7221303442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5312236.1867038347</v>
      </c>
      <c r="N88" s="550">
        <f>IF(J92&lt;D11,0,VLOOKUP(J92,C99:P154,7))</f>
        <v>5312236.1867038347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NW Texarkana - Turk 345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184554.46457349043</v>
      </c>
      <c r="N89" s="555">
        <f>+N88-N87</f>
        <v>184554.46457349043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/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47660029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8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1134762.5952380951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374385.49206349207</v>
      </c>
      <c r="F99" s="515">
        <v>46798186.507936507</v>
      </c>
      <c r="G99" s="574">
        <v>23399093.253968254</v>
      </c>
      <c r="H99" s="575">
        <v>3817654.064849725</v>
      </c>
      <c r="I99" s="576">
        <v>3817654.064849725</v>
      </c>
      <c r="J99" s="613">
        <f t="shared" ref="J99:J130" si="23">+I99-H99</f>
        <v>0</v>
      </c>
      <c r="K99" s="514"/>
      <c r="L99" s="512">
        <f t="shared" ref="L99:L104" si="24">H99</f>
        <v>3817654.064849725</v>
      </c>
      <c r="M99" s="597">
        <f t="shared" ref="M99:M130" si="25">IF(L99&lt;&gt;0,+H99-L99,0)</f>
        <v>0</v>
      </c>
      <c r="N99" s="512">
        <f t="shared" ref="N99:N104" si="26">I99</f>
        <v>3817654.064849725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 ht="12.5">
      <c r="B100" s="195" t="str">
        <f t="shared" ref="B100:B131" si="29">IF(D100=F99,"","IU")</f>
        <v>IU</v>
      </c>
      <c r="C100" s="507">
        <f>IF(D93="","-",+C99+1)</f>
        <v>2013</v>
      </c>
      <c r="D100" s="508">
        <v>47040735.507936507</v>
      </c>
      <c r="E100" s="516">
        <v>1128931.4523809524</v>
      </c>
      <c r="F100" s="515">
        <v>45911804.055555552</v>
      </c>
      <c r="G100" s="515">
        <v>46476269.78174603</v>
      </c>
      <c r="H100" s="575">
        <v>7416785.108146511</v>
      </c>
      <c r="I100" s="576">
        <v>7416785.108146511</v>
      </c>
      <c r="J100" s="613">
        <v>0</v>
      </c>
      <c r="K100" s="514"/>
      <c r="L100" s="518">
        <f t="shared" si="24"/>
        <v>7416785.108146511</v>
      </c>
      <c r="M100" s="519">
        <f t="shared" ref="M100:M105" si="30">IF(L100&lt;&gt;0,+H100-L100,0)</f>
        <v>0</v>
      </c>
      <c r="N100" s="518">
        <f t="shared" si="26"/>
        <v>7416785.108146511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29"/>
        <v>IU</v>
      </c>
      <c r="C101" s="507">
        <f>IF(D93="","-",+C100+1)</f>
        <v>2014</v>
      </c>
      <c r="D101" s="508">
        <v>46156435.055555552</v>
      </c>
      <c r="E101" s="516">
        <v>1134756</v>
      </c>
      <c r="F101" s="515">
        <v>45021679.055555552</v>
      </c>
      <c r="G101" s="515">
        <v>45589057.055555552</v>
      </c>
      <c r="H101" s="575">
        <v>7331378.3623912428</v>
      </c>
      <c r="I101" s="576">
        <v>7331378.3623912428</v>
      </c>
      <c r="J101" s="514">
        <v>0</v>
      </c>
      <c r="K101" s="514"/>
      <c r="L101" s="518">
        <f t="shared" si="24"/>
        <v>7331378.3623912428</v>
      </c>
      <c r="M101" s="519">
        <f t="shared" si="30"/>
        <v>0</v>
      </c>
      <c r="N101" s="518">
        <f t="shared" si="26"/>
        <v>7331378.3623912428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9"/>
        <v/>
      </c>
      <c r="C102" s="507">
        <f>IF(D93="","-",+C101+1)</f>
        <v>2015</v>
      </c>
      <c r="D102" s="508">
        <v>45021679.055555552</v>
      </c>
      <c r="E102" s="516">
        <v>1134756</v>
      </c>
      <c r="F102" s="515">
        <v>43886923.055555552</v>
      </c>
      <c r="G102" s="515">
        <v>44454301.055555552</v>
      </c>
      <c r="H102" s="575">
        <v>6992449.3668075977</v>
      </c>
      <c r="I102" s="576">
        <v>6992449.3668075977</v>
      </c>
      <c r="J102" s="514">
        <f t="shared" si="23"/>
        <v>0</v>
      </c>
      <c r="K102" s="514"/>
      <c r="L102" s="518">
        <f t="shared" si="24"/>
        <v>6992449.3668075977</v>
      </c>
      <c r="M102" s="519">
        <f t="shared" si="30"/>
        <v>0</v>
      </c>
      <c r="N102" s="518">
        <f t="shared" si="26"/>
        <v>6992449.3668075977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9"/>
        <v>IU</v>
      </c>
      <c r="C103" s="507">
        <f>IF(D93="","-",+C102+1)</f>
        <v>2016</v>
      </c>
      <c r="D103" s="508">
        <v>43887200.055555552</v>
      </c>
      <c r="E103" s="516">
        <v>1108372.7674418604</v>
      </c>
      <c r="F103" s="515">
        <v>42778827.288113691</v>
      </c>
      <c r="G103" s="515">
        <v>43333013.671834618</v>
      </c>
      <c r="H103" s="575">
        <v>6609498.3455806924</v>
      </c>
      <c r="I103" s="576">
        <v>6609498.3455806924</v>
      </c>
      <c r="J103" s="514">
        <f t="shared" si="23"/>
        <v>0</v>
      </c>
      <c r="K103" s="514"/>
      <c r="L103" s="518">
        <f t="shared" si="24"/>
        <v>6609498.3455806924</v>
      </c>
      <c r="M103" s="519">
        <f t="shared" si="30"/>
        <v>0</v>
      </c>
      <c r="N103" s="518">
        <f t="shared" si="26"/>
        <v>6609498.3455806924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9"/>
        <v/>
      </c>
      <c r="C104" s="507">
        <f>IF(D93="","-",+C103+1)</f>
        <v>2017</v>
      </c>
      <c r="D104" s="508">
        <v>42778827.288113691</v>
      </c>
      <c r="E104" s="516">
        <v>1134762.5952380951</v>
      </c>
      <c r="F104" s="515">
        <v>41644064.692875594</v>
      </c>
      <c r="G104" s="515">
        <v>42211445.990494639</v>
      </c>
      <c r="H104" s="575">
        <v>6262248.4706521584</v>
      </c>
      <c r="I104" s="576">
        <v>6262248.4706521584</v>
      </c>
      <c r="J104" s="514">
        <f t="shared" si="23"/>
        <v>0</v>
      </c>
      <c r="K104" s="514"/>
      <c r="L104" s="518">
        <f t="shared" si="24"/>
        <v>6262248.4706521584</v>
      </c>
      <c r="M104" s="519">
        <f t="shared" si="30"/>
        <v>0</v>
      </c>
      <c r="N104" s="518">
        <f t="shared" si="26"/>
        <v>6262248.4706521584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9"/>
        <v/>
      </c>
      <c r="C105" s="507">
        <f>IF(D93="","-",+C104+1)</f>
        <v>2018</v>
      </c>
      <c r="D105" s="508">
        <v>41644064.692875594</v>
      </c>
      <c r="E105" s="516">
        <v>1134762.5952380951</v>
      </c>
      <c r="F105" s="515">
        <v>40509302.097637497</v>
      </c>
      <c r="G105" s="515">
        <v>41076683.395256549</v>
      </c>
      <c r="H105" s="575">
        <v>5472648.7320447806</v>
      </c>
      <c r="I105" s="576">
        <v>5472648.7320447806</v>
      </c>
      <c r="J105" s="514">
        <f t="shared" si="23"/>
        <v>0</v>
      </c>
      <c r="K105" s="514"/>
      <c r="L105" s="518">
        <f t="shared" ref="L105" si="31">H105</f>
        <v>5472648.7320447806</v>
      </c>
      <c r="M105" s="519">
        <f t="shared" si="30"/>
        <v>0</v>
      </c>
      <c r="N105" s="518">
        <f t="shared" ref="N105" si="32">I105</f>
        <v>5472648.7320447806</v>
      </c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9"/>
        <v/>
      </c>
      <c r="C106" s="507">
        <f>IF(D93="","-",+C105+1)</f>
        <v>2019</v>
      </c>
      <c r="D106" s="508">
        <v>40509302.097637497</v>
      </c>
      <c r="E106" s="516">
        <v>1108372.7674418604</v>
      </c>
      <c r="F106" s="515">
        <v>39400929.330195636</v>
      </c>
      <c r="G106" s="515">
        <v>39955115.71391657</v>
      </c>
      <c r="H106" s="575">
        <v>5385190.1906108065</v>
      </c>
      <c r="I106" s="576">
        <v>5385190.1906108065</v>
      </c>
      <c r="J106" s="514">
        <f t="shared" si="23"/>
        <v>0</v>
      </c>
      <c r="K106" s="514"/>
      <c r="L106" s="518">
        <f t="shared" ref="L106" si="33">H106</f>
        <v>5385190.1906108065</v>
      </c>
      <c r="M106" s="519">
        <f t="shared" ref="M106" si="34">IF(L106&lt;&gt;0,+H106-L106,0)</f>
        <v>0</v>
      </c>
      <c r="N106" s="518">
        <f t="shared" ref="N106" si="35">I106</f>
        <v>5385190.1906108065</v>
      </c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9"/>
        <v/>
      </c>
      <c r="C107" s="507">
        <f>IF(D93="","-",+C106+1)</f>
        <v>2020</v>
      </c>
      <c r="D107" s="374">
        <f>IF(F106+SUM(E$99:E106)=D$92,F106,D$92-SUM(E$99:E106))</f>
        <v>39400929.330195636</v>
      </c>
      <c r="E107" s="522">
        <f>IF(+J96&lt;F106,J96,D107)</f>
        <v>1134762.5952380951</v>
      </c>
      <c r="F107" s="523">
        <f t="shared" ref="F107:F131" si="36">+D107-E107</f>
        <v>38266166.734957539</v>
      </c>
      <c r="G107" s="523">
        <f t="shared" ref="G107:G130" si="37">+(F107+D107)/2</f>
        <v>38833548.032576591</v>
      </c>
      <c r="H107" s="526">
        <f t="shared" ref="H107:H130" si="38">+J$94*G107+E107</f>
        <v>5312236.1867038347</v>
      </c>
      <c r="I107" s="577">
        <f t="shared" ref="I107:I130" si="39">+J$95*G107+E107</f>
        <v>5312236.1867038347</v>
      </c>
      <c r="J107" s="514">
        <f t="shared" si="23"/>
        <v>0</v>
      </c>
      <c r="K107" s="514"/>
      <c r="L107" s="525"/>
      <c r="M107" s="514">
        <f t="shared" si="25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9"/>
        <v/>
      </c>
      <c r="C108" s="507">
        <f>IF(D93="","-",+C107+1)</f>
        <v>2021</v>
      </c>
      <c r="D108" s="374">
        <f>IF(F107+SUM(E$99:E107)=D$92,F107,D$92-SUM(E$99:E107))</f>
        <v>38266166.734957539</v>
      </c>
      <c r="E108" s="522">
        <f>IF(+J96&lt;F107,J96,D108)</f>
        <v>1134762.5952380951</v>
      </c>
      <c r="F108" s="523">
        <f t="shared" si="36"/>
        <v>37131404.139719442</v>
      </c>
      <c r="G108" s="523">
        <f t="shared" si="37"/>
        <v>37698785.437338486</v>
      </c>
      <c r="H108" s="526">
        <f t="shared" si="38"/>
        <v>5190165.425355589</v>
      </c>
      <c r="I108" s="577">
        <f t="shared" si="39"/>
        <v>5190165.425355589</v>
      </c>
      <c r="J108" s="514">
        <f t="shared" si="23"/>
        <v>0</v>
      </c>
      <c r="K108" s="514"/>
      <c r="L108" s="525"/>
      <c r="M108" s="514">
        <f t="shared" si="25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9"/>
        <v/>
      </c>
      <c r="C109" s="507">
        <f>IF(D93="","-",+C108+1)</f>
        <v>2022</v>
      </c>
      <c r="D109" s="374">
        <f>IF(F108+SUM(E$99:E108)=D$92,F108,D$92-SUM(E$99:E108))</f>
        <v>37131404.139719442</v>
      </c>
      <c r="E109" s="522">
        <f>IF(+J96&lt;F108,J96,D109)</f>
        <v>1134762.5952380951</v>
      </c>
      <c r="F109" s="523">
        <f t="shared" si="36"/>
        <v>35996641.544481345</v>
      </c>
      <c r="G109" s="523">
        <f t="shared" si="37"/>
        <v>36564022.842100397</v>
      </c>
      <c r="H109" s="526">
        <f t="shared" si="38"/>
        <v>5068094.6640073452</v>
      </c>
      <c r="I109" s="577">
        <f t="shared" si="39"/>
        <v>5068094.6640073452</v>
      </c>
      <c r="J109" s="514">
        <f t="shared" si="23"/>
        <v>0</v>
      </c>
      <c r="K109" s="514"/>
      <c r="L109" s="525"/>
      <c r="M109" s="514">
        <f t="shared" si="25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9"/>
        <v/>
      </c>
      <c r="C110" s="507">
        <f>IF(D93="","-",+C109+1)</f>
        <v>2023</v>
      </c>
      <c r="D110" s="374">
        <f>IF(F109+SUM(E$99:E109)=D$92,F109,D$92-SUM(E$99:E109))</f>
        <v>35996641.544481345</v>
      </c>
      <c r="E110" s="522">
        <f>IF(+J96&lt;F109,J96,D110)</f>
        <v>1134762.5952380951</v>
      </c>
      <c r="F110" s="523">
        <f t="shared" si="36"/>
        <v>34861878.949243248</v>
      </c>
      <c r="G110" s="523">
        <f t="shared" si="37"/>
        <v>35429260.246862292</v>
      </c>
      <c r="H110" s="526">
        <f t="shared" si="38"/>
        <v>4946023.9026590986</v>
      </c>
      <c r="I110" s="577">
        <f t="shared" si="39"/>
        <v>4946023.9026590986</v>
      </c>
      <c r="J110" s="514">
        <f t="shared" si="23"/>
        <v>0</v>
      </c>
      <c r="K110" s="514"/>
      <c r="L110" s="525"/>
      <c r="M110" s="514">
        <f t="shared" si="25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9"/>
        <v/>
      </c>
      <c r="C111" s="507">
        <f>IF(D93="","-",+C110+1)</f>
        <v>2024</v>
      </c>
      <c r="D111" s="374">
        <f>IF(F110+SUM(E$99:E110)=D$92,F110,D$92-SUM(E$99:E110))</f>
        <v>34861878.949243248</v>
      </c>
      <c r="E111" s="522">
        <f>IF(+J96&lt;F110,J96,D111)</f>
        <v>1134762.5952380951</v>
      </c>
      <c r="F111" s="523">
        <f t="shared" si="36"/>
        <v>33727116.35400515</v>
      </c>
      <c r="G111" s="523">
        <f t="shared" si="37"/>
        <v>34294497.651624203</v>
      </c>
      <c r="H111" s="526">
        <f t="shared" si="38"/>
        <v>4823953.1413108539</v>
      </c>
      <c r="I111" s="577">
        <f t="shared" si="39"/>
        <v>4823953.1413108539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9"/>
        <v/>
      </c>
      <c r="C112" s="507">
        <f>IF(D93="","-",+C111+1)</f>
        <v>2025</v>
      </c>
      <c r="D112" s="374">
        <f>IF(F111+SUM(E$99:E111)=D$92,F111,D$92-SUM(E$99:E111))</f>
        <v>33727116.35400515</v>
      </c>
      <c r="E112" s="522">
        <f>IF(+J96&lt;F111,J96,D112)</f>
        <v>1134762.5952380951</v>
      </c>
      <c r="F112" s="523">
        <f t="shared" si="36"/>
        <v>32592353.758767053</v>
      </c>
      <c r="G112" s="523">
        <f t="shared" si="37"/>
        <v>33159735.056386102</v>
      </c>
      <c r="H112" s="526">
        <f t="shared" si="38"/>
        <v>4701882.3799626082</v>
      </c>
      <c r="I112" s="577">
        <f t="shared" si="39"/>
        <v>4701882.3799626082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9"/>
        <v/>
      </c>
      <c r="C113" s="507">
        <f>IF(D93="","-",+C112+1)</f>
        <v>2026</v>
      </c>
      <c r="D113" s="374">
        <f>IF(F112+SUM(E$99:E112)=D$92,F112,D$92-SUM(E$99:E112))</f>
        <v>32592353.758767053</v>
      </c>
      <c r="E113" s="522">
        <f>IF(+J96&lt;F112,J96,D113)</f>
        <v>1134762.5952380951</v>
      </c>
      <c r="F113" s="523">
        <f t="shared" si="36"/>
        <v>31457591.163528956</v>
      </c>
      <c r="G113" s="523">
        <f t="shared" si="37"/>
        <v>32024972.461148005</v>
      </c>
      <c r="H113" s="526">
        <f t="shared" si="38"/>
        <v>4579811.6186143626</v>
      </c>
      <c r="I113" s="577">
        <f t="shared" si="39"/>
        <v>4579811.6186143626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9"/>
        <v/>
      </c>
      <c r="C114" s="507">
        <f>IF(D93="","-",+C113+1)</f>
        <v>2027</v>
      </c>
      <c r="D114" s="374">
        <f>IF(F113+SUM(E$99:E113)=D$92,F113,D$92-SUM(E$99:E113))</f>
        <v>31457591.163528956</v>
      </c>
      <c r="E114" s="522">
        <f>IF(+J96&lt;F113,J96,D114)</f>
        <v>1134762.5952380951</v>
      </c>
      <c r="F114" s="523">
        <f t="shared" si="36"/>
        <v>30322828.568290859</v>
      </c>
      <c r="G114" s="523">
        <f t="shared" si="37"/>
        <v>30890209.865909908</v>
      </c>
      <c r="H114" s="526">
        <f t="shared" si="38"/>
        <v>4457740.8572661178</v>
      </c>
      <c r="I114" s="577">
        <f t="shared" si="39"/>
        <v>4457740.8572661178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9"/>
        <v/>
      </c>
      <c r="C115" s="507">
        <f>IF(D93="","-",+C114+1)</f>
        <v>2028</v>
      </c>
      <c r="D115" s="374">
        <f>IF(F114+SUM(E$99:E114)=D$92,F114,D$92-SUM(E$99:E114))</f>
        <v>30322828.568290859</v>
      </c>
      <c r="E115" s="522">
        <f>IF(+J96&lt;F114,J96,D115)</f>
        <v>1134762.5952380951</v>
      </c>
      <c r="F115" s="523">
        <f t="shared" si="36"/>
        <v>29188065.973052762</v>
      </c>
      <c r="G115" s="523">
        <f t="shared" si="37"/>
        <v>29755447.270671811</v>
      </c>
      <c r="H115" s="526">
        <f t="shared" si="38"/>
        <v>4335670.0959178731</v>
      </c>
      <c r="I115" s="577">
        <f t="shared" si="39"/>
        <v>4335670.0959178731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9"/>
        <v/>
      </c>
      <c r="C116" s="507">
        <f>IF(D93="","-",+C115+1)</f>
        <v>2029</v>
      </c>
      <c r="D116" s="374">
        <f>IF(F115+SUM(E$99:E115)=D$92,F115,D$92-SUM(E$99:E115))</f>
        <v>29188065.973052762</v>
      </c>
      <c r="E116" s="522">
        <f>IF(+J96&lt;F115,J96,D116)</f>
        <v>1134762.5952380951</v>
      </c>
      <c r="F116" s="523">
        <f t="shared" si="36"/>
        <v>28053303.377814665</v>
      </c>
      <c r="G116" s="523">
        <f t="shared" si="37"/>
        <v>28620684.675433714</v>
      </c>
      <c r="H116" s="526">
        <f t="shared" si="38"/>
        <v>4213599.3345696274</v>
      </c>
      <c r="I116" s="577">
        <f t="shared" si="39"/>
        <v>4213599.3345696274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9"/>
        <v/>
      </c>
      <c r="C117" s="507">
        <f>IF(D93="","-",+C116+1)</f>
        <v>2030</v>
      </c>
      <c r="D117" s="374">
        <f>IF(F116+SUM(E$99:E116)=D$92,F116,D$92-SUM(E$99:E116))</f>
        <v>28053303.377814665</v>
      </c>
      <c r="E117" s="522">
        <f>IF(+J96&lt;F116,J96,D117)</f>
        <v>1134762.5952380951</v>
      </c>
      <c r="F117" s="523">
        <f t="shared" si="36"/>
        <v>26918540.782576568</v>
      </c>
      <c r="G117" s="523">
        <f t="shared" si="37"/>
        <v>27485922.080195617</v>
      </c>
      <c r="H117" s="526">
        <f t="shared" si="38"/>
        <v>4091528.5732213822</v>
      </c>
      <c r="I117" s="577">
        <f t="shared" si="39"/>
        <v>4091528.5732213822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9"/>
        <v/>
      </c>
      <c r="C118" s="507">
        <f>IF(D93="","-",+C117+1)</f>
        <v>2031</v>
      </c>
      <c r="D118" s="374">
        <f>IF(F117+SUM(E$99:E117)=D$92,F117,D$92-SUM(E$99:E117))</f>
        <v>26918540.782576568</v>
      </c>
      <c r="E118" s="522">
        <f>IF(+J96&lt;F117,J96,D118)</f>
        <v>1134762.5952380951</v>
      </c>
      <c r="F118" s="523">
        <f t="shared" si="36"/>
        <v>25783778.187338471</v>
      </c>
      <c r="G118" s="523">
        <f t="shared" si="37"/>
        <v>26351159.48495752</v>
      </c>
      <c r="H118" s="526">
        <f t="shared" si="38"/>
        <v>3969457.8118731366</v>
      </c>
      <c r="I118" s="577">
        <f t="shared" si="39"/>
        <v>3969457.8118731366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9"/>
        <v/>
      </c>
      <c r="C119" s="507">
        <f>IF(D93="","-",+C118+1)</f>
        <v>2032</v>
      </c>
      <c r="D119" s="374">
        <f>IF(F118+SUM(E$99:E118)=D$92,F118,D$92-SUM(E$99:E118))</f>
        <v>25783778.187338471</v>
      </c>
      <c r="E119" s="522">
        <f>IF(+J96&lt;F118,J96,D119)</f>
        <v>1134762.5952380951</v>
      </c>
      <c r="F119" s="523">
        <f t="shared" si="36"/>
        <v>24649015.592100374</v>
      </c>
      <c r="G119" s="523">
        <f t="shared" si="37"/>
        <v>25216396.889719423</v>
      </c>
      <c r="H119" s="526">
        <f t="shared" si="38"/>
        <v>3847387.0505248914</v>
      </c>
      <c r="I119" s="577">
        <f t="shared" si="39"/>
        <v>3847387.0505248914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9"/>
        <v/>
      </c>
      <c r="C120" s="507">
        <f>IF(D93="","-",+C119+1)</f>
        <v>2033</v>
      </c>
      <c r="D120" s="374">
        <f>IF(F119+SUM(E$99:E119)=D$92,F119,D$92-SUM(E$99:E119))</f>
        <v>24649015.592100374</v>
      </c>
      <c r="E120" s="522">
        <f>IF(+J96&lt;F119,J96,D120)</f>
        <v>1134762.5952380951</v>
      </c>
      <c r="F120" s="523">
        <f t="shared" si="36"/>
        <v>23514252.996862277</v>
      </c>
      <c r="G120" s="523">
        <f t="shared" si="37"/>
        <v>24081634.294481326</v>
      </c>
      <c r="H120" s="526">
        <f t="shared" si="38"/>
        <v>3725316.2891766462</v>
      </c>
      <c r="I120" s="577">
        <f t="shared" si="39"/>
        <v>3725316.2891766462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9"/>
        <v/>
      </c>
      <c r="C121" s="507">
        <f>IF(D93="","-",+C120+1)</f>
        <v>2034</v>
      </c>
      <c r="D121" s="374">
        <f>IF(F120+SUM(E$99:E120)=D$92,F120,D$92-SUM(E$99:E120))</f>
        <v>23514252.996862277</v>
      </c>
      <c r="E121" s="522">
        <f>IF(+J96&lt;F120,J96,D121)</f>
        <v>1134762.5952380951</v>
      </c>
      <c r="F121" s="523">
        <f t="shared" si="36"/>
        <v>22379490.40162418</v>
      </c>
      <c r="G121" s="523">
        <f t="shared" si="37"/>
        <v>22946871.699243229</v>
      </c>
      <c r="H121" s="526">
        <f t="shared" si="38"/>
        <v>3603245.527828401</v>
      </c>
      <c r="I121" s="577">
        <f t="shared" si="39"/>
        <v>3603245.527828401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9"/>
        <v/>
      </c>
      <c r="C122" s="507">
        <f>IF(D93="","-",+C121+1)</f>
        <v>2035</v>
      </c>
      <c r="D122" s="374">
        <f>IF(F121+SUM(E$99:E121)=D$92,F121,D$92-SUM(E$99:E121))</f>
        <v>22379490.40162418</v>
      </c>
      <c r="E122" s="522">
        <f>IF(+J96&lt;F121,J96,D122)</f>
        <v>1134762.5952380951</v>
      </c>
      <c r="F122" s="523">
        <f t="shared" si="36"/>
        <v>21244727.806386083</v>
      </c>
      <c r="G122" s="523">
        <f t="shared" si="37"/>
        <v>21812109.104005132</v>
      </c>
      <c r="H122" s="526">
        <f t="shared" si="38"/>
        <v>3481174.7664801558</v>
      </c>
      <c r="I122" s="577">
        <f t="shared" si="39"/>
        <v>3481174.7664801558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9"/>
        <v/>
      </c>
      <c r="C123" s="507">
        <f>IF(D93="","-",+C122+1)</f>
        <v>2036</v>
      </c>
      <c r="D123" s="374">
        <f>IF(F122+SUM(E$99:E122)=D$92,F122,D$92-SUM(E$99:E122))</f>
        <v>21244727.806386083</v>
      </c>
      <c r="E123" s="522">
        <f>IF(+J96&lt;F122,J96,D123)</f>
        <v>1134762.5952380951</v>
      </c>
      <c r="F123" s="523">
        <f t="shared" si="36"/>
        <v>20109965.211147986</v>
      </c>
      <c r="G123" s="523">
        <f t="shared" si="37"/>
        <v>20677346.508767035</v>
      </c>
      <c r="H123" s="526">
        <f t="shared" si="38"/>
        <v>3359104.0051319106</v>
      </c>
      <c r="I123" s="577">
        <f t="shared" si="39"/>
        <v>3359104.0051319106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9"/>
        <v/>
      </c>
      <c r="C124" s="507">
        <f>IF(D93="","-",+C123+1)</f>
        <v>2037</v>
      </c>
      <c r="D124" s="374">
        <f>IF(F123+SUM(E$99:E123)=D$92,F123,D$92-SUM(E$99:E123))</f>
        <v>20109965.211147986</v>
      </c>
      <c r="E124" s="522">
        <f>IF(+J96&lt;F123,J96,D124)</f>
        <v>1134762.5952380951</v>
      </c>
      <c r="F124" s="523">
        <f t="shared" si="36"/>
        <v>18975202.615909889</v>
      </c>
      <c r="G124" s="523">
        <f t="shared" si="37"/>
        <v>19542583.913528938</v>
      </c>
      <c r="H124" s="526">
        <f t="shared" si="38"/>
        <v>3237033.2437836649</v>
      </c>
      <c r="I124" s="577">
        <f t="shared" si="39"/>
        <v>3237033.2437836649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9"/>
        <v/>
      </c>
      <c r="C125" s="507">
        <f>IF(D93="","-",+C124+1)</f>
        <v>2038</v>
      </c>
      <c r="D125" s="374">
        <f>IF(F124+SUM(E$99:E124)=D$92,F124,D$92-SUM(E$99:E124))</f>
        <v>18975202.615909889</v>
      </c>
      <c r="E125" s="522">
        <f>IF(+J96&lt;F124,J96,D125)</f>
        <v>1134762.5952380951</v>
      </c>
      <c r="F125" s="523">
        <f t="shared" si="36"/>
        <v>17840440.020671792</v>
      </c>
      <c r="G125" s="523">
        <f t="shared" si="37"/>
        <v>18407821.318290841</v>
      </c>
      <c r="H125" s="526">
        <f t="shared" si="38"/>
        <v>3114962.4824354197</v>
      </c>
      <c r="I125" s="577">
        <f t="shared" si="39"/>
        <v>3114962.4824354197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9"/>
        <v/>
      </c>
      <c r="C126" s="507">
        <f>IF(D93="","-",+C125+1)</f>
        <v>2039</v>
      </c>
      <c r="D126" s="374">
        <f>IF(F125+SUM(E$99:E125)=D$92,F125,D$92-SUM(E$99:E125))</f>
        <v>17840440.020671792</v>
      </c>
      <c r="E126" s="522">
        <f>IF(+J96&lt;F125,J96,D126)</f>
        <v>1134762.5952380951</v>
      </c>
      <c r="F126" s="523">
        <f t="shared" si="36"/>
        <v>16705677.425433697</v>
      </c>
      <c r="G126" s="523">
        <f t="shared" si="37"/>
        <v>17273058.723052744</v>
      </c>
      <c r="H126" s="526">
        <f t="shared" si="38"/>
        <v>2992891.7210871745</v>
      </c>
      <c r="I126" s="577">
        <f t="shared" si="39"/>
        <v>2992891.7210871745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9"/>
        <v/>
      </c>
      <c r="C127" s="507">
        <f>IF(D93="","-",+C126+1)</f>
        <v>2040</v>
      </c>
      <c r="D127" s="374">
        <f>IF(F126+SUM(E$99:E126)=D$92,F126,D$92-SUM(E$99:E126))</f>
        <v>16705677.425433697</v>
      </c>
      <c r="E127" s="522">
        <f>IF(+J96&lt;F126,J96,D127)</f>
        <v>1134762.5952380951</v>
      </c>
      <c r="F127" s="523">
        <f t="shared" si="36"/>
        <v>15570914.830195602</v>
      </c>
      <c r="G127" s="523">
        <f t="shared" si="37"/>
        <v>16138296.127814651</v>
      </c>
      <c r="H127" s="526">
        <f t="shared" si="38"/>
        <v>2870820.9597389298</v>
      </c>
      <c r="I127" s="577">
        <f t="shared" si="39"/>
        <v>2870820.9597389298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9"/>
        <v/>
      </c>
      <c r="C128" s="507">
        <f>IF(D93="","-",+C127+1)</f>
        <v>2041</v>
      </c>
      <c r="D128" s="374">
        <f>IF(F127+SUM(E$99:E127)=D$92,F127,D$92-SUM(E$99:E127))</f>
        <v>15570914.830195602</v>
      </c>
      <c r="E128" s="522">
        <f>IF(+J96&lt;F127,J96,D128)</f>
        <v>1134762.5952380951</v>
      </c>
      <c r="F128" s="523">
        <f t="shared" si="36"/>
        <v>14436152.234957507</v>
      </c>
      <c r="G128" s="523">
        <f t="shared" si="37"/>
        <v>15003533.532576554</v>
      </c>
      <c r="H128" s="526">
        <f t="shared" si="38"/>
        <v>2748750.1983906841</v>
      </c>
      <c r="I128" s="577">
        <f t="shared" si="39"/>
        <v>2748750.1983906841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9"/>
        <v/>
      </c>
      <c r="C129" s="507">
        <f>IF(D93="","-",+C128+1)</f>
        <v>2042</v>
      </c>
      <c r="D129" s="374">
        <f>IF(F128+SUM(E$99:E128)=D$92,F128,D$92-SUM(E$99:E128))</f>
        <v>14436152.234957507</v>
      </c>
      <c r="E129" s="522">
        <f>IF(+J96&lt;F128,J96,D129)</f>
        <v>1134762.5952380951</v>
      </c>
      <c r="F129" s="523">
        <f t="shared" si="36"/>
        <v>13301389.639719412</v>
      </c>
      <c r="G129" s="523">
        <f t="shared" si="37"/>
        <v>13868770.93733846</v>
      </c>
      <c r="H129" s="526">
        <f t="shared" si="38"/>
        <v>2626679.4370424394</v>
      </c>
      <c r="I129" s="577">
        <f t="shared" si="39"/>
        <v>2626679.4370424394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9"/>
        <v/>
      </c>
      <c r="C130" s="507">
        <f>IF(D93="","-",+C129+1)</f>
        <v>2043</v>
      </c>
      <c r="D130" s="374">
        <f>IF(F129+SUM(E$99:E129)=D$92,F129,D$92-SUM(E$99:E129))</f>
        <v>13301389.639719412</v>
      </c>
      <c r="E130" s="522">
        <f>IF(+J96&lt;F129,J96,D130)</f>
        <v>1134762.5952380951</v>
      </c>
      <c r="F130" s="523">
        <f t="shared" si="36"/>
        <v>12166627.044481317</v>
      </c>
      <c r="G130" s="523">
        <f t="shared" si="37"/>
        <v>12734008.342100363</v>
      </c>
      <c r="H130" s="526">
        <f t="shared" si="38"/>
        <v>2504608.6756941942</v>
      </c>
      <c r="I130" s="577">
        <f t="shared" si="39"/>
        <v>2504608.6756941942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9"/>
        <v/>
      </c>
      <c r="C131" s="507">
        <f>IF(D93="","-",+C130+1)</f>
        <v>2044</v>
      </c>
      <c r="D131" s="374">
        <f>IF(F130+SUM(E$99:E130)=D$92,F130,D$92-SUM(E$99:E130))</f>
        <v>12166627.044481317</v>
      </c>
      <c r="E131" s="522">
        <f>IF(+J96&lt;F130,J96,D131)</f>
        <v>1134762.5952380951</v>
      </c>
      <c r="F131" s="523">
        <f t="shared" si="36"/>
        <v>11031864.449243221</v>
      </c>
      <c r="G131" s="523">
        <f t="shared" ref="G131:G154" si="40">+(F131+D131)/2</f>
        <v>11599245.74686227</v>
      </c>
      <c r="H131" s="526">
        <f t="shared" ref="H131:H154" si="41">+J$94*G131+E131</f>
        <v>2382537.9143459494</v>
      </c>
      <c r="I131" s="577">
        <f t="shared" ref="I131:I154" si="42">+J$95*G131+E131</f>
        <v>2382537.9143459494</v>
      </c>
      <c r="J131" s="514">
        <f t="shared" ref="J131:J154" si="43">+I131-H131</f>
        <v>0</v>
      </c>
      <c r="K131" s="514"/>
      <c r="L131" s="525"/>
      <c r="M131" s="514">
        <f t="shared" ref="M131:M154" si="44">IF(L131&lt;&gt;0,+H131-L131,0)</f>
        <v>0</v>
      </c>
      <c r="N131" s="525"/>
      <c r="O131" s="514">
        <f t="shared" ref="O131:O154" si="45">IF(N131&lt;&gt;0,+I131-N131,0)</f>
        <v>0</v>
      </c>
      <c r="P131" s="514">
        <f t="shared" ref="P131:P154" si="46">+O131-M131</f>
        <v>0</v>
      </c>
      <c r="Q131" s="269"/>
    </row>
    <row r="132" spans="2:17" ht="12.5">
      <c r="B132" s="195" t="str">
        <f t="shared" ref="B132:B154" si="47">IF(D132=F131,"","IU")</f>
        <v/>
      </c>
      <c r="C132" s="507">
        <f>IF(D93="","-",+C131+1)</f>
        <v>2045</v>
      </c>
      <c r="D132" s="374">
        <f>IF(F131+SUM(E$99:E131)=D$92,F131,D$92-SUM(E$99:E131))</f>
        <v>11031864.449243221</v>
      </c>
      <c r="E132" s="522">
        <f>IF(+J96&lt;F131,J96,D132)</f>
        <v>1134762.5952380951</v>
      </c>
      <c r="F132" s="523">
        <f t="shared" ref="F132:F154" si="48">+D132-E132</f>
        <v>9897101.8540051263</v>
      </c>
      <c r="G132" s="523">
        <f t="shared" si="40"/>
        <v>10464483.151624173</v>
      </c>
      <c r="H132" s="526">
        <f t="shared" si="41"/>
        <v>2260467.1529977042</v>
      </c>
      <c r="I132" s="577">
        <f t="shared" si="42"/>
        <v>2260467.1529977042</v>
      </c>
      <c r="J132" s="514">
        <f t="shared" si="43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 ht="12.5">
      <c r="B133" s="195" t="str">
        <f t="shared" si="47"/>
        <v/>
      </c>
      <c r="C133" s="507">
        <f>IF(D93="","-",+C132+1)</f>
        <v>2046</v>
      </c>
      <c r="D133" s="374">
        <f>IF(F132+SUM(E$99:E132)=D$92,F132,D$92-SUM(E$99:E132))</f>
        <v>9897101.8540051263</v>
      </c>
      <c r="E133" s="522">
        <f>IF(+J96&lt;F132,J96,D133)</f>
        <v>1134762.5952380951</v>
      </c>
      <c r="F133" s="523">
        <f t="shared" si="48"/>
        <v>8762339.2587670311</v>
      </c>
      <c r="G133" s="523">
        <f t="shared" si="40"/>
        <v>9329720.5563860796</v>
      </c>
      <c r="H133" s="526">
        <f t="shared" si="41"/>
        <v>2138396.391649459</v>
      </c>
      <c r="I133" s="577">
        <f t="shared" si="42"/>
        <v>2138396.391649459</v>
      </c>
      <c r="J133" s="514">
        <f t="shared" si="43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 ht="12.5">
      <c r="B134" s="195" t="str">
        <f t="shared" si="47"/>
        <v/>
      </c>
      <c r="C134" s="507">
        <f>IF(D93="","-",+C133+1)</f>
        <v>2047</v>
      </c>
      <c r="D134" s="374">
        <f>IF(F133+SUM(E$99:E133)=D$92,F133,D$92-SUM(E$99:E133))</f>
        <v>8762339.2587670311</v>
      </c>
      <c r="E134" s="522">
        <f>IF(+J96&lt;F133,J96,D134)</f>
        <v>1134762.5952380951</v>
      </c>
      <c r="F134" s="523">
        <f t="shared" si="48"/>
        <v>7627576.663528936</v>
      </c>
      <c r="G134" s="523">
        <f t="shared" si="40"/>
        <v>8194957.9611479836</v>
      </c>
      <c r="H134" s="526">
        <f t="shared" si="41"/>
        <v>2016325.6303012138</v>
      </c>
      <c r="I134" s="577">
        <f t="shared" si="42"/>
        <v>2016325.6303012138</v>
      </c>
      <c r="J134" s="514">
        <f t="shared" si="43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 ht="12.5">
      <c r="B135" s="195" t="str">
        <f t="shared" si="47"/>
        <v/>
      </c>
      <c r="C135" s="507">
        <f>IF(D93="","-",+C134+1)</f>
        <v>2048</v>
      </c>
      <c r="D135" s="374">
        <f>IF(F134+SUM(E$99:E134)=D$92,F134,D$92-SUM(E$99:E134))</f>
        <v>7627576.663528936</v>
      </c>
      <c r="E135" s="522">
        <f>IF(+J96&lt;F134,J96,D135)</f>
        <v>1134762.5952380951</v>
      </c>
      <c r="F135" s="523">
        <f t="shared" si="48"/>
        <v>6492814.0682908408</v>
      </c>
      <c r="G135" s="523">
        <f t="shared" si="40"/>
        <v>7060195.3659098884</v>
      </c>
      <c r="H135" s="526">
        <f t="shared" si="41"/>
        <v>1894254.8689529689</v>
      </c>
      <c r="I135" s="577">
        <f t="shared" si="42"/>
        <v>1894254.8689529689</v>
      </c>
      <c r="J135" s="514">
        <f t="shared" si="43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 ht="12.5">
      <c r="B136" s="195" t="str">
        <f t="shared" si="47"/>
        <v/>
      </c>
      <c r="C136" s="507">
        <f>IF(D93="","-",+C135+1)</f>
        <v>2049</v>
      </c>
      <c r="D136" s="374">
        <f>IF(F135+SUM(E$99:E135)=D$92,F135,D$92-SUM(E$99:E135))</f>
        <v>6492814.0682908408</v>
      </c>
      <c r="E136" s="522">
        <f>IF(+J96&lt;F135,J96,D136)</f>
        <v>1134762.5952380951</v>
      </c>
      <c r="F136" s="523">
        <f t="shared" si="48"/>
        <v>5358051.4730527457</v>
      </c>
      <c r="G136" s="523">
        <f t="shared" si="40"/>
        <v>5925432.7706717933</v>
      </c>
      <c r="H136" s="526">
        <f t="shared" si="41"/>
        <v>1772184.1076047239</v>
      </c>
      <c r="I136" s="577">
        <f t="shared" si="42"/>
        <v>1772184.1076047239</v>
      </c>
      <c r="J136" s="514">
        <f t="shared" si="43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 ht="12.5">
      <c r="B137" s="195" t="str">
        <f t="shared" si="47"/>
        <v/>
      </c>
      <c r="C137" s="507">
        <f>IF(D93="","-",+C136+1)</f>
        <v>2050</v>
      </c>
      <c r="D137" s="374">
        <f>IF(F136+SUM(E$99:E136)=D$92,F136,D$92-SUM(E$99:E136))</f>
        <v>5358051.4730527457</v>
      </c>
      <c r="E137" s="522">
        <f>IF(+J96&lt;F136,J96,D137)</f>
        <v>1134762.5952380951</v>
      </c>
      <c r="F137" s="523">
        <f t="shared" si="48"/>
        <v>4223288.8778146505</v>
      </c>
      <c r="G137" s="523">
        <f t="shared" si="40"/>
        <v>4790670.1754336981</v>
      </c>
      <c r="H137" s="526">
        <f t="shared" si="41"/>
        <v>1650113.3462564787</v>
      </c>
      <c r="I137" s="577">
        <f t="shared" si="42"/>
        <v>1650113.3462564787</v>
      </c>
      <c r="J137" s="514">
        <f t="shared" si="43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 ht="12.5">
      <c r="B138" s="195" t="str">
        <f t="shared" si="47"/>
        <v/>
      </c>
      <c r="C138" s="507">
        <f>IF(D93="","-",+C137+1)</f>
        <v>2051</v>
      </c>
      <c r="D138" s="374">
        <f>IF(F137+SUM(E$99:E137)=D$92,F137,D$92-SUM(E$99:E137))</f>
        <v>4223288.8778146505</v>
      </c>
      <c r="E138" s="522">
        <f>IF(+J96&lt;F137,J96,D138)</f>
        <v>1134762.5952380951</v>
      </c>
      <c r="F138" s="523">
        <f t="shared" si="48"/>
        <v>3088526.2825765554</v>
      </c>
      <c r="G138" s="523">
        <f t="shared" si="40"/>
        <v>3655907.580195603</v>
      </c>
      <c r="H138" s="526">
        <f t="shared" si="41"/>
        <v>1528042.5849082337</v>
      </c>
      <c r="I138" s="577">
        <f t="shared" si="42"/>
        <v>1528042.5849082337</v>
      </c>
      <c r="J138" s="514">
        <f t="shared" si="43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 ht="12.5">
      <c r="B139" s="195" t="str">
        <f t="shared" si="47"/>
        <v/>
      </c>
      <c r="C139" s="507">
        <f>IF(D93="","-",+C138+1)</f>
        <v>2052</v>
      </c>
      <c r="D139" s="374">
        <f>IF(F138+SUM(E$99:E138)=D$92,F138,D$92-SUM(E$99:E138))</f>
        <v>3088526.2825765554</v>
      </c>
      <c r="E139" s="522">
        <f>IF(+J96&lt;F138,J96,D139)</f>
        <v>1134762.5952380951</v>
      </c>
      <c r="F139" s="523">
        <f t="shared" si="48"/>
        <v>1953763.6873384602</v>
      </c>
      <c r="G139" s="523">
        <f t="shared" si="40"/>
        <v>2521144.9849575078</v>
      </c>
      <c r="H139" s="526">
        <f t="shared" si="41"/>
        <v>1405971.8235599885</v>
      </c>
      <c r="I139" s="577">
        <f t="shared" si="42"/>
        <v>1405971.8235599885</v>
      </c>
      <c r="J139" s="514">
        <f t="shared" si="43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 ht="12.5">
      <c r="B140" s="195" t="str">
        <f t="shared" si="47"/>
        <v/>
      </c>
      <c r="C140" s="507">
        <f>IF(D93="","-",+C139+1)</f>
        <v>2053</v>
      </c>
      <c r="D140" s="374">
        <f>IF(F139+SUM(E$99:E139)=D$92,F139,D$92-SUM(E$99:E139))</f>
        <v>1953763.6873384602</v>
      </c>
      <c r="E140" s="522">
        <f>IF(+J96&lt;F139,J96,D140)</f>
        <v>1134762.5952380951</v>
      </c>
      <c r="F140" s="523">
        <f t="shared" si="48"/>
        <v>819001.09210036509</v>
      </c>
      <c r="G140" s="523">
        <f t="shared" si="40"/>
        <v>1386382.3897194127</v>
      </c>
      <c r="H140" s="526">
        <f t="shared" si="41"/>
        <v>1283901.0622117436</v>
      </c>
      <c r="I140" s="577">
        <f t="shared" si="42"/>
        <v>1283901.0622117436</v>
      </c>
      <c r="J140" s="514">
        <f t="shared" si="43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 ht="12.5">
      <c r="B141" s="195" t="str">
        <f t="shared" si="47"/>
        <v/>
      </c>
      <c r="C141" s="507">
        <f>IF(D93="","-",+C140+1)</f>
        <v>2054</v>
      </c>
      <c r="D141" s="374">
        <f>IF(F140+SUM(E$99:E140)=D$92,F140,D$92-SUM(E$99:E140))</f>
        <v>819001.09210036509</v>
      </c>
      <c r="E141" s="522">
        <f>IF(+J96&lt;F140,J96,D141)</f>
        <v>819001.09210036509</v>
      </c>
      <c r="F141" s="523">
        <f t="shared" si="48"/>
        <v>0</v>
      </c>
      <c r="G141" s="523">
        <f t="shared" si="40"/>
        <v>409500.54605018254</v>
      </c>
      <c r="H141" s="526">
        <f t="shared" si="41"/>
        <v>863052.63525012799</v>
      </c>
      <c r="I141" s="577">
        <f t="shared" si="42"/>
        <v>863052.63525012799</v>
      </c>
      <c r="J141" s="514">
        <f t="shared" si="43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 ht="12.5">
      <c r="B142" s="195" t="str">
        <f t="shared" si="47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8"/>
        <v>0</v>
      </c>
      <c r="G142" s="523">
        <f t="shared" si="40"/>
        <v>0</v>
      </c>
      <c r="H142" s="526">
        <f t="shared" si="41"/>
        <v>0</v>
      </c>
      <c r="I142" s="577">
        <f t="shared" si="42"/>
        <v>0</v>
      </c>
      <c r="J142" s="514">
        <f t="shared" si="43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 ht="12.5">
      <c r="B143" s="195" t="str">
        <f t="shared" si="47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8"/>
        <v>0</v>
      </c>
      <c r="G143" s="523">
        <f t="shared" si="40"/>
        <v>0</v>
      </c>
      <c r="H143" s="526">
        <f t="shared" si="41"/>
        <v>0</v>
      </c>
      <c r="I143" s="577">
        <f t="shared" si="42"/>
        <v>0</v>
      </c>
      <c r="J143" s="514">
        <f t="shared" si="43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 ht="12.5">
      <c r="B144" s="195" t="str">
        <f t="shared" si="47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8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43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 ht="12.5">
      <c r="B145" s="195" t="str">
        <f t="shared" si="47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8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43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 ht="12.5">
      <c r="B146" s="195" t="str">
        <f t="shared" si="47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8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43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 ht="12.5">
      <c r="B147" s="195" t="str">
        <f t="shared" si="47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8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43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 ht="12.5">
      <c r="B148" s="195" t="str">
        <f t="shared" si="47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8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43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 ht="12.5">
      <c r="B149" s="195" t="str">
        <f t="shared" si="47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8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43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 ht="12.5">
      <c r="B150" s="195" t="str">
        <f t="shared" si="47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8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43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 ht="12.5">
      <c r="B151" s="195" t="str">
        <f t="shared" si="47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8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43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 ht="12.5">
      <c r="B152" s="195" t="str">
        <f t="shared" si="47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8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43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 ht="12.5">
      <c r="B153" s="195" t="str">
        <f t="shared" si="47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8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43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" thickBot="1">
      <c r="B154" s="195" t="str">
        <f t="shared" si="47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8"/>
        <v>0</v>
      </c>
      <c r="G154" s="528">
        <f t="shared" si="40"/>
        <v>0</v>
      </c>
      <c r="H154" s="530">
        <f t="shared" si="41"/>
        <v>0</v>
      </c>
      <c r="I154" s="579">
        <f t="shared" si="42"/>
        <v>0</v>
      </c>
      <c r="J154" s="533">
        <f t="shared" si="43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 ht="12.5">
      <c r="C155" s="374" t="s">
        <v>78</v>
      </c>
      <c r="D155" s="375"/>
      <c r="E155" s="375">
        <f>SUM(E99:E154)</f>
        <v>47660029.000000007</v>
      </c>
      <c r="F155" s="375"/>
      <c r="G155" s="375"/>
      <c r="H155" s="375">
        <f>SUM(H99:H154)</f>
        <v>162285238.50789845</v>
      </c>
      <c r="I155" s="375">
        <f>SUM(I99:I154)</f>
        <v>162285238.50789845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1" priority="1" stopIfTrue="1" operator="equal">
      <formula>$I$10</formula>
    </cfRule>
  </conditionalFormatting>
  <conditionalFormatting sqref="C99:C154">
    <cfRule type="cellIs" dxfId="10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Q162"/>
  <sheetViews>
    <sheetView view="pageBreakPreview" topLeftCell="A70" zoomScale="75" zoomScaleNormal="100" zoomScaleSheetLayoutView="75" workbookViewId="0">
      <selection activeCell="J102" sqref="J10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31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24657.865553316573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24657.865553316573</v>
      </c>
      <c r="O6" s="269"/>
      <c r="P6" s="269"/>
    </row>
    <row r="7" spans="1:17" ht="13.5" thickBot="1">
      <c r="C7" s="467" t="s">
        <v>48</v>
      </c>
      <c r="D7" s="620" t="s">
        <v>286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285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230750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5494.0476190476193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284100</v>
      </c>
      <c r="E17" s="509">
        <v>3382.1428571428578</v>
      </c>
      <c r="F17" s="508">
        <v>280717.85714285716</v>
      </c>
      <c r="G17" s="509">
        <v>45130.541890843866</v>
      </c>
      <c r="H17" s="510">
        <v>45130.541890843866</v>
      </c>
      <c r="I17" s="617">
        <v>0</v>
      </c>
      <c r="J17" s="511"/>
      <c r="K17" s="512">
        <f t="shared" ref="K17:K22" si="0">G17</f>
        <v>45130.541890843866</v>
      </c>
      <c r="L17" s="597">
        <f t="shared" ref="L17:L48" si="1">IF(K17&lt;&gt;0,+G17-K17,0)</f>
        <v>0</v>
      </c>
      <c r="M17" s="512">
        <f t="shared" ref="M17:M22" si="2">H17</f>
        <v>45130.541890843866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508">
        <v>227367.85714285713</v>
      </c>
      <c r="E18" s="516">
        <v>5494.0476190476193</v>
      </c>
      <c r="F18" s="508">
        <v>221873.8095238095</v>
      </c>
      <c r="G18" s="516">
        <v>36553.514803328042</v>
      </c>
      <c r="H18" s="510">
        <v>36553.514803328042</v>
      </c>
      <c r="I18" s="616">
        <v>0</v>
      </c>
      <c r="J18" s="511"/>
      <c r="K18" s="518">
        <f t="shared" si="0"/>
        <v>36553.514803328042</v>
      </c>
      <c r="L18" s="519">
        <f t="shared" ref="L18:L23" si="6">IF(K18&lt;&gt;0,+G18-K18,0)</f>
        <v>0</v>
      </c>
      <c r="M18" s="518">
        <f t="shared" si="2"/>
        <v>36553.514803328042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/>
      </c>
      <c r="C19" s="507">
        <f>IF(D11="","-",+C18+1)</f>
        <v>2014</v>
      </c>
      <c r="D19" s="508">
        <v>221873.8095238095</v>
      </c>
      <c r="E19" s="516">
        <v>5494.0476190476193</v>
      </c>
      <c r="F19" s="508">
        <v>216379.76190476186</v>
      </c>
      <c r="G19" s="516">
        <v>34685.951272631864</v>
      </c>
      <c r="H19" s="510">
        <v>34685.951272631864</v>
      </c>
      <c r="I19" s="616">
        <v>0</v>
      </c>
      <c r="J19" s="511"/>
      <c r="K19" s="518">
        <f t="shared" si="0"/>
        <v>34685.951272631864</v>
      </c>
      <c r="L19" s="519">
        <f t="shared" si="6"/>
        <v>0</v>
      </c>
      <c r="M19" s="518">
        <f t="shared" si="2"/>
        <v>34685.951272631864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/>
      </c>
      <c r="C20" s="507">
        <f>IF(D11="","-",+C19+1)</f>
        <v>2015</v>
      </c>
      <c r="D20" s="508">
        <v>216379.76190476186</v>
      </c>
      <c r="E20" s="516">
        <v>5494.0476190476193</v>
      </c>
      <c r="F20" s="508">
        <v>210885.71428571423</v>
      </c>
      <c r="G20" s="516">
        <v>33268.708647541804</v>
      </c>
      <c r="H20" s="510">
        <v>33268.708647541804</v>
      </c>
      <c r="I20" s="511">
        <v>0</v>
      </c>
      <c r="J20" s="511"/>
      <c r="K20" s="518">
        <f t="shared" si="0"/>
        <v>33268.708647541804</v>
      </c>
      <c r="L20" s="519">
        <f t="shared" si="6"/>
        <v>0</v>
      </c>
      <c r="M20" s="518">
        <f t="shared" si="2"/>
        <v>33268.708647541804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508">
        <v>210885.71428571423</v>
      </c>
      <c r="E21" s="516">
        <v>5494.0476190476193</v>
      </c>
      <c r="F21" s="508">
        <v>205391.6666666666</v>
      </c>
      <c r="G21" s="516">
        <v>32211.390488141627</v>
      </c>
      <c r="H21" s="510">
        <v>32211.390488141627</v>
      </c>
      <c r="I21" s="511">
        <f t="shared" ref="I21:I48" si="9">H21-G21</f>
        <v>0</v>
      </c>
      <c r="J21" s="511"/>
      <c r="K21" s="518">
        <f t="shared" si="0"/>
        <v>32211.390488141627</v>
      </c>
      <c r="L21" s="519">
        <f t="shared" si="6"/>
        <v>0</v>
      </c>
      <c r="M21" s="518">
        <f t="shared" si="2"/>
        <v>32211.390488141627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508">
        <v>205391.6666666666</v>
      </c>
      <c r="E22" s="516">
        <v>5366.2790697674418</v>
      </c>
      <c r="F22" s="508">
        <v>200025.38759689915</v>
      </c>
      <c r="G22" s="516">
        <v>30480.352081775804</v>
      </c>
      <c r="H22" s="510">
        <v>30480.352081775804</v>
      </c>
      <c r="I22" s="511">
        <f t="shared" si="9"/>
        <v>0</v>
      </c>
      <c r="J22" s="511"/>
      <c r="K22" s="518">
        <f t="shared" si="0"/>
        <v>30480.352081775804</v>
      </c>
      <c r="L22" s="519">
        <f t="shared" si="6"/>
        <v>0</v>
      </c>
      <c r="M22" s="518">
        <f t="shared" si="2"/>
        <v>30480.352081775804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508">
        <v>200025.38759689915</v>
      </c>
      <c r="E23" s="516">
        <v>5628.0487804878048</v>
      </c>
      <c r="F23" s="508">
        <v>194397.33881641136</v>
      </c>
      <c r="G23" s="516">
        <v>30692.449285651339</v>
      </c>
      <c r="H23" s="510">
        <v>30692.449285651339</v>
      </c>
      <c r="I23" s="511">
        <f t="shared" si="9"/>
        <v>0</v>
      </c>
      <c r="J23" s="511"/>
      <c r="K23" s="518">
        <f>G23</f>
        <v>30692.449285651339</v>
      </c>
      <c r="L23" s="519">
        <f t="shared" si="6"/>
        <v>0</v>
      </c>
      <c r="M23" s="518">
        <f>H23</f>
        <v>30692.449285651339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508">
        <v>194397.33881641136</v>
      </c>
      <c r="E24" s="516">
        <v>5628.0487804878048</v>
      </c>
      <c r="F24" s="508">
        <v>188769.29003592356</v>
      </c>
      <c r="G24" s="516">
        <v>29977.157497170956</v>
      </c>
      <c r="H24" s="510">
        <v>29977.157497170956</v>
      </c>
      <c r="I24" s="511">
        <f t="shared" si="9"/>
        <v>0</v>
      </c>
      <c r="J24" s="511"/>
      <c r="K24" s="518">
        <f>G24</f>
        <v>29977.157497170956</v>
      </c>
      <c r="L24" s="519">
        <f t="shared" ref="L24" si="10">IF(K24&lt;&gt;0,+G24-K24,0)</f>
        <v>0</v>
      </c>
      <c r="M24" s="518">
        <f>H24</f>
        <v>29977.157497170956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508">
        <v>188769.29003592356</v>
      </c>
      <c r="E25" s="516">
        <v>5628.0487804878048</v>
      </c>
      <c r="F25" s="508">
        <v>183141.24125543577</v>
      </c>
      <c r="G25" s="516">
        <v>24657.865553316573</v>
      </c>
      <c r="H25" s="510">
        <v>24657.865553316573</v>
      </c>
      <c r="I25" s="511">
        <f t="shared" si="9"/>
        <v>0</v>
      </c>
      <c r="J25" s="511"/>
      <c r="K25" s="518">
        <f>G25</f>
        <v>24657.865553316573</v>
      </c>
      <c r="L25" s="519">
        <f t="shared" ref="L25" si="11">IF(K25&lt;&gt;0,+G25-K25,0)</f>
        <v>0</v>
      </c>
      <c r="M25" s="518">
        <f>H25</f>
        <v>24657.865553316573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/>
      </c>
      <c r="C26" s="507">
        <f>IF(D11="","-",+C25+1)</f>
        <v>2021</v>
      </c>
      <c r="D26" s="523">
        <f>IF(F25+SUM(E$17:E25)=D$10,F25,D$10-SUM(E$17:E25))</f>
        <v>183141.24125543577</v>
      </c>
      <c r="E26" s="522">
        <f>IF(+I14&lt;F25,I14,D26)</f>
        <v>5494.0476190476193</v>
      </c>
      <c r="F26" s="523">
        <f t="shared" ref="F26:F48" si="12">+D26-E26</f>
        <v>177647.19363638814</v>
      </c>
      <c r="G26" s="524">
        <f t="shared" ref="G26:G53" si="13">+I$12*((D26+F26)/2)+E26</f>
        <v>24763.392404731236</v>
      </c>
      <c r="H26" s="491">
        <f t="shared" ref="H26:H53" si="14">+I$13*((D26+F26)/2)+E26</f>
        <v>24763.392404731236</v>
      </c>
      <c r="I26" s="511">
        <f t="shared" si="9"/>
        <v>0</v>
      </c>
      <c r="J26" s="511"/>
      <c r="K26" s="525"/>
      <c r="L26" s="514">
        <f t="shared" si="1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177647.19363638814</v>
      </c>
      <c r="E27" s="522">
        <f>IF(+I14&lt;F26,I14,D27)</f>
        <v>5494.0476190476193</v>
      </c>
      <c r="F27" s="523">
        <f t="shared" si="12"/>
        <v>172153.14601734051</v>
      </c>
      <c r="G27" s="524">
        <f t="shared" si="13"/>
        <v>24176.529370320863</v>
      </c>
      <c r="H27" s="491">
        <f t="shared" si="14"/>
        <v>24176.529370320863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172153.14601734051</v>
      </c>
      <c r="E28" s="522">
        <f>IF(+I14&lt;F27,I14,D28)</f>
        <v>5494.0476190476193</v>
      </c>
      <c r="F28" s="523">
        <f t="shared" si="12"/>
        <v>166659.09839829287</v>
      </c>
      <c r="G28" s="524">
        <f t="shared" si="13"/>
        <v>23589.666335910486</v>
      </c>
      <c r="H28" s="491">
        <f t="shared" si="14"/>
        <v>23589.666335910486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166659.09839829287</v>
      </c>
      <c r="E29" s="522">
        <f>IF(+I14&lt;F28,I14,D29)</f>
        <v>5494.0476190476193</v>
      </c>
      <c r="F29" s="523">
        <f t="shared" si="12"/>
        <v>161165.05077924524</v>
      </c>
      <c r="G29" s="524">
        <f t="shared" si="13"/>
        <v>23002.803301500109</v>
      </c>
      <c r="H29" s="491">
        <f t="shared" si="14"/>
        <v>23002.803301500109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161165.05077924524</v>
      </c>
      <c r="E30" s="522">
        <f>IF(+I14&lt;F29,I14,D30)</f>
        <v>5494.0476190476193</v>
      </c>
      <c r="F30" s="523">
        <f t="shared" si="12"/>
        <v>155671.00316019761</v>
      </c>
      <c r="G30" s="524">
        <f t="shared" si="13"/>
        <v>22415.940267089736</v>
      </c>
      <c r="H30" s="491">
        <f t="shared" si="14"/>
        <v>22415.940267089736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155671.00316019761</v>
      </c>
      <c r="E31" s="522">
        <f>IF(+I14&lt;F30,I14,D31)</f>
        <v>5494.0476190476193</v>
      </c>
      <c r="F31" s="523">
        <f t="shared" si="12"/>
        <v>150176.95554114998</v>
      </c>
      <c r="G31" s="524">
        <f t="shared" si="13"/>
        <v>21829.077232679359</v>
      </c>
      <c r="H31" s="491">
        <f t="shared" si="14"/>
        <v>21829.077232679359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150176.95554114998</v>
      </c>
      <c r="E32" s="522">
        <f>IF(+I14&lt;F31,I14,D32)</f>
        <v>5494.0476190476193</v>
      </c>
      <c r="F32" s="523">
        <f t="shared" si="12"/>
        <v>144682.90792210234</v>
      </c>
      <c r="G32" s="524">
        <f t="shared" si="13"/>
        <v>21242.214198268983</v>
      </c>
      <c r="H32" s="491">
        <f t="shared" si="14"/>
        <v>21242.214198268983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144682.90792210234</v>
      </c>
      <c r="E33" s="522">
        <f>IF(+I14&lt;F32,I14,D33)</f>
        <v>5494.0476190476193</v>
      </c>
      <c r="F33" s="523">
        <f t="shared" si="12"/>
        <v>139188.86030305471</v>
      </c>
      <c r="G33" s="524">
        <f t="shared" si="13"/>
        <v>20655.35116385861</v>
      </c>
      <c r="H33" s="491">
        <f t="shared" si="14"/>
        <v>20655.35116385861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139188.86030305471</v>
      </c>
      <c r="E34" s="522">
        <f>IF(+I14&lt;F33,I14,D34)</f>
        <v>5494.0476190476193</v>
      </c>
      <c r="F34" s="523">
        <f t="shared" si="12"/>
        <v>133694.81268400708</v>
      </c>
      <c r="G34" s="524">
        <f t="shared" si="13"/>
        <v>20068.488129448233</v>
      </c>
      <c r="H34" s="491">
        <f t="shared" si="14"/>
        <v>20068.488129448233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133694.81268400708</v>
      </c>
      <c r="E35" s="522">
        <f>IF(+I14&lt;F34,I14,D35)</f>
        <v>5494.0476190476193</v>
      </c>
      <c r="F35" s="523">
        <f t="shared" si="12"/>
        <v>128200.76506495946</v>
      </c>
      <c r="G35" s="524">
        <f t="shared" si="13"/>
        <v>19481.625095037856</v>
      </c>
      <c r="H35" s="491">
        <f t="shared" si="14"/>
        <v>19481.625095037856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128200.76506495946</v>
      </c>
      <c r="E36" s="522">
        <f>IF(+I14&lt;F35,I14,D36)</f>
        <v>5494.0476190476193</v>
      </c>
      <c r="F36" s="523">
        <f t="shared" si="12"/>
        <v>122706.71744591184</v>
      </c>
      <c r="G36" s="524">
        <f t="shared" si="13"/>
        <v>18894.762060627487</v>
      </c>
      <c r="H36" s="491">
        <f t="shared" si="14"/>
        <v>18894.762060627487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122706.71744591184</v>
      </c>
      <c r="E37" s="522">
        <f>IF(+I14&lt;F36,I14,D37)</f>
        <v>5494.0476190476193</v>
      </c>
      <c r="F37" s="523">
        <f t="shared" si="12"/>
        <v>117212.66982686422</v>
      </c>
      <c r="G37" s="524">
        <f t="shared" si="13"/>
        <v>18307.89902621711</v>
      </c>
      <c r="H37" s="491">
        <f t="shared" si="14"/>
        <v>18307.89902621711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117212.66982686422</v>
      </c>
      <c r="E38" s="522">
        <f>IF(+I14&lt;F37,I14,D38)</f>
        <v>5494.0476190476193</v>
      </c>
      <c r="F38" s="523">
        <f t="shared" si="12"/>
        <v>111718.6222078166</v>
      </c>
      <c r="G38" s="524">
        <f t="shared" si="13"/>
        <v>17721.035991806737</v>
      </c>
      <c r="H38" s="491">
        <f t="shared" si="14"/>
        <v>17721.035991806737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111718.6222078166</v>
      </c>
      <c r="E39" s="522">
        <f>IF(+I14&lt;F38,I14,D39)</f>
        <v>5494.0476190476193</v>
      </c>
      <c r="F39" s="523">
        <f t="shared" si="12"/>
        <v>106224.57458876898</v>
      </c>
      <c r="G39" s="524">
        <f t="shared" si="13"/>
        <v>17134.17295739636</v>
      </c>
      <c r="H39" s="491">
        <f t="shared" si="14"/>
        <v>17134.17295739636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106224.57458876898</v>
      </c>
      <c r="E40" s="522">
        <f>IF(+I14&lt;F39,I14,D40)</f>
        <v>5494.0476190476193</v>
      </c>
      <c r="F40" s="523">
        <f t="shared" si="12"/>
        <v>100730.52696972137</v>
      </c>
      <c r="G40" s="524">
        <f t="shared" si="13"/>
        <v>16547.309922985987</v>
      </c>
      <c r="H40" s="491">
        <f t="shared" si="14"/>
        <v>16547.309922985987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100730.52696972137</v>
      </c>
      <c r="E41" s="522">
        <f>IF(+I14&lt;F40,I14,D41)</f>
        <v>5494.0476190476193</v>
      </c>
      <c r="F41" s="523">
        <f t="shared" si="12"/>
        <v>95236.479350673748</v>
      </c>
      <c r="G41" s="524">
        <f t="shared" si="13"/>
        <v>15960.446888575614</v>
      </c>
      <c r="H41" s="491">
        <f t="shared" si="14"/>
        <v>15960.446888575614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95236.479350673748</v>
      </c>
      <c r="E42" s="522">
        <f>IF(+I14&lt;F41,I14,D42)</f>
        <v>5494.0476190476193</v>
      </c>
      <c r="F42" s="523">
        <f t="shared" si="12"/>
        <v>89742.431731626129</v>
      </c>
      <c r="G42" s="524">
        <f t="shared" si="13"/>
        <v>15373.583854165241</v>
      </c>
      <c r="H42" s="491">
        <f t="shared" si="14"/>
        <v>15373.583854165241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89742.431731626129</v>
      </c>
      <c r="E43" s="522">
        <f>IF(+I14&lt;F42,I14,D43)</f>
        <v>5494.0476190476193</v>
      </c>
      <c r="F43" s="523">
        <f t="shared" si="12"/>
        <v>84248.384112578511</v>
      </c>
      <c r="G43" s="524">
        <f t="shared" si="13"/>
        <v>14786.720819754864</v>
      </c>
      <c r="H43" s="491">
        <f t="shared" si="14"/>
        <v>14786.720819754864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84248.384112578511</v>
      </c>
      <c r="E44" s="522">
        <f>IF(+I14&lt;F43,I14,D44)</f>
        <v>5494.0476190476193</v>
      </c>
      <c r="F44" s="523">
        <f t="shared" si="12"/>
        <v>78754.336493530893</v>
      </c>
      <c r="G44" s="524">
        <f t="shared" si="13"/>
        <v>14199.857785344491</v>
      </c>
      <c r="H44" s="491">
        <f t="shared" si="14"/>
        <v>14199.857785344491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78754.336493530893</v>
      </c>
      <c r="E45" s="522">
        <f>IF(+I14&lt;F44,I14,D45)</f>
        <v>5494.0476190476193</v>
      </c>
      <c r="F45" s="523">
        <f t="shared" si="12"/>
        <v>73260.288874483274</v>
      </c>
      <c r="G45" s="524">
        <f t="shared" si="13"/>
        <v>13612.994750934118</v>
      </c>
      <c r="H45" s="491">
        <f t="shared" si="14"/>
        <v>13612.994750934118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73260.288874483274</v>
      </c>
      <c r="E46" s="522">
        <f>IF(+I14&lt;F45,I14,D46)</f>
        <v>5494.0476190476193</v>
      </c>
      <c r="F46" s="523">
        <f t="shared" si="12"/>
        <v>67766.241255435656</v>
      </c>
      <c r="G46" s="524">
        <f t="shared" si="13"/>
        <v>13026.131716523745</v>
      </c>
      <c r="H46" s="491">
        <f t="shared" si="14"/>
        <v>13026.131716523745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67766.241255435656</v>
      </c>
      <c r="E47" s="522">
        <f>IF(+I14&lt;F46,I14,D47)</f>
        <v>5494.0476190476193</v>
      </c>
      <c r="F47" s="523">
        <f t="shared" si="12"/>
        <v>62272.193636388038</v>
      </c>
      <c r="G47" s="524">
        <f t="shared" si="13"/>
        <v>12439.26868211337</v>
      </c>
      <c r="H47" s="491">
        <f t="shared" si="14"/>
        <v>12439.26868211337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62272.193636388038</v>
      </c>
      <c r="E48" s="522">
        <f>IF(+I14&lt;F47,I14,D48)</f>
        <v>5494.0476190476193</v>
      </c>
      <c r="F48" s="523">
        <f t="shared" si="12"/>
        <v>56778.146017340419</v>
      </c>
      <c r="G48" s="524">
        <f t="shared" si="13"/>
        <v>11852.405647702995</v>
      </c>
      <c r="H48" s="491">
        <f t="shared" si="14"/>
        <v>11852.405647702995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56778.146017340419</v>
      </c>
      <c r="E49" s="522">
        <f>IF(+I14&lt;F48,I14,D49)</f>
        <v>5494.0476190476193</v>
      </c>
      <c r="F49" s="523">
        <f t="shared" ref="F49:F72" si="15">+D49-E49</f>
        <v>51284.098398292801</v>
      </c>
      <c r="G49" s="524">
        <f t="shared" si="13"/>
        <v>11265.542613292622</v>
      </c>
      <c r="H49" s="491">
        <f t="shared" si="14"/>
        <v>11265.542613292622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ref="B50:B72" si="20">IF(D50=F49,"","IU")</f>
        <v/>
      </c>
      <c r="C50" s="507">
        <f>IF(D11="","-",+C49+1)</f>
        <v>2045</v>
      </c>
      <c r="D50" s="523">
        <f>IF(F49+SUM(E$17:E49)=D$10,F49,D$10-SUM(E$17:E49))</f>
        <v>51284.098398292801</v>
      </c>
      <c r="E50" s="522">
        <f>IF(+I14&lt;F49,I14,D50)</f>
        <v>5494.0476190476193</v>
      </c>
      <c r="F50" s="523">
        <f t="shared" si="15"/>
        <v>45790.050779245183</v>
      </c>
      <c r="G50" s="524">
        <f t="shared" si="13"/>
        <v>10678.679578882247</v>
      </c>
      <c r="H50" s="491">
        <f t="shared" si="14"/>
        <v>10678.679578882247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20"/>
        <v/>
      </c>
      <c r="C51" s="507">
        <f>IF(D11="","-",+C50+1)</f>
        <v>2046</v>
      </c>
      <c r="D51" s="523">
        <f>IF(F50+SUM(E$17:E50)=D$10,F50,D$10-SUM(E$17:E50))</f>
        <v>45790.050779245183</v>
      </c>
      <c r="E51" s="522">
        <f>IF(+I14&lt;F50,I14,D51)</f>
        <v>5494.0476190476193</v>
      </c>
      <c r="F51" s="523">
        <f t="shared" si="15"/>
        <v>40296.003160197564</v>
      </c>
      <c r="G51" s="524">
        <f t="shared" si="13"/>
        <v>10091.816544471872</v>
      </c>
      <c r="H51" s="491">
        <f t="shared" si="14"/>
        <v>10091.816544471872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20"/>
        <v/>
      </c>
      <c r="C52" s="507">
        <f>IF(D11="","-",+C51+1)</f>
        <v>2047</v>
      </c>
      <c r="D52" s="523">
        <f>IF(F51+SUM(E$17:E51)=D$10,F51,D$10-SUM(E$17:E51))</f>
        <v>40296.003160197564</v>
      </c>
      <c r="E52" s="522">
        <f>IF(+I14&lt;F51,I14,D52)</f>
        <v>5494.0476190476193</v>
      </c>
      <c r="F52" s="523">
        <f t="shared" si="15"/>
        <v>34801.955541149946</v>
      </c>
      <c r="G52" s="524">
        <f t="shared" si="13"/>
        <v>9504.9535100614994</v>
      </c>
      <c r="H52" s="491">
        <f t="shared" si="14"/>
        <v>9504.9535100614994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20"/>
        <v/>
      </c>
      <c r="C53" s="507">
        <f>IF(D11="","-",+C52+1)</f>
        <v>2048</v>
      </c>
      <c r="D53" s="523">
        <f>IF(F52+SUM(E$17:E52)=D$10,F52,D$10-SUM(E$17:E52))</f>
        <v>34801.955541149946</v>
      </c>
      <c r="E53" s="522">
        <f>IF(+I14&lt;F52,I14,D53)</f>
        <v>5494.0476190476193</v>
      </c>
      <c r="F53" s="523">
        <f t="shared" si="15"/>
        <v>29307.907922102328</v>
      </c>
      <c r="G53" s="524">
        <f t="shared" si="13"/>
        <v>8918.0904756511263</v>
      </c>
      <c r="H53" s="491">
        <f t="shared" si="14"/>
        <v>8918.0904756511263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20"/>
        <v/>
      </c>
      <c r="C54" s="507">
        <f>IF(D11="","-",+C53+1)</f>
        <v>2049</v>
      </c>
      <c r="D54" s="523">
        <f>IF(F53+SUM(E$17:E53)=D$10,F53,D$10-SUM(E$17:E53))</f>
        <v>29307.907922102328</v>
      </c>
      <c r="E54" s="522">
        <f>IF(+I14&lt;F53,I14,D54)</f>
        <v>5494.0476190476193</v>
      </c>
      <c r="F54" s="523">
        <f t="shared" si="15"/>
        <v>23813.860303054709</v>
      </c>
      <c r="G54" s="524">
        <f t="shared" ref="G54:G72" si="21">+I$12*((D54+F54)/2)+E54</f>
        <v>8331.2274412407514</v>
      </c>
      <c r="H54" s="491">
        <f t="shared" ref="H54:H72" si="22">+I$13*((D54+F54)/2)+E54</f>
        <v>8331.2274412407514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20"/>
        <v/>
      </c>
      <c r="C55" s="507">
        <f>IF(D11="","-",+C54+1)</f>
        <v>2050</v>
      </c>
      <c r="D55" s="523">
        <f>IF(F54+SUM(E$17:E54)=D$10,F54,D$10-SUM(E$17:E54))</f>
        <v>23813.860303054709</v>
      </c>
      <c r="E55" s="522">
        <f>IF(+I14&lt;F54,I14,D55)</f>
        <v>5494.0476190476193</v>
      </c>
      <c r="F55" s="523">
        <f t="shared" si="15"/>
        <v>18319.812684007091</v>
      </c>
      <c r="G55" s="524">
        <f t="shared" si="21"/>
        <v>7744.3644068303774</v>
      </c>
      <c r="H55" s="491">
        <f t="shared" si="22"/>
        <v>7744.3644068303774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20"/>
        <v/>
      </c>
      <c r="C56" s="507">
        <f>IF(D11="","-",+C55+1)</f>
        <v>2051</v>
      </c>
      <c r="D56" s="523">
        <f>IF(F55+SUM(E$17:E55)=D$10,F55,D$10-SUM(E$17:E55))</f>
        <v>18319.812684007091</v>
      </c>
      <c r="E56" s="522">
        <f>IF(+I14&lt;F55,I14,D56)</f>
        <v>5494.0476190476193</v>
      </c>
      <c r="F56" s="523">
        <f t="shared" si="15"/>
        <v>12825.765064959473</v>
      </c>
      <c r="G56" s="524">
        <f t="shared" si="21"/>
        <v>7157.5013724200035</v>
      </c>
      <c r="H56" s="491">
        <f t="shared" si="22"/>
        <v>7157.5013724200035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20"/>
        <v/>
      </c>
      <c r="C57" s="507">
        <f>IF(D11="","-",+C56+1)</f>
        <v>2052</v>
      </c>
      <c r="D57" s="523">
        <f>IF(F56+SUM(E$17:E56)=D$10,F56,D$10-SUM(E$17:E56))</f>
        <v>12825.765064959473</v>
      </c>
      <c r="E57" s="522">
        <f>IF(+I14&lt;F56,I14,D57)</f>
        <v>5494.0476190476193</v>
      </c>
      <c r="F57" s="523">
        <f t="shared" si="15"/>
        <v>7331.7174459118532</v>
      </c>
      <c r="G57" s="524">
        <f t="shared" si="21"/>
        <v>6570.6383380096295</v>
      </c>
      <c r="H57" s="491">
        <f t="shared" si="22"/>
        <v>6570.6383380096295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20"/>
        <v/>
      </c>
      <c r="C58" s="507">
        <f>IF(D11="","-",+C57+1)</f>
        <v>2053</v>
      </c>
      <c r="D58" s="523">
        <f>IF(F57+SUM(E$17:E57)=D$10,F57,D$10-SUM(E$17:E57))</f>
        <v>7331.7174459118532</v>
      </c>
      <c r="E58" s="522">
        <f>IF(+I14&lt;F57,I14,D58)</f>
        <v>5494.0476190476193</v>
      </c>
      <c r="F58" s="523">
        <f t="shared" si="15"/>
        <v>1837.669826864234</v>
      </c>
      <c r="G58" s="524">
        <f t="shared" si="21"/>
        <v>5983.7753035992555</v>
      </c>
      <c r="H58" s="491">
        <f t="shared" si="22"/>
        <v>5983.7753035992555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0"/>
        <v/>
      </c>
      <c r="C59" s="507">
        <f>IF(D11="","-",+C58+1)</f>
        <v>2054</v>
      </c>
      <c r="D59" s="523">
        <f>IF(F58+SUM(E$17:E58)=D$10,F58,D$10-SUM(E$17:E58))</f>
        <v>1837.669826864234</v>
      </c>
      <c r="E59" s="522">
        <f>IF(+I14&lt;F58,I14,D59)</f>
        <v>1837.669826864234</v>
      </c>
      <c r="F59" s="523">
        <f t="shared" si="15"/>
        <v>0</v>
      </c>
      <c r="G59" s="524">
        <f t="shared" si="21"/>
        <v>1935.8179105374584</v>
      </c>
      <c r="H59" s="491">
        <f t="shared" si="22"/>
        <v>1935.8179105374584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20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21"/>
        <v>0</v>
      </c>
      <c r="H60" s="491">
        <f t="shared" si="22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20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21"/>
        <v>0</v>
      </c>
      <c r="H61" s="491">
        <f t="shared" si="22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20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21"/>
        <v>0</v>
      </c>
      <c r="H62" s="491">
        <f t="shared" si="22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20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21"/>
        <v>0</v>
      </c>
      <c r="H63" s="491">
        <f t="shared" si="22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20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21"/>
        <v>0</v>
      </c>
      <c r="H64" s="491">
        <f t="shared" si="22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20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21"/>
        <v>0</v>
      </c>
      <c r="H65" s="491">
        <f t="shared" si="22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20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21"/>
        <v>0</v>
      </c>
      <c r="H66" s="491">
        <f t="shared" si="22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20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21"/>
        <v>0</v>
      </c>
      <c r="H67" s="491">
        <f t="shared" si="22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20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21"/>
        <v>0</v>
      </c>
      <c r="H68" s="491">
        <f t="shared" si="22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20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21"/>
        <v>0</v>
      </c>
      <c r="H69" s="491">
        <f t="shared" si="22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20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21"/>
        <v>0</v>
      </c>
      <c r="H70" s="491">
        <f t="shared" si="22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20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21"/>
        <v>0</v>
      </c>
      <c r="H71" s="491">
        <f t="shared" si="22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20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21"/>
        <v>0</v>
      </c>
      <c r="H72" s="471">
        <f t="shared" si="22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230750.00000000009</v>
      </c>
      <c r="F73" s="375"/>
      <c r="G73" s="375">
        <f>SUM(G17:G72)</f>
        <v>806922.01661839231</v>
      </c>
      <c r="H73" s="375">
        <f>SUM(H17:H72)</f>
        <v>806922.01661839231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31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24657.865553316573</v>
      </c>
      <c r="N87" s="546">
        <f>IF(J92&lt;D11,0,VLOOKUP(J92,C17:O72,11))</f>
        <v>24657.865553316573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25616.072507051016</v>
      </c>
      <c r="N88" s="550">
        <f>IF(J92&lt;D11,0,VLOOKUP(J92,C99:P154,7))</f>
        <v>25616.072507051016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Lone Star South - Pittsburg 138 kV - Replace Wavetraps, reset CT's and Relays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958.20695373444323</v>
      </c>
      <c r="N89" s="555">
        <f>+N88-N87</f>
        <v>958.20695373444323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TP2009100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230750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5494.0476190476193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2747.0238095238096</v>
      </c>
      <c r="F99" s="515">
        <v>228002.97619047618</v>
      </c>
      <c r="G99" s="574">
        <v>114001.48809523809</v>
      </c>
      <c r="H99" s="575">
        <v>19522.791013350252</v>
      </c>
      <c r="I99" s="576">
        <v>19522.791013350252</v>
      </c>
      <c r="J99" s="514">
        <f t="shared" ref="J99:J130" si="23">+I99-H99</f>
        <v>0</v>
      </c>
      <c r="K99" s="514"/>
      <c r="L99" s="512">
        <f t="shared" ref="L99:L104" si="24">H99</f>
        <v>19522.791013350252</v>
      </c>
      <c r="M99" s="597">
        <f t="shared" ref="M99:M130" si="25">IF(L99&lt;&gt;0,+H99-L99,0)</f>
        <v>0</v>
      </c>
      <c r="N99" s="512">
        <f t="shared" ref="N99:N104" si="26">I99</f>
        <v>19522.791013350252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 ht="12.5">
      <c r="B100" s="195" t="str">
        <f t="shared" ref="B100:B131" si="29">IF(D100=F99,"","IU")</f>
        <v/>
      </c>
      <c r="C100" s="507">
        <f>IF(D93="","-",+C99+1)</f>
        <v>2013</v>
      </c>
      <c r="D100" s="508">
        <v>228002.97619047618</v>
      </c>
      <c r="E100" s="516">
        <v>5494.0476190476193</v>
      </c>
      <c r="F100" s="515">
        <v>222508.92857142855</v>
      </c>
      <c r="G100" s="515">
        <v>225255.95238095237</v>
      </c>
      <c r="H100" s="575">
        <v>35969.308872002533</v>
      </c>
      <c r="I100" s="576">
        <v>35969.308872002533</v>
      </c>
      <c r="J100" s="514">
        <v>0</v>
      </c>
      <c r="K100" s="514"/>
      <c r="L100" s="518">
        <f t="shared" si="24"/>
        <v>35969.308872002533</v>
      </c>
      <c r="M100" s="519">
        <f t="shared" ref="M100:M105" si="30">IF(L100&lt;&gt;0,+H100-L100,0)</f>
        <v>0</v>
      </c>
      <c r="N100" s="518">
        <f t="shared" si="26"/>
        <v>35969.308872002533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29"/>
        <v/>
      </c>
      <c r="C101" s="507">
        <f>IF(D93="","-",+C100+1)</f>
        <v>2014</v>
      </c>
      <c r="D101" s="508">
        <v>222508.92857142855</v>
      </c>
      <c r="E101" s="516">
        <v>5494.0476190476193</v>
      </c>
      <c r="F101" s="515">
        <v>217014.88095238092</v>
      </c>
      <c r="G101" s="515">
        <v>219761.90476190473</v>
      </c>
      <c r="H101" s="575">
        <v>35364.846038717165</v>
      </c>
      <c r="I101" s="576">
        <v>35364.846038717165</v>
      </c>
      <c r="J101" s="514">
        <v>0</v>
      </c>
      <c r="K101" s="514"/>
      <c r="L101" s="518">
        <f t="shared" si="24"/>
        <v>35364.846038717165</v>
      </c>
      <c r="M101" s="519">
        <f t="shared" si="30"/>
        <v>0</v>
      </c>
      <c r="N101" s="518">
        <f t="shared" si="26"/>
        <v>35364.846038717165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9"/>
        <v/>
      </c>
      <c r="C102" s="507">
        <f>IF(D93="","-",+C101+1)</f>
        <v>2015</v>
      </c>
      <c r="D102" s="508">
        <v>217014.88095238092</v>
      </c>
      <c r="E102" s="516">
        <v>5494.0476190476193</v>
      </c>
      <c r="F102" s="515">
        <v>211520.83333333328</v>
      </c>
      <c r="G102" s="515">
        <v>214267.8571428571</v>
      </c>
      <c r="H102" s="575">
        <v>33727.882719440844</v>
      </c>
      <c r="I102" s="576">
        <v>33727.882719440844</v>
      </c>
      <c r="J102" s="514">
        <f t="shared" si="23"/>
        <v>0</v>
      </c>
      <c r="K102" s="514"/>
      <c r="L102" s="518">
        <f t="shared" si="24"/>
        <v>33727.882719440844</v>
      </c>
      <c r="M102" s="519">
        <f t="shared" si="30"/>
        <v>0</v>
      </c>
      <c r="N102" s="518">
        <f t="shared" si="26"/>
        <v>33727.882719440844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9"/>
        <v/>
      </c>
      <c r="C103" s="507">
        <f>IF(D93="","-",+C102+1)</f>
        <v>2016</v>
      </c>
      <c r="D103" s="508">
        <v>211520.83333333328</v>
      </c>
      <c r="E103" s="516">
        <v>5366.2790697674418</v>
      </c>
      <c r="F103" s="515">
        <v>206154.55426356583</v>
      </c>
      <c r="G103" s="515">
        <v>208837.69379844956</v>
      </c>
      <c r="H103" s="575">
        <v>31878.22185164913</v>
      </c>
      <c r="I103" s="576">
        <v>31878.22185164913</v>
      </c>
      <c r="J103" s="514">
        <f t="shared" si="23"/>
        <v>0</v>
      </c>
      <c r="K103" s="514"/>
      <c r="L103" s="518">
        <f t="shared" si="24"/>
        <v>31878.22185164913</v>
      </c>
      <c r="M103" s="519">
        <f t="shared" si="30"/>
        <v>0</v>
      </c>
      <c r="N103" s="518">
        <f t="shared" si="26"/>
        <v>31878.22185164913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9"/>
        <v/>
      </c>
      <c r="C104" s="507">
        <f>IF(D93="","-",+C103+1)</f>
        <v>2017</v>
      </c>
      <c r="D104" s="508">
        <v>206154.55426356583</v>
      </c>
      <c r="E104" s="516">
        <v>5494.0476190476193</v>
      </c>
      <c r="F104" s="515">
        <v>200660.5066445182</v>
      </c>
      <c r="G104" s="515">
        <v>203407.53045404202</v>
      </c>
      <c r="H104" s="575">
        <v>30202.256847199074</v>
      </c>
      <c r="I104" s="576">
        <v>30202.256847199074</v>
      </c>
      <c r="J104" s="514">
        <f t="shared" si="23"/>
        <v>0</v>
      </c>
      <c r="K104" s="514"/>
      <c r="L104" s="518">
        <f t="shared" si="24"/>
        <v>30202.256847199074</v>
      </c>
      <c r="M104" s="519">
        <f t="shared" si="30"/>
        <v>0</v>
      </c>
      <c r="N104" s="518">
        <f t="shared" si="26"/>
        <v>30202.256847199074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9"/>
        <v/>
      </c>
      <c r="C105" s="507">
        <f>IF(D93="","-",+C104+1)</f>
        <v>2018</v>
      </c>
      <c r="D105" s="508">
        <v>200660.5066445182</v>
      </c>
      <c r="E105" s="516">
        <v>5494.0476190476193</v>
      </c>
      <c r="F105" s="515">
        <v>195166.45902547057</v>
      </c>
      <c r="G105" s="515">
        <v>197913.48283499439</v>
      </c>
      <c r="H105" s="575">
        <v>26394.619001989184</v>
      </c>
      <c r="I105" s="576">
        <v>26394.619001989184</v>
      </c>
      <c r="J105" s="514">
        <f t="shared" si="23"/>
        <v>0</v>
      </c>
      <c r="K105" s="514"/>
      <c r="L105" s="518">
        <f t="shared" ref="L105" si="31">H105</f>
        <v>26394.619001989184</v>
      </c>
      <c r="M105" s="519">
        <f t="shared" si="30"/>
        <v>0</v>
      </c>
      <c r="N105" s="518">
        <f t="shared" ref="N105" si="32">I105</f>
        <v>26394.619001989184</v>
      </c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9"/>
        <v/>
      </c>
      <c r="C106" s="507">
        <f>IF(D93="","-",+C105+1)</f>
        <v>2019</v>
      </c>
      <c r="D106" s="508">
        <v>195166.45902547057</v>
      </c>
      <c r="E106" s="516">
        <v>5366.2790697674418</v>
      </c>
      <c r="F106" s="515">
        <v>189800.17995570312</v>
      </c>
      <c r="G106" s="515">
        <v>192483.31949058684</v>
      </c>
      <c r="H106" s="575">
        <v>25969.798788270131</v>
      </c>
      <c r="I106" s="576">
        <v>25969.798788270131</v>
      </c>
      <c r="J106" s="514">
        <f t="shared" si="23"/>
        <v>0</v>
      </c>
      <c r="K106" s="514"/>
      <c r="L106" s="518">
        <f t="shared" ref="L106" si="33">H106</f>
        <v>25969.798788270131</v>
      </c>
      <c r="M106" s="519">
        <f t="shared" ref="M106" si="34">IF(L106&lt;&gt;0,+H106-L106,0)</f>
        <v>0</v>
      </c>
      <c r="N106" s="518">
        <f t="shared" ref="N106" si="35">I106</f>
        <v>25969.798788270131</v>
      </c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9"/>
        <v/>
      </c>
      <c r="C107" s="507">
        <f>IF(D93="","-",+C106+1)</f>
        <v>2020</v>
      </c>
      <c r="D107" s="374">
        <f>IF(F106+SUM(E$99:E106)=D$92,F106,D$92-SUM(E$99:E106))</f>
        <v>189800.17995570312</v>
      </c>
      <c r="E107" s="522">
        <f>IF(+J96&lt;F106,J96,D107)</f>
        <v>5494.0476190476193</v>
      </c>
      <c r="F107" s="523">
        <f t="shared" ref="F107:F131" si="36">+D107-E107</f>
        <v>184306.13233665549</v>
      </c>
      <c r="G107" s="523">
        <f t="shared" ref="G107:G130" si="37">+(F107+D107)/2</f>
        <v>187053.1561461793</v>
      </c>
      <c r="H107" s="526">
        <f t="shared" ref="H107:H130" si="38">+J$94*G107+E107</f>
        <v>25616.072507051016</v>
      </c>
      <c r="I107" s="577">
        <f t="shared" ref="I107:I130" si="39">+J$95*G107+E107</f>
        <v>25616.072507051016</v>
      </c>
      <c r="J107" s="514">
        <f t="shared" si="23"/>
        <v>0</v>
      </c>
      <c r="K107" s="514"/>
      <c r="L107" s="525"/>
      <c r="M107" s="514">
        <f t="shared" si="25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9"/>
        <v/>
      </c>
      <c r="C108" s="507">
        <f>IF(D93="","-",+C107+1)</f>
        <v>2021</v>
      </c>
      <c r="D108" s="374">
        <f>IF(F107+SUM(E$99:E107)=D$92,F107,D$92-SUM(E$99:E107))</f>
        <v>184306.13233665549</v>
      </c>
      <c r="E108" s="522">
        <f>IF(+J96&lt;F107,J96,D108)</f>
        <v>5494.0476190476193</v>
      </c>
      <c r="F108" s="523">
        <f t="shared" si="36"/>
        <v>178812.08471760785</v>
      </c>
      <c r="G108" s="523">
        <f t="shared" si="37"/>
        <v>181559.10852713167</v>
      </c>
      <c r="H108" s="526">
        <f t="shared" si="38"/>
        <v>25025.056748728512</v>
      </c>
      <c r="I108" s="577">
        <f t="shared" si="39"/>
        <v>25025.056748728512</v>
      </c>
      <c r="J108" s="514">
        <f t="shared" si="23"/>
        <v>0</v>
      </c>
      <c r="K108" s="514"/>
      <c r="L108" s="525"/>
      <c r="M108" s="514">
        <f t="shared" si="25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9"/>
        <v/>
      </c>
      <c r="C109" s="507">
        <f>IF(D93="","-",+C108+1)</f>
        <v>2022</v>
      </c>
      <c r="D109" s="374">
        <f>IF(F108+SUM(E$99:E108)=D$92,F108,D$92-SUM(E$99:E108))</f>
        <v>178812.08471760785</v>
      </c>
      <c r="E109" s="522">
        <f>IF(+J96&lt;F108,J96,D109)</f>
        <v>5494.0476190476193</v>
      </c>
      <c r="F109" s="523">
        <f t="shared" si="36"/>
        <v>173318.03709856022</v>
      </c>
      <c r="G109" s="523">
        <f t="shared" si="37"/>
        <v>176065.06090808404</v>
      </c>
      <c r="H109" s="526">
        <f t="shared" si="38"/>
        <v>24434.040990406003</v>
      </c>
      <c r="I109" s="577">
        <f t="shared" si="39"/>
        <v>24434.040990406003</v>
      </c>
      <c r="J109" s="514">
        <f t="shared" si="23"/>
        <v>0</v>
      </c>
      <c r="K109" s="514"/>
      <c r="L109" s="525"/>
      <c r="M109" s="514">
        <f t="shared" si="25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9"/>
        <v/>
      </c>
      <c r="C110" s="507">
        <f>IF(D93="","-",+C109+1)</f>
        <v>2023</v>
      </c>
      <c r="D110" s="374">
        <f>IF(F109+SUM(E$99:E109)=D$92,F109,D$92-SUM(E$99:E109))</f>
        <v>173318.03709856022</v>
      </c>
      <c r="E110" s="522">
        <f>IF(+J96&lt;F109,J96,D110)</f>
        <v>5494.0476190476193</v>
      </c>
      <c r="F110" s="523">
        <f t="shared" si="36"/>
        <v>167823.98947951259</v>
      </c>
      <c r="G110" s="523">
        <f t="shared" si="37"/>
        <v>170571.0132890364</v>
      </c>
      <c r="H110" s="526">
        <f t="shared" si="38"/>
        <v>23843.025232083499</v>
      </c>
      <c r="I110" s="577">
        <f t="shared" si="39"/>
        <v>23843.025232083499</v>
      </c>
      <c r="J110" s="514">
        <f t="shared" si="23"/>
        <v>0</v>
      </c>
      <c r="K110" s="514"/>
      <c r="L110" s="525"/>
      <c r="M110" s="514">
        <f t="shared" si="25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9"/>
        <v/>
      </c>
      <c r="C111" s="507">
        <f>IF(D93="","-",+C110+1)</f>
        <v>2024</v>
      </c>
      <c r="D111" s="374">
        <f>IF(F110+SUM(E$99:E110)=D$92,F110,D$92-SUM(E$99:E110))</f>
        <v>167823.98947951259</v>
      </c>
      <c r="E111" s="522">
        <f>IF(+J96&lt;F110,J96,D111)</f>
        <v>5494.0476190476193</v>
      </c>
      <c r="F111" s="523">
        <f t="shared" si="36"/>
        <v>162329.94186046495</v>
      </c>
      <c r="G111" s="523">
        <f t="shared" si="37"/>
        <v>165076.96566998877</v>
      </c>
      <c r="H111" s="526">
        <f t="shared" si="38"/>
        <v>23252.009473760991</v>
      </c>
      <c r="I111" s="577">
        <f t="shared" si="39"/>
        <v>23252.009473760991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9"/>
        <v/>
      </c>
      <c r="C112" s="507">
        <f>IF(D93="","-",+C111+1)</f>
        <v>2025</v>
      </c>
      <c r="D112" s="374">
        <f>IF(F111+SUM(E$99:E111)=D$92,F111,D$92-SUM(E$99:E111))</f>
        <v>162329.94186046495</v>
      </c>
      <c r="E112" s="522">
        <f>IF(+J96&lt;F111,J96,D112)</f>
        <v>5494.0476190476193</v>
      </c>
      <c r="F112" s="523">
        <f t="shared" si="36"/>
        <v>156835.89424141732</v>
      </c>
      <c r="G112" s="523">
        <f t="shared" si="37"/>
        <v>159582.91805094114</v>
      </c>
      <c r="H112" s="526">
        <f t="shared" si="38"/>
        <v>22660.993715438486</v>
      </c>
      <c r="I112" s="577">
        <f t="shared" si="39"/>
        <v>22660.993715438486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9"/>
        <v/>
      </c>
      <c r="C113" s="507">
        <f>IF(D93="","-",+C112+1)</f>
        <v>2026</v>
      </c>
      <c r="D113" s="374">
        <f>IF(F112+SUM(E$99:E112)=D$92,F112,D$92-SUM(E$99:E112))</f>
        <v>156835.89424141732</v>
      </c>
      <c r="E113" s="522">
        <f>IF(+J96&lt;F112,J96,D113)</f>
        <v>5494.0476190476193</v>
      </c>
      <c r="F113" s="523">
        <f t="shared" si="36"/>
        <v>151341.84662236969</v>
      </c>
      <c r="G113" s="523">
        <f t="shared" si="37"/>
        <v>154088.87043189351</v>
      </c>
      <c r="H113" s="526">
        <f t="shared" si="38"/>
        <v>22069.977957115982</v>
      </c>
      <c r="I113" s="577">
        <f t="shared" si="39"/>
        <v>22069.977957115982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9"/>
        <v/>
      </c>
      <c r="C114" s="507">
        <f>IF(D93="","-",+C113+1)</f>
        <v>2027</v>
      </c>
      <c r="D114" s="374">
        <f>IF(F113+SUM(E$99:E113)=D$92,F113,D$92-SUM(E$99:E113))</f>
        <v>151341.84662236969</v>
      </c>
      <c r="E114" s="522">
        <f>IF(+J96&lt;F113,J96,D114)</f>
        <v>5494.0476190476193</v>
      </c>
      <c r="F114" s="523">
        <f t="shared" si="36"/>
        <v>145847.79900332206</v>
      </c>
      <c r="G114" s="523">
        <f t="shared" si="37"/>
        <v>148594.82281284587</v>
      </c>
      <c r="H114" s="526">
        <f t="shared" si="38"/>
        <v>21478.962198793473</v>
      </c>
      <c r="I114" s="577">
        <f t="shared" si="39"/>
        <v>21478.962198793473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9"/>
        <v/>
      </c>
      <c r="C115" s="507">
        <f>IF(D93="","-",+C114+1)</f>
        <v>2028</v>
      </c>
      <c r="D115" s="374">
        <f>IF(F114+SUM(E$99:E114)=D$92,F114,D$92-SUM(E$99:E114))</f>
        <v>145847.79900332206</v>
      </c>
      <c r="E115" s="522">
        <f>IF(+J96&lt;F114,J96,D115)</f>
        <v>5494.0476190476193</v>
      </c>
      <c r="F115" s="523">
        <f t="shared" si="36"/>
        <v>140353.75138427442</v>
      </c>
      <c r="G115" s="523">
        <f t="shared" si="37"/>
        <v>143100.77519379824</v>
      </c>
      <c r="H115" s="526">
        <f t="shared" si="38"/>
        <v>20887.946440470969</v>
      </c>
      <c r="I115" s="577">
        <f t="shared" si="39"/>
        <v>20887.946440470969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9"/>
        <v/>
      </c>
      <c r="C116" s="507">
        <f>IF(D93="","-",+C115+1)</f>
        <v>2029</v>
      </c>
      <c r="D116" s="374">
        <f>IF(F115+SUM(E$99:E115)=D$92,F115,D$92-SUM(E$99:E115))</f>
        <v>140353.75138427442</v>
      </c>
      <c r="E116" s="522">
        <f>IF(+J96&lt;F115,J96,D116)</f>
        <v>5494.0476190476193</v>
      </c>
      <c r="F116" s="523">
        <f t="shared" si="36"/>
        <v>134859.70376522679</v>
      </c>
      <c r="G116" s="523">
        <f t="shared" si="37"/>
        <v>137606.72757475061</v>
      </c>
      <c r="H116" s="526">
        <f t="shared" si="38"/>
        <v>20296.930682148464</v>
      </c>
      <c r="I116" s="577">
        <f t="shared" si="39"/>
        <v>20296.930682148464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9"/>
        <v/>
      </c>
      <c r="C117" s="507">
        <f>IF(D93="","-",+C116+1)</f>
        <v>2030</v>
      </c>
      <c r="D117" s="374">
        <f>IF(F116+SUM(E$99:E116)=D$92,F116,D$92-SUM(E$99:E116))</f>
        <v>134859.70376522679</v>
      </c>
      <c r="E117" s="522">
        <f>IF(+J96&lt;F116,J96,D117)</f>
        <v>5494.0476190476193</v>
      </c>
      <c r="F117" s="523">
        <f t="shared" si="36"/>
        <v>129365.65614617917</v>
      </c>
      <c r="G117" s="523">
        <f t="shared" si="37"/>
        <v>132112.67995570297</v>
      </c>
      <c r="H117" s="526">
        <f t="shared" si="38"/>
        <v>19705.914923825956</v>
      </c>
      <c r="I117" s="577">
        <f t="shared" si="39"/>
        <v>19705.914923825956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9"/>
        <v/>
      </c>
      <c r="C118" s="507">
        <f>IF(D93="","-",+C117+1)</f>
        <v>2031</v>
      </c>
      <c r="D118" s="374">
        <f>IF(F117+SUM(E$99:E117)=D$92,F117,D$92-SUM(E$99:E117))</f>
        <v>129365.65614617917</v>
      </c>
      <c r="E118" s="522">
        <f>IF(+J96&lt;F117,J96,D118)</f>
        <v>5494.0476190476193</v>
      </c>
      <c r="F118" s="523">
        <f t="shared" si="36"/>
        <v>123871.60852713155</v>
      </c>
      <c r="G118" s="523">
        <f t="shared" si="37"/>
        <v>126618.63233665537</v>
      </c>
      <c r="H118" s="526">
        <f t="shared" si="38"/>
        <v>19114.899165503455</v>
      </c>
      <c r="I118" s="577">
        <f t="shared" si="39"/>
        <v>19114.899165503455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9"/>
        <v/>
      </c>
      <c r="C119" s="507">
        <f>IF(D93="","-",+C118+1)</f>
        <v>2032</v>
      </c>
      <c r="D119" s="374">
        <f>IF(F118+SUM(E$99:E118)=D$92,F118,D$92-SUM(E$99:E118))</f>
        <v>123871.60852713155</v>
      </c>
      <c r="E119" s="522">
        <f>IF(+J96&lt;F118,J96,D119)</f>
        <v>5494.0476190476193</v>
      </c>
      <c r="F119" s="523">
        <f t="shared" si="36"/>
        <v>118377.56090808393</v>
      </c>
      <c r="G119" s="523">
        <f t="shared" si="37"/>
        <v>121124.58471760774</v>
      </c>
      <c r="H119" s="526">
        <f t="shared" si="38"/>
        <v>18523.883407180947</v>
      </c>
      <c r="I119" s="577">
        <f t="shared" si="39"/>
        <v>18523.883407180947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9"/>
        <v/>
      </c>
      <c r="C120" s="507">
        <f>IF(D93="","-",+C119+1)</f>
        <v>2033</v>
      </c>
      <c r="D120" s="374">
        <f>IF(F119+SUM(E$99:E119)=D$92,F119,D$92-SUM(E$99:E119))</f>
        <v>118377.56090808393</v>
      </c>
      <c r="E120" s="522">
        <f>IF(+J96&lt;F119,J96,D120)</f>
        <v>5494.0476190476193</v>
      </c>
      <c r="F120" s="523">
        <f t="shared" si="36"/>
        <v>112883.51328903632</v>
      </c>
      <c r="G120" s="523">
        <f t="shared" si="37"/>
        <v>115630.53709856013</v>
      </c>
      <c r="H120" s="526">
        <f t="shared" si="38"/>
        <v>17932.867648858446</v>
      </c>
      <c r="I120" s="577">
        <f t="shared" si="39"/>
        <v>17932.867648858446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9"/>
        <v/>
      </c>
      <c r="C121" s="507">
        <f>IF(D93="","-",+C120+1)</f>
        <v>2034</v>
      </c>
      <c r="D121" s="374">
        <f>IF(F120+SUM(E$99:E120)=D$92,F120,D$92-SUM(E$99:E120))</f>
        <v>112883.51328903632</v>
      </c>
      <c r="E121" s="522">
        <f>IF(+J96&lt;F120,J96,D121)</f>
        <v>5494.0476190476193</v>
      </c>
      <c r="F121" s="523">
        <f t="shared" si="36"/>
        <v>107389.4656699887</v>
      </c>
      <c r="G121" s="523">
        <f t="shared" si="37"/>
        <v>110136.4894795125</v>
      </c>
      <c r="H121" s="526">
        <f t="shared" si="38"/>
        <v>17341.851890535938</v>
      </c>
      <c r="I121" s="577">
        <f t="shared" si="39"/>
        <v>17341.851890535938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9"/>
        <v/>
      </c>
      <c r="C122" s="507">
        <f>IF(D93="","-",+C121+1)</f>
        <v>2035</v>
      </c>
      <c r="D122" s="374">
        <f>IF(F121+SUM(E$99:E121)=D$92,F121,D$92-SUM(E$99:E121))</f>
        <v>107389.4656699887</v>
      </c>
      <c r="E122" s="522">
        <f>IF(+J96&lt;F121,J96,D122)</f>
        <v>5494.0476190476193</v>
      </c>
      <c r="F122" s="523">
        <f t="shared" si="36"/>
        <v>101895.41805094108</v>
      </c>
      <c r="G122" s="523">
        <f t="shared" si="37"/>
        <v>104642.4418604649</v>
      </c>
      <c r="H122" s="526">
        <f t="shared" si="38"/>
        <v>16750.836132213437</v>
      </c>
      <c r="I122" s="577">
        <f t="shared" si="39"/>
        <v>16750.836132213437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9"/>
        <v/>
      </c>
      <c r="C123" s="507">
        <f>IF(D93="","-",+C122+1)</f>
        <v>2036</v>
      </c>
      <c r="D123" s="374">
        <f>IF(F122+SUM(E$99:E122)=D$92,F122,D$92-SUM(E$99:E122))</f>
        <v>101895.41805094108</v>
      </c>
      <c r="E123" s="522">
        <f>IF(+J96&lt;F122,J96,D123)</f>
        <v>5494.0476190476193</v>
      </c>
      <c r="F123" s="523">
        <f t="shared" si="36"/>
        <v>96401.370431893462</v>
      </c>
      <c r="G123" s="523">
        <f t="shared" si="37"/>
        <v>99148.394241417263</v>
      </c>
      <c r="H123" s="526">
        <f t="shared" si="38"/>
        <v>16159.820373890932</v>
      </c>
      <c r="I123" s="577">
        <f t="shared" si="39"/>
        <v>16159.820373890932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9"/>
        <v/>
      </c>
      <c r="C124" s="507">
        <f>IF(D93="","-",+C123+1)</f>
        <v>2037</v>
      </c>
      <c r="D124" s="374">
        <f>IF(F123+SUM(E$99:E123)=D$92,F123,D$92-SUM(E$99:E123))</f>
        <v>96401.370431893462</v>
      </c>
      <c r="E124" s="522">
        <f>IF(+J96&lt;F123,J96,D124)</f>
        <v>5494.0476190476193</v>
      </c>
      <c r="F124" s="523">
        <f t="shared" si="36"/>
        <v>90907.322812845843</v>
      </c>
      <c r="G124" s="523">
        <f t="shared" si="37"/>
        <v>93654.34662236966</v>
      </c>
      <c r="H124" s="526">
        <f t="shared" si="38"/>
        <v>15568.804615568428</v>
      </c>
      <c r="I124" s="577">
        <f t="shared" si="39"/>
        <v>15568.804615568428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9"/>
        <v/>
      </c>
      <c r="C125" s="507">
        <f>IF(D93="","-",+C124+1)</f>
        <v>2038</v>
      </c>
      <c r="D125" s="374">
        <f>IF(F124+SUM(E$99:E124)=D$92,F124,D$92-SUM(E$99:E124))</f>
        <v>90907.322812845843</v>
      </c>
      <c r="E125" s="522">
        <f>IF(+J96&lt;F124,J96,D125)</f>
        <v>5494.0476190476193</v>
      </c>
      <c r="F125" s="523">
        <f t="shared" si="36"/>
        <v>85413.275193798225</v>
      </c>
      <c r="G125" s="523">
        <f t="shared" si="37"/>
        <v>88160.299003322027</v>
      </c>
      <c r="H125" s="526">
        <f t="shared" si="38"/>
        <v>14977.788857245923</v>
      </c>
      <c r="I125" s="577">
        <f t="shared" si="39"/>
        <v>14977.788857245923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9"/>
        <v/>
      </c>
      <c r="C126" s="507">
        <f>IF(D93="","-",+C125+1)</f>
        <v>2039</v>
      </c>
      <c r="D126" s="374">
        <f>IF(F125+SUM(E$99:E125)=D$92,F125,D$92-SUM(E$99:E125))</f>
        <v>85413.275193798225</v>
      </c>
      <c r="E126" s="522">
        <f>IF(+J96&lt;F125,J96,D126)</f>
        <v>5494.0476190476193</v>
      </c>
      <c r="F126" s="523">
        <f t="shared" si="36"/>
        <v>79919.227574750606</v>
      </c>
      <c r="G126" s="523">
        <f t="shared" si="37"/>
        <v>82666.251384274423</v>
      </c>
      <c r="H126" s="526">
        <f t="shared" si="38"/>
        <v>14386.773098923419</v>
      </c>
      <c r="I126" s="577">
        <f t="shared" si="39"/>
        <v>14386.773098923419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9"/>
        <v/>
      </c>
      <c r="C127" s="507">
        <f>IF(D93="","-",+C126+1)</f>
        <v>2040</v>
      </c>
      <c r="D127" s="374">
        <f>IF(F126+SUM(E$99:E126)=D$92,F126,D$92-SUM(E$99:E126))</f>
        <v>79919.227574750606</v>
      </c>
      <c r="E127" s="522">
        <f>IF(+J96&lt;F126,J96,D127)</f>
        <v>5494.0476190476193</v>
      </c>
      <c r="F127" s="523">
        <f t="shared" si="36"/>
        <v>74425.179955702988</v>
      </c>
      <c r="G127" s="523">
        <f t="shared" si="37"/>
        <v>77172.20376522679</v>
      </c>
      <c r="H127" s="526">
        <f t="shared" si="38"/>
        <v>13795.757340600914</v>
      </c>
      <c r="I127" s="577">
        <f t="shared" si="39"/>
        <v>13795.757340600914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9"/>
        <v/>
      </c>
      <c r="C128" s="507">
        <f>IF(D93="","-",+C127+1)</f>
        <v>2041</v>
      </c>
      <c r="D128" s="374">
        <f>IF(F127+SUM(E$99:E127)=D$92,F127,D$92-SUM(E$99:E127))</f>
        <v>74425.179955702988</v>
      </c>
      <c r="E128" s="522">
        <f>IF(+J96&lt;F127,J96,D128)</f>
        <v>5494.0476190476193</v>
      </c>
      <c r="F128" s="523">
        <f t="shared" si="36"/>
        <v>68931.13233665537</v>
      </c>
      <c r="G128" s="523">
        <f t="shared" si="37"/>
        <v>71678.156146179186</v>
      </c>
      <c r="H128" s="526">
        <f t="shared" si="38"/>
        <v>13204.74158227841</v>
      </c>
      <c r="I128" s="577">
        <f t="shared" si="39"/>
        <v>13204.74158227841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9"/>
        <v/>
      </c>
      <c r="C129" s="507">
        <f>IF(D93="","-",+C128+1)</f>
        <v>2042</v>
      </c>
      <c r="D129" s="374">
        <f>IF(F128+SUM(E$99:E128)=D$92,F128,D$92-SUM(E$99:E128))</f>
        <v>68931.13233665537</v>
      </c>
      <c r="E129" s="522">
        <f>IF(+J96&lt;F128,J96,D129)</f>
        <v>5494.0476190476193</v>
      </c>
      <c r="F129" s="523">
        <f t="shared" si="36"/>
        <v>63437.084717607751</v>
      </c>
      <c r="G129" s="523">
        <f t="shared" si="37"/>
        <v>66184.108527131553</v>
      </c>
      <c r="H129" s="526">
        <f t="shared" si="38"/>
        <v>12613.725823955905</v>
      </c>
      <c r="I129" s="577">
        <f t="shared" si="39"/>
        <v>12613.725823955905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9"/>
        <v/>
      </c>
      <c r="C130" s="507">
        <f>IF(D93="","-",+C129+1)</f>
        <v>2043</v>
      </c>
      <c r="D130" s="374">
        <f>IF(F129+SUM(E$99:E129)=D$92,F129,D$92-SUM(E$99:E129))</f>
        <v>63437.084717607751</v>
      </c>
      <c r="E130" s="522">
        <f>IF(+J96&lt;F129,J96,D130)</f>
        <v>5494.0476190476193</v>
      </c>
      <c r="F130" s="523">
        <f t="shared" si="36"/>
        <v>57943.037098560133</v>
      </c>
      <c r="G130" s="523">
        <f t="shared" si="37"/>
        <v>60690.060908083942</v>
      </c>
      <c r="H130" s="526">
        <f t="shared" si="38"/>
        <v>12022.710065633401</v>
      </c>
      <c r="I130" s="577">
        <f t="shared" si="39"/>
        <v>12022.710065633401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9"/>
        <v/>
      </c>
      <c r="C131" s="507">
        <f>IF(D93="","-",+C130+1)</f>
        <v>2044</v>
      </c>
      <c r="D131" s="374">
        <f>IF(F130+SUM(E$99:E130)=D$92,F130,D$92-SUM(E$99:E130))</f>
        <v>57943.037098560133</v>
      </c>
      <c r="E131" s="522">
        <f>IF(+J96&lt;F130,J96,D131)</f>
        <v>5494.0476190476193</v>
      </c>
      <c r="F131" s="523">
        <f t="shared" si="36"/>
        <v>52448.989479512515</v>
      </c>
      <c r="G131" s="523">
        <f t="shared" ref="G131:G154" si="40">+(F131+D131)/2</f>
        <v>55196.013289036324</v>
      </c>
      <c r="H131" s="526">
        <f t="shared" ref="H131:H154" si="41">+J$94*G131+E131</f>
        <v>11431.694307310896</v>
      </c>
      <c r="I131" s="577">
        <f t="shared" ref="I131:I154" si="42">+J$95*G131+E131</f>
        <v>11431.694307310896</v>
      </c>
      <c r="J131" s="514">
        <f t="shared" ref="J131:J154" si="43">+I131-H131</f>
        <v>0</v>
      </c>
      <c r="K131" s="514"/>
      <c r="L131" s="525"/>
      <c r="M131" s="514">
        <f t="shared" ref="M131:M154" si="44">IF(L131&lt;&gt;0,+H131-L131,0)</f>
        <v>0</v>
      </c>
      <c r="N131" s="525"/>
      <c r="O131" s="514">
        <f t="shared" ref="O131:O154" si="45">IF(N131&lt;&gt;0,+I131-N131,0)</f>
        <v>0</v>
      </c>
      <c r="P131" s="514">
        <f t="shared" ref="P131:P154" si="46">+O131-M131</f>
        <v>0</v>
      </c>
      <c r="Q131" s="269"/>
    </row>
    <row r="132" spans="2:17" ht="12.5">
      <c r="B132" s="195" t="str">
        <f t="shared" ref="B132:B154" si="47">IF(D132=F131,"","IU")</f>
        <v/>
      </c>
      <c r="C132" s="507">
        <f>IF(D93="","-",+C131+1)</f>
        <v>2045</v>
      </c>
      <c r="D132" s="374">
        <f>IF(F131+SUM(E$99:E131)=D$92,F131,D$92-SUM(E$99:E131))</f>
        <v>52448.989479512515</v>
      </c>
      <c r="E132" s="522">
        <f>IF(+J96&lt;F131,J96,D132)</f>
        <v>5494.0476190476193</v>
      </c>
      <c r="F132" s="523">
        <f t="shared" ref="F132:F154" si="48">+D132-E132</f>
        <v>46954.941860464896</v>
      </c>
      <c r="G132" s="523">
        <f t="shared" si="40"/>
        <v>49701.965669988705</v>
      </c>
      <c r="H132" s="526">
        <f t="shared" si="41"/>
        <v>10840.678548988391</v>
      </c>
      <c r="I132" s="577">
        <f t="shared" si="42"/>
        <v>10840.678548988391</v>
      </c>
      <c r="J132" s="514">
        <f t="shared" si="43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 ht="12.5">
      <c r="B133" s="195" t="str">
        <f t="shared" si="47"/>
        <v/>
      </c>
      <c r="C133" s="507">
        <f>IF(D93="","-",+C132+1)</f>
        <v>2046</v>
      </c>
      <c r="D133" s="374">
        <f>IF(F132+SUM(E$99:E132)=D$92,F132,D$92-SUM(E$99:E132))</f>
        <v>46954.941860464896</v>
      </c>
      <c r="E133" s="522">
        <f>IF(+J96&lt;F132,J96,D133)</f>
        <v>5494.0476190476193</v>
      </c>
      <c r="F133" s="523">
        <f t="shared" si="48"/>
        <v>41460.894241417278</v>
      </c>
      <c r="G133" s="523">
        <f t="shared" si="40"/>
        <v>44207.918050941087</v>
      </c>
      <c r="H133" s="526">
        <f t="shared" si="41"/>
        <v>10249.662790665887</v>
      </c>
      <c r="I133" s="577">
        <f t="shared" si="42"/>
        <v>10249.662790665887</v>
      </c>
      <c r="J133" s="514">
        <f t="shared" si="43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 ht="12.5">
      <c r="B134" s="195" t="str">
        <f t="shared" si="47"/>
        <v/>
      </c>
      <c r="C134" s="507">
        <f>IF(D93="","-",+C133+1)</f>
        <v>2047</v>
      </c>
      <c r="D134" s="374">
        <f>IF(F133+SUM(E$99:E133)=D$92,F133,D$92-SUM(E$99:E133))</f>
        <v>41460.894241417278</v>
      </c>
      <c r="E134" s="522">
        <f>IF(+J96&lt;F133,J96,D134)</f>
        <v>5494.0476190476193</v>
      </c>
      <c r="F134" s="523">
        <f t="shared" si="48"/>
        <v>35966.84662236966</v>
      </c>
      <c r="G134" s="523">
        <f t="shared" si="40"/>
        <v>38713.870431893469</v>
      </c>
      <c r="H134" s="526">
        <f t="shared" si="41"/>
        <v>9658.6470323433823</v>
      </c>
      <c r="I134" s="577">
        <f t="shared" si="42"/>
        <v>9658.6470323433823</v>
      </c>
      <c r="J134" s="514">
        <f t="shared" si="43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 ht="12.5">
      <c r="B135" s="195" t="str">
        <f t="shared" si="47"/>
        <v/>
      </c>
      <c r="C135" s="507">
        <f>IF(D93="","-",+C134+1)</f>
        <v>2048</v>
      </c>
      <c r="D135" s="374">
        <f>IF(F134+SUM(E$99:E134)=D$92,F134,D$92-SUM(E$99:E134))</f>
        <v>35966.84662236966</v>
      </c>
      <c r="E135" s="522">
        <f>IF(+J96&lt;F134,J96,D135)</f>
        <v>5494.0476190476193</v>
      </c>
      <c r="F135" s="523">
        <f t="shared" si="48"/>
        <v>30472.799003322041</v>
      </c>
      <c r="G135" s="523">
        <f t="shared" si="40"/>
        <v>33219.82281284585</v>
      </c>
      <c r="H135" s="526">
        <f t="shared" si="41"/>
        <v>9067.6312740208778</v>
      </c>
      <c r="I135" s="577">
        <f t="shared" si="42"/>
        <v>9067.6312740208778</v>
      </c>
      <c r="J135" s="514">
        <f t="shared" si="43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 ht="12.5">
      <c r="B136" s="195" t="str">
        <f t="shared" si="47"/>
        <v/>
      </c>
      <c r="C136" s="507">
        <f>IF(D93="","-",+C135+1)</f>
        <v>2049</v>
      </c>
      <c r="D136" s="374">
        <f>IF(F135+SUM(E$99:E135)=D$92,F135,D$92-SUM(E$99:E135))</f>
        <v>30472.799003322041</v>
      </c>
      <c r="E136" s="522">
        <f>IF(+J96&lt;F135,J96,D136)</f>
        <v>5494.0476190476193</v>
      </c>
      <c r="F136" s="523">
        <f t="shared" si="48"/>
        <v>24978.751384274423</v>
      </c>
      <c r="G136" s="523">
        <f t="shared" si="40"/>
        <v>27725.775193798232</v>
      </c>
      <c r="H136" s="526">
        <f t="shared" si="41"/>
        <v>8476.6155156983732</v>
      </c>
      <c r="I136" s="577">
        <f t="shared" si="42"/>
        <v>8476.6155156983732</v>
      </c>
      <c r="J136" s="514">
        <f t="shared" si="43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 ht="12.5">
      <c r="B137" s="195" t="str">
        <f t="shared" si="47"/>
        <v/>
      </c>
      <c r="C137" s="507">
        <f>IF(D93="","-",+C136+1)</f>
        <v>2050</v>
      </c>
      <c r="D137" s="374">
        <f>IF(F136+SUM(E$99:E136)=D$92,F136,D$92-SUM(E$99:E136))</f>
        <v>24978.751384274423</v>
      </c>
      <c r="E137" s="522">
        <f>IF(+J96&lt;F136,J96,D137)</f>
        <v>5494.0476190476193</v>
      </c>
      <c r="F137" s="523">
        <f t="shared" si="48"/>
        <v>19484.703765226805</v>
      </c>
      <c r="G137" s="523">
        <f t="shared" si="40"/>
        <v>22231.727574750614</v>
      </c>
      <c r="H137" s="526">
        <f t="shared" si="41"/>
        <v>7885.5997573758705</v>
      </c>
      <c r="I137" s="577">
        <f t="shared" si="42"/>
        <v>7885.5997573758705</v>
      </c>
      <c r="J137" s="514">
        <f t="shared" si="43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 ht="12.5">
      <c r="B138" s="195" t="str">
        <f t="shared" si="47"/>
        <v/>
      </c>
      <c r="C138" s="507">
        <f>IF(D93="","-",+C137+1)</f>
        <v>2051</v>
      </c>
      <c r="D138" s="374">
        <f>IF(F137+SUM(E$99:E137)=D$92,F137,D$92-SUM(E$99:E137))</f>
        <v>19484.703765226805</v>
      </c>
      <c r="E138" s="522">
        <f>IF(+J96&lt;F137,J96,D138)</f>
        <v>5494.0476190476193</v>
      </c>
      <c r="F138" s="523">
        <f t="shared" si="48"/>
        <v>13990.656146179186</v>
      </c>
      <c r="G138" s="523">
        <f t="shared" si="40"/>
        <v>16737.679955702995</v>
      </c>
      <c r="H138" s="526">
        <f t="shared" si="41"/>
        <v>7294.5839990533659</v>
      </c>
      <c r="I138" s="577">
        <f t="shared" si="42"/>
        <v>7294.5839990533659</v>
      </c>
      <c r="J138" s="514">
        <f t="shared" si="43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 ht="12.5">
      <c r="B139" s="195" t="str">
        <f t="shared" si="47"/>
        <v/>
      </c>
      <c r="C139" s="507">
        <f>IF(D93="","-",+C138+1)</f>
        <v>2052</v>
      </c>
      <c r="D139" s="374">
        <f>IF(F138+SUM(E$99:E138)=D$92,F138,D$92-SUM(E$99:E138))</f>
        <v>13990.656146179186</v>
      </c>
      <c r="E139" s="522">
        <f>IF(+J96&lt;F138,J96,D139)</f>
        <v>5494.0476190476193</v>
      </c>
      <c r="F139" s="523">
        <f t="shared" si="48"/>
        <v>8496.6085271315678</v>
      </c>
      <c r="G139" s="523">
        <f t="shared" si="40"/>
        <v>11243.632336655377</v>
      </c>
      <c r="H139" s="526">
        <f t="shared" si="41"/>
        <v>6703.5682407308614</v>
      </c>
      <c r="I139" s="577">
        <f t="shared" si="42"/>
        <v>6703.5682407308614</v>
      </c>
      <c r="J139" s="514">
        <f t="shared" si="43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 ht="12.5">
      <c r="B140" s="195" t="str">
        <f t="shared" si="47"/>
        <v/>
      </c>
      <c r="C140" s="507">
        <f>IF(D93="","-",+C139+1)</f>
        <v>2053</v>
      </c>
      <c r="D140" s="374">
        <f>IF(F139+SUM(E$99:E139)=D$92,F139,D$92-SUM(E$99:E139))</f>
        <v>8496.6085271315678</v>
      </c>
      <c r="E140" s="522">
        <f>IF(+J96&lt;F139,J96,D140)</f>
        <v>5494.0476190476193</v>
      </c>
      <c r="F140" s="523">
        <f t="shared" si="48"/>
        <v>3002.5609080839486</v>
      </c>
      <c r="G140" s="523">
        <f t="shared" si="40"/>
        <v>5749.5847176077586</v>
      </c>
      <c r="H140" s="526">
        <f t="shared" si="41"/>
        <v>6112.5524824083568</v>
      </c>
      <c r="I140" s="577">
        <f t="shared" si="42"/>
        <v>6112.5524824083568</v>
      </c>
      <c r="J140" s="514">
        <f t="shared" si="43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 ht="12.5">
      <c r="B141" s="195" t="str">
        <f t="shared" si="47"/>
        <v/>
      </c>
      <c r="C141" s="507">
        <f>IF(D93="","-",+C140+1)</f>
        <v>2054</v>
      </c>
      <c r="D141" s="374">
        <f>IF(F140+SUM(E$99:E140)=D$92,F140,D$92-SUM(E$99:E140))</f>
        <v>3002.5609080839486</v>
      </c>
      <c r="E141" s="522">
        <f>IF(+J96&lt;F140,J96,D141)</f>
        <v>3002.5609080839486</v>
      </c>
      <c r="F141" s="523">
        <f t="shared" si="48"/>
        <v>0</v>
      </c>
      <c r="G141" s="523">
        <f t="shared" si="40"/>
        <v>1501.2804540419743</v>
      </c>
      <c r="H141" s="526">
        <f t="shared" si="41"/>
        <v>3164.0594001836912</v>
      </c>
      <c r="I141" s="577">
        <f t="shared" si="42"/>
        <v>3164.0594001836912</v>
      </c>
      <c r="J141" s="514">
        <f t="shared" si="43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 ht="12.5">
      <c r="B142" s="195" t="str">
        <f t="shared" si="47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8"/>
        <v>0</v>
      </c>
      <c r="G142" s="523">
        <f t="shared" si="40"/>
        <v>0</v>
      </c>
      <c r="H142" s="526">
        <f t="shared" si="41"/>
        <v>0</v>
      </c>
      <c r="I142" s="577">
        <f t="shared" si="42"/>
        <v>0</v>
      </c>
      <c r="J142" s="514">
        <f t="shared" si="43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 ht="12.5">
      <c r="B143" s="195" t="str">
        <f t="shared" si="47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8"/>
        <v>0</v>
      </c>
      <c r="G143" s="523">
        <f t="shared" si="40"/>
        <v>0</v>
      </c>
      <c r="H143" s="526">
        <f t="shared" si="41"/>
        <v>0</v>
      </c>
      <c r="I143" s="577">
        <f t="shared" si="42"/>
        <v>0</v>
      </c>
      <c r="J143" s="514">
        <f t="shared" si="43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 ht="12.5">
      <c r="B144" s="195" t="str">
        <f t="shared" si="47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8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43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 ht="12.5">
      <c r="B145" s="195" t="str">
        <f t="shared" si="47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8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43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 ht="12.5">
      <c r="B146" s="195" t="str">
        <f t="shared" si="47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8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43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 ht="12.5">
      <c r="B147" s="195" t="str">
        <f t="shared" si="47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8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43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 ht="12.5">
      <c r="B148" s="195" t="str">
        <f t="shared" si="47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8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43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 ht="12.5">
      <c r="B149" s="195" t="str">
        <f t="shared" si="47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8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43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 ht="12.5">
      <c r="B150" s="195" t="str">
        <f t="shared" si="47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8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43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 ht="12.5">
      <c r="B151" s="195" t="str">
        <f t="shared" si="47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8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43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 ht="12.5">
      <c r="B152" s="195" t="str">
        <f t="shared" si="47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8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43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 ht="12.5">
      <c r="B153" s="195" t="str">
        <f t="shared" si="47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8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43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" thickBot="1">
      <c r="B154" s="195" t="str">
        <f t="shared" si="47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8"/>
        <v>0</v>
      </c>
      <c r="G154" s="528">
        <f t="shared" si="40"/>
        <v>0</v>
      </c>
      <c r="H154" s="530">
        <f t="shared" si="41"/>
        <v>0</v>
      </c>
      <c r="I154" s="579">
        <f t="shared" si="42"/>
        <v>0</v>
      </c>
      <c r="J154" s="533">
        <f t="shared" si="43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 ht="12.5">
      <c r="C155" s="374" t="s">
        <v>78</v>
      </c>
      <c r="D155" s="375"/>
      <c r="E155" s="375">
        <f>SUM(E99:E154)</f>
        <v>230750.00000000003</v>
      </c>
      <c r="F155" s="375"/>
      <c r="G155" s="375"/>
      <c r="H155" s="375">
        <f>SUM(H99:H154)</f>
        <v>781580.40935361118</v>
      </c>
      <c r="I155" s="375">
        <f>SUM(I99:I154)</f>
        <v>781580.40935361118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9" priority="1" stopIfTrue="1" operator="equal">
      <formula>$I$10</formula>
    </cfRule>
  </conditionalFormatting>
  <conditionalFormatting sqref="C99:C154">
    <cfRule type="cellIs" dxfId="9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Q162"/>
  <sheetViews>
    <sheetView view="pageBreakPreview" topLeftCell="A76" zoomScale="75" zoomScaleNormal="100" zoomScaleSheetLayoutView="75" workbookViewId="0">
      <selection activeCell="K102" sqref="K10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32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447527.67036121147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447527.67036121147</v>
      </c>
      <c r="O6" s="269"/>
      <c r="P6" s="269"/>
    </row>
    <row r="7" spans="1:17" ht="13.5" thickBot="1">
      <c r="C7" s="467" t="s">
        <v>48</v>
      </c>
      <c r="D7" s="620" t="s">
        <v>287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/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4175110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99407.380952380947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3985900</v>
      </c>
      <c r="E17" s="509">
        <v>47451.190476190473</v>
      </c>
      <c r="F17" s="508">
        <v>3938448.8095238097</v>
      </c>
      <c r="G17" s="509">
        <v>633177.84907678491</v>
      </c>
      <c r="H17" s="510">
        <v>633177.84907678491</v>
      </c>
      <c r="I17" s="617">
        <v>0</v>
      </c>
      <c r="J17" s="511"/>
      <c r="K17" s="512">
        <f t="shared" ref="K17:K22" si="0">G17</f>
        <v>633177.84907678491</v>
      </c>
      <c r="L17" s="597">
        <f t="shared" ref="L17:L48" si="1">IF(K17&lt;&gt;0,+G17-K17,0)</f>
        <v>0</v>
      </c>
      <c r="M17" s="512">
        <f t="shared" ref="M17:M22" si="2">H17</f>
        <v>633177.84907678491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508">
        <v>4157203.8095238097</v>
      </c>
      <c r="E18" s="516">
        <v>100110.83333333333</v>
      </c>
      <c r="F18" s="508">
        <v>4057092.9761904762</v>
      </c>
      <c r="G18" s="516">
        <v>668051.44078047015</v>
      </c>
      <c r="H18" s="510">
        <v>668051.44078047015</v>
      </c>
      <c r="I18" s="616">
        <v>0</v>
      </c>
      <c r="J18" s="511"/>
      <c r="K18" s="518">
        <f t="shared" si="0"/>
        <v>668051.44078047015</v>
      </c>
      <c r="L18" s="519">
        <f t="shared" ref="L18:L23" si="6">IF(K18&lt;&gt;0,+G18-K18,0)</f>
        <v>0</v>
      </c>
      <c r="M18" s="518">
        <f t="shared" si="2"/>
        <v>668051.44078047015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508">
        <v>4010174.9761904762</v>
      </c>
      <c r="E19" s="516">
        <v>98993.738095238092</v>
      </c>
      <c r="F19" s="508">
        <v>3911181.2380952383</v>
      </c>
      <c r="G19" s="516">
        <v>626653.18678450992</v>
      </c>
      <c r="H19" s="510">
        <v>626653.18678450992</v>
      </c>
      <c r="I19" s="616">
        <v>0</v>
      </c>
      <c r="J19" s="511"/>
      <c r="K19" s="518">
        <f t="shared" si="0"/>
        <v>626653.18678450992</v>
      </c>
      <c r="L19" s="519">
        <f t="shared" si="6"/>
        <v>0</v>
      </c>
      <c r="M19" s="518">
        <f t="shared" si="2"/>
        <v>626653.18678450992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2015</v>
      </c>
      <c r="D20" s="508">
        <v>3928554.2380952379</v>
      </c>
      <c r="E20" s="516">
        <v>99407.380952380947</v>
      </c>
      <c r="F20" s="508">
        <v>3829146.8571428568</v>
      </c>
      <c r="G20" s="516">
        <v>603724.40567685384</v>
      </c>
      <c r="H20" s="510">
        <v>603724.40567685384</v>
      </c>
      <c r="I20" s="511">
        <v>0</v>
      </c>
      <c r="J20" s="511"/>
      <c r="K20" s="518">
        <f t="shared" si="0"/>
        <v>603724.40567685384</v>
      </c>
      <c r="L20" s="519">
        <f t="shared" si="6"/>
        <v>0</v>
      </c>
      <c r="M20" s="518">
        <f t="shared" si="2"/>
        <v>603724.40567685384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508">
        <v>3829146.8571428568</v>
      </c>
      <c r="E21" s="516">
        <v>99407.380952380947</v>
      </c>
      <c r="F21" s="508">
        <v>3729739.4761904757</v>
      </c>
      <c r="G21" s="516">
        <v>584571.79884231184</v>
      </c>
      <c r="H21" s="510">
        <v>584571.79884231184</v>
      </c>
      <c r="I21" s="511">
        <f t="shared" ref="I21:I48" si="9">H21-G21</f>
        <v>0</v>
      </c>
      <c r="J21" s="511"/>
      <c r="K21" s="518">
        <f t="shared" si="0"/>
        <v>584571.79884231184</v>
      </c>
      <c r="L21" s="519">
        <f t="shared" si="6"/>
        <v>0</v>
      </c>
      <c r="M21" s="518">
        <f t="shared" si="2"/>
        <v>584571.79884231184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508">
        <v>3729739.4761904757</v>
      </c>
      <c r="E22" s="516">
        <v>97095.58139534884</v>
      </c>
      <c r="F22" s="508">
        <v>3632643.8947951267</v>
      </c>
      <c r="G22" s="516">
        <v>553167.7460387327</v>
      </c>
      <c r="H22" s="510">
        <v>553167.7460387327</v>
      </c>
      <c r="I22" s="511">
        <f t="shared" si="9"/>
        <v>0</v>
      </c>
      <c r="J22" s="511"/>
      <c r="K22" s="518">
        <f t="shared" si="0"/>
        <v>553167.7460387327</v>
      </c>
      <c r="L22" s="519">
        <f t="shared" si="6"/>
        <v>0</v>
      </c>
      <c r="M22" s="518">
        <f t="shared" si="2"/>
        <v>553167.7460387327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508">
        <v>3632643.8947951267</v>
      </c>
      <c r="E23" s="516">
        <v>101831.95121951219</v>
      </c>
      <c r="F23" s="508">
        <v>3530811.9435756146</v>
      </c>
      <c r="G23" s="516">
        <v>557048.43371456629</v>
      </c>
      <c r="H23" s="510">
        <v>557048.43371456629</v>
      </c>
      <c r="I23" s="511">
        <f t="shared" si="9"/>
        <v>0</v>
      </c>
      <c r="J23" s="511"/>
      <c r="K23" s="518">
        <f>G23</f>
        <v>557048.43371456629</v>
      </c>
      <c r="L23" s="519">
        <f t="shared" si="6"/>
        <v>0</v>
      </c>
      <c r="M23" s="518">
        <f>H23</f>
        <v>557048.43371456629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508">
        <v>3530811.9435756146</v>
      </c>
      <c r="E24" s="516">
        <v>101831.95121951219</v>
      </c>
      <c r="F24" s="508">
        <v>3428979.9923561024</v>
      </c>
      <c r="G24" s="516">
        <v>544106.19363221596</v>
      </c>
      <c r="H24" s="510">
        <v>544106.19363221596</v>
      </c>
      <c r="I24" s="511">
        <f t="shared" si="9"/>
        <v>0</v>
      </c>
      <c r="J24" s="511"/>
      <c r="K24" s="518">
        <f>G24</f>
        <v>544106.19363221596</v>
      </c>
      <c r="L24" s="519">
        <f t="shared" ref="L24" si="10">IF(K24&lt;&gt;0,+G24-K24,0)</f>
        <v>0</v>
      </c>
      <c r="M24" s="518">
        <f>H24</f>
        <v>544106.19363221596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508">
        <v>3428979.9923561024</v>
      </c>
      <c r="E25" s="516">
        <v>101831.95121951219</v>
      </c>
      <c r="F25" s="508">
        <v>3327148.0411365903</v>
      </c>
      <c r="G25" s="516">
        <v>447527.67036121147</v>
      </c>
      <c r="H25" s="510">
        <v>447527.67036121147</v>
      </c>
      <c r="I25" s="511">
        <f t="shared" si="9"/>
        <v>0</v>
      </c>
      <c r="J25" s="511"/>
      <c r="K25" s="518">
        <f>G25</f>
        <v>447527.67036121147</v>
      </c>
      <c r="L25" s="519">
        <f t="shared" ref="L25" si="11">IF(K25&lt;&gt;0,+G25-K25,0)</f>
        <v>0</v>
      </c>
      <c r="M25" s="518">
        <f>H25</f>
        <v>447527.67036121147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/>
      </c>
      <c r="C26" s="507">
        <f>IF(D11="","-",+C25+1)</f>
        <v>2021</v>
      </c>
      <c r="D26" s="523">
        <f>IF(F25+SUM(E$17:E25)=D$10,F25,D$10-SUM(E$17:E25))</f>
        <v>3327148.0411365903</v>
      </c>
      <c r="E26" s="522">
        <f>IF(+I14&lt;F25,I14,D26)</f>
        <v>99407.380952380947</v>
      </c>
      <c r="F26" s="523">
        <f t="shared" ref="F26:F48" si="12">+D26-E26</f>
        <v>3227740.6601842092</v>
      </c>
      <c r="G26" s="524">
        <f t="shared" ref="G26:G53" si="13">+I$12*((D26+F26)/2)+E26</f>
        <v>449497.34560272726</v>
      </c>
      <c r="H26" s="491">
        <f t="shared" ref="H26:H53" si="14">+I$13*((D26+F26)/2)+E26</f>
        <v>449497.34560272726</v>
      </c>
      <c r="I26" s="511">
        <f t="shared" si="9"/>
        <v>0</v>
      </c>
      <c r="J26" s="511"/>
      <c r="K26" s="525"/>
      <c r="L26" s="514">
        <f t="shared" si="1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3227740.6601842092</v>
      </c>
      <c r="E27" s="522">
        <f>IF(+I14&lt;F26,I14,D27)</f>
        <v>99407.380952380947</v>
      </c>
      <c r="F27" s="523">
        <f t="shared" si="12"/>
        <v>3128333.2792318282</v>
      </c>
      <c r="G27" s="524">
        <f t="shared" si="13"/>
        <v>438878.85059255571</v>
      </c>
      <c r="H27" s="491">
        <f t="shared" si="14"/>
        <v>438878.85059255571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3128333.2792318282</v>
      </c>
      <c r="E28" s="522">
        <f>IF(+I14&lt;F27,I14,D28)</f>
        <v>99407.380952380947</v>
      </c>
      <c r="F28" s="523">
        <f t="shared" si="12"/>
        <v>3028925.8982794471</v>
      </c>
      <c r="G28" s="524">
        <f t="shared" si="13"/>
        <v>428260.35558238404</v>
      </c>
      <c r="H28" s="491">
        <f t="shared" si="14"/>
        <v>428260.35558238404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3028925.8982794471</v>
      </c>
      <c r="E29" s="522">
        <f>IF(+I14&lt;F28,I14,D29)</f>
        <v>99407.380952380947</v>
      </c>
      <c r="F29" s="523">
        <f t="shared" si="12"/>
        <v>2929518.517327066</v>
      </c>
      <c r="G29" s="524">
        <f t="shared" si="13"/>
        <v>417641.86057221249</v>
      </c>
      <c r="H29" s="491">
        <f t="shared" si="14"/>
        <v>417641.86057221249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2929518.517327066</v>
      </c>
      <c r="E30" s="522">
        <f>IF(+I14&lt;F29,I14,D30)</f>
        <v>99407.380952380947</v>
      </c>
      <c r="F30" s="523">
        <f t="shared" si="12"/>
        <v>2830111.136374685</v>
      </c>
      <c r="G30" s="524">
        <f t="shared" si="13"/>
        <v>407023.36556204082</v>
      </c>
      <c r="H30" s="491">
        <f t="shared" si="14"/>
        <v>407023.36556204082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2830111.136374685</v>
      </c>
      <c r="E31" s="522">
        <f>IF(+I14&lt;F30,I14,D31)</f>
        <v>99407.380952380947</v>
      </c>
      <c r="F31" s="523">
        <f t="shared" si="12"/>
        <v>2730703.7554223039</v>
      </c>
      <c r="G31" s="524">
        <f t="shared" si="13"/>
        <v>396404.87055186927</v>
      </c>
      <c r="H31" s="491">
        <f t="shared" si="14"/>
        <v>396404.87055186927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2730703.7554223039</v>
      </c>
      <c r="E32" s="522">
        <f>IF(+I14&lt;F31,I14,D32)</f>
        <v>99407.380952380947</v>
      </c>
      <c r="F32" s="523">
        <f t="shared" si="12"/>
        <v>2631296.3744699229</v>
      </c>
      <c r="G32" s="524">
        <f t="shared" si="13"/>
        <v>385786.37554169761</v>
      </c>
      <c r="H32" s="491">
        <f t="shared" si="14"/>
        <v>385786.37554169761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2631296.3744699229</v>
      </c>
      <c r="E33" s="522">
        <f>IF(+I14&lt;F32,I14,D33)</f>
        <v>99407.380952380947</v>
      </c>
      <c r="F33" s="523">
        <f t="shared" si="12"/>
        <v>2531888.9935175418</v>
      </c>
      <c r="G33" s="524">
        <f t="shared" si="13"/>
        <v>375167.880531526</v>
      </c>
      <c r="H33" s="491">
        <f t="shared" si="14"/>
        <v>375167.880531526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2531888.9935175418</v>
      </c>
      <c r="E34" s="522">
        <f>IF(+I14&lt;F33,I14,D34)</f>
        <v>99407.380952380947</v>
      </c>
      <c r="F34" s="523">
        <f t="shared" si="12"/>
        <v>2432481.6125651607</v>
      </c>
      <c r="G34" s="524">
        <f t="shared" si="13"/>
        <v>364549.38552135433</v>
      </c>
      <c r="H34" s="491">
        <f t="shared" si="14"/>
        <v>364549.38552135433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2432481.6125651607</v>
      </c>
      <c r="E35" s="522">
        <f>IF(+I14&lt;F34,I14,D35)</f>
        <v>99407.380952380947</v>
      </c>
      <c r="F35" s="523">
        <f t="shared" si="12"/>
        <v>2333074.2316127797</v>
      </c>
      <c r="G35" s="524">
        <f t="shared" si="13"/>
        <v>353930.89051118284</v>
      </c>
      <c r="H35" s="491">
        <f t="shared" si="14"/>
        <v>353930.89051118284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2333074.2316127797</v>
      </c>
      <c r="E36" s="522">
        <f>IF(+I14&lt;F35,I14,D36)</f>
        <v>99407.380952380947</v>
      </c>
      <c r="F36" s="523">
        <f t="shared" si="12"/>
        <v>2233666.8506603986</v>
      </c>
      <c r="G36" s="524">
        <f t="shared" si="13"/>
        <v>343312.39550101117</v>
      </c>
      <c r="H36" s="491">
        <f t="shared" si="14"/>
        <v>343312.39550101117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2233666.8506603986</v>
      </c>
      <c r="E37" s="522">
        <f>IF(+I14&lt;F36,I14,D37)</f>
        <v>99407.380952380947</v>
      </c>
      <c r="F37" s="523">
        <f t="shared" si="12"/>
        <v>2134259.4697080175</v>
      </c>
      <c r="G37" s="524">
        <f t="shared" si="13"/>
        <v>332693.90049083956</v>
      </c>
      <c r="H37" s="491">
        <f t="shared" si="14"/>
        <v>332693.90049083956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2134259.4697080175</v>
      </c>
      <c r="E38" s="522">
        <f>IF(+I14&lt;F37,I14,D38)</f>
        <v>99407.380952380947</v>
      </c>
      <c r="F38" s="523">
        <f t="shared" si="12"/>
        <v>2034852.0887556365</v>
      </c>
      <c r="G38" s="524">
        <f t="shared" si="13"/>
        <v>322075.40548066795</v>
      </c>
      <c r="H38" s="491">
        <f t="shared" si="14"/>
        <v>322075.40548066795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2034852.0887556365</v>
      </c>
      <c r="E39" s="522">
        <f>IF(+I14&lt;F38,I14,D39)</f>
        <v>99407.380952380947</v>
      </c>
      <c r="F39" s="523">
        <f t="shared" si="12"/>
        <v>1935444.7078032554</v>
      </c>
      <c r="G39" s="524">
        <f t="shared" si="13"/>
        <v>311456.91047049628</v>
      </c>
      <c r="H39" s="491">
        <f t="shared" si="14"/>
        <v>311456.91047049628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1935444.7078032554</v>
      </c>
      <c r="E40" s="522">
        <f>IF(+I14&lt;F39,I14,D40)</f>
        <v>99407.380952380947</v>
      </c>
      <c r="F40" s="523">
        <f t="shared" si="12"/>
        <v>1836037.3268508743</v>
      </c>
      <c r="G40" s="524">
        <f t="shared" si="13"/>
        <v>300838.41546032473</v>
      </c>
      <c r="H40" s="491">
        <f t="shared" si="14"/>
        <v>300838.41546032473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1836037.3268508743</v>
      </c>
      <c r="E41" s="522">
        <f>IF(+I14&lt;F40,I14,D41)</f>
        <v>99407.380952380947</v>
      </c>
      <c r="F41" s="523">
        <f t="shared" si="12"/>
        <v>1736629.9458984933</v>
      </c>
      <c r="G41" s="524">
        <f t="shared" si="13"/>
        <v>290219.92045015306</v>
      </c>
      <c r="H41" s="491">
        <f t="shared" si="14"/>
        <v>290219.92045015306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1736629.9458984933</v>
      </c>
      <c r="E42" s="522">
        <f>IF(+I14&lt;F41,I14,D42)</f>
        <v>99407.380952380947</v>
      </c>
      <c r="F42" s="523">
        <f t="shared" si="12"/>
        <v>1637222.5649461122</v>
      </c>
      <c r="G42" s="524">
        <f t="shared" si="13"/>
        <v>279601.42543998151</v>
      </c>
      <c r="H42" s="491">
        <f t="shared" si="14"/>
        <v>279601.42543998151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1637222.5649461122</v>
      </c>
      <c r="E43" s="522">
        <f>IF(+I14&lt;F42,I14,D43)</f>
        <v>99407.380952380947</v>
      </c>
      <c r="F43" s="523">
        <f t="shared" si="12"/>
        <v>1537815.1839937312</v>
      </c>
      <c r="G43" s="524">
        <f t="shared" si="13"/>
        <v>268982.93042980984</v>
      </c>
      <c r="H43" s="491">
        <f t="shared" si="14"/>
        <v>268982.93042980984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1537815.1839937312</v>
      </c>
      <c r="E44" s="522">
        <f>IF(+I14&lt;F43,I14,D44)</f>
        <v>99407.380952380947</v>
      </c>
      <c r="F44" s="523">
        <f t="shared" si="12"/>
        <v>1438407.8030413501</v>
      </c>
      <c r="G44" s="524">
        <f t="shared" si="13"/>
        <v>258364.43541963823</v>
      </c>
      <c r="H44" s="491">
        <f t="shared" si="14"/>
        <v>258364.43541963823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1438407.8030413501</v>
      </c>
      <c r="E45" s="522">
        <f>IF(+I14&lt;F44,I14,D45)</f>
        <v>99407.380952380947</v>
      </c>
      <c r="F45" s="523">
        <f t="shared" si="12"/>
        <v>1339000.422088969</v>
      </c>
      <c r="G45" s="524">
        <f t="shared" si="13"/>
        <v>247745.94040946662</v>
      </c>
      <c r="H45" s="491">
        <f t="shared" si="14"/>
        <v>247745.94040946662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1339000.422088969</v>
      </c>
      <c r="E46" s="522">
        <f>IF(+I14&lt;F45,I14,D46)</f>
        <v>99407.380952380947</v>
      </c>
      <c r="F46" s="523">
        <f t="shared" si="12"/>
        <v>1239593.041136588</v>
      </c>
      <c r="G46" s="524">
        <f t="shared" si="13"/>
        <v>237127.44539929501</v>
      </c>
      <c r="H46" s="491">
        <f t="shared" si="14"/>
        <v>237127.44539929501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1239593.041136588</v>
      </c>
      <c r="E47" s="522">
        <f>IF(+I14&lt;F46,I14,D47)</f>
        <v>99407.380952380947</v>
      </c>
      <c r="F47" s="523">
        <f t="shared" si="12"/>
        <v>1140185.6601842069</v>
      </c>
      <c r="G47" s="524">
        <f t="shared" si="13"/>
        <v>226508.95038912341</v>
      </c>
      <c r="H47" s="491">
        <f t="shared" si="14"/>
        <v>226508.95038912341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1140185.6601842069</v>
      </c>
      <c r="E48" s="522">
        <f>IF(+I14&lt;F47,I14,D48)</f>
        <v>99407.380952380947</v>
      </c>
      <c r="F48" s="523">
        <f t="shared" si="12"/>
        <v>1040778.279231826</v>
      </c>
      <c r="G48" s="524">
        <f t="shared" si="13"/>
        <v>215890.4553789518</v>
      </c>
      <c r="H48" s="491">
        <f t="shared" si="14"/>
        <v>215890.4553789518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1040778.279231826</v>
      </c>
      <c r="E49" s="522">
        <f>IF(+I14&lt;F48,I14,D49)</f>
        <v>99407.380952380947</v>
      </c>
      <c r="F49" s="523">
        <f t="shared" ref="F49:F72" si="15">+D49-E49</f>
        <v>941370.89827944501</v>
      </c>
      <c r="G49" s="524">
        <f t="shared" si="13"/>
        <v>205271.96036878019</v>
      </c>
      <c r="H49" s="491">
        <f t="shared" si="14"/>
        <v>205271.96036878019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ref="B50:B72" si="20">IF(D50=F49,"","IU")</f>
        <v/>
      </c>
      <c r="C50" s="507">
        <f>IF(D11="","-",+C49+1)</f>
        <v>2045</v>
      </c>
      <c r="D50" s="523">
        <f>IF(F49+SUM(E$17:E49)=D$10,F49,D$10-SUM(E$17:E49))</f>
        <v>941370.89827944501</v>
      </c>
      <c r="E50" s="522">
        <f>IF(+I14&lt;F49,I14,D50)</f>
        <v>99407.380952380947</v>
      </c>
      <c r="F50" s="523">
        <f t="shared" si="15"/>
        <v>841963.51732706407</v>
      </c>
      <c r="G50" s="524">
        <f t="shared" si="13"/>
        <v>194653.46535860858</v>
      </c>
      <c r="H50" s="491">
        <f t="shared" si="14"/>
        <v>194653.46535860858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20"/>
        <v/>
      </c>
      <c r="C51" s="507">
        <f>IF(D11="","-",+C50+1)</f>
        <v>2046</v>
      </c>
      <c r="D51" s="523">
        <f>IF(F50+SUM(E$17:E50)=D$10,F50,D$10-SUM(E$17:E50))</f>
        <v>841963.51732706407</v>
      </c>
      <c r="E51" s="522">
        <f>IF(+I14&lt;F50,I14,D51)</f>
        <v>99407.380952380947</v>
      </c>
      <c r="F51" s="523">
        <f t="shared" si="15"/>
        <v>742556.13637468312</v>
      </c>
      <c r="G51" s="524">
        <f t="shared" si="13"/>
        <v>184034.970348437</v>
      </c>
      <c r="H51" s="491">
        <f t="shared" si="14"/>
        <v>184034.970348437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20"/>
        <v/>
      </c>
      <c r="C52" s="507">
        <f>IF(D11="","-",+C51+1)</f>
        <v>2047</v>
      </c>
      <c r="D52" s="523">
        <f>IF(F51+SUM(E$17:E51)=D$10,F51,D$10-SUM(E$17:E51))</f>
        <v>742556.13637468312</v>
      </c>
      <c r="E52" s="522">
        <f>IF(+I14&lt;F51,I14,D52)</f>
        <v>99407.380952380947</v>
      </c>
      <c r="F52" s="523">
        <f t="shared" si="15"/>
        <v>643148.75542230217</v>
      </c>
      <c r="G52" s="524">
        <f t="shared" si="13"/>
        <v>173416.47533826539</v>
      </c>
      <c r="H52" s="491">
        <f t="shared" si="14"/>
        <v>173416.47533826539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20"/>
        <v/>
      </c>
      <c r="C53" s="507">
        <f>IF(D11="","-",+C52+1)</f>
        <v>2048</v>
      </c>
      <c r="D53" s="523">
        <f>IF(F52+SUM(E$17:E52)=D$10,F52,D$10-SUM(E$17:E52))</f>
        <v>643148.75542230217</v>
      </c>
      <c r="E53" s="522">
        <f>IF(+I14&lt;F52,I14,D53)</f>
        <v>99407.380952380947</v>
      </c>
      <c r="F53" s="523">
        <f t="shared" si="15"/>
        <v>543741.37446992123</v>
      </c>
      <c r="G53" s="524">
        <f t="shared" si="13"/>
        <v>162797.98032809381</v>
      </c>
      <c r="H53" s="491">
        <f t="shared" si="14"/>
        <v>162797.98032809381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20"/>
        <v/>
      </c>
      <c r="C54" s="507">
        <f>IF(D11="","-",+C53+1)</f>
        <v>2049</v>
      </c>
      <c r="D54" s="523">
        <f>IF(F53+SUM(E$17:E53)=D$10,F53,D$10-SUM(E$17:E53))</f>
        <v>543741.37446992123</v>
      </c>
      <c r="E54" s="522">
        <f>IF(+I14&lt;F53,I14,D54)</f>
        <v>99407.380952380947</v>
      </c>
      <c r="F54" s="523">
        <f t="shared" si="15"/>
        <v>444333.99351754028</v>
      </c>
      <c r="G54" s="524">
        <f t="shared" ref="G54:G72" si="21">+I$12*((D54+F54)/2)+E54</f>
        <v>152179.4853179222</v>
      </c>
      <c r="H54" s="491">
        <f t="shared" ref="H54:H72" si="22">+I$13*((D54+F54)/2)+E54</f>
        <v>152179.4853179222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20"/>
        <v/>
      </c>
      <c r="C55" s="507">
        <f>IF(D11="","-",+C54+1)</f>
        <v>2050</v>
      </c>
      <c r="D55" s="523">
        <f>IF(F54+SUM(E$17:E54)=D$10,F54,D$10-SUM(E$17:E54))</f>
        <v>444333.99351754028</v>
      </c>
      <c r="E55" s="522">
        <f>IF(+I14&lt;F54,I14,D55)</f>
        <v>99407.380952380947</v>
      </c>
      <c r="F55" s="523">
        <f t="shared" si="15"/>
        <v>344926.61256515933</v>
      </c>
      <c r="G55" s="524">
        <f t="shared" si="21"/>
        <v>141560.99030775059</v>
      </c>
      <c r="H55" s="491">
        <f t="shared" si="22"/>
        <v>141560.99030775059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20"/>
        <v/>
      </c>
      <c r="C56" s="507">
        <f>IF(D11="","-",+C55+1)</f>
        <v>2051</v>
      </c>
      <c r="D56" s="523">
        <f>IF(F55+SUM(E$17:E55)=D$10,F55,D$10-SUM(E$17:E55))</f>
        <v>344926.61256515933</v>
      </c>
      <c r="E56" s="522">
        <f>IF(+I14&lt;F55,I14,D56)</f>
        <v>99407.380952380947</v>
      </c>
      <c r="F56" s="523">
        <f t="shared" si="15"/>
        <v>245519.23161277839</v>
      </c>
      <c r="G56" s="524">
        <f t="shared" si="21"/>
        <v>130942.49529757899</v>
      </c>
      <c r="H56" s="491">
        <f t="shared" si="22"/>
        <v>130942.49529757899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20"/>
        <v/>
      </c>
      <c r="C57" s="507">
        <f>IF(D11="","-",+C56+1)</f>
        <v>2052</v>
      </c>
      <c r="D57" s="523">
        <f>IF(F56+SUM(E$17:E56)=D$10,F56,D$10-SUM(E$17:E56))</f>
        <v>245519.23161277839</v>
      </c>
      <c r="E57" s="522">
        <f>IF(+I14&lt;F56,I14,D57)</f>
        <v>99407.380952380947</v>
      </c>
      <c r="F57" s="523">
        <f t="shared" si="15"/>
        <v>146111.85066039744</v>
      </c>
      <c r="G57" s="524">
        <f t="shared" si="21"/>
        <v>120324.0002874074</v>
      </c>
      <c r="H57" s="491">
        <f t="shared" si="22"/>
        <v>120324.0002874074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20"/>
        <v/>
      </c>
      <c r="C58" s="507">
        <f>IF(D11="","-",+C57+1)</f>
        <v>2053</v>
      </c>
      <c r="D58" s="523">
        <f>IF(F57+SUM(E$17:E57)=D$10,F57,D$10-SUM(E$17:E57))</f>
        <v>146111.85066039744</v>
      </c>
      <c r="E58" s="522">
        <f>IF(+I14&lt;F57,I14,D58)</f>
        <v>99407.380952380947</v>
      </c>
      <c r="F58" s="523">
        <f t="shared" si="15"/>
        <v>46704.469708016491</v>
      </c>
      <c r="G58" s="524">
        <f t="shared" si="21"/>
        <v>109705.50527723579</v>
      </c>
      <c r="H58" s="491">
        <f t="shared" si="22"/>
        <v>109705.50527723579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0"/>
        <v/>
      </c>
      <c r="C59" s="507">
        <f>IF(D11="","-",+C58+1)</f>
        <v>2054</v>
      </c>
      <c r="D59" s="523">
        <f>IF(F58+SUM(E$17:E58)=D$10,F58,D$10-SUM(E$17:E58))</f>
        <v>46704.469708016491</v>
      </c>
      <c r="E59" s="522">
        <f>IF(+I14&lt;F58,I14,D59)</f>
        <v>46704.469708016491</v>
      </c>
      <c r="F59" s="523">
        <f t="shared" si="15"/>
        <v>0</v>
      </c>
      <c r="G59" s="524">
        <f t="shared" si="21"/>
        <v>49198.90811790101</v>
      </c>
      <c r="H59" s="491">
        <f t="shared" si="22"/>
        <v>49198.90811790101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20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21"/>
        <v>0</v>
      </c>
      <c r="H60" s="491">
        <f t="shared" si="22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20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21"/>
        <v>0</v>
      </c>
      <c r="H61" s="491">
        <f t="shared" si="22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20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21"/>
        <v>0</v>
      </c>
      <c r="H62" s="491">
        <f t="shared" si="22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20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21"/>
        <v>0</v>
      </c>
      <c r="H63" s="491">
        <f t="shared" si="22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20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21"/>
        <v>0</v>
      </c>
      <c r="H64" s="491">
        <f t="shared" si="22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20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21"/>
        <v>0</v>
      </c>
      <c r="H65" s="491">
        <f t="shared" si="22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20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21"/>
        <v>0</v>
      </c>
      <c r="H66" s="491">
        <f t="shared" si="22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20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21"/>
        <v>0</v>
      </c>
      <c r="H67" s="491">
        <f t="shared" si="22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20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21"/>
        <v>0</v>
      </c>
      <c r="H68" s="491">
        <f t="shared" si="22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20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21"/>
        <v>0</v>
      </c>
      <c r="H69" s="491">
        <f t="shared" si="22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20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21"/>
        <v>0</v>
      </c>
      <c r="H70" s="491">
        <f t="shared" si="22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20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21"/>
        <v>0</v>
      </c>
      <c r="H71" s="491">
        <f t="shared" si="22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20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21"/>
        <v>0</v>
      </c>
      <c r="H72" s="471">
        <f t="shared" si="22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4175110.0000000005</v>
      </c>
      <c r="F73" s="375"/>
      <c r="G73" s="375">
        <f>SUM(G17:G72)</f>
        <v>14494074.672544947</v>
      </c>
      <c r="H73" s="375">
        <f>SUM(H17:H72)</f>
        <v>14494074.672544947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32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447527.67036121147</v>
      </c>
      <c r="N87" s="546">
        <f>IF(J92&lt;D11,0,VLOOKUP(J92,C17:O72,11))</f>
        <v>447527.67036121147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463494.94007104362</v>
      </c>
      <c r="N88" s="550">
        <f>IF(J92&lt;D11,0,VLOOKUP(J92,C99:P154,7))</f>
        <v>463494.94007104362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Howell-Kilgore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15967.269709832151</v>
      </c>
      <c r="N89" s="555">
        <f>+N88-N87</f>
        <v>15967.269709832151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4175110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99407.380952380947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50055.416666666657</v>
      </c>
      <c r="F99" s="515">
        <v>4154599.5833333335</v>
      </c>
      <c r="G99" s="574">
        <v>2077299.7916666667</v>
      </c>
      <c r="H99" s="575">
        <v>355738.24852974305</v>
      </c>
      <c r="I99" s="576">
        <v>355738.24852974305</v>
      </c>
      <c r="J99" s="514">
        <f t="shared" ref="J99:J130" si="23">+I99-H99</f>
        <v>0</v>
      </c>
      <c r="K99" s="514"/>
      <c r="L99" s="512">
        <f t="shared" ref="L99:L104" si="24">H99</f>
        <v>355738.24852974305</v>
      </c>
      <c r="M99" s="597">
        <f t="shared" ref="M99:M130" si="25">IF(L99&lt;&gt;0,+H99-L99,0)</f>
        <v>0</v>
      </c>
      <c r="N99" s="512">
        <f t="shared" ref="N99:N104" si="26">I99</f>
        <v>355738.24852974305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 ht="12.5">
      <c r="B100" s="195" t="str">
        <f t="shared" ref="B100:B131" si="29">IF(D100=F99,"","IU")</f>
        <v>IU</v>
      </c>
      <c r="C100" s="507">
        <f>IF(D93="","-",+C99+1)</f>
        <v>2013</v>
      </c>
      <c r="D100" s="508">
        <v>4107681.5833333335</v>
      </c>
      <c r="E100" s="516">
        <v>98993.738095238092</v>
      </c>
      <c r="F100" s="515">
        <v>4008687.8452380956</v>
      </c>
      <c r="G100" s="515">
        <v>4058184.7142857146</v>
      </c>
      <c r="H100" s="575">
        <v>648032.45637713163</v>
      </c>
      <c r="I100" s="576">
        <v>648032.45637713163</v>
      </c>
      <c r="J100" s="514">
        <v>0</v>
      </c>
      <c r="K100" s="514"/>
      <c r="L100" s="518">
        <f t="shared" si="24"/>
        <v>648032.45637713163</v>
      </c>
      <c r="M100" s="519">
        <f t="shared" ref="M100:M105" si="30">IF(L100&lt;&gt;0,+H100-L100,0)</f>
        <v>0</v>
      </c>
      <c r="N100" s="518">
        <f t="shared" si="26"/>
        <v>648032.45637713163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29"/>
        <v>IU</v>
      </c>
      <c r="C101" s="507">
        <f>IF(D93="","-",+C100+1)</f>
        <v>2014</v>
      </c>
      <c r="D101" s="508">
        <v>4026060.8452380951</v>
      </c>
      <c r="E101" s="516">
        <v>99407.380952380947</v>
      </c>
      <c r="F101" s="515">
        <v>3926653.4642857141</v>
      </c>
      <c r="G101" s="515">
        <v>3976357.1547619049</v>
      </c>
      <c r="H101" s="575">
        <v>639887.60268685024</v>
      </c>
      <c r="I101" s="576">
        <v>639887.60268685024</v>
      </c>
      <c r="J101" s="514">
        <v>0</v>
      </c>
      <c r="K101" s="514"/>
      <c r="L101" s="518">
        <f t="shared" si="24"/>
        <v>639887.60268685024</v>
      </c>
      <c r="M101" s="519">
        <f t="shared" si="30"/>
        <v>0</v>
      </c>
      <c r="N101" s="518">
        <f t="shared" si="26"/>
        <v>639887.60268685024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9"/>
        <v/>
      </c>
      <c r="C102" s="507">
        <f>IF(D93="","-",+C101+1)</f>
        <v>2015</v>
      </c>
      <c r="D102" s="508">
        <v>3926653.4642857141</v>
      </c>
      <c r="E102" s="516">
        <v>99407.380952380947</v>
      </c>
      <c r="F102" s="515">
        <v>3827246.083333333</v>
      </c>
      <c r="G102" s="515">
        <v>3876949.7738095233</v>
      </c>
      <c r="H102" s="575">
        <v>610268.70222496334</v>
      </c>
      <c r="I102" s="576">
        <v>610268.70222496334</v>
      </c>
      <c r="J102" s="514">
        <f t="shared" si="23"/>
        <v>0</v>
      </c>
      <c r="K102" s="514"/>
      <c r="L102" s="518">
        <f t="shared" si="24"/>
        <v>610268.70222496334</v>
      </c>
      <c r="M102" s="519">
        <f t="shared" si="30"/>
        <v>0</v>
      </c>
      <c r="N102" s="518">
        <f t="shared" si="26"/>
        <v>610268.70222496334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9"/>
        <v/>
      </c>
      <c r="C103" s="507">
        <f>IF(D93="","-",+C102+1)</f>
        <v>2016</v>
      </c>
      <c r="D103" s="508">
        <v>3827246.083333333</v>
      </c>
      <c r="E103" s="516">
        <v>97095.58139534884</v>
      </c>
      <c r="F103" s="515">
        <v>3730150.501937984</v>
      </c>
      <c r="G103" s="515">
        <v>3778698.2926356588</v>
      </c>
      <c r="H103" s="575">
        <v>576801.28539069893</v>
      </c>
      <c r="I103" s="576">
        <v>576801.28539069893</v>
      </c>
      <c r="J103" s="514">
        <f t="shared" si="23"/>
        <v>0</v>
      </c>
      <c r="K103" s="514"/>
      <c r="L103" s="518">
        <f t="shared" si="24"/>
        <v>576801.28539069893</v>
      </c>
      <c r="M103" s="519">
        <f t="shared" si="30"/>
        <v>0</v>
      </c>
      <c r="N103" s="518">
        <f t="shared" si="26"/>
        <v>576801.28539069893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9"/>
        <v/>
      </c>
      <c r="C104" s="507">
        <f>IF(D93="","-",+C103+1)</f>
        <v>2017</v>
      </c>
      <c r="D104" s="508">
        <v>3730150.501937984</v>
      </c>
      <c r="E104" s="516">
        <v>99407.380952380947</v>
      </c>
      <c r="F104" s="515">
        <v>3630743.120985603</v>
      </c>
      <c r="G104" s="515">
        <v>3680446.8114617933</v>
      </c>
      <c r="H104" s="575">
        <v>546476.62006900879</v>
      </c>
      <c r="I104" s="576">
        <v>546476.62006900879</v>
      </c>
      <c r="J104" s="514">
        <f t="shared" si="23"/>
        <v>0</v>
      </c>
      <c r="K104" s="514"/>
      <c r="L104" s="518">
        <f t="shared" si="24"/>
        <v>546476.62006900879</v>
      </c>
      <c r="M104" s="519">
        <f t="shared" si="30"/>
        <v>0</v>
      </c>
      <c r="N104" s="518">
        <f t="shared" si="26"/>
        <v>546476.62006900879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9"/>
        <v/>
      </c>
      <c r="C105" s="507">
        <f>IF(D93="","-",+C104+1)</f>
        <v>2018</v>
      </c>
      <c r="D105" s="508">
        <v>3630743.120985603</v>
      </c>
      <c r="E105" s="516">
        <v>99407.380952380947</v>
      </c>
      <c r="F105" s="515">
        <v>3531335.7400332219</v>
      </c>
      <c r="G105" s="515">
        <v>3581039.4305094127</v>
      </c>
      <c r="H105" s="575">
        <v>477581.56681566167</v>
      </c>
      <c r="I105" s="576">
        <v>477581.56681566167</v>
      </c>
      <c r="J105" s="514">
        <f t="shared" si="23"/>
        <v>0</v>
      </c>
      <c r="K105" s="514"/>
      <c r="L105" s="518">
        <f t="shared" ref="L105" si="31">H105</f>
        <v>477581.56681566167</v>
      </c>
      <c r="M105" s="519">
        <f t="shared" si="30"/>
        <v>0</v>
      </c>
      <c r="N105" s="518">
        <f t="shared" ref="N105" si="32">I105</f>
        <v>477581.56681566167</v>
      </c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9"/>
        <v/>
      </c>
      <c r="C106" s="507">
        <f>IF(D93="","-",+C105+1)</f>
        <v>2019</v>
      </c>
      <c r="D106" s="508">
        <v>3531335.7400332219</v>
      </c>
      <c r="E106" s="516">
        <v>97095.58139534884</v>
      </c>
      <c r="F106" s="515">
        <v>3434240.1586378729</v>
      </c>
      <c r="G106" s="515">
        <v>3482787.9493355472</v>
      </c>
      <c r="H106" s="575">
        <v>469895.10698233201</v>
      </c>
      <c r="I106" s="576">
        <v>469895.10698233201</v>
      </c>
      <c r="J106" s="514">
        <f t="shared" si="23"/>
        <v>0</v>
      </c>
      <c r="K106" s="514"/>
      <c r="L106" s="518">
        <f t="shared" ref="L106" si="33">H106</f>
        <v>469895.10698233201</v>
      </c>
      <c r="M106" s="519">
        <f t="shared" ref="M106" si="34">IF(L106&lt;&gt;0,+H106-L106,0)</f>
        <v>0</v>
      </c>
      <c r="N106" s="518">
        <f t="shared" ref="N106" si="35">I106</f>
        <v>469895.10698233201</v>
      </c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9"/>
        <v/>
      </c>
      <c r="C107" s="507">
        <f>IF(D93="","-",+C106+1)</f>
        <v>2020</v>
      </c>
      <c r="D107" s="374">
        <f>IF(F106+SUM(E$99:E106)=D$92,F106,D$92-SUM(E$99:E106))</f>
        <v>3434240.1586378729</v>
      </c>
      <c r="E107" s="522">
        <f>IF(+J96&lt;F106,J96,D107)</f>
        <v>99407.380952380947</v>
      </c>
      <c r="F107" s="523">
        <f t="shared" ref="F107:F131" si="36">+D107-E107</f>
        <v>3334832.7776854918</v>
      </c>
      <c r="G107" s="523">
        <f t="shared" ref="G107:G130" si="37">+(F107+D107)/2</f>
        <v>3384536.4681616826</v>
      </c>
      <c r="H107" s="526">
        <f t="shared" ref="H107:H130" si="38">+J$94*G107+E107</f>
        <v>463494.94007104362</v>
      </c>
      <c r="I107" s="577">
        <f t="shared" ref="I107:I130" si="39">+J$95*G107+E107</f>
        <v>463494.94007104362</v>
      </c>
      <c r="J107" s="514">
        <f t="shared" si="23"/>
        <v>0</v>
      </c>
      <c r="K107" s="514"/>
      <c r="L107" s="525"/>
      <c r="M107" s="514">
        <f t="shared" si="25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9"/>
        <v/>
      </c>
      <c r="C108" s="507">
        <f>IF(D93="","-",+C107+1)</f>
        <v>2021</v>
      </c>
      <c r="D108" s="374">
        <f>IF(F107+SUM(E$99:E107)=D$92,F107,D$92-SUM(E$99:E107))</f>
        <v>3334832.7776854918</v>
      </c>
      <c r="E108" s="522">
        <f>IF(+J96&lt;F107,J96,D108)</f>
        <v>99407.380952380947</v>
      </c>
      <c r="F108" s="523">
        <f t="shared" si="36"/>
        <v>3235425.3967331108</v>
      </c>
      <c r="G108" s="523">
        <f t="shared" si="37"/>
        <v>3285129.0872093011</v>
      </c>
      <c r="H108" s="526">
        <f t="shared" si="38"/>
        <v>452801.30712313514</v>
      </c>
      <c r="I108" s="577">
        <f t="shared" si="39"/>
        <v>452801.30712313514</v>
      </c>
      <c r="J108" s="514">
        <f t="shared" si="23"/>
        <v>0</v>
      </c>
      <c r="K108" s="514"/>
      <c r="L108" s="525"/>
      <c r="M108" s="514">
        <f t="shared" si="25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9"/>
        <v/>
      </c>
      <c r="C109" s="507">
        <f>IF(D93="","-",+C108+1)</f>
        <v>2022</v>
      </c>
      <c r="D109" s="374">
        <f>IF(F108+SUM(E$99:E108)=D$92,F108,D$92-SUM(E$99:E108))</f>
        <v>3235425.3967331108</v>
      </c>
      <c r="E109" s="522">
        <f>IF(+J96&lt;F108,J96,D109)</f>
        <v>99407.380952380947</v>
      </c>
      <c r="F109" s="523">
        <f t="shared" si="36"/>
        <v>3136018.0157807297</v>
      </c>
      <c r="G109" s="523">
        <f t="shared" si="37"/>
        <v>3185721.7062569205</v>
      </c>
      <c r="H109" s="526">
        <f t="shared" si="38"/>
        <v>442107.67417522671</v>
      </c>
      <c r="I109" s="577">
        <f t="shared" si="39"/>
        <v>442107.67417522671</v>
      </c>
      <c r="J109" s="514">
        <f t="shared" si="23"/>
        <v>0</v>
      </c>
      <c r="K109" s="514"/>
      <c r="L109" s="525"/>
      <c r="M109" s="514">
        <f t="shared" si="25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9"/>
        <v/>
      </c>
      <c r="C110" s="507">
        <f>IF(D93="","-",+C109+1)</f>
        <v>2023</v>
      </c>
      <c r="D110" s="374">
        <f>IF(F109+SUM(E$99:E109)=D$92,F109,D$92-SUM(E$99:E109))</f>
        <v>3136018.0157807297</v>
      </c>
      <c r="E110" s="522">
        <f>IF(+J96&lt;F109,J96,D110)</f>
        <v>99407.380952380947</v>
      </c>
      <c r="F110" s="523">
        <f t="shared" si="36"/>
        <v>3036610.6348283486</v>
      </c>
      <c r="G110" s="523">
        <f t="shared" si="37"/>
        <v>3086314.3253045389</v>
      </c>
      <c r="H110" s="526">
        <f t="shared" si="38"/>
        <v>431414.04122731823</v>
      </c>
      <c r="I110" s="577">
        <f t="shared" si="39"/>
        <v>431414.04122731823</v>
      </c>
      <c r="J110" s="514">
        <f t="shared" si="23"/>
        <v>0</v>
      </c>
      <c r="K110" s="514"/>
      <c r="L110" s="525"/>
      <c r="M110" s="514">
        <f t="shared" si="25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9"/>
        <v/>
      </c>
      <c r="C111" s="507">
        <f>IF(D93="","-",+C110+1)</f>
        <v>2024</v>
      </c>
      <c r="D111" s="374">
        <f>IF(F110+SUM(E$99:E110)=D$92,F110,D$92-SUM(E$99:E110))</f>
        <v>3036610.6348283486</v>
      </c>
      <c r="E111" s="522">
        <f>IF(+J96&lt;F110,J96,D111)</f>
        <v>99407.380952380947</v>
      </c>
      <c r="F111" s="523">
        <f t="shared" si="36"/>
        <v>2937203.2538759676</v>
      </c>
      <c r="G111" s="523">
        <f t="shared" si="37"/>
        <v>2986906.9443521583</v>
      </c>
      <c r="H111" s="526">
        <f t="shared" si="38"/>
        <v>420720.40827940981</v>
      </c>
      <c r="I111" s="577">
        <f t="shared" si="39"/>
        <v>420720.40827940981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9"/>
        <v/>
      </c>
      <c r="C112" s="507">
        <f>IF(D93="","-",+C111+1)</f>
        <v>2025</v>
      </c>
      <c r="D112" s="374">
        <f>IF(F111+SUM(E$99:E111)=D$92,F111,D$92-SUM(E$99:E111))</f>
        <v>2937203.2538759676</v>
      </c>
      <c r="E112" s="522">
        <f>IF(+J96&lt;F111,J96,D112)</f>
        <v>99407.380952380947</v>
      </c>
      <c r="F112" s="523">
        <f t="shared" si="36"/>
        <v>2837795.8729235865</v>
      </c>
      <c r="G112" s="523">
        <f t="shared" si="37"/>
        <v>2887499.5633997768</v>
      </c>
      <c r="H112" s="526">
        <f t="shared" si="38"/>
        <v>410026.77533150133</v>
      </c>
      <c r="I112" s="577">
        <f t="shared" si="39"/>
        <v>410026.77533150133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9"/>
        <v/>
      </c>
      <c r="C113" s="507">
        <f>IF(D93="","-",+C112+1)</f>
        <v>2026</v>
      </c>
      <c r="D113" s="374">
        <f>IF(F112+SUM(E$99:E112)=D$92,F112,D$92-SUM(E$99:E112))</f>
        <v>2837795.8729235865</v>
      </c>
      <c r="E113" s="522">
        <f>IF(+J96&lt;F112,J96,D113)</f>
        <v>99407.380952380947</v>
      </c>
      <c r="F113" s="523">
        <f t="shared" si="36"/>
        <v>2738388.4919712055</v>
      </c>
      <c r="G113" s="523">
        <f t="shared" si="37"/>
        <v>2788092.1824473962</v>
      </c>
      <c r="H113" s="526">
        <f t="shared" si="38"/>
        <v>399333.1423835929</v>
      </c>
      <c r="I113" s="577">
        <f t="shared" si="39"/>
        <v>399333.1423835929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9"/>
        <v/>
      </c>
      <c r="C114" s="507">
        <f>IF(D93="","-",+C113+1)</f>
        <v>2027</v>
      </c>
      <c r="D114" s="374">
        <f>IF(F113+SUM(E$99:E113)=D$92,F113,D$92-SUM(E$99:E113))</f>
        <v>2738388.4919712055</v>
      </c>
      <c r="E114" s="522">
        <f>IF(+J96&lt;F113,J96,D114)</f>
        <v>99407.380952380947</v>
      </c>
      <c r="F114" s="523">
        <f t="shared" si="36"/>
        <v>2638981.1110188244</v>
      </c>
      <c r="G114" s="523">
        <f t="shared" si="37"/>
        <v>2688684.8014950147</v>
      </c>
      <c r="H114" s="526">
        <f t="shared" si="38"/>
        <v>388639.50943568442</v>
      </c>
      <c r="I114" s="577">
        <f t="shared" si="39"/>
        <v>388639.50943568442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9"/>
        <v/>
      </c>
      <c r="C115" s="507">
        <f>IF(D93="","-",+C114+1)</f>
        <v>2028</v>
      </c>
      <c r="D115" s="374">
        <f>IF(F114+SUM(E$99:E114)=D$92,F114,D$92-SUM(E$99:E114))</f>
        <v>2638981.1110188244</v>
      </c>
      <c r="E115" s="522">
        <f>IF(+J96&lt;F114,J96,D115)</f>
        <v>99407.380952380947</v>
      </c>
      <c r="F115" s="523">
        <f t="shared" si="36"/>
        <v>2539573.7300664433</v>
      </c>
      <c r="G115" s="523">
        <f t="shared" si="37"/>
        <v>2589277.4205426341</v>
      </c>
      <c r="H115" s="526">
        <f t="shared" si="38"/>
        <v>377945.87648777606</v>
      </c>
      <c r="I115" s="577">
        <f t="shared" si="39"/>
        <v>377945.87648777606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9"/>
        <v/>
      </c>
      <c r="C116" s="507">
        <f>IF(D93="","-",+C115+1)</f>
        <v>2029</v>
      </c>
      <c r="D116" s="374">
        <f>IF(F115+SUM(E$99:E115)=D$92,F115,D$92-SUM(E$99:E115))</f>
        <v>2539573.7300664433</v>
      </c>
      <c r="E116" s="522">
        <f>IF(+J96&lt;F115,J96,D116)</f>
        <v>99407.380952380947</v>
      </c>
      <c r="F116" s="523">
        <f t="shared" si="36"/>
        <v>2440166.3491140623</v>
      </c>
      <c r="G116" s="523">
        <f t="shared" si="37"/>
        <v>2489870.0395902526</v>
      </c>
      <c r="H116" s="526">
        <f t="shared" si="38"/>
        <v>367252.24353986752</v>
      </c>
      <c r="I116" s="577">
        <f t="shared" si="39"/>
        <v>367252.24353986752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9"/>
        <v/>
      </c>
      <c r="C117" s="507">
        <f>IF(D93="","-",+C116+1)</f>
        <v>2030</v>
      </c>
      <c r="D117" s="374">
        <f>IF(F116+SUM(E$99:E116)=D$92,F116,D$92-SUM(E$99:E116))</f>
        <v>2440166.3491140623</v>
      </c>
      <c r="E117" s="522">
        <f>IF(+J96&lt;F116,J96,D117)</f>
        <v>99407.380952380947</v>
      </c>
      <c r="F117" s="523">
        <f t="shared" si="36"/>
        <v>2340758.9681616812</v>
      </c>
      <c r="G117" s="523">
        <f t="shared" si="37"/>
        <v>2390462.658637872</v>
      </c>
      <c r="H117" s="526">
        <f t="shared" si="38"/>
        <v>356558.61059195909</v>
      </c>
      <c r="I117" s="577">
        <f t="shared" si="39"/>
        <v>356558.61059195909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9"/>
        <v/>
      </c>
      <c r="C118" s="507">
        <f>IF(D93="","-",+C117+1)</f>
        <v>2031</v>
      </c>
      <c r="D118" s="374">
        <f>IF(F117+SUM(E$99:E117)=D$92,F117,D$92-SUM(E$99:E117))</f>
        <v>2340758.9681616812</v>
      </c>
      <c r="E118" s="522">
        <f>IF(+J96&lt;F117,J96,D118)</f>
        <v>99407.380952380947</v>
      </c>
      <c r="F118" s="523">
        <f t="shared" si="36"/>
        <v>2241351.5872093001</v>
      </c>
      <c r="G118" s="523">
        <f t="shared" si="37"/>
        <v>2291055.2776854904</v>
      </c>
      <c r="H118" s="526">
        <f t="shared" si="38"/>
        <v>345864.97764405061</v>
      </c>
      <c r="I118" s="577">
        <f t="shared" si="39"/>
        <v>345864.97764405061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9"/>
        <v/>
      </c>
      <c r="C119" s="507">
        <f>IF(D93="","-",+C118+1)</f>
        <v>2032</v>
      </c>
      <c r="D119" s="374">
        <f>IF(F118+SUM(E$99:E118)=D$92,F118,D$92-SUM(E$99:E118))</f>
        <v>2241351.5872093001</v>
      </c>
      <c r="E119" s="522">
        <f>IF(+J96&lt;F118,J96,D119)</f>
        <v>99407.380952380947</v>
      </c>
      <c r="F119" s="523">
        <f t="shared" si="36"/>
        <v>2141944.2062569191</v>
      </c>
      <c r="G119" s="523">
        <f t="shared" si="37"/>
        <v>2191647.8967331098</v>
      </c>
      <c r="H119" s="526">
        <f t="shared" si="38"/>
        <v>335171.34469614225</v>
      </c>
      <c r="I119" s="577">
        <f t="shared" si="39"/>
        <v>335171.34469614225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9"/>
        <v/>
      </c>
      <c r="C120" s="507">
        <f>IF(D93="","-",+C119+1)</f>
        <v>2033</v>
      </c>
      <c r="D120" s="374">
        <f>IF(F119+SUM(E$99:E119)=D$92,F119,D$92-SUM(E$99:E119))</f>
        <v>2141944.2062569191</v>
      </c>
      <c r="E120" s="522">
        <f>IF(+J96&lt;F119,J96,D120)</f>
        <v>99407.380952380947</v>
      </c>
      <c r="F120" s="523">
        <f t="shared" si="36"/>
        <v>2042536.825304538</v>
      </c>
      <c r="G120" s="523">
        <f t="shared" si="37"/>
        <v>2092240.5157807285</v>
      </c>
      <c r="H120" s="526">
        <f t="shared" si="38"/>
        <v>324477.71174823376</v>
      </c>
      <c r="I120" s="577">
        <f t="shared" si="39"/>
        <v>324477.71174823376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9"/>
        <v/>
      </c>
      <c r="C121" s="507">
        <f>IF(D93="","-",+C120+1)</f>
        <v>2034</v>
      </c>
      <c r="D121" s="374">
        <f>IF(F120+SUM(E$99:E120)=D$92,F120,D$92-SUM(E$99:E120))</f>
        <v>2042536.825304538</v>
      </c>
      <c r="E121" s="522">
        <f>IF(+J96&lt;F120,J96,D121)</f>
        <v>99407.380952380947</v>
      </c>
      <c r="F121" s="523">
        <f t="shared" si="36"/>
        <v>1943129.4443521569</v>
      </c>
      <c r="G121" s="523">
        <f t="shared" si="37"/>
        <v>1992833.1348283475</v>
      </c>
      <c r="H121" s="526">
        <f t="shared" si="38"/>
        <v>313784.07880032528</v>
      </c>
      <c r="I121" s="577">
        <f t="shared" si="39"/>
        <v>313784.07880032528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9"/>
        <v/>
      </c>
      <c r="C122" s="507">
        <f>IF(D93="","-",+C121+1)</f>
        <v>2035</v>
      </c>
      <c r="D122" s="374">
        <f>IF(F121+SUM(E$99:E121)=D$92,F121,D$92-SUM(E$99:E121))</f>
        <v>1943129.4443521569</v>
      </c>
      <c r="E122" s="522">
        <f>IF(+J96&lt;F121,J96,D122)</f>
        <v>99407.380952380947</v>
      </c>
      <c r="F122" s="523">
        <f t="shared" si="36"/>
        <v>1843722.0633997759</v>
      </c>
      <c r="G122" s="523">
        <f t="shared" si="37"/>
        <v>1893425.7538759664</v>
      </c>
      <c r="H122" s="526">
        <f t="shared" si="38"/>
        <v>303090.44585241686</v>
      </c>
      <c r="I122" s="577">
        <f t="shared" si="39"/>
        <v>303090.44585241686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9"/>
        <v/>
      </c>
      <c r="C123" s="507">
        <f>IF(D93="","-",+C122+1)</f>
        <v>2036</v>
      </c>
      <c r="D123" s="374">
        <f>IF(F122+SUM(E$99:E122)=D$92,F122,D$92-SUM(E$99:E122))</f>
        <v>1843722.0633997759</v>
      </c>
      <c r="E123" s="522">
        <f>IF(+J96&lt;F122,J96,D123)</f>
        <v>99407.380952380947</v>
      </c>
      <c r="F123" s="523">
        <f t="shared" si="36"/>
        <v>1744314.6824473948</v>
      </c>
      <c r="G123" s="523">
        <f t="shared" si="37"/>
        <v>1794018.3729235854</v>
      </c>
      <c r="H123" s="526">
        <f t="shared" si="38"/>
        <v>292396.81290450844</v>
      </c>
      <c r="I123" s="577">
        <f t="shared" si="39"/>
        <v>292396.81290450844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9"/>
        <v/>
      </c>
      <c r="C124" s="507">
        <f>IF(D93="","-",+C123+1)</f>
        <v>2037</v>
      </c>
      <c r="D124" s="374">
        <f>IF(F123+SUM(E$99:E123)=D$92,F123,D$92-SUM(E$99:E123))</f>
        <v>1744314.6824473948</v>
      </c>
      <c r="E124" s="522">
        <f>IF(+J96&lt;F123,J96,D124)</f>
        <v>99407.380952380947</v>
      </c>
      <c r="F124" s="523">
        <f t="shared" si="36"/>
        <v>1644907.3014950138</v>
      </c>
      <c r="G124" s="523">
        <f t="shared" si="37"/>
        <v>1694610.9919712043</v>
      </c>
      <c r="H124" s="526">
        <f t="shared" si="38"/>
        <v>281703.17995659995</v>
      </c>
      <c r="I124" s="577">
        <f t="shared" si="39"/>
        <v>281703.17995659995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9"/>
        <v/>
      </c>
      <c r="C125" s="507">
        <f>IF(D93="","-",+C124+1)</f>
        <v>2038</v>
      </c>
      <c r="D125" s="374">
        <f>IF(F124+SUM(E$99:E124)=D$92,F124,D$92-SUM(E$99:E124))</f>
        <v>1644907.3014950138</v>
      </c>
      <c r="E125" s="522">
        <f>IF(+J96&lt;F124,J96,D125)</f>
        <v>99407.380952380947</v>
      </c>
      <c r="F125" s="523">
        <f t="shared" si="36"/>
        <v>1545499.9205426327</v>
      </c>
      <c r="G125" s="523">
        <f t="shared" si="37"/>
        <v>1595203.6110188232</v>
      </c>
      <c r="H125" s="526">
        <f t="shared" si="38"/>
        <v>271009.54700869153</v>
      </c>
      <c r="I125" s="577">
        <f t="shared" si="39"/>
        <v>271009.54700869153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9"/>
        <v/>
      </c>
      <c r="C126" s="507">
        <f>IF(D93="","-",+C125+1)</f>
        <v>2039</v>
      </c>
      <c r="D126" s="374">
        <f>IF(F125+SUM(E$99:E125)=D$92,F125,D$92-SUM(E$99:E125))</f>
        <v>1545499.9205426327</v>
      </c>
      <c r="E126" s="522">
        <f>IF(+J96&lt;F125,J96,D126)</f>
        <v>99407.380952380947</v>
      </c>
      <c r="F126" s="523">
        <f t="shared" si="36"/>
        <v>1446092.5395902516</v>
      </c>
      <c r="G126" s="523">
        <f t="shared" si="37"/>
        <v>1495796.2300664422</v>
      </c>
      <c r="H126" s="526">
        <f t="shared" si="38"/>
        <v>260315.91406078308</v>
      </c>
      <c r="I126" s="577">
        <f t="shared" si="39"/>
        <v>260315.91406078308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9"/>
        <v/>
      </c>
      <c r="C127" s="507">
        <f>IF(D93="","-",+C126+1)</f>
        <v>2040</v>
      </c>
      <c r="D127" s="374">
        <f>IF(F126+SUM(E$99:E126)=D$92,F126,D$92-SUM(E$99:E126))</f>
        <v>1446092.5395902516</v>
      </c>
      <c r="E127" s="522">
        <f>IF(+J96&lt;F126,J96,D127)</f>
        <v>99407.380952380947</v>
      </c>
      <c r="F127" s="523">
        <f t="shared" si="36"/>
        <v>1346685.1586378706</v>
      </c>
      <c r="G127" s="523">
        <f t="shared" si="37"/>
        <v>1396388.8491140611</v>
      </c>
      <c r="H127" s="526">
        <f t="shared" si="38"/>
        <v>249622.28111287463</v>
      </c>
      <c r="I127" s="577">
        <f t="shared" si="39"/>
        <v>249622.28111287463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9"/>
        <v/>
      </c>
      <c r="C128" s="507">
        <f>IF(D93="","-",+C127+1)</f>
        <v>2041</v>
      </c>
      <c r="D128" s="374">
        <f>IF(F127+SUM(E$99:E127)=D$92,F127,D$92-SUM(E$99:E127))</f>
        <v>1346685.1586378706</v>
      </c>
      <c r="E128" s="522">
        <f>IF(+J96&lt;F127,J96,D128)</f>
        <v>99407.380952380947</v>
      </c>
      <c r="F128" s="523">
        <f t="shared" si="36"/>
        <v>1247277.7776854895</v>
      </c>
      <c r="G128" s="523">
        <f t="shared" si="37"/>
        <v>1296981.46816168</v>
      </c>
      <c r="H128" s="526">
        <f t="shared" si="38"/>
        <v>238928.64816496617</v>
      </c>
      <c r="I128" s="577">
        <f t="shared" si="39"/>
        <v>238928.64816496617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9"/>
        <v/>
      </c>
      <c r="C129" s="507">
        <f>IF(D93="","-",+C128+1)</f>
        <v>2042</v>
      </c>
      <c r="D129" s="374">
        <f>IF(F128+SUM(E$99:E128)=D$92,F128,D$92-SUM(E$99:E128))</f>
        <v>1247277.7776854895</v>
      </c>
      <c r="E129" s="522">
        <f>IF(+J96&lt;F128,J96,D129)</f>
        <v>99407.380952380947</v>
      </c>
      <c r="F129" s="523">
        <f t="shared" si="36"/>
        <v>1147870.3967331084</v>
      </c>
      <c r="G129" s="523">
        <f t="shared" si="37"/>
        <v>1197574.087209299</v>
      </c>
      <c r="H129" s="526">
        <f t="shared" si="38"/>
        <v>228235.01521705772</v>
      </c>
      <c r="I129" s="577">
        <f t="shared" si="39"/>
        <v>228235.01521705772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9"/>
        <v/>
      </c>
      <c r="C130" s="507">
        <f>IF(D93="","-",+C129+1)</f>
        <v>2043</v>
      </c>
      <c r="D130" s="374">
        <f>IF(F129+SUM(E$99:E129)=D$92,F129,D$92-SUM(E$99:E129))</f>
        <v>1147870.3967331084</v>
      </c>
      <c r="E130" s="522">
        <f>IF(+J96&lt;F129,J96,D130)</f>
        <v>99407.380952380947</v>
      </c>
      <c r="F130" s="523">
        <f t="shared" si="36"/>
        <v>1048463.0157807275</v>
      </c>
      <c r="G130" s="523">
        <f t="shared" si="37"/>
        <v>1098166.7062569179</v>
      </c>
      <c r="H130" s="526">
        <f t="shared" si="38"/>
        <v>217541.3822691493</v>
      </c>
      <c r="I130" s="577">
        <f t="shared" si="39"/>
        <v>217541.3822691493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9"/>
        <v/>
      </c>
      <c r="C131" s="507">
        <f>IF(D93="","-",+C130+1)</f>
        <v>2044</v>
      </c>
      <c r="D131" s="374">
        <f>IF(F130+SUM(E$99:E130)=D$92,F130,D$92-SUM(E$99:E130))</f>
        <v>1048463.0157807275</v>
      </c>
      <c r="E131" s="522">
        <f>IF(+J96&lt;F130,J96,D131)</f>
        <v>99407.380952380947</v>
      </c>
      <c r="F131" s="523">
        <f t="shared" si="36"/>
        <v>949055.63482834655</v>
      </c>
      <c r="G131" s="523">
        <f t="shared" ref="G131:G154" si="40">+(F131+D131)/2</f>
        <v>998759.32530453708</v>
      </c>
      <c r="H131" s="526">
        <f t="shared" ref="H131:H154" si="41">+J$94*G131+E131</f>
        <v>206847.74932124087</v>
      </c>
      <c r="I131" s="577">
        <f t="shared" ref="I131:I154" si="42">+J$95*G131+E131</f>
        <v>206847.74932124087</v>
      </c>
      <c r="J131" s="514">
        <f t="shared" ref="J131:J154" si="43">+I131-H131</f>
        <v>0</v>
      </c>
      <c r="K131" s="514"/>
      <c r="L131" s="525"/>
      <c r="M131" s="514">
        <f t="shared" ref="M131:M154" si="44">IF(L131&lt;&gt;0,+H131-L131,0)</f>
        <v>0</v>
      </c>
      <c r="N131" s="525"/>
      <c r="O131" s="514">
        <f t="shared" ref="O131:O154" si="45">IF(N131&lt;&gt;0,+I131-N131,0)</f>
        <v>0</v>
      </c>
      <c r="P131" s="514">
        <f t="shared" ref="P131:P154" si="46">+O131-M131</f>
        <v>0</v>
      </c>
      <c r="Q131" s="269"/>
    </row>
    <row r="132" spans="2:17" ht="12.5">
      <c r="B132" s="195" t="str">
        <f t="shared" ref="B132:B154" si="47">IF(D132=F131,"","IU")</f>
        <v/>
      </c>
      <c r="C132" s="507">
        <f>IF(D93="","-",+C131+1)</f>
        <v>2045</v>
      </c>
      <c r="D132" s="374">
        <f>IF(F131+SUM(E$99:E131)=D$92,F131,D$92-SUM(E$99:E131))</f>
        <v>949055.63482834655</v>
      </c>
      <c r="E132" s="522">
        <f>IF(+J96&lt;F131,J96,D132)</f>
        <v>99407.380952380947</v>
      </c>
      <c r="F132" s="523">
        <f t="shared" ref="F132:F154" si="48">+D132-E132</f>
        <v>849648.2538759656</v>
      </c>
      <c r="G132" s="523">
        <f t="shared" si="40"/>
        <v>899351.94435215602</v>
      </c>
      <c r="H132" s="526">
        <f t="shared" si="41"/>
        <v>196154.11637333239</v>
      </c>
      <c r="I132" s="577">
        <f t="shared" si="42"/>
        <v>196154.11637333239</v>
      </c>
      <c r="J132" s="514">
        <f t="shared" si="43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 ht="12.5">
      <c r="B133" s="195" t="str">
        <f t="shared" si="47"/>
        <v/>
      </c>
      <c r="C133" s="507">
        <f>IF(D93="","-",+C132+1)</f>
        <v>2046</v>
      </c>
      <c r="D133" s="374">
        <f>IF(F132+SUM(E$99:E132)=D$92,F132,D$92-SUM(E$99:E132))</f>
        <v>849648.2538759656</v>
      </c>
      <c r="E133" s="522">
        <f>IF(+J96&lt;F132,J96,D133)</f>
        <v>99407.380952380947</v>
      </c>
      <c r="F133" s="523">
        <f t="shared" si="48"/>
        <v>750240.87292358465</v>
      </c>
      <c r="G133" s="523">
        <f t="shared" si="40"/>
        <v>799944.56339977519</v>
      </c>
      <c r="H133" s="526">
        <f t="shared" si="41"/>
        <v>185460.48342542397</v>
      </c>
      <c r="I133" s="577">
        <f t="shared" si="42"/>
        <v>185460.48342542397</v>
      </c>
      <c r="J133" s="514">
        <f t="shared" si="43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 ht="12.5">
      <c r="B134" s="195" t="str">
        <f t="shared" si="47"/>
        <v/>
      </c>
      <c r="C134" s="507">
        <f>IF(D93="","-",+C133+1)</f>
        <v>2047</v>
      </c>
      <c r="D134" s="374">
        <f>IF(F133+SUM(E$99:E133)=D$92,F133,D$92-SUM(E$99:E133))</f>
        <v>750240.87292358465</v>
      </c>
      <c r="E134" s="522">
        <f>IF(+J96&lt;F133,J96,D134)</f>
        <v>99407.380952380947</v>
      </c>
      <c r="F134" s="523">
        <f t="shared" si="48"/>
        <v>650833.49197120371</v>
      </c>
      <c r="G134" s="523">
        <f t="shared" si="40"/>
        <v>700537.18244739412</v>
      </c>
      <c r="H134" s="526">
        <f t="shared" si="41"/>
        <v>174766.85047751555</v>
      </c>
      <c r="I134" s="577">
        <f t="shared" si="42"/>
        <v>174766.85047751555</v>
      </c>
      <c r="J134" s="514">
        <f t="shared" si="43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 ht="12.5">
      <c r="B135" s="195" t="str">
        <f t="shared" si="47"/>
        <v/>
      </c>
      <c r="C135" s="507">
        <f>IF(D93="","-",+C134+1)</f>
        <v>2048</v>
      </c>
      <c r="D135" s="374">
        <f>IF(F134+SUM(E$99:E134)=D$92,F134,D$92-SUM(E$99:E134))</f>
        <v>650833.49197120371</v>
      </c>
      <c r="E135" s="522">
        <f>IF(+J96&lt;F134,J96,D135)</f>
        <v>99407.380952380947</v>
      </c>
      <c r="F135" s="523">
        <f t="shared" si="48"/>
        <v>551426.11101882276</v>
      </c>
      <c r="G135" s="523">
        <f t="shared" si="40"/>
        <v>601129.80149501329</v>
      </c>
      <c r="H135" s="526">
        <f t="shared" si="41"/>
        <v>164073.21752960712</v>
      </c>
      <c r="I135" s="577">
        <f t="shared" si="42"/>
        <v>164073.21752960712</v>
      </c>
      <c r="J135" s="514">
        <f t="shared" si="43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 ht="12.5">
      <c r="B136" s="195" t="str">
        <f t="shared" si="47"/>
        <v/>
      </c>
      <c r="C136" s="507">
        <f>IF(D93="","-",+C135+1)</f>
        <v>2049</v>
      </c>
      <c r="D136" s="374">
        <f>IF(F135+SUM(E$99:E135)=D$92,F135,D$92-SUM(E$99:E135))</f>
        <v>551426.11101882276</v>
      </c>
      <c r="E136" s="522">
        <f>IF(+J96&lt;F135,J96,D136)</f>
        <v>99407.380952380947</v>
      </c>
      <c r="F136" s="523">
        <f t="shared" si="48"/>
        <v>452018.73006644181</v>
      </c>
      <c r="G136" s="523">
        <f t="shared" si="40"/>
        <v>501722.42054263229</v>
      </c>
      <c r="H136" s="526">
        <f t="shared" si="41"/>
        <v>153379.58458169867</v>
      </c>
      <c r="I136" s="577">
        <f t="shared" si="42"/>
        <v>153379.58458169867</v>
      </c>
      <c r="J136" s="514">
        <f t="shared" si="43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 ht="12.5">
      <c r="B137" s="195" t="str">
        <f t="shared" si="47"/>
        <v/>
      </c>
      <c r="C137" s="507">
        <f>IF(D93="","-",+C136+1)</f>
        <v>2050</v>
      </c>
      <c r="D137" s="374">
        <f>IF(F136+SUM(E$99:E136)=D$92,F136,D$92-SUM(E$99:E136))</f>
        <v>452018.73006644181</v>
      </c>
      <c r="E137" s="522">
        <f>IF(+J96&lt;F136,J96,D137)</f>
        <v>99407.380952380947</v>
      </c>
      <c r="F137" s="523">
        <f t="shared" si="48"/>
        <v>352611.34911406087</v>
      </c>
      <c r="G137" s="523">
        <f t="shared" si="40"/>
        <v>402315.03959025134</v>
      </c>
      <c r="H137" s="526">
        <f t="shared" si="41"/>
        <v>142685.95163379025</v>
      </c>
      <c r="I137" s="577">
        <f t="shared" si="42"/>
        <v>142685.95163379025</v>
      </c>
      <c r="J137" s="514">
        <f t="shared" si="43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 ht="12.5">
      <c r="B138" s="195" t="str">
        <f t="shared" si="47"/>
        <v/>
      </c>
      <c r="C138" s="507">
        <f>IF(D93="","-",+C137+1)</f>
        <v>2051</v>
      </c>
      <c r="D138" s="374">
        <f>IF(F137+SUM(E$99:E137)=D$92,F137,D$92-SUM(E$99:E137))</f>
        <v>352611.34911406087</v>
      </c>
      <c r="E138" s="522">
        <f>IF(+J96&lt;F137,J96,D138)</f>
        <v>99407.380952380947</v>
      </c>
      <c r="F138" s="523">
        <f t="shared" si="48"/>
        <v>253203.96816167992</v>
      </c>
      <c r="G138" s="523">
        <f t="shared" si="40"/>
        <v>302907.65863787039</v>
      </c>
      <c r="H138" s="526">
        <f t="shared" si="41"/>
        <v>131992.31868588179</v>
      </c>
      <c r="I138" s="577">
        <f t="shared" si="42"/>
        <v>131992.31868588179</v>
      </c>
      <c r="J138" s="514">
        <f t="shared" si="43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 ht="12.5">
      <c r="B139" s="195" t="str">
        <f t="shared" si="47"/>
        <v/>
      </c>
      <c r="C139" s="507">
        <f>IF(D93="","-",+C138+1)</f>
        <v>2052</v>
      </c>
      <c r="D139" s="374">
        <f>IF(F138+SUM(E$99:E138)=D$92,F138,D$92-SUM(E$99:E138))</f>
        <v>253203.96816167992</v>
      </c>
      <c r="E139" s="522">
        <f>IF(+J96&lt;F138,J96,D139)</f>
        <v>99407.380952380947</v>
      </c>
      <c r="F139" s="523">
        <f t="shared" si="48"/>
        <v>153796.58720929897</v>
      </c>
      <c r="G139" s="523">
        <f t="shared" si="40"/>
        <v>203500.27768548945</v>
      </c>
      <c r="H139" s="526">
        <f t="shared" si="41"/>
        <v>121298.68573797337</v>
      </c>
      <c r="I139" s="577">
        <f t="shared" si="42"/>
        <v>121298.68573797337</v>
      </c>
      <c r="J139" s="514">
        <f t="shared" si="43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 ht="12.5">
      <c r="B140" s="195" t="str">
        <f t="shared" si="47"/>
        <v/>
      </c>
      <c r="C140" s="507">
        <f>IF(D93="","-",+C139+1)</f>
        <v>2053</v>
      </c>
      <c r="D140" s="374">
        <f>IF(F139+SUM(E$99:E139)=D$92,F139,D$92-SUM(E$99:E139))</f>
        <v>153796.58720929897</v>
      </c>
      <c r="E140" s="522">
        <f>IF(+J96&lt;F139,J96,D140)</f>
        <v>99407.380952380947</v>
      </c>
      <c r="F140" s="523">
        <f t="shared" si="48"/>
        <v>54389.206256918027</v>
      </c>
      <c r="G140" s="523">
        <f t="shared" si="40"/>
        <v>104092.8967331085</v>
      </c>
      <c r="H140" s="526">
        <f t="shared" si="41"/>
        <v>110605.05279006493</v>
      </c>
      <c r="I140" s="577">
        <f t="shared" si="42"/>
        <v>110605.05279006493</v>
      </c>
      <c r="J140" s="514">
        <f t="shared" si="43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 ht="12.5">
      <c r="B141" s="195" t="str">
        <f t="shared" si="47"/>
        <v/>
      </c>
      <c r="C141" s="507">
        <f>IF(D93="","-",+C140+1)</f>
        <v>2054</v>
      </c>
      <c r="D141" s="374">
        <f>IF(F140+SUM(E$99:E140)=D$92,F140,D$92-SUM(E$99:E140))</f>
        <v>54389.206256918027</v>
      </c>
      <c r="E141" s="522">
        <f>IF(+J96&lt;F140,J96,D141)</f>
        <v>54389.206256918027</v>
      </c>
      <c r="F141" s="523">
        <f t="shared" si="48"/>
        <v>0</v>
      </c>
      <c r="G141" s="523">
        <f t="shared" si="40"/>
        <v>27194.603128459014</v>
      </c>
      <c r="H141" s="526">
        <f t="shared" si="41"/>
        <v>57314.633938782907</v>
      </c>
      <c r="I141" s="577">
        <f t="shared" si="42"/>
        <v>57314.633938782907</v>
      </c>
      <c r="J141" s="514">
        <f t="shared" si="43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 ht="12.5">
      <c r="B142" s="195" t="str">
        <f t="shared" si="47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8"/>
        <v>0</v>
      </c>
      <c r="G142" s="523">
        <f t="shared" si="40"/>
        <v>0</v>
      </c>
      <c r="H142" s="526">
        <f t="shared" si="41"/>
        <v>0</v>
      </c>
      <c r="I142" s="577">
        <f t="shared" si="42"/>
        <v>0</v>
      </c>
      <c r="J142" s="514">
        <f t="shared" si="43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 ht="12.5">
      <c r="B143" s="195" t="str">
        <f t="shared" si="47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8"/>
        <v>0</v>
      </c>
      <c r="G143" s="523">
        <f t="shared" si="40"/>
        <v>0</v>
      </c>
      <c r="H143" s="526">
        <f t="shared" si="41"/>
        <v>0</v>
      </c>
      <c r="I143" s="577">
        <f t="shared" si="42"/>
        <v>0</v>
      </c>
      <c r="J143" s="514">
        <f t="shared" si="43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 ht="12.5">
      <c r="B144" s="195" t="str">
        <f t="shared" si="47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8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43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 ht="12.5">
      <c r="B145" s="195" t="str">
        <f t="shared" si="47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8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43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 ht="12.5">
      <c r="B146" s="195" t="str">
        <f t="shared" si="47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8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43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 ht="12.5">
      <c r="B147" s="195" t="str">
        <f t="shared" si="47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8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43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 ht="12.5">
      <c r="B148" s="195" t="str">
        <f t="shared" si="47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8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43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 ht="12.5">
      <c r="B149" s="195" t="str">
        <f t="shared" si="47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8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43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 ht="12.5">
      <c r="B150" s="195" t="str">
        <f t="shared" si="47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8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43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 ht="12.5">
      <c r="B151" s="195" t="str">
        <f t="shared" si="47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8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43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 ht="12.5">
      <c r="B152" s="195" t="str">
        <f t="shared" si="47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8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43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 ht="12.5">
      <c r="B153" s="195" t="str">
        <f t="shared" si="47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8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43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" thickBot="1">
      <c r="B154" s="195" t="str">
        <f t="shared" si="47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8"/>
        <v>0</v>
      </c>
      <c r="G154" s="528">
        <f t="shared" si="40"/>
        <v>0</v>
      </c>
      <c r="H154" s="530">
        <f t="shared" si="41"/>
        <v>0</v>
      </c>
      <c r="I154" s="579">
        <f t="shared" si="42"/>
        <v>0</v>
      </c>
      <c r="J154" s="533">
        <f t="shared" si="43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 ht="12.5">
      <c r="C155" s="374" t="s">
        <v>78</v>
      </c>
      <c r="D155" s="375"/>
      <c r="E155" s="375">
        <f>SUM(E99:E154)</f>
        <v>4175110</v>
      </c>
      <c r="F155" s="375"/>
      <c r="G155" s="375"/>
      <c r="H155" s="375">
        <f>SUM(H99:H154)</f>
        <v>14141696.101654017</v>
      </c>
      <c r="I155" s="375">
        <f>SUM(I99:I154)</f>
        <v>14141696.101654017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7" priority="1" stopIfTrue="1" operator="equal">
      <formula>$I$10</formula>
    </cfRule>
  </conditionalFormatting>
  <conditionalFormatting sqref="C99:C154">
    <cfRule type="cellIs" dxfId="9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Q162"/>
  <sheetViews>
    <sheetView view="pageBreakPreview" topLeftCell="A76" zoomScale="75" zoomScaleNormal="100" zoomScaleSheetLayoutView="75" workbookViewId="0">
      <selection activeCell="L106" sqref="L106:N106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33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6551112.4234461179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6551112.4234461179</v>
      </c>
      <c r="O6" s="269"/>
      <c r="P6" s="269"/>
    </row>
    <row r="7" spans="1:17" ht="13.5" thickBot="1">
      <c r="C7" s="467" t="s">
        <v>48</v>
      </c>
      <c r="D7" s="620" t="s">
        <v>289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288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59305788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1412042.5714285714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1609000</v>
      </c>
      <c r="E17" s="509">
        <v>19154.761904761905</v>
      </c>
      <c r="F17" s="508">
        <v>1589845.2380952381</v>
      </c>
      <c r="G17" s="509">
        <v>255596.76839974581</v>
      </c>
      <c r="H17" s="510">
        <v>255596.76839974581</v>
      </c>
      <c r="I17" s="617">
        <v>0</v>
      </c>
      <c r="J17" s="511"/>
      <c r="K17" s="512">
        <f t="shared" ref="K17:K22" si="0">G17</f>
        <v>255596.76839974581</v>
      </c>
      <c r="L17" s="597">
        <f t="shared" ref="L17:L48" si="1">IF(K17&lt;&gt;0,+G17-K17,0)</f>
        <v>0</v>
      </c>
      <c r="M17" s="512">
        <f t="shared" ref="M17:M22" si="2">H17</f>
        <v>255596.76839974581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508">
        <v>12452702.238095239</v>
      </c>
      <c r="E18" s="516">
        <v>296948.97619047621</v>
      </c>
      <c r="F18" s="508">
        <v>12155753.261904763</v>
      </c>
      <c r="G18" s="516">
        <v>1998597.4057579383</v>
      </c>
      <c r="H18" s="510">
        <v>1998597.4057579383</v>
      </c>
      <c r="I18" s="616">
        <v>0</v>
      </c>
      <c r="J18" s="511"/>
      <c r="K18" s="518">
        <f t="shared" si="0"/>
        <v>1998597.4057579383</v>
      </c>
      <c r="L18" s="519">
        <f t="shared" ref="L18:L23" si="6">IF(K18&lt;&gt;0,+G18-K18,0)</f>
        <v>0</v>
      </c>
      <c r="M18" s="518">
        <f t="shared" si="2"/>
        <v>1998597.4057579383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508">
        <v>55180030.261904761</v>
      </c>
      <c r="E19" s="516">
        <v>1321336.5238095238</v>
      </c>
      <c r="F19" s="508">
        <v>53858693.738095239</v>
      </c>
      <c r="G19" s="516">
        <v>8587440.2696967553</v>
      </c>
      <c r="H19" s="510">
        <v>8587440.2696967553</v>
      </c>
      <c r="I19" s="616">
        <v>0</v>
      </c>
      <c r="J19" s="511"/>
      <c r="K19" s="518">
        <f t="shared" si="0"/>
        <v>8587440.2696967553</v>
      </c>
      <c r="L19" s="519">
        <f t="shared" si="6"/>
        <v>0</v>
      </c>
      <c r="M19" s="518">
        <f t="shared" si="2"/>
        <v>8587440.2696967553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2015</v>
      </c>
      <c r="D20" s="508">
        <v>56313962.738095239</v>
      </c>
      <c r="E20" s="516">
        <v>1379795.3095238095</v>
      </c>
      <c r="F20" s="508">
        <v>54934167.428571433</v>
      </c>
      <c r="G20" s="516">
        <v>8614888.8974372521</v>
      </c>
      <c r="H20" s="510">
        <v>8614888.8974372521</v>
      </c>
      <c r="I20" s="511">
        <v>0</v>
      </c>
      <c r="J20" s="511"/>
      <c r="K20" s="518">
        <f t="shared" si="0"/>
        <v>8614888.8974372521</v>
      </c>
      <c r="L20" s="519">
        <f t="shared" si="6"/>
        <v>0</v>
      </c>
      <c r="M20" s="518">
        <f t="shared" si="2"/>
        <v>8614888.8974372521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>IU</v>
      </c>
      <c r="C21" s="507">
        <f>IF(D12="","-",+C20+1)</f>
        <v>2016</v>
      </c>
      <c r="D21" s="508">
        <v>56278364.618571423</v>
      </c>
      <c r="E21" s="516">
        <v>1411800.0045238095</v>
      </c>
      <c r="F21" s="508">
        <v>54866564.614047617</v>
      </c>
      <c r="G21" s="516">
        <v>8548841.3588929959</v>
      </c>
      <c r="H21" s="510">
        <v>8548841.3588929959</v>
      </c>
      <c r="I21" s="511">
        <f t="shared" ref="I21:I48" si="9">H21-G21</f>
        <v>0</v>
      </c>
      <c r="J21" s="511"/>
      <c r="K21" s="518">
        <f t="shared" si="0"/>
        <v>8548841.3588929959</v>
      </c>
      <c r="L21" s="519">
        <f t="shared" si="6"/>
        <v>0</v>
      </c>
      <c r="M21" s="518">
        <f t="shared" si="2"/>
        <v>8548841.3588929959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2017</v>
      </c>
      <c r="D22" s="508">
        <v>54876752.424047619</v>
      </c>
      <c r="E22" s="516">
        <v>1379204.3720930233</v>
      </c>
      <c r="F22" s="508">
        <v>53497548.051954597</v>
      </c>
      <c r="G22" s="516">
        <v>8092587.7045322992</v>
      </c>
      <c r="H22" s="510">
        <v>8092587.7045322992</v>
      </c>
      <c r="I22" s="511">
        <f t="shared" si="9"/>
        <v>0</v>
      </c>
      <c r="J22" s="511"/>
      <c r="K22" s="518">
        <f t="shared" si="0"/>
        <v>8092587.7045322992</v>
      </c>
      <c r="L22" s="519">
        <f t="shared" si="6"/>
        <v>0</v>
      </c>
      <c r="M22" s="518">
        <f t="shared" si="2"/>
        <v>8092587.7045322992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508">
        <v>53497548.051954597</v>
      </c>
      <c r="E23" s="516">
        <v>1446482.6341463414</v>
      </c>
      <c r="F23" s="508">
        <v>52051065.417808257</v>
      </c>
      <c r="G23" s="516">
        <v>8153785.5951796668</v>
      </c>
      <c r="H23" s="510">
        <v>8153785.5951796668</v>
      </c>
      <c r="I23" s="511">
        <f t="shared" si="9"/>
        <v>0</v>
      </c>
      <c r="J23" s="511"/>
      <c r="K23" s="518">
        <f>G23</f>
        <v>8153785.5951796668</v>
      </c>
      <c r="L23" s="519">
        <f t="shared" si="6"/>
        <v>0</v>
      </c>
      <c r="M23" s="518">
        <f>H23</f>
        <v>8153785.5951796668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508">
        <v>52051065.417808257</v>
      </c>
      <c r="E24" s="516">
        <v>1446482.6341463414</v>
      </c>
      <c r="F24" s="508">
        <v>50604582.783661917</v>
      </c>
      <c r="G24" s="516">
        <v>7969946.1881774617</v>
      </c>
      <c r="H24" s="510">
        <v>7969946.1881774617</v>
      </c>
      <c r="I24" s="511">
        <f t="shared" si="9"/>
        <v>0</v>
      </c>
      <c r="J24" s="511"/>
      <c r="K24" s="518">
        <f>G24</f>
        <v>7969946.1881774617</v>
      </c>
      <c r="L24" s="519">
        <f t="shared" ref="L24" si="10">IF(K24&lt;&gt;0,+G24-K24,0)</f>
        <v>0</v>
      </c>
      <c r="M24" s="518">
        <f>H24</f>
        <v>7969946.1881774617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508">
        <v>50604582.783661917</v>
      </c>
      <c r="E25" s="516">
        <v>1446482.6341463414</v>
      </c>
      <c r="F25" s="508">
        <v>49158100.149515577</v>
      </c>
      <c r="G25" s="516">
        <v>6551112.4234461179</v>
      </c>
      <c r="H25" s="510">
        <v>6551112.4234461179</v>
      </c>
      <c r="I25" s="511">
        <f t="shared" si="9"/>
        <v>0</v>
      </c>
      <c r="J25" s="511"/>
      <c r="K25" s="518">
        <f>G25</f>
        <v>6551112.4234461179</v>
      </c>
      <c r="L25" s="519">
        <f t="shared" ref="L25" si="11">IF(K25&lt;&gt;0,+G25-K25,0)</f>
        <v>0</v>
      </c>
      <c r="M25" s="518">
        <f>H25</f>
        <v>6551112.4234461179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/>
      </c>
      <c r="C26" s="507">
        <f>IF(D11="","-",+C25+1)</f>
        <v>2021</v>
      </c>
      <c r="D26" s="523">
        <f>IF(F25+SUM(E$17:E25)=D$10,F25,D$10-SUM(E$17:E25))</f>
        <v>49158100.149515577</v>
      </c>
      <c r="E26" s="522">
        <f>IF(+I14&lt;F25,I14,D26)</f>
        <v>1412042.5714285714</v>
      </c>
      <c r="F26" s="523">
        <f t="shared" ref="F26:F48" si="12">+D26-E26</f>
        <v>47746057.578087002</v>
      </c>
      <c r="G26" s="524">
        <f t="shared" ref="G26:G53" si="13">+I$12*((D26+F26)/2)+E26</f>
        <v>6587595.4601438455</v>
      </c>
      <c r="H26" s="491">
        <f t="shared" ref="H26:H53" si="14">+I$13*((D26+F26)/2)+E26</f>
        <v>6587595.4601438455</v>
      </c>
      <c r="I26" s="511">
        <f t="shared" si="9"/>
        <v>0</v>
      </c>
      <c r="J26" s="511"/>
      <c r="K26" s="525"/>
      <c r="L26" s="514">
        <f t="shared" si="1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47746057.578087002</v>
      </c>
      <c r="E27" s="522">
        <f>IF(+I14&lt;F26,I14,D27)</f>
        <v>1412042.5714285714</v>
      </c>
      <c r="F27" s="523">
        <f t="shared" si="12"/>
        <v>46334015.006658427</v>
      </c>
      <c r="G27" s="524">
        <f t="shared" si="13"/>
        <v>6436763.9338002764</v>
      </c>
      <c r="H27" s="491">
        <f t="shared" si="14"/>
        <v>6436763.9338002764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46334015.006658427</v>
      </c>
      <c r="E28" s="522">
        <f>IF(+I14&lt;F27,I14,D28)</f>
        <v>1412042.5714285714</v>
      </c>
      <c r="F28" s="523">
        <f t="shared" si="12"/>
        <v>44921972.435229853</v>
      </c>
      <c r="G28" s="524">
        <f t="shared" si="13"/>
        <v>6285932.4074567072</v>
      </c>
      <c r="H28" s="491">
        <f t="shared" si="14"/>
        <v>6285932.4074567072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44921972.435229853</v>
      </c>
      <c r="E29" s="522">
        <f>IF(+I14&lt;F28,I14,D29)</f>
        <v>1412042.5714285714</v>
      </c>
      <c r="F29" s="523">
        <f t="shared" si="12"/>
        <v>43509929.863801278</v>
      </c>
      <c r="G29" s="524">
        <f t="shared" si="13"/>
        <v>6135100.8811131399</v>
      </c>
      <c r="H29" s="491">
        <f t="shared" si="14"/>
        <v>6135100.8811131399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43509929.863801278</v>
      </c>
      <c r="E30" s="522">
        <f>IF(+I14&lt;F29,I14,D30)</f>
        <v>1412042.5714285714</v>
      </c>
      <c r="F30" s="523">
        <f t="shared" si="12"/>
        <v>42097887.292372704</v>
      </c>
      <c r="G30" s="524">
        <f t="shared" si="13"/>
        <v>5984269.3547695708</v>
      </c>
      <c r="H30" s="491">
        <f t="shared" si="14"/>
        <v>5984269.3547695708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42097887.292372704</v>
      </c>
      <c r="E31" s="522">
        <f>IF(+I14&lt;F30,I14,D31)</f>
        <v>1412042.5714285714</v>
      </c>
      <c r="F31" s="523">
        <f t="shared" si="12"/>
        <v>40685844.720944129</v>
      </c>
      <c r="G31" s="524">
        <f t="shared" si="13"/>
        <v>5833437.8284260035</v>
      </c>
      <c r="H31" s="491">
        <f t="shared" si="14"/>
        <v>5833437.8284260035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40685844.720944129</v>
      </c>
      <c r="E32" s="522">
        <f>IF(+I14&lt;F31,I14,D32)</f>
        <v>1412042.5714285714</v>
      </c>
      <c r="F32" s="523">
        <f t="shared" si="12"/>
        <v>39273802.149515554</v>
      </c>
      <c r="G32" s="524">
        <f t="shared" si="13"/>
        <v>5682606.3020824343</v>
      </c>
      <c r="H32" s="491">
        <f t="shared" si="14"/>
        <v>5682606.3020824343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39273802.149515554</v>
      </c>
      <c r="E33" s="522">
        <f>IF(+I14&lt;F32,I14,D33)</f>
        <v>1412042.5714285714</v>
      </c>
      <c r="F33" s="523">
        <f t="shared" si="12"/>
        <v>37861759.57808698</v>
      </c>
      <c r="G33" s="524">
        <f t="shared" si="13"/>
        <v>5531774.7757388661</v>
      </c>
      <c r="H33" s="491">
        <f t="shared" si="14"/>
        <v>5531774.7757388661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37861759.57808698</v>
      </c>
      <c r="E34" s="522">
        <f>IF(+I14&lt;F33,I14,D34)</f>
        <v>1412042.5714285714</v>
      </c>
      <c r="F34" s="523">
        <f t="shared" si="12"/>
        <v>36449717.006658405</v>
      </c>
      <c r="G34" s="524">
        <f t="shared" si="13"/>
        <v>5380943.2493952969</v>
      </c>
      <c r="H34" s="491">
        <f t="shared" si="14"/>
        <v>5380943.2493952969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36449717.006658405</v>
      </c>
      <c r="E35" s="522">
        <f>IF(+I14&lt;F34,I14,D35)</f>
        <v>1412042.5714285714</v>
      </c>
      <c r="F35" s="523">
        <f t="shared" si="12"/>
        <v>35037674.43522983</v>
      </c>
      <c r="G35" s="524">
        <f t="shared" si="13"/>
        <v>5230111.7230517287</v>
      </c>
      <c r="H35" s="491">
        <f t="shared" si="14"/>
        <v>5230111.7230517287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35037674.43522983</v>
      </c>
      <c r="E36" s="522">
        <f>IF(+I14&lt;F35,I14,D36)</f>
        <v>1412042.5714285714</v>
      </c>
      <c r="F36" s="523">
        <f t="shared" si="12"/>
        <v>33625631.863801256</v>
      </c>
      <c r="G36" s="524">
        <f t="shared" si="13"/>
        <v>5079280.1967081595</v>
      </c>
      <c r="H36" s="491">
        <f t="shared" si="14"/>
        <v>5079280.1967081595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33625631.863801256</v>
      </c>
      <c r="E37" s="522">
        <f>IF(+I14&lt;F36,I14,D37)</f>
        <v>1412042.5714285714</v>
      </c>
      <c r="F37" s="523">
        <f t="shared" si="12"/>
        <v>32213589.292372685</v>
      </c>
      <c r="G37" s="524">
        <f t="shared" si="13"/>
        <v>4928448.6703645922</v>
      </c>
      <c r="H37" s="491">
        <f t="shared" si="14"/>
        <v>4928448.6703645922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32213589.292372685</v>
      </c>
      <c r="E38" s="522">
        <f>IF(+I14&lt;F37,I14,D38)</f>
        <v>1412042.5714285714</v>
      </c>
      <c r="F38" s="523">
        <f t="shared" si="12"/>
        <v>30801546.720944114</v>
      </c>
      <c r="G38" s="524">
        <f t="shared" si="13"/>
        <v>4777617.1440210231</v>
      </c>
      <c r="H38" s="491">
        <f t="shared" si="14"/>
        <v>4777617.1440210231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30801546.720944114</v>
      </c>
      <c r="E39" s="522">
        <f>IF(+I14&lt;F38,I14,D39)</f>
        <v>1412042.5714285714</v>
      </c>
      <c r="F39" s="523">
        <f t="shared" si="12"/>
        <v>29389504.149515543</v>
      </c>
      <c r="G39" s="524">
        <f t="shared" si="13"/>
        <v>4626785.6176774558</v>
      </c>
      <c r="H39" s="491">
        <f t="shared" si="14"/>
        <v>4626785.6176774558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29389504.149515543</v>
      </c>
      <c r="E40" s="522">
        <f>IF(+I14&lt;F39,I14,D40)</f>
        <v>1412042.5714285714</v>
      </c>
      <c r="F40" s="523">
        <f t="shared" si="12"/>
        <v>27977461.578086972</v>
      </c>
      <c r="G40" s="524">
        <f t="shared" si="13"/>
        <v>4475954.0913338866</v>
      </c>
      <c r="H40" s="491">
        <f t="shared" si="14"/>
        <v>4475954.0913338866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27977461.578086972</v>
      </c>
      <c r="E41" s="522">
        <f>IF(+I14&lt;F40,I14,D41)</f>
        <v>1412042.5714285714</v>
      </c>
      <c r="F41" s="523">
        <f t="shared" si="12"/>
        <v>26565419.006658401</v>
      </c>
      <c r="G41" s="524">
        <f t="shared" si="13"/>
        <v>4325122.5649903193</v>
      </c>
      <c r="H41" s="491">
        <f t="shared" si="14"/>
        <v>4325122.5649903193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26565419.006658401</v>
      </c>
      <c r="E42" s="522">
        <f>IF(+I14&lt;F41,I14,D42)</f>
        <v>1412042.5714285714</v>
      </c>
      <c r="F42" s="523">
        <f t="shared" si="12"/>
        <v>25153376.43522983</v>
      </c>
      <c r="G42" s="524">
        <f t="shared" si="13"/>
        <v>4174291.0386467511</v>
      </c>
      <c r="H42" s="491">
        <f t="shared" si="14"/>
        <v>4174291.0386467511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25153376.43522983</v>
      </c>
      <c r="E43" s="522">
        <f>IF(+I14&lt;F42,I14,D43)</f>
        <v>1412042.5714285714</v>
      </c>
      <c r="F43" s="523">
        <f t="shared" si="12"/>
        <v>23741333.86380126</v>
      </c>
      <c r="G43" s="524">
        <f t="shared" si="13"/>
        <v>4023459.5123031833</v>
      </c>
      <c r="H43" s="491">
        <f t="shared" si="14"/>
        <v>4023459.5123031833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23741333.86380126</v>
      </c>
      <c r="E44" s="522">
        <f>IF(+I14&lt;F43,I14,D44)</f>
        <v>1412042.5714285714</v>
      </c>
      <c r="F44" s="523">
        <f t="shared" si="12"/>
        <v>22329291.292372689</v>
      </c>
      <c r="G44" s="524">
        <f t="shared" si="13"/>
        <v>3872627.9859596151</v>
      </c>
      <c r="H44" s="491">
        <f t="shared" si="14"/>
        <v>3872627.9859596151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22329291.292372689</v>
      </c>
      <c r="E45" s="522">
        <f>IF(+I14&lt;F44,I14,D45)</f>
        <v>1412042.5714285714</v>
      </c>
      <c r="F45" s="523">
        <f t="shared" si="12"/>
        <v>20917248.720944118</v>
      </c>
      <c r="G45" s="524">
        <f t="shared" si="13"/>
        <v>3721796.4596160473</v>
      </c>
      <c r="H45" s="491">
        <f t="shared" si="14"/>
        <v>3721796.4596160473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20917248.720944118</v>
      </c>
      <c r="E46" s="522">
        <f>IF(+I14&lt;F45,I14,D46)</f>
        <v>1412042.5714285714</v>
      </c>
      <c r="F46" s="523">
        <f t="shared" si="12"/>
        <v>19505206.149515547</v>
      </c>
      <c r="G46" s="524">
        <f t="shared" si="13"/>
        <v>3570964.9332724786</v>
      </c>
      <c r="H46" s="491">
        <f t="shared" si="14"/>
        <v>3570964.9332724786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19505206.149515547</v>
      </c>
      <c r="E47" s="522">
        <f>IF(+I14&lt;F46,I14,D47)</f>
        <v>1412042.5714285714</v>
      </c>
      <c r="F47" s="523">
        <f t="shared" si="12"/>
        <v>18093163.578086976</v>
      </c>
      <c r="G47" s="524">
        <f t="shared" si="13"/>
        <v>3420133.4069289109</v>
      </c>
      <c r="H47" s="491">
        <f t="shared" si="14"/>
        <v>3420133.4069289109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18093163.578086976</v>
      </c>
      <c r="E48" s="522">
        <f>IF(+I14&lt;F47,I14,D48)</f>
        <v>1412042.5714285714</v>
      </c>
      <c r="F48" s="523">
        <f t="shared" si="12"/>
        <v>16681121.006658405</v>
      </c>
      <c r="G48" s="524">
        <f t="shared" si="13"/>
        <v>3269301.8805853426</v>
      </c>
      <c r="H48" s="491">
        <f t="shared" si="14"/>
        <v>3269301.8805853426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16681121.006658405</v>
      </c>
      <c r="E49" s="522">
        <f>IF(+I14&lt;F48,I14,D49)</f>
        <v>1412042.5714285714</v>
      </c>
      <c r="F49" s="523">
        <f t="shared" ref="F49:F72" si="15">+D49-E49</f>
        <v>15269078.435229834</v>
      </c>
      <c r="G49" s="524">
        <f t="shared" si="13"/>
        <v>3118470.3542417744</v>
      </c>
      <c r="H49" s="491">
        <f t="shared" si="14"/>
        <v>3118470.3542417744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ref="B50:B72" si="20">IF(D50=F49,"","IU")</f>
        <v/>
      </c>
      <c r="C50" s="507">
        <f>IF(D11="","-",+C49+1)</f>
        <v>2045</v>
      </c>
      <c r="D50" s="523">
        <f>IF(F49+SUM(E$17:E49)=D$10,F49,D$10-SUM(E$17:E49))</f>
        <v>15269078.435229834</v>
      </c>
      <c r="E50" s="522">
        <f>IF(+I14&lt;F49,I14,D50)</f>
        <v>1412042.5714285714</v>
      </c>
      <c r="F50" s="523">
        <f t="shared" si="15"/>
        <v>13857035.863801263</v>
      </c>
      <c r="G50" s="524">
        <f t="shared" si="13"/>
        <v>2967638.8278982062</v>
      </c>
      <c r="H50" s="491">
        <f t="shared" si="14"/>
        <v>2967638.8278982062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20"/>
        <v/>
      </c>
      <c r="C51" s="507">
        <f>IF(D11="","-",+C50+1)</f>
        <v>2046</v>
      </c>
      <c r="D51" s="523">
        <f>IF(F50+SUM(E$17:E50)=D$10,F50,D$10-SUM(E$17:E50))</f>
        <v>13857035.863801263</v>
      </c>
      <c r="E51" s="522">
        <f>IF(+I14&lt;F50,I14,D51)</f>
        <v>1412042.5714285714</v>
      </c>
      <c r="F51" s="523">
        <f t="shared" si="15"/>
        <v>12444993.292372692</v>
      </c>
      <c r="G51" s="524">
        <f t="shared" si="13"/>
        <v>2816807.3015546384</v>
      </c>
      <c r="H51" s="491">
        <f t="shared" si="14"/>
        <v>2816807.3015546384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20"/>
        <v/>
      </c>
      <c r="C52" s="507">
        <f>IF(D11="","-",+C51+1)</f>
        <v>2047</v>
      </c>
      <c r="D52" s="523">
        <f>IF(F51+SUM(E$17:E51)=D$10,F51,D$10-SUM(E$17:E51))</f>
        <v>12444993.292372692</v>
      </c>
      <c r="E52" s="522">
        <f>IF(+I14&lt;F51,I14,D52)</f>
        <v>1412042.5714285714</v>
      </c>
      <c r="F52" s="523">
        <f t="shared" si="15"/>
        <v>11032950.720944121</v>
      </c>
      <c r="G52" s="524">
        <f t="shared" si="13"/>
        <v>2665975.7752110702</v>
      </c>
      <c r="H52" s="491">
        <f t="shared" si="14"/>
        <v>2665975.7752110702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20"/>
        <v/>
      </c>
      <c r="C53" s="507">
        <f>IF(D11="","-",+C52+1)</f>
        <v>2048</v>
      </c>
      <c r="D53" s="523">
        <f>IF(F52+SUM(E$17:E52)=D$10,F52,D$10-SUM(E$17:E52))</f>
        <v>11032950.720944121</v>
      </c>
      <c r="E53" s="522">
        <f>IF(+I14&lt;F52,I14,D53)</f>
        <v>1412042.5714285714</v>
      </c>
      <c r="F53" s="523">
        <f t="shared" si="15"/>
        <v>9620908.1495155506</v>
      </c>
      <c r="G53" s="524">
        <f t="shared" si="13"/>
        <v>2515144.2488675024</v>
      </c>
      <c r="H53" s="491">
        <f t="shared" si="14"/>
        <v>2515144.2488675024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20"/>
        <v/>
      </c>
      <c r="C54" s="507">
        <f>IF(D11="","-",+C53+1)</f>
        <v>2049</v>
      </c>
      <c r="D54" s="523">
        <f>IF(F53+SUM(E$17:E53)=D$10,F53,D$10-SUM(E$17:E53))</f>
        <v>9620908.1495155506</v>
      </c>
      <c r="E54" s="522">
        <f>IF(+I14&lt;F53,I14,D54)</f>
        <v>1412042.5714285714</v>
      </c>
      <c r="F54" s="523">
        <f t="shared" si="15"/>
        <v>8208865.5780869797</v>
      </c>
      <c r="G54" s="524">
        <f t="shared" ref="G54:G72" si="21">+I$12*((D54+F54)/2)+E54</f>
        <v>2364312.7225239342</v>
      </c>
      <c r="H54" s="491">
        <f t="shared" ref="H54:H72" si="22">+I$13*((D54+F54)/2)+E54</f>
        <v>2364312.7225239342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20"/>
        <v/>
      </c>
      <c r="C55" s="507">
        <f>IF(D11="","-",+C54+1)</f>
        <v>2050</v>
      </c>
      <c r="D55" s="523">
        <f>IF(F54+SUM(E$17:E54)=D$10,F54,D$10-SUM(E$17:E54))</f>
        <v>8208865.5780869797</v>
      </c>
      <c r="E55" s="522">
        <f>IF(+I14&lt;F54,I14,D55)</f>
        <v>1412042.5714285714</v>
      </c>
      <c r="F55" s="523">
        <f t="shared" si="15"/>
        <v>6796823.0066584088</v>
      </c>
      <c r="G55" s="524">
        <f t="shared" si="21"/>
        <v>2213481.196180366</v>
      </c>
      <c r="H55" s="491">
        <f t="shared" si="22"/>
        <v>2213481.196180366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20"/>
        <v/>
      </c>
      <c r="C56" s="507">
        <f>IF(D11="","-",+C55+1)</f>
        <v>2051</v>
      </c>
      <c r="D56" s="523">
        <f>IF(F55+SUM(E$17:E55)=D$10,F55,D$10-SUM(E$17:E55))</f>
        <v>6796823.0066584088</v>
      </c>
      <c r="E56" s="522">
        <f>IF(+I14&lt;F55,I14,D56)</f>
        <v>1412042.5714285714</v>
      </c>
      <c r="F56" s="523">
        <f t="shared" si="15"/>
        <v>5384780.4352298379</v>
      </c>
      <c r="G56" s="524">
        <f t="shared" si="21"/>
        <v>2062649.6698367978</v>
      </c>
      <c r="H56" s="491">
        <f t="shared" si="22"/>
        <v>2062649.6698367978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20"/>
        <v/>
      </c>
      <c r="C57" s="507">
        <f>IF(D11="","-",+C56+1)</f>
        <v>2052</v>
      </c>
      <c r="D57" s="523">
        <f>IF(F56+SUM(E$17:E56)=D$10,F56,D$10-SUM(E$17:E56))</f>
        <v>5384780.4352298379</v>
      </c>
      <c r="E57" s="522">
        <f>IF(+I14&lt;F56,I14,D57)</f>
        <v>1412042.5714285714</v>
      </c>
      <c r="F57" s="523">
        <f t="shared" si="15"/>
        <v>3972737.8638012665</v>
      </c>
      <c r="G57" s="524">
        <f t="shared" si="21"/>
        <v>1911818.1434932298</v>
      </c>
      <c r="H57" s="491">
        <f t="shared" si="22"/>
        <v>1911818.1434932298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20"/>
        <v/>
      </c>
      <c r="C58" s="507">
        <f>IF(D11="","-",+C57+1)</f>
        <v>2053</v>
      </c>
      <c r="D58" s="523">
        <f>IF(F57+SUM(E$17:E57)=D$10,F57,D$10-SUM(E$17:E57))</f>
        <v>3972737.8638012665</v>
      </c>
      <c r="E58" s="522">
        <f>IF(+I14&lt;F57,I14,D58)</f>
        <v>1412042.5714285714</v>
      </c>
      <c r="F58" s="523">
        <f t="shared" si="15"/>
        <v>2560695.2923726952</v>
      </c>
      <c r="G58" s="524">
        <f t="shared" si="21"/>
        <v>1760986.6171496615</v>
      </c>
      <c r="H58" s="491">
        <f t="shared" si="22"/>
        <v>1760986.6171496615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0"/>
        <v/>
      </c>
      <c r="C59" s="507">
        <f>IF(D11="","-",+C58+1)</f>
        <v>2054</v>
      </c>
      <c r="D59" s="523">
        <f>IF(F58+SUM(E$17:E58)=D$10,F58,D$10-SUM(E$17:E58))</f>
        <v>2560695.2923726952</v>
      </c>
      <c r="E59" s="522">
        <f>IF(+I14&lt;F58,I14,D59)</f>
        <v>1412042.5714285714</v>
      </c>
      <c r="F59" s="523">
        <f t="shared" si="15"/>
        <v>1148652.7209441238</v>
      </c>
      <c r="G59" s="524">
        <f t="shared" si="21"/>
        <v>1610155.0908060935</v>
      </c>
      <c r="H59" s="491">
        <f t="shared" si="22"/>
        <v>1610155.0908060935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20"/>
        <v/>
      </c>
      <c r="C60" s="507">
        <f>IF(D11="","-",+C59+1)</f>
        <v>2055</v>
      </c>
      <c r="D60" s="523">
        <f>IF(F59+SUM(E$17:E59)=D$10,F59,D$10-SUM(E$17:E59))</f>
        <v>1148652.7209441238</v>
      </c>
      <c r="E60" s="522">
        <f>IF(+I14&lt;F59,I14,D60)</f>
        <v>1148652.7209441238</v>
      </c>
      <c r="F60" s="523">
        <f t="shared" si="15"/>
        <v>0</v>
      </c>
      <c r="G60" s="524">
        <f t="shared" si="21"/>
        <v>1210001.0990469928</v>
      </c>
      <c r="H60" s="491">
        <f t="shared" si="22"/>
        <v>1210001.0990469928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20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21"/>
        <v>0</v>
      </c>
      <c r="H61" s="491">
        <f t="shared" si="22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20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21"/>
        <v>0</v>
      </c>
      <c r="H62" s="491">
        <f t="shared" si="22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20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21"/>
        <v>0</v>
      </c>
      <c r="H63" s="491">
        <f t="shared" si="22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20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21"/>
        <v>0</v>
      </c>
      <c r="H64" s="491">
        <f t="shared" si="22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20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21"/>
        <v>0</v>
      </c>
      <c r="H65" s="491">
        <f t="shared" si="22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20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21"/>
        <v>0</v>
      </c>
      <c r="H66" s="491">
        <f t="shared" si="22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20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21"/>
        <v>0</v>
      </c>
      <c r="H67" s="491">
        <f t="shared" si="22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20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21"/>
        <v>0</v>
      </c>
      <c r="H68" s="491">
        <f t="shared" si="22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20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21"/>
        <v>0</v>
      </c>
      <c r="H69" s="491">
        <f t="shared" si="22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20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21"/>
        <v>0</v>
      </c>
      <c r="H70" s="491">
        <f t="shared" si="22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20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21"/>
        <v>0</v>
      </c>
      <c r="H71" s="491">
        <f t="shared" si="22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20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21"/>
        <v>0</v>
      </c>
      <c r="H72" s="471">
        <f t="shared" si="22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59305788.00000003</v>
      </c>
      <c r="F73" s="375"/>
      <c r="G73" s="375">
        <f>SUM(G17:G72)</f>
        <v>199344557.07671615</v>
      </c>
      <c r="H73" s="375">
        <f>SUM(H17:H72)</f>
        <v>199344557.07671615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33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6551112.4234461179</v>
      </c>
      <c r="N87" s="546">
        <f>IF(J92&lt;D11,0,VLOOKUP(J92,C17:O72,11))</f>
        <v>6551112.4234461179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6789460.9103591554</v>
      </c>
      <c r="N88" s="550">
        <f>IF(J92&lt;D11,0,VLOOKUP(J92,C99:P154,7))</f>
        <v>6789460.9103591554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 Flint Creek-Shipe Road 345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238348.48691303749</v>
      </c>
      <c r="N89" s="555">
        <f>+N88-N87</f>
        <v>238348.48691303749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TP208126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59305788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1412042.5714285714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48831.630952380954</v>
      </c>
      <c r="F99" s="515">
        <v>4053025.3690476189</v>
      </c>
      <c r="G99" s="574">
        <v>2026512.6845238095</v>
      </c>
      <c r="H99" s="575">
        <v>347040.94031483348</v>
      </c>
      <c r="I99" s="576">
        <v>347040.94031483348</v>
      </c>
      <c r="J99" s="613">
        <f t="shared" ref="J99:J130" si="23">+I99-H99</f>
        <v>0</v>
      </c>
      <c r="K99" s="514"/>
      <c r="L99" s="512">
        <f t="shared" ref="L99:L104" si="24">H99</f>
        <v>347040.94031483348</v>
      </c>
      <c r="M99" s="597">
        <f t="shared" ref="M99:M130" si="25">IF(L99&lt;&gt;0,+H99-L99,0)</f>
        <v>0</v>
      </c>
      <c r="N99" s="512">
        <f t="shared" ref="N99:N104" si="26">I99</f>
        <v>347040.94031483348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 ht="12.5">
      <c r="B100" s="195" t="str">
        <f t="shared" ref="B100:B131" si="29">IF(D100=F99,"","IU")</f>
        <v>IU</v>
      </c>
      <c r="C100" s="507">
        <f>IF(D93="","-",+C99+1)</f>
        <v>2013</v>
      </c>
      <c r="D100" s="508">
        <v>8932602.3690476194</v>
      </c>
      <c r="E100" s="516">
        <v>213843.66666666666</v>
      </c>
      <c r="F100" s="515">
        <v>8718758.7023809534</v>
      </c>
      <c r="G100" s="515">
        <v>8825680.5357142873</v>
      </c>
      <c r="H100" s="575">
        <v>1407885.0103828101</v>
      </c>
      <c r="I100" s="576">
        <v>1407885.0103828101</v>
      </c>
      <c r="J100" s="613">
        <v>0</v>
      </c>
      <c r="K100" s="514"/>
      <c r="L100" s="518">
        <f t="shared" si="24"/>
        <v>1407885.0103828101</v>
      </c>
      <c r="M100" s="519">
        <f t="shared" ref="M100:M105" si="30">IF(L100&lt;&gt;0,+H100-L100,0)</f>
        <v>0</v>
      </c>
      <c r="N100" s="518">
        <f t="shared" si="26"/>
        <v>1407885.0103828101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29"/>
        <v>IU</v>
      </c>
      <c r="C101" s="507">
        <f>IF(D93="","-",+C100+1)</f>
        <v>2014</v>
      </c>
      <c r="D101" s="508">
        <v>57803227.702380955</v>
      </c>
      <c r="E101" s="516">
        <v>1382521.5</v>
      </c>
      <c r="F101" s="515">
        <v>56420706.202380955</v>
      </c>
      <c r="G101" s="515">
        <v>57111966.952380955</v>
      </c>
      <c r="H101" s="575">
        <v>9145377.6421220824</v>
      </c>
      <c r="I101" s="576">
        <v>9145377.6421220824</v>
      </c>
      <c r="J101" s="514">
        <v>0</v>
      </c>
      <c r="K101" s="514"/>
      <c r="L101" s="518">
        <f t="shared" si="24"/>
        <v>9145377.6421220824</v>
      </c>
      <c r="M101" s="519">
        <f t="shared" si="30"/>
        <v>0</v>
      </c>
      <c r="N101" s="518">
        <f t="shared" si="26"/>
        <v>9145377.6421220824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9"/>
        <v>IU</v>
      </c>
      <c r="C102" s="507">
        <f>IF(D93="","-",+C101+1)</f>
        <v>2015</v>
      </c>
      <c r="D102" s="508">
        <v>56479124.932380959</v>
      </c>
      <c r="E102" s="516">
        <v>1383912.4221428572</v>
      </c>
      <c r="F102" s="515">
        <v>55095212.510238104</v>
      </c>
      <c r="G102" s="515">
        <v>55787168.721309528</v>
      </c>
      <c r="H102" s="575">
        <v>8734925.0443726294</v>
      </c>
      <c r="I102" s="576">
        <v>8734925.0443726294</v>
      </c>
      <c r="J102" s="514">
        <f t="shared" si="23"/>
        <v>0</v>
      </c>
      <c r="K102" s="514"/>
      <c r="L102" s="518">
        <f t="shared" si="24"/>
        <v>8734925.0443726294</v>
      </c>
      <c r="M102" s="519">
        <f t="shared" si="30"/>
        <v>0</v>
      </c>
      <c r="N102" s="518">
        <f t="shared" si="26"/>
        <v>8734925.0443726294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9"/>
        <v>IU</v>
      </c>
      <c r="C103" s="507">
        <f>IF(D93="","-",+C102+1)</f>
        <v>2016</v>
      </c>
      <c r="D103" s="508">
        <v>56276678.780238092</v>
      </c>
      <c r="E103" s="516">
        <v>1379204.3720930233</v>
      </c>
      <c r="F103" s="515">
        <v>54897474.40814507</v>
      </c>
      <c r="G103" s="515">
        <v>55587076.594191581</v>
      </c>
      <c r="H103" s="575">
        <v>8435983.0947099216</v>
      </c>
      <c r="I103" s="576">
        <v>8435983.0947099216</v>
      </c>
      <c r="J103" s="514">
        <f t="shared" si="23"/>
        <v>0</v>
      </c>
      <c r="K103" s="514"/>
      <c r="L103" s="518">
        <f t="shared" si="24"/>
        <v>8435983.0947099216</v>
      </c>
      <c r="M103" s="519">
        <f t="shared" si="30"/>
        <v>0</v>
      </c>
      <c r="N103" s="518">
        <f t="shared" si="26"/>
        <v>8435983.0947099216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9"/>
        <v/>
      </c>
      <c r="C104" s="507">
        <f>IF(D93="","-",+C103+1)</f>
        <v>2017</v>
      </c>
      <c r="D104" s="508">
        <v>54897474.40814507</v>
      </c>
      <c r="E104" s="516">
        <v>1412042.5714285714</v>
      </c>
      <c r="F104" s="515">
        <v>53485431.836716495</v>
      </c>
      <c r="G104" s="515">
        <v>54191453.122430786</v>
      </c>
      <c r="H104" s="575">
        <v>7994757.3762234207</v>
      </c>
      <c r="I104" s="576">
        <v>7994757.3762234207</v>
      </c>
      <c r="J104" s="514">
        <f t="shared" si="23"/>
        <v>0</v>
      </c>
      <c r="K104" s="514"/>
      <c r="L104" s="518">
        <f t="shared" si="24"/>
        <v>7994757.3762234207</v>
      </c>
      <c r="M104" s="519">
        <f t="shared" si="30"/>
        <v>0</v>
      </c>
      <c r="N104" s="518">
        <f t="shared" si="26"/>
        <v>7994757.3762234207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29"/>
        <v/>
      </c>
      <c r="C105" s="507">
        <f>IF(D93="","-",+C104+1)</f>
        <v>2018</v>
      </c>
      <c r="D105" s="508">
        <v>53485431.836716495</v>
      </c>
      <c r="E105" s="516">
        <v>1412042.5714285714</v>
      </c>
      <c r="F105" s="515">
        <v>52073389.265287921</v>
      </c>
      <c r="G105" s="515">
        <v>52779410.551002204</v>
      </c>
      <c r="H105" s="575">
        <v>6985790.362479778</v>
      </c>
      <c r="I105" s="576">
        <v>6985790.362479778</v>
      </c>
      <c r="J105" s="514">
        <f t="shared" si="23"/>
        <v>0</v>
      </c>
      <c r="K105" s="514"/>
      <c r="L105" s="518">
        <f t="shared" ref="L105" si="31">H105</f>
        <v>6985790.362479778</v>
      </c>
      <c r="M105" s="519">
        <f t="shared" si="30"/>
        <v>0</v>
      </c>
      <c r="N105" s="518">
        <f t="shared" ref="N105" si="32">I105</f>
        <v>6985790.362479778</v>
      </c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9"/>
        <v/>
      </c>
      <c r="C106" s="507">
        <f>IF(D93="","-",+C105+1)</f>
        <v>2019</v>
      </c>
      <c r="D106" s="508">
        <v>52073389.265287921</v>
      </c>
      <c r="E106" s="516">
        <v>1379204.3720930233</v>
      </c>
      <c r="F106" s="515">
        <v>50694184.893194899</v>
      </c>
      <c r="G106" s="515">
        <v>51383787.07924141</v>
      </c>
      <c r="H106" s="575">
        <v>6879353.0244559515</v>
      </c>
      <c r="I106" s="576">
        <v>6879353.0244559515</v>
      </c>
      <c r="J106" s="514">
        <f t="shared" si="23"/>
        <v>0</v>
      </c>
      <c r="K106" s="514"/>
      <c r="L106" s="518">
        <f t="shared" ref="L106" si="33">H106</f>
        <v>6879353.0244559515</v>
      </c>
      <c r="M106" s="519">
        <f t="shared" ref="M106" si="34">IF(L106&lt;&gt;0,+H106-L106,0)</f>
        <v>0</v>
      </c>
      <c r="N106" s="518">
        <f t="shared" ref="N106" si="35">I106</f>
        <v>6879353.0244559515</v>
      </c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9"/>
        <v/>
      </c>
      <c r="C107" s="507">
        <f>IF(D93="","-",+C106+1)</f>
        <v>2020</v>
      </c>
      <c r="D107" s="374">
        <f>IF(F106+SUM(E$99:E106)=D$92,F106,D$92-SUM(E$99:E106))</f>
        <v>50694184.893194899</v>
      </c>
      <c r="E107" s="522">
        <f>IF(+J96&lt;F106,J96,D107)</f>
        <v>1412042.5714285714</v>
      </c>
      <c r="F107" s="523">
        <f t="shared" ref="F107:F131" si="36">+D107-E107</f>
        <v>49282142.321766324</v>
      </c>
      <c r="G107" s="523">
        <f t="shared" ref="G107:G130" si="37">+(F107+D107)/2</f>
        <v>49988163.607480615</v>
      </c>
      <c r="H107" s="526">
        <f t="shared" ref="H107:H130" si="38">+J$94*G107+E107</f>
        <v>6789460.9103591554</v>
      </c>
      <c r="I107" s="577">
        <f t="shared" ref="I107:I130" si="39">+J$95*G107+E107</f>
        <v>6789460.9103591554</v>
      </c>
      <c r="J107" s="514">
        <f t="shared" si="23"/>
        <v>0</v>
      </c>
      <c r="K107" s="514"/>
      <c r="L107" s="525"/>
      <c r="M107" s="514">
        <f t="shared" si="25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9"/>
        <v/>
      </c>
      <c r="C108" s="507">
        <f>IF(D93="","-",+C107+1)</f>
        <v>2021</v>
      </c>
      <c r="D108" s="374">
        <f>IF(F107+SUM(E$99:E107)=D$92,F107,D$92-SUM(E$99:E107))</f>
        <v>49282142.321766324</v>
      </c>
      <c r="E108" s="522">
        <f>IF(+J96&lt;F107,J96,D108)</f>
        <v>1412042.5714285714</v>
      </c>
      <c r="F108" s="523">
        <f t="shared" si="36"/>
        <v>47870099.75033775</v>
      </c>
      <c r="G108" s="523">
        <f t="shared" si="37"/>
        <v>48576121.036052033</v>
      </c>
      <c r="H108" s="526">
        <f t="shared" si="38"/>
        <v>6637562.0792963859</v>
      </c>
      <c r="I108" s="577">
        <f t="shared" si="39"/>
        <v>6637562.0792963859</v>
      </c>
      <c r="J108" s="514">
        <f t="shared" si="23"/>
        <v>0</v>
      </c>
      <c r="K108" s="514"/>
      <c r="L108" s="525"/>
      <c r="M108" s="514">
        <f t="shared" si="25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9"/>
        <v/>
      </c>
      <c r="C109" s="507">
        <f>IF(D93="","-",+C108+1)</f>
        <v>2022</v>
      </c>
      <c r="D109" s="374">
        <f>IF(F108+SUM(E$99:E108)=D$92,F108,D$92-SUM(E$99:E108))</f>
        <v>47870099.75033775</v>
      </c>
      <c r="E109" s="522">
        <f>IF(+J96&lt;F108,J96,D109)</f>
        <v>1412042.5714285714</v>
      </c>
      <c r="F109" s="523">
        <f t="shared" si="36"/>
        <v>46458057.178909175</v>
      </c>
      <c r="G109" s="523">
        <f t="shared" si="37"/>
        <v>47164078.464623466</v>
      </c>
      <c r="H109" s="526">
        <f t="shared" si="38"/>
        <v>6485663.2482336182</v>
      </c>
      <c r="I109" s="577">
        <f t="shared" si="39"/>
        <v>6485663.2482336182</v>
      </c>
      <c r="J109" s="514">
        <f t="shared" si="23"/>
        <v>0</v>
      </c>
      <c r="K109" s="514"/>
      <c r="L109" s="525"/>
      <c r="M109" s="514">
        <f t="shared" si="25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9"/>
        <v/>
      </c>
      <c r="C110" s="507">
        <f>IF(D93="","-",+C109+1)</f>
        <v>2023</v>
      </c>
      <c r="D110" s="374">
        <f>IF(F109+SUM(E$99:E109)=D$92,F109,D$92-SUM(E$99:E109))</f>
        <v>46458057.178909175</v>
      </c>
      <c r="E110" s="522">
        <f>IF(+J96&lt;F109,J96,D110)</f>
        <v>1412042.5714285714</v>
      </c>
      <c r="F110" s="523">
        <f t="shared" si="36"/>
        <v>45046014.6074806</v>
      </c>
      <c r="G110" s="523">
        <f t="shared" si="37"/>
        <v>45752035.893194884</v>
      </c>
      <c r="H110" s="526">
        <f t="shared" si="38"/>
        <v>6333764.4171708506</v>
      </c>
      <c r="I110" s="577">
        <f t="shared" si="39"/>
        <v>6333764.4171708506</v>
      </c>
      <c r="J110" s="514">
        <f t="shared" si="23"/>
        <v>0</v>
      </c>
      <c r="K110" s="514"/>
      <c r="L110" s="525"/>
      <c r="M110" s="514">
        <f t="shared" si="25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9"/>
        <v/>
      </c>
      <c r="C111" s="507">
        <f>IF(D93="","-",+C110+1)</f>
        <v>2024</v>
      </c>
      <c r="D111" s="374">
        <f>IF(F110+SUM(E$99:E110)=D$92,F110,D$92-SUM(E$99:E110))</f>
        <v>45046014.6074806</v>
      </c>
      <c r="E111" s="522">
        <f>IF(+J96&lt;F110,J96,D111)</f>
        <v>1412042.5714285714</v>
      </c>
      <c r="F111" s="523">
        <f t="shared" si="36"/>
        <v>43633972.036052026</v>
      </c>
      <c r="G111" s="523">
        <f t="shared" si="37"/>
        <v>44339993.321766317</v>
      </c>
      <c r="H111" s="526">
        <f t="shared" si="38"/>
        <v>6181865.5861080829</v>
      </c>
      <c r="I111" s="577">
        <f t="shared" si="39"/>
        <v>6181865.5861080829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9"/>
        <v/>
      </c>
      <c r="C112" s="507">
        <f>IF(D93="","-",+C111+1)</f>
        <v>2025</v>
      </c>
      <c r="D112" s="374">
        <f>IF(F111+SUM(E$99:E111)=D$92,F111,D$92-SUM(E$99:E111))</f>
        <v>43633972.036052026</v>
      </c>
      <c r="E112" s="522">
        <f>IF(+J96&lt;F111,J96,D112)</f>
        <v>1412042.5714285714</v>
      </c>
      <c r="F112" s="523">
        <f t="shared" si="36"/>
        <v>42221929.464623451</v>
      </c>
      <c r="G112" s="523">
        <f t="shared" si="37"/>
        <v>42927950.750337735</v>
      </c>
      <c r="H112" s="526">
        <f t="shared" si="38"/>
        <v>6029966.7550453134</v>
      </c>
      <c r="I112" s="577">
        <f t="shared" si="39"/>
        <v>6029966.7550453134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9"/>
        <v/>
      </c>
      <c r="C113" s="507">
        <f>IF(D93="","-",+C112+1)</f>
        <v>2026</v>
      </c>
      <c r="D113" s="374">
        <f>IF(F112+SUM(E$99:E112)=D$92,F112,D$92-SUM(E$99:E112))</f>
        <v>42221929.464623451</v>
      </c>
      <c r="E113" s="522">
        <f>IF(+J96&lt;F112,J96,D113)</f>
        <v>1412042.5714285714</v>
      </c>
      <c r="F113" s="523">
        <f t="shared" si="36"/>
        <v>40809886.893194877</v>
      </c>
      <c r="G113" s="523">
        <f t="shared" si="37"/>
        <v>41515908.178909168</v>
      </c>
      <c r="H113" s="526">
        <f t="shared" si="38"/>
        <v>5878067.9239825457</v>
      </c>
      <c r="I113" s="577">
        <f t="shared" si="39"/>
        <v>5878067.9239825457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9"/>
        <v/>
      </c>
      <c r="C114" s="507">
        <f>IF(D93="","-",+C113+1)</f>
        <v>2027</v>
      </c>
      <c r="D114" s="374">
        <f>IF(F113+SUM(E$99:E113)=D$92,F113,D$92-SUM(E$99:E113))</f>
        <v>40809886.893194877</v>
      </c>
      <c r="E114" s="522">
        <f>IF(+J96&lt;F113,J96,D114)</f>
        <v>1412042.5714285714</v>
      </c>
      <c r="F114" s="523">
        <f t="shared" si="36"/>
        <v>39397844.321766302</v>
      </c>
      <c r="G114" s="523">
        <f t="shared" si="37"/>
        <v>40103865.607480586</v>
      </c>
      <c r="H114" s="526">
        <f t="shared" si="38"/>
        <v>5726169.0929197762</v>
      </c>
      <c r="I114" s="577">
        <f t="shared" si="39"/>
        <v>5726169.0929197762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9"/>
        <v/>
      </c>
      <c r="C115" s="507">
        <f>IF(D93="","-",+C114+1)</f>
        <v>2028</v>
      </c>
      <c r="D115" s="374">
        <f>IF(F114+SUM(E$99:E114)=D$92,F114,D$92-SUM(E$99:E114))</f>
        <v>39397844.321766302</v>
      </c>
      <c r="E115" s="522">
        <f>IF(+J96&lt;F114,J96,D115)</f>
        <v>1412042.5714285714</v>
      </c>
      <c r="F115" s="523">
        <f t="shared" si="36"/>
        <v>37985801.750337727</v>
      </c>
      <c r="G115" s="523">
        <f t="shared" si="37"/>
        <v>38691823.036052018</v>
      </c>
      <c r="H115" s="526">
        <f t="shared" si="38"/>
        <v>5574270.2618570095</v>
      </c>
      <c r="I115" s="577">
        <f t="shared" si="39"/>
        <v>5574270.2618570095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9"/>
        <v/>
      </c>
      <c r="C116" s="507">
        <f>IF(D93="","-",+C115+1)</f>
        <v>2029</v>
      </c>
      <c r="D116" s="374">
        <f>IF(F115+SUM(E$99:E115)=D$92,F115,D$92-SUM(E$99:E115))</f>
        <v>37985801.750337727</v>
      </c>
      <c r="E116" s="522">
        <f>IF(+J96&lt;F115,J96,D116)</f>
        <v>1412042.5714285714</v>
      </c>
      <c r="F116" s="523">
        <f t="shared" si="36"/>
        <v>36573759.178909153</v>
      </c>
      <c r="G116" s="523">
        <f t="shared" si="37"/>
        <v>37279780.464623436</v>
      </c>
      <c r="H116" s="526">
        <f t="shared" si="38"/>
        <v>5422371.4307942409</v>
      </c>
      <c r="I116" s="577">
        <f t="shared" si="39"/>
        <v>5422371.4307942409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9"/>
        <v/>
      </c>
      <c r="C117" s="507">
        <f>IF(D93="","-",+C116+1)</f>
        <v>2030</v>
      </c>
      <c r="D117" s="374">
        <f>IF(F116+SUM(E$99:E116)=D$92,F116,D$92-SUM(E$99:E116))</f>
        <v>36573759.178909153</v>
      </c>
      <c r="E117" s="522">
        <f>IF(+J96&lt;F116,J96,D117)</f>
        <v>1412042.5714285714</v>
      </c>
      <c r="F117" s="523">
        <f t="shared" si="36"/>
        <v>35161716.607480578</v>
      </c>
      <c r="G117" s="523">
        <f t="shared" si="37"/>
        <v>35867737.893194869</v>
      </c>
      <c r="H117" s="526">
        <f t="shared" si="38"/>
        <v>5270472.5997314733</v>
      </c>
      <c r="I117" s="577">
        <f t="shared" si="39"/>
        <v>5270472.5997314733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9"/>
        <v/>
      </c>
      <c r="C118" s="507">
        <f>IF(D93="","-",+C117+1)</f>
        <v>2031</v>
      </c>
      <c r="D118" s="374">
        <f>IF(F117+SUM(E$99:E117)=D$92,F117,D$92-SUM(E$99:E117))</f>
        <v>35161716.607480578</v>
      </c>
      <c r="E118" s="522">
        <f>IF(+J96&lt;F117,J96,D118)</f>
        <v>1412042.5714285714</v>
      </c>
      <c r="F118" s="523">
        <f t="shared" si="36"/>
        <v>33749674.036052004</v>
      </c>
      <c r="G118" s="523">
        <f t="shared" si="37"/>
        <v>34455695.321766287</v>
      </c>
      <c r="H118" s="526">
        <f t="shared" si="38"/>
        <v>5118573.7686687037</v>
      </c>
      <c r="I118" s="577">
        <f t="shared" si="39"/>
        <v>5118573.7686687037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9"/>
        <v>IU</v>
      </c>
      <c r="C119" s="507">
        <f>IF(D93="","-",+C118+1)</f>
        <v>2032</v>
      </c>
      <c r="D119" s="374">
        <f>IF(F118+SUM(E$99:E118)=D$92,F118,D$92-SUM(E$99:E118))</f>
        <v>33749674.036052056</v>
      </c>
      <c r="E119" s="522">
        <f>IF(+J96&lt;F118,J96,D119)</f>
        <v>1412042.5714285714</v>
      </c>
      <c r="F119" s="523">
        <f t="shared" si="36"/>
        <v>32337631.464623485</v>
      </c>
      <c r="G119" s="523">
        <f t="shared" si="37"/>
        <v>33043652.750337772</v>
      </c>
      <c r="H119" s="526">
        <f t="shared" si="38"/>
        <v>4966674.9376059417</v>
      </c>
      <c r="I119" s="577">
        <f t="shared" si="39"/>
        <v>4966674.9376059417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9"/>
        <v/>
      </c>
      <c r="C120" s="507">
        <f>IF(D93="","-",+C119+1)</f>
        <v>2033</v>
      </c>
      <c r="D120" s="374">
        <f>IF(F119+SUM(E$99:E119)=D$92,F119,D$92-SUM(E$99:E119))</f>
        <v>32337631.464623485</v>
      </c>
      <c r="E120" s="522">
        <f>IF(+J96&lt;F119,J96,D120)</f>
        <v>1412042.5714285714</v>
      </c>
      <c r="F120" s="523">
        <f t="shared" si="36"/>
        <v>30925588.893194914</v>
      </c>
      <c r="G120" s="523">
        <f t="shared" si="37"/>
        <v>31631610.178909197</v>
      </c>
      <c r="H120" s="526">
        <f t="shared" si="38"/>
        <v>4814776.106543174</v>
      </c>
      <c r="I120" s="577">
        <f t="shared" si="39"/>
        <v>4814776.106543174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9"/>
        <v/>
      </c>
      <c r="C121" s="507">
        <f>IF(D93="","-",+C120+1)</f>
        <v>2034</v>
      </c>
      <c r="D121" s="374">
        <f>IF(F120+SUM(E$99:E120)=D$92,F120,D$92-SUM(E$99:E120))</f>
        <v>30925588.893194914</v>
      </c>
      <c r="E121" s="522">
        <f>IF(+J96&lt;F120,J96,D121)</f>
        <v>1412042.5714285714</v>
      </c>
      <c r="F121" s="523">
        <f t="shared" si="36"/>
        <v>29513546.321766343</v>
      </c>
      <c r="G121" s="523">
        <f t="shared" si="37"/>
        <v>30219567.60748063</v>
      </c>
      <c r="H121" s="526">
        <f t="shared" si="38"/>
        <v>4662877.2754804064</v>
      </c>
      <c r="I121" s="577">
        <f t="shared" si="39"/>
        <v>4662877.2754804064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9"/>
        <v/>
      </c>
      <c r="C122" s="507">
        <f>IF(D93="","-",+C121+1)</f>
        <v>2035</v>
      </c>
      <c r="D122" s="374">
        <f>IF(F121+SUM(E$99:E121)=D$92,F121,D$92-SUM(E$99:E121))</f>
        <v>29513546.321766343</v>
      </c>
      <c r="E122" s="522">
        <f>IF(+J96&lt;F121,J96,D122)</f>
        <v>1412042.5714285714</v>
      </c>
      <c r="F122" s="523">
        <f t="shared" si="36"/>
        <v>28101503.750337772</v>
      </c>
      <c r="G122" s="523">
        <f t="shared" si="37"/>
        <v>28807525.036052056</v>
      </c>
      <c r="H122" s="526">
        <f t="shared" si="38"/>
        <v>4510978.4444176387</v>
      </c>
      <c r="I122" s="577">
        <f t="shared" si="39"/>
        <v>4510978.4444176387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9"/>
        <v/>
      </c>
      <c r="C123" s="507">
        <f>IF(D93="","-",+C122+1)</f>
        <v>2036</v>
      </c>
      <c r="D123" s="374">
        <f>IF(F122+SUM(E$99:E122)=D$92,F122,D$92-SUM(E$99:E122))</f>
        <v>28101503.750337772</v>
      </c>
      <c r="E123" s="522">
        <f>IF(+J96&lt;F122,J96,D123)</f>
        <v>1412042.5714285714</v>
      </c>
      <c r="F123" s="523">
        <f t="shared" si="36"/>
        <v>26689461.178909201</v>
      </c>
      <c r="G123" s="523">
        <f t="shared" si="37"/>
        <v>27395482.464623488</v>
      </c>
      <c r="H123" s="526">
        <f t="shared" si="38"/>
        <v>4359079.613354871</v>
      </c>
      <c r="I123" s="577">
        <f t="shared" si="39"/>
        <v>4359079.613354871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9"/>
        <v/>
      </c>
      <c r="C124" s="507">
        <f>IF(D93="","-",+C123+1)</f>
        <v>2037</v>
      </c>
      <c r="D124" s="374">
        <f>IF(F123+SUM(E$99:E123)=D$92,F123,D$92-SUM(E$99:E123))</f>
        <v>26689461.178909201</v>
      </c>
      <c r="E124" s="522">
        <f>IF(+J96&lt;F123,J96,D124)</f>
        <v>1412042.5714285714</v>
      </c>
      <c r="F124" s="523">
        <f t="shared" si="36"/>
        <v>25277418.60748063</v>
      </c>
      <c r="G124" s="523">
        <f t="shared" si="37"/>
        <v>25983439.893194914</v>
      </c>
      <c r="H124" s="526">
        <f t="shared" si="38"/>
        <v>4207180.7822921034</v>
      </c>
      <c r="I124" s="577">
        <f t="shared" si="39"/>
        <v>4207180.7822921034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9"/>
        <v/>
      </c>
      <c r="C125" s="507">
        <f>IF(D93="","-",+C124+1)</f>
        <v>2038</v>
      </c>
      <c r="D125" s="374">
        <f>IF(F124+SUM(E$99:E124)=D$92,F124,D$92-SUM(E$99:E124))</f>
        <v>25277418.60748063</v>
      </c>
      <c r="E125" s="522">
        <f>IF(+J96&lt;F124,J96,D125)</f>
        <v>1412042.5714285714</v>
      </c>
      <c r="F125" s="523">
        <f t="shared" si="36"/>
        <v>23865376.036052059</v>
      </c>
      <c r="G125" s="523">
        <f t="shared" si="37"/>
        <v>24571397.321766347</v>
      </c>
      <c r="H125" s="526">
        <f t="shared" si="38"/>
        <v>4055281.9512293353</v>
      </c>
      <c r="I125" s="577">
        <f t="shared" si="39"/>
        <v>4055281.9512293353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9"/>
        <v/>
      </c>
      <c r="C126" s="507">
        <f>IF(D93="","-",+C125+1)</f>
        <v>2039</v>
      </c>
      <c r="D126" s="374">
        <f>IF(F125+SUM(E$99:E125)=D$92,F125,D$92-SUM(E$99:E125))</f>
        <v>23865376.036052059</v>
      </c>
      <c r="E126" s="522">
        <f>IF(+J96&lt;F125,J96,D126)</f>
        <v>1412042.5714285714</v>
      </c>
      <c r="F126" s="523">
        <f t="shared" si="36"/>
        <v>22453333.464623488</v>
      </c>
      <c r="G126" s="523">
        <f t="shared" si="37"/>
        <v>23159354.750337772</v>
      </c>
      <c r="H126" s="526">
        <f t="shared" si="38"/>
        <v>3903383.1201665672</v>
      </c>
      <c r="I126" s="577">
        <f t="shared" si="39"/>
        <v>3903383.1201665672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9"/>
        <v/>
      </c>
      <c r="C127" s="507">
        <f>IF(D93="","-",+C126+1)</f>
        <v>2040</v>
      </c>
      <c r="D127" s="374">
        <f>IF(F126+SUM(E$99:E126)=D$92,F126,D$92-SUM(E$99:E126))</f>
        <v>22453333.464623488</v>
      </c>
      <c r="E127" s="522">
        <f>IF(+J96&lt;F126,J96,D127)</f>
        <v>1412042.5714285714</v>
      </c>
      <c r="F127" s="523">
        <f t="shared" si="36"/>
        <v>21041290.893194918</v>
      </c>
      <c r="G127" s="523">
        <f t="shared" si="37"/>
        <v>21747312.178909205</v>
      </c>
      <c r="H127" s="526">
        <f t="shared" si="38"/>
        <v>3751484.2891038</v>
      </c>
      <c r="I127" s="577">
        <f t="shared" si="39"/>
        <v>3751484.2891038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9"/>
        <v/>
      </c>
      <c r="C128" s="507">
        <f>IF(D93="","-",+C127+1)</f>
        <v>2041</v>
      </c>
      <c r="D128" s="374">
        <f>IF(F127+SUM(E$99:E127)=D$92,F127,D$92-SUM(E$99:E127))</f>
        <v>21041290.893194918</v>
      </c>
      <c r="E128" s="522">
        <f>IF(+J96&lt;F127,J96,D128)</f>
        <v>1412042.5714285714</v>
      </c>
      <c r="F128" s="523">
        <f t="shared" si="36"/>
        <v>19629248.321766347</v>
      </c>
      <c r="G128" s="523">
        <f t="shared" si="37"/>
        <v>20335269.60748063</v>
      </c>
      <c r="H128" s="526">
        <f t="shared" si="38"/>
        <v>3599585.4580410314</v>
      </c>
      <c r="I128" s="577">
        <f t="shared" si="39"/>
        <v>3599585.4580410314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9"/>
        <v/>
      </c>
      <c r="C129" s="507">
        <f>IF(D93="","-",+C128+1)</f>
        <v>2042</v>
      </c>
      <c r="D129" s="374">
        <f>IF(F128+SUM(E$99:E128)=D$92,F128,D$92-SUM(E$99:E128))</f>
        <v>19629248.321766347</v>
      </c>
      <c r="E129" s="522">
        <f>IF(+J96&lt;F128,J96,D129)</f>
        <v>1412042.5714285714</v>
      </c>
      <c r="F129" s="523">
        <f t="shared" si="36"/>
        <v>18217205.750337776</v>
      </c>
      <c r="G129" s="523">
        <f t="shared" si="37"/>
        <v>18923227.036052063</v>
      </c>
      <c r="H129" s="526">
        <f t="shared" si="38"/>
        <v>3447686.6269782642</v>
      </c>
      <c r="I129" s="577">
        <f t="shared" si="39"/>
        <v>3447686.6269782642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9"/>
        <v/>
      </c>
      <c r="C130" s="507">
        <f>IF(D93="","-",+C129+1)</f>
        <v>2043</v>
      </c>
      <c r="D130" s="374">
        <f>IF(F129+SUM(E$99:E129)=D$92,F129,D$92-SUM(E$99:E129))</f>
        <v>18217205.750337776</v>
      </c>
      <c r="E130" s="522">
        <f>IF(+J96&lt;F129,J96,D130)</f>
        <v>1412042.5714285714</v>
      </c>
      <c r="F130" s="523">
        <f t="shared" si="36"/>
        <v>16805163.178909205</v>
      </c>
      <c r="G130" s="523">
        <f t="shared" si="37"/>
        <v>17511184.464623488</v>
      </c>
      <c r="H130" s="526">
        <f t="shared" si="38"/>
        <v>3295787.7959154956</v>
      </c>
      <c r="I130" s="577">
        <f t="shared" si="39"/>
        <v>3295787.7959154956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9"/>
        <v/>
      </c>
      <c r="C131" s="507">
        <f>IF(D93="","-",+C130+1)</f>
        <v>2044</v>
      </c>
      <c r="D131" s="374">
        <f>IF(F130+SUM(E$99:E130)=D$92,F130,D$92-SUM(E$99:E130))</f>
        <v>16805163.178909205</v>
      </c>
      <c r="E131" s="522">
        <f>IF(+J96&lt;F130,J96,D131)</f>
        <v>1412042.5714285714</v>
      </c>
      <c r="F131" s="523">
        <f t="shared" si="36"/>
        <v>15393120.607480634</v>
      </c>
      <c r="G131" s="523">
        <f t="shared" ref="G131:G154" si="40">+(F131+D131)/2</f>
        <v>16099141.893194919</v>
      </c>
      <c r="H131" s="526">
        <f t="shared" ref="H131:H154" si="41">+J$94*G131+E131</f>
        <v>3143888.9648527284</v>
      </c>
      <c r="I131" s="577">
        <f t="shared" ref="I131:I154" si="42">+J$95*G131+E131</f>
        <v>3143888.9648527284</v>
      </c>
      <c r="J131" s="514">
        <f t="shared" ref="J131:J154" si="43">+I131-H131</f>
        <v>0</v>
      </c>
      <c r="K131" s="514"/>
      <c r="L131" s="525"/>
      <c r="M131" s="514">
        <f t="shared" ref="M131:M154" si="44">IF(L131&lt;&gt;0,+H131-L131,0)</f>
        <v>0</v>
      </c>
      <c r="N131" s="525"/>
      <c r="O131" s="514">
        <f t="shared" ref="O131:O154" si="45">IF(N131&lt;&gt;0,+I131-N131,0)</f>
        <v>0</v>
      </c>
      <c r="P131" s="514">
        <f t="shared" ref="P131:P154" si="46">+O131-M131</f>
        <v>0</v>
      </c>
      <c r="Q131" s="269"/>
    </row>
    <row r="132" spans="2:17" ht="12.5">
      <c r="B132" s="195" t="str">
        <f t="shared" ref="B132:B154" si="47">IF(D132=F131,"","IU")</f>
        <v/>
      </c>
      <c r="C132" s="507">
        <f>IF(D93="","-",+C131+1)</f>
        <v>2045</v>
      </c>
      <c r="D132" s="374">
        <f>IF(F131+SUM(E$99:E131)=D$92,F131,D$92-SUM(E$99:E131))</f>
        <v>15393120.607480634</v>
      </c>
      <c r="E132" s="522">
        <f>IF(+J96&lt;F131,J96,D132)</f>
        <v>1412042.5714285714</v>
      </c>
      <c r="F132" s="523">
        <f t="shared" ref="F132:F154" si="48">+D132-E132</f>
        <v>13981078.036052063</v>
      </c>
      <c r="G132" s="523">
        <f t="shared" si="40"/>
        <v>14687099.321766349</v>
      </c>
      <c r="H132" s="526">
        <f t="shared" si="41"/>
        <v>2991990.1337899603</v>
      </c>
      <c r="I132" s="577">
        <f t="shared" si="42"/>
        <v>2991990.1337899603</v>
      </c>
      <c r="J132" s="514">
        <f t="shared" si="43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 ht="12.5">
      <c r="B133" s="195" t="str">
        <f t="shared" si="47"/>
        <v/>
      </c>
      <c r="C133" s="507">
        <f>IF(D93="","-",+C132+1)</f>
        <v>2046</v>
      </c>
      <c r="D133" s="374">
        <f>IF(F132+SUM(E$99:E132)=D$92,F132,D$92-SUM(E$99:E132))</f>
        <v>13981078.036052063</v>
      </c>
      <c r="E133" s="522">
        <f>IF(+J96&lt;F132,J96,D133)</f>
        <v>1412042.5714285714</v>
      </c>
      <c r="F133" s="523">
        <f t="shared" si="48"/>
        <v>12569035.464623492</v>
      </c>
      <c r="G133" s="523">
        <f t="shared" si="40"/>
        <v>13275056.750337778</v>
      </c>
      <c r="H133" s="526">
        <f t="shared" si="41"/>
        <v>2840091.3027271926</v>
      </c>
      <c r="I133" s="577">
        <f t="shared" si="42"/>
        <v>2840091.3027271926</v>
      </c>
      <c r="J133" s="514">
        <f t="shared" si="43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 ht="12.5">
      <c r="B134" s="195" t="str">
        <f t="shared" si="47"/>
        <v/>
      </c>
      <c r="C134" s="507">
        <f>IF(D93="","-",+C133+1)</f>
        <v>2047</v>
      </c>
      <c r="D134" s="374">
        <f>IF(F133+SUM(E$99:E133)=D$92,F133,D$92-SUM(E$99:E133))</f>
        <v>12569035.464623492</v>
      </c>
      <c r="E134" s="522">
        <f>IF(+J96&lt;F133,J96,D134)</f>
        <v>1412042.5714285714</v>
      </c>
      <c r="F134" s="523">
        <f t="shared" si="48"/>
        <v>11156992.893194921</v>
      </c>
      <c r="G134" s="523">
        <f t="shared" si="40"/>
        <v>11863014.178909207</v>
      </c>
      <c r="H134" s="526">
        <f t="shared" si="41"/>
        <v>2688192.471664425</v>
      </c>
      <c r="I134" s="577">
        <f t="shared" si="42"/>
        <v>2688192.471664425</v>
      </c>
      <c r="J134" s="514">
        <f t="shared" si="43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 ht="12.5">
      <c r="B135" s="195" t="str">
        <f t="shared" si="47"/>
        <v/>
      </c>
      <c r="C135" s="507">
        <f>IF(D93="","-",+C134+1)</f>
        <v>2048</v>
      </c>
      <c r="D135" s="374">
        <f>IF(F134+SUM(E$99:E134)=D$92,F134,D$92-SUM(E$99:E134))</f>
        <v>11156992.893194921</v>
      </c>
      <c r="E135" s="522">
        <f>IF(+J96&lt;F134,J96,D135)</f>
        <v>1412042.5714285714</v>
      </c>
      <c r="F135" s="523">
        <f t="shared" si="48"/>
        <v>9744950.3217663504</v>
      </c>
      <c r="G135" s="523">
        <f t="shared" si="40"/>
        <v>10450971.607480636</v>
      </c>
      <c r="H135" s="526">
        <f t="shared" si="41"/>
        <v>2536293.6406016573</v>
      </c>
      <c r="I135" s="577">
        <f t="shared" si="42"/>
        <v>2536293.6406016573</v>
      </c>
      <c r="J135" s="514">
        <f t="shared" si="43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 ht="12.5">
      <c r="B136" s="195" t="str">
        <f t="shared" si="47"/>
        <v/>
      </c>
      <c r="C136" s="507">
        <f>IF(D93="","-",+C135+1)</f>
        <v>2049</v>
      </c>
      <c r="D136" s="374">
        <f>IF(F135+SUM(E$99:E135)=D$92,F135,D$92-SUM(E$99:E135))</f>
        <v>9744950.3217663504</v>
      </c>
      <c r="E136" s="522">
        <f>IF(+J96&lt;F135,J96,D136)</f>
        <v>1412042.5714285714</v>
      </c>
      <c r="F136" s="523">
        <f t="shared" si="48"/>
        <v>8332907.7503377795</v>
      </c>
      <c r="G136" s="523">
        <f t="shared" si="40"/>
        <v>9038929.036052065</v>
      </c>
      <c r="H136" s="526">
        <f t="shared" si="41"/>
        <v>2384394.8095388892</v>
      </c>
      <c r="I136" s="577">
        <f t="shared" si="42"/>
        <v>2384394.8095388892</v>
      </c>
      <c r="J136" s="514">
        <f t="shared" si="43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 ht="12.5">
      <c r="B137" s="195" t="str">
        <f t="shared" si="47"/>
        <v/>
      </c>
      <c r="C137" s="507">
        <f>IF(D93="","-",+C136+1)</f>
        <v>2050</v>
      </c>
      <c r="D137" s="374">
        <f>IF(F136+SUM(E$99:E136)=D$92,F136,D$92-SUM(E$99:E136))</f>
        <v>8332907.7503377795</v>
      </c>
      <c r="E137" s="522">
        <f>IF(+J96&lt;F136,J96,D137)</f>
        <v>1412042.5714285714</v>
      </c>
      <c r="F137" s="523">
        <f t="shared" si="48"/>
        <v>6920865.1789092086</v>
      </c>
      <c r="G137" s="523">
        <f t="shared" si="40"/>
        <v>7626886.4646234941</v>
      </c>
      <c r="H137" s="526">
        <f t="shared" si="41"/>
        <v>2232495.9784761216</v>
      </c>
      <c r="I137" s="577">
        <f t="shared" si="42"/>
        <v>2232495.9784761216</v>
      </c>
      <c r="J137" s="514">
        <f t="shared" si="43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 ht="12.5">
      <c r="B138" s="195" t="str">
        <f t="shared" si="47"/>
        <v/>
      </c>
      <c r="C138" s="507">
        <f>IF(D93="","-",+C137+1)</f>
        <v>2051</v>
      </c>
      <c r="D138" s="374">
        <f>IF(F137+SUM(E$99:E137)=D$92,F137,D$92-SUM(E$99:E137))</f>
        <v>6920865.1789092086</v>
      </c>
      <c r="E138" s="522">
        <f>IF(+J96&lt;F137,J96,D138)</f>
        <v>1412042.5714285714</v>
      </c>
      <c r="F138" s="523">
        <f t="shared" si="48"/>
        <v>5508822.6074806377</v>
      </c>
      <c r="G138" s="523">
        <f t="shared" si="40"/>
        <v>6214843.8931949232</v>
      </c>
      <c r="H138" s="526">
        <f t="shared" si="41"/>
        <v>2080597.1474133537</v>
      </c>
      <c r="I138" s="577">
        <f t="shared" si="42"/>
        <v>2080597.1474133537</v>
      </c>
      <c r="J138" s="514">
        <f t="shared" si="43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 ht="12.5">
      <c r="B139" s="195" t="str">
        <f t="shared" si="47"/>
        <v>IU</v>
      </c>
      <c r="C139" s="507">
        <f>IF(D93="","-",+C138+1)</f>
        <v>2052</v>
      </c>
      <c r="D139" s="374">
        <f>IF(F138+SUM(E$99:E138)=D$92,F138,D$92-SUM(E$99:E138))</f>
        <v>5508822.6074805856</v>
      </c>
      <c r="E139" s="522">
        <f>IF(+J96&lt;F138,J96,D139)</f>
        <v>1412042.5714285714</v>
      </c>
      <c r="F139" s="523">
        <f t="shared" si="48"/>
        <v>4096780.0360520142</v>
      </c>
      <c r="G139" s="523">
        <f t="shared" si="40"/>
        <v>4802801.3217663001</v>
      </c>
      <c r="H139" s="526">
        <f t="shared" si="41"/>
        <v>1928698.3163505802</v>
      </c>
      <c r="I139" s="577">
        <f t="shared" si="42"/>
        <v>1928698.3163505802</v>
      </c>
      <c r="J139" s="514">
        <f t="shared" si="43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 ht="12.5">
      <c r="B140" s="195" t="str">
        <f t="shared" si="47"/>
        <v/>
      </c>
      <c r="C140" s="507">
        <f>IF(D93="","-",+C139+1)</f>
        <v>2053</v>
      </c>
      <c r="D140" s="374">
        <f>IF(F139+SUM(E$99:E139)=D$92,F139,D$92-SUM(E$99:E139))</f>
        <v>4096780.0360520142</v>
      </c>
      <c r="E140" s="522">
        <f>IF(+J96&lt;F139,J96,D140)</f>
        <v>1412042.5714285714</v>
      </c>
      <c r="F140" s="523">
        <f t="shared" si="48"/>
        <v>2684737.4646234429</v>
      </c>
      <c r="G140" s="523">
        <f t="shared" si="40"/>
        <v>3390758.7503377283</v>
      </c>
      <c r="H140" s="526">
        <f t="shared" si="41"/>
        <v>1776799.4852878123</v>
      </c>
      <c r="I140" s="577">
        <f t="shared" si="42"/>
        <v>1776799.4852878123</v>
      </c>
      <c r="J140" s="514">
        <f t="shared" si="43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 ht="12.5">
      <c r="B141" s="195" t="str">
        <f t="shared" si="47"/>
        <v/>
      </c>
      <c r="C141" s="507">
        <f>IF(D93="","-",+C140+1)</f>
        <v>2054</v>
      </c>
      <c r="D141" s="374">
        <f>IF(F140+SUM(E$99:E140)=D$92,F140,D$92-SUM(E$99:E140))</f>
        <v>2684737.4646234429</v>
      </c>
      <c r="E141" s="522">
        <f>IF(+J96&lt;F140,J96,D141)</f>
        <v>1412042.5714285714</v>
      </c>
      <c r="F141" s="523">
        <f t="shared" si="48"/>
        <v>1272694.8931948715</v>
      </c>
      <c r="G141" s="523">
        <f t="shared" si="40"/>
        <v>1978716.1789091572</v>
      </c>
      <c r="H141" s="526">
        <f t="shared" si="41"/>
        <v>1624900.6542250444</v>
      </c>
      <c r="I141" s="577">
        <f t="shared" si="42"/>
        <v>1624900.6542250444</v>
      </c>
      <c r="J141" s="514">
        <f t="shared" si="43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 ht="12.5">
      <c r="B142" s="195" t="str">
        <f t="shared" si="47"/>
        <v/>
      </c>
      <c r="C142" s="507">
        <f>IF(D93="","-",+C141+1)</f>
        <v>2055</v>
      </c>
      <c r="D142" s="374">
        <f>IF(F141+SUM(E$99:E141)=D$92,F141,D$92-SUM(E$99:E141))</f>
        <v>1272694.8931948715</v>
      </c>
      <c r="E142" s="522">
        <f>IF(+J96&lt;F141,J96,D142)</f>
        <v>1272694.8931948715</v>
      </c>
      <c r="F142" s="523">
        <f t="shared" si="48"/>
        <v>0</v>
      </c>
      <c r="G142" s="523">
        <f t="shared" si="40"/>
        <v>636347.44659743574</v>
      </c>
      <c r="H142" s="526">
        <f t="shared" si="41"/>
        <v>1341149.2268274161</v>
      </c>
      <c r="I142" s="577">
        <f t="shared" si="42"/>
        <v>1341149.2268274161</v>
      </c>
      <c r="J142" s="514">
        <f t="shared" si="43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 ht="12.5">
      <c r="B143" s="195" t="str">
        <f t="shared" si="47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8"/>
        <v>0</v>
      </c>
      <c r="G143" s="523">
        <f t="shared" si="40"/>
        <v>0</v>
      </c>
      <c r="H143" s="526">
        <f t="shared" si="41"/>
        <v>0</v>
      </c>
      <c r="I143" s="577">
        <f t="shared" si="42"/>
        <v>0</v>
      </c>
      <c r="J143" s="514">
        <f t="shared" si="43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 ht="12.5">
      <c r="B144" s="195" t="str">
        <f t="shared" si="47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8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43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 ht="12.5">
      <c r="B145" s="195" t="str">
        <f t="shared" si="47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8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43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 ht="12.5">
      <c r="B146" s="195" t="str">
        <f t="shared" si="47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8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43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 ht="12.5">
      <c r="B147" s="195" t="str">
        <f t="shared" si="47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8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43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 ht="12.5">
      <c r="B148" s="195" t="str">
        <f t="shared" si="47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8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43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 ht="12.5">
      <c r="B149" s="195" t="str">
        <f t="shared" si="47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8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43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 ht="12.5">
      <c r="B150" s="195" t="str">
        <f t="shared" si="47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8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43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 ht="12.5">
      <c r="B151" s="195" t="str">
        <f t="shared" si="47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8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43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 ht="12.5">
      <c r="B152" s="195" t="str">
        <f t="shared" si="47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8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43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 ht="12.5">
      <c r="B153" s="195" t="str">
        <f t="shared" si="47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8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43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" thickBot="1">
      <c r="B154" s="195" t="str">
        <f t="shared" si="47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8"/>
        <v>0</v>
      </c>
      <c r="G154" s="528">
        <f t="shared" si="40"/>
        <v>0</v>
      </c>
      <c r="H154" s="530">
        <f t="shared" si="41"/>
        <v>0</v>
      </c>
      <c r="I154" s="579">
        <f t="shared" si="42"/>
        <v>0</v>
      </c>
      <c r="J154" s="533">
        <f t="shared" si="43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 ht="12.5">
      <c r="C155" s="374" t="s">
        <v>78</v>
      </c>
      <c r="D155" s="375"/>
      <c r="E155" s="375">
        <f>SUM(E99:E154)</f>
        <v>59305788.000000007</v>
      </c>
      <c r="F155" s="375"/>
      <c r="G155" s="375"/>
      <c r="H155" s="375">
        <f>SUM(H99:H154)</f>
        <v>198523589.10211238</v>
      </c>
      <c r="I155" s="375">
        <f>SUM(I99:I154)</f>
        <v>198523589.10211238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5" priority="1" stopIfTrue="1" operator="equal">
      <formula>$I$10</formula>
    </cfRule>
  </conditionalFormatting>
  <conditionalFormatting sqref="C99:C154">
    <cfRule type="cellIs" dxfId="9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Q162"/>
  <sheetViews>
    <sheetView view="pageBreakPreview" topLeftCell="A76" zoomScale="75" zoomScaleNormal="100" zoomScaleSheetLayoutView="75" workbookViewId="0">
      <selection activeCell="D106" sqref="D106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8.453125" style="183" customWidth="1"/>
    <col min="13" max="13" width="17.7265625" style="183" customWidth="1"/>
    <col min="14" max="14" width="19.1796875" style="183" customWidth="1"/>
    <col min="15" max="15" width="20.179687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34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942766.54121136409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942766.54121136409</v>
      </c>
      <c r="O6" s="269"/>
      <c r="P6" s="269"/>
    </row>
    <row r="7" spans="1:17" ht="13.5" thickBot="1">
      <c r="C7" s="467" t="s">
        <v>48</v>
      </c>
      <c r="D7" s="624" t="s">
        <v>299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297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8598828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204734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8177700</v>
      </c>
      <c r="E17" s="627">
        <v>97353.571428571435</v>
      </c>
      <c r="F17" s="626">
        <v>8080346.4285714282</v>
      </c>
      <c r="G17" s="627">
        <v>1228497.690125915</v>
      </c>
      <c r="H17" s="610">
        <v>1228497.690125915</v>
      </c>
      <c r="I17" s="616">
        <v>0</v>
      </c>
      <c r="J17" s="511"/>
      <c r="K17" s="512">
        <f t="shared" ref="K17:K22" si="0">G17</f>
        <v>1228497.690125915</v>
      </c>
      <c r="L17" s="597">
        <f t="shared" ref="L17:L22" si="1">IF(K17&lt;&gt;0,+G17-K17,0)</f>
        <v>0</v>
      </c>
      <c r="M17" s="512">
        <f t="shared" ref="M17:M22" si="2">H17</f>
        <v>1228497.690125915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8080346.4285714282</v>
      </c>
      <c r="E18" s="609">
        <v>204615.59523809524</v>
      </c>
      <c r="F18" s="626">
        <v>7875730.833333333</v>
      </c>
      <c r="G18" s="609">
        <v>1267134.4448032489</v>
      </c>
      <c r="H18" s="610">
        <v>1267134.4448032489</v>
      </c>
      <c r="I18" s="616">
        <v>0</v>
      </c>
      <c r="J18" s="511"/>
      <c r="K18" s="518">
        <f t="shared" si="0"/>
        <v>1267134.4448032489</v>
      </c>
      <c r="L18" s="519">
        <f t="shared" si="1"/>
        <v>0</v>
      </c>
      <c r="M18" s="518">
        <f t="shared" si="2"/>
        <v>1267134.4448032489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7875730.833333333</v>
      </c>
      <c r="E19" s="609">
        <v>204734</v>
      </c>
      <c r="F19" s="626">
        <v>7670996.833333333</v>
      </c>
      <c r="G19" s="609">
        <v>1215041.1112148757</v>
      </c>
      <c r="H19" s="610">
        <v>1215041.1112148757</v>
      </c>
      <c r="I19" s="511">
        <v>0</v>
      </c>
      <c r="J19" s="511"/>
      <c r="K19" s="518">
        <f t="shared" si="0"/>
        <v>1215041.1112148757</v>
      </c>
      <c r="L19" s="519">
        <f t="shared" si="1"/>
        <v>0</v>
      </c>
      <c r="M19" s="518">
        <f t="shared" si="2"/>
        <v>1215041.1112148757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8092124.833333333</v>
      </c>
      <c r="E20" s="609">
        <v>204734</v>
      </c>
      <c r="F20" s="626">
        <v>7887390.833333333</v>
      </c>
      <c r="G20" s="609">
        <v>1230725.6025644462</v>
      </c>
      <c r="H20" s="610">
        <v>1230725.6025644462</v>
      </c>
      <c r="I20" s="511">
        <f>H20-G20</f>
        <v>0</v>
      </c>
      <c r="J20" s="511"/>
      <c r="K20" s="518">
        <f t="shared" si="0"/>
        <v>1230725.6025644462</v>
      </c>
      <c r="L20" s="519">
        <f t="shared" si="1"/>
        <v>0</v>
      </c>
      <c r="M20" s="518">
        <f t="shared" si="2"/>
        <v>1230725.6025644462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7887390.833333333</v>
      </c>
      <c r="E21" s="609">
        <v>199972.7441860465</v>
      </c>
      <c r="F21" s="626">
        <v>7687418.0891472865</v>
      </c>
      <c r="G21" s="609">
        <v>1164774.0131848808</v>
      </c>
      <c r="H21" s="610">
        <v>1164774.0131848808</v>
      </c>
      <c r="I21" s="511">
        <f t="shared" ref="I21:I72" si="6">H21-G21</f>
        <v>0</v>
      </c>
      <c r="J21" s="511"/>
      <c r="K21" s="518">
        <f t="shared" si="0"/>
        <v>1164774.0131848808</v>
      </c>
      <c r="L21" s="519">
        <f t="shared" si="1"/>
        <v>0</v>
      </c>
      <c r="M21" s="518">
        <f t="shared" si="2"/>
        <v>1164774.0131848808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7687418.0891472865</v>
      </c>
      <c r="E22" s="609">
        <v>209727.51219512196</v>
      </c>
      <c r="F22" s="626">
        <v>7477690.576952165</v>
      </c>
      <c r="G22" s="609">
        <v>1173425.4227286456</v>
      </c>
      <c r="H22" s="610">
        <v>1173425.4227286456</v>
      </c>
      <c r="I22" s="511">
        <f t="shared" si="6"/>
        <v>0</v>
      </c>
      <c r="J22" s="511"/>
      <c r="K22" s="518">
        <f t="shared" si="0"/>
        <v>1173425.4227286456</v>
      </c>
      <c r="L22" s="519">
        <f t="shared" si="1"/>
        <v>0</v>
      </c>
      <c r="M22" s="518">
        <f t="shared" si="2"/>
        <v>1173425.4227286456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7477690.576952165</v>
      </c>
      <c r="E23" s="609">
        <v>209727.51219512196</v>
      </c>
      <c r="F23" s="626">
        <v>7267963.0647570435</v>
      </c>
      <c r="G23" s="609">
        <v>1146770.2935457411</v>
      </c>
      <c r="H23" s="610">
        <v>1146770.2935457411</v>
      </c>
      <c r="I23" s="511">
        <f t="shared" si="6"/>
        <v>0</v>
      </c>
      <c r="J23" s="511"/>
      <c r="K23" s="518">
        <f t="shared" ref="K23" si="7">G23</f>
        <v>1146770.2935457411</v>
      </c>
      <c r="L23" s="519">
        <f t="shared" ref="L23" si="8">IF(K23&lt;&gt;0,+G23-K23,0)</f>
        <v>0</v>
      </c>
      <c r="M23" s="518">
        <f t="shared" ref="M23" si="9">H23</f>
        <v>1146770.2935457411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7267963.0647570435</v>
      </c>
      <c r="E24" s="609">
        <v>209727.51219512196</v>
      </c>
      <c r="F24" s="626">
        <v>7058235.552561922</v>
      </c>
      <c r="G24" s="609">
        <v>942766.54121136409</v>
      </c>
      <c r="H24" s="610">
        <v>942766.54121136409</v>
      </c>
      <c r="I24" s="511">
        <f t="shared" si="6"/>
        <v>0</v>
      </c>
      <c r="J24" s="511"/>
      <c r="K24" s="518">
        <f t="shared" ref="K24" si="12">G24</f>
        <v>942766.54121136409</v>
      </c>
      <c r="L24" s="519">
        <f t="shared" ref="L24" si="13">IF(K24&lt;&gt;0,+G24-K24,0)</f>
        <v>0</v>
      </c>
      <c r="M24" s="518">
        <f t="shared" ref="M24" si="14">H24</f>
        <v>942766.54121136409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/>
      </c>
      <c r="C25" s="507">
        <f>IF(D11="","-",+C24+1)</f>
        <v>2021</v>
      </c>
      <c r="D25" s="523">
        <f>IF(F24+SUM(E$17:E24)=D$10,F24,D$10-SUM(E$17:E24))</f>
        <v>7058235.552561922</v>
      </c>
      <c r="E25" s="522">
        <f t="shared" ref="E25:E72" si="15">IF(+$I$14&lt;F24,$I$14,D25)</f>
        <v>204734</v>
      </c>
      <c r="F25" s="523">
        <f t="shared" ref="F25:F72" si="16">+D25-E25</f>
        <v>6853501.552561922</v>
      </c>
      <c r="G25" s="524">
        <f t="shared" ref="G25:G52" si="17">+I$12*((D25+F25)/2)+E25</f>
        <v>947745.78452905663</v>
      </c>
      <c r="H25" s="491">
        <f t="shared" ref="H25:H52" si="18">+I$13*((D25+F25)/2)+E25</f>
        <v>947745.78452905663</v>
      </c>
      <c r="I25" s="511">
        <f t="shared" si="6"/>
        <v>0</v>
      </c>
      <c r="J25" s="511"/>
      <c r="K25" s="525"/>
      <c r="L25" s="514">
        <f t="shared" ref="L25:L72" si="19">IF(K25&lt;&gt;0,+G25-K25,0)</f>
        <v>0</v>
      </c>
      <c r="M25" s="525"/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/>
      </c>
      <c r="C26" s="507">
        <f>IF(D11="","-",+C25+1)</f>
        <v>2022</v>
      </c>
      <c r="D26" s="523">
        <f>IF(F25+SUM(E$17:E25)=D$10,F25,D$10-SUM(E$17:E25))</f>
        <v>6853501.552561922</v>
      </c>
      <c r="E26" s="522">
        <f t="shared" si="15"/>
        <v>204734</v>
      </c>
      <c r="F26" s="523">
        <f t="shared" si="16"/>
        <v>6648767.552561922</v>
      </c>
      <c r="G26" s="524">
        <f t="shared" si="17"/>
        <v>925876.51348917419</v>
      </c>
      <c r="H26" s="491">
        <f t="shared" si="18"/>
        <v>925876.51348917419</v>
      </c>
      <c r="I26" s="511">
        <f t="shared" si="6"/>
        <v>0</v>
      </c>
      <c r="J26" s="511"/>
      <c r="K26" s="525"/>
      <c r="L26" s="514">
        <f t="shared" si="19"/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6648767.552561922</v>
      </c>
      <c r="E27" s="522">
        <f t="shared" si="15"/>
        <v>204734</v>
      </c>
      <c r="F27" s="523">
        <f t="shared" si="16"/>
        <v>6444033.552561922</v>
      </c>
      <c r="G27" s="524">
        <f t="shared" si="17"/>
        <v>904007.24244929163</v>
      </c>
      <c r="H27" s="491">
        <f t="shared" si="18"/>
        <v>904007.24244929163</v>
      </c>
      <c r="I27" s="511">
        <f t="shared" si="6"/>
        <v>0</v>
      </c>
      <c r="J27" s="511"/>
      <c r="K27" s="525"/>
      <c r="L27" s="514">
        <f t="shared" si="19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6444033.552561922</v>
      </c>
      <c r="E28" s="522">
        <f t="shared" si="15"/>
        <v>204734</v>
      </c>
      <c r="F28" s="523">
        <f t="shared" si="16"/>
        <v>6239299.552561922</v>
      </c>
      <c r="G28" s="524">
        <f t="shared" si="17"/>
        <v>882137.97140940919</v>
      </c>
      <c r="H28" s="491">
        <f t="shared" si="18"/>
        <v>882137.97140940919</v>
      </c>
      <c r="I28" s="511">
        <f t="shared" si="6"/>
        <v>0</v>
      </c>
      <c r="J28" s="511"/>
      <c r="K28" s="525"/>
      <c r="L28" s="514">
        <f t="shared" si="19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6239299.552561922</v>
      </c>
      <c r="E29" s="522">
        <f t="shared" si="15"/>
        <v>204734</v>
      </c>
      <c r="F29" s="523">
        <f t="shared" si="16"/>
        <v>6034565.552561922</v>
      </c>
      <c r="G29" s="524">
        <f t="shared" si="17"/>
        <v>860268.70036952663</v>
      </c>
      <c r="H29" s="491">
        <f t="shared" si="18"/>
        <v>860268.70036952663</v>
      </c>
      <c r="I29" s="511">
        <f t="shared" si="6"/>
        <v>0</v>
      </c>
      <c r="J29" s="511"/>
      <c r="K29" s="525"/>
      <c r="L29" s="514">
        <f t="shared" si="19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6034565.552561922</v>
      </c>
      <c r="E30" s="522">
        <f t="shared" si="15"/>
        <v>204734</v>
      </c>
      <c r="F30" s="523">
        <f t="shared" si="16"/>
        <v>5829831.552561922</v>
      </c>
      <c r="G30" s="524">
        <f t="shared" si="17"/>
        <v>838399.42932964419</v>
      </c>
      <c r="H30" s="491">
        <f t="shared" si="18"/>
        <v>838399.42932964419</v>
      </c>
      <c r="I30" s="511">
        <f t="shared" si="6"/>
        <v>0</v>
      </c>
      <c r="J30" s="511"/>
      <c r="K30" s="525"/>
      <c r="L30" s="514">
        <f t="shared" si="19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5829831.552561922</v>
      </c>
      <c r="E31" s="522">
        <f t="shared" si="15"/>
        <v>204734</v>
      </c>
      <c r="F31" s="523">
        <f t="shared" si="16"/>
        <v>5625097.552561922</v>
      </c>
      <c r="G31" s="524">
        <f t="shared" si="17"/>
        <v>816530.15828976163</v>
      </c>
      <c r="H31" s="491">
        <f t="shared" si="18"/>
        <v>816530.15828976163</v>
      </c>
      <c r="I31" s="511">
        <f t="shared" si="6"/>
        <v>0</v>
      </c>
      <c r="J31" s="511"/>
      <c r="K31" s="525"/>
      <c r="L31" s="514">
        <f t="shared" si="19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5625097.552561922</v>
      </c>
      <c r="E32" s="522">
        <f t="shared" si="15"/>
        <v>204734</v>
      </c>
      <c r="F32" s="523">
        <f t="shared" si="16"/>
        <v>5420363.552561922</v>
      </c>
      <c r="G32" s="524">
        <f t="shared" si="17"/>
        <v>794660.88724987919</v>
      </c>
      <c r="H32" s="491">
        <f t="shared" si="18"/>
        <v>794660.88724987919</v>
      </c>
      <c r="I32" s="511">
        <f t="shared" si="6"/>
        <v>0</v>
      </c>
      <c r="J32" s="511"/>
      <c r="K32" s="525"/>
      <c r="L32" s="514">
        <f t="shared" si="19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5420363.552561922</v>
      </c>
      <c r="E33" s="522">
        <f t="shared" si="15"/>
        <v>204734</v>
      </c>
      <c r="F33" s="523">
        <f t="shared" si="16"/>
        <v>5215629.552561922</v>
      </c>
      <c r="G33" s="524">
        <f t="shared" si="17"/>
        <v>772791.61620999663</v>
      </c>
      <c r="H33" s="491">
        <f t="shared" si="18"/>
        <v>772791.61620999663</v>
      </c>
      <c r="I33" s="511">
        <f t="shared" si="6"/>
        <v>0</v>
      </c>
      <c r="J33" s="511"/>
      <c r="K33" s="525"/>
      <c r="L33" s="514">
        <f t="shared" si="19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5215629.552561922</v>
      </c>
      <c r="E34" s="522">
        <f t="shared" si="15"/>
        <v>204734</v>
      </c>
      <c r="F34" s="523">
        <f t="shared" si="16"/>
        <v>5010895.552561922</v>
      </c>
      <c r="G34" s="524">
        <f t="shared" si="17"/>
        <v>750922.34517011407</v>
      </c>
      <c r="H34" s="491">
        <f t="shared" si="18"/>
        <v>750922.34517011407</v>
      </c>
      <c r="I34" s="511">
        <f t="shared" si="6"/>
        <v>0</v>
      </c>
      <c r="J34" s="511"/>
      <c r="K34" s="525"/>
      <c r="L34" s="514">
        <f t="shared" si="19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5010895.552561922</v>
      </c>
      <c r="E35" s="522">
        <f t="shared" si="15"/>
        <v>204734</v>
      </c>
      <c r="F35" s="523">
        <f t="shared" si="16"/>
        <v>4806161.552561922</v>
      </c>
      <c r="G35" s="524">
        <f t="shared" si="17"/>
        <v>729053.07413023163</v>
      </c>
      <c r="H35" s="491">
        <f t="shared" si="18"/>
        <v>729053.07413023163</v>
      </c>
      <c r="I35" s="511">
        <f t="shared" si="6"/>
        <v>0</v>
      </c>
      <c r="J35" s="511"/>
      <c r="K35" s="525"/>
      <c r="L35" s="514">
        <f t="shared" si="19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4806161.552561922</v>
      </c>
      <c r="E36" s="522">
        <f t="shared" si="15"/>
        <v>204734</v>
      </c>
      <c r="F36" s="523">
        <f t="shared" si="16"/>
        <v>4601427.552561922</v>
      </c>
      <c r="G36" s="524">
        <f t="shared" si="17"/>
        <v>707183.80309034907</v>
      </c>
      <c r="H36" s="491">
        <f t="shared" si="18"/>
        <v>707183.80309034907</v>
      </c>
      <c r="I36" s="511">
        <f t="shared" si="6"/>
        <v>0</v>
      </c>
      <c r="J36" s="511"/>
      <c r="K36" s="525"/>
      <c r="L36" s="514">
        <f t="shared" si="19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4601427.552561922</v>
      </c>
      <c r="E37" s="522">
        <f t="shared" si="15"/>
        <v>204734</v>
      </c>
      <c r="F37" s="523">
        <f t="shared" si="16"/>
        <v>4396693.552561922</v>
      </c>
      <c r="G37" s="524">
        <f t="shared" si="17"/>
        <v>685314.53205046663</v>
      </c>
      <c r="H37" s="491">
        <f t="shared" si="18"/>
        <v>685314.53205046663</v>
      </c>
      <c r="I37" s="511">
        <f t="shared" si="6"/>
        <v>0</v>
      </c>
      <c r="J37" s="511"/>
      <c r="K37" s="525"/>
      <c r="L37" s="514">
        <f t="shared" si="19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4396693.552561922</v>
      </c>
      <c r="E38" s="522">
        <f t="shared" si="15"/>
        <v>204734</v>
      </c>
      <c r="F38" s="523">
        <f t="shared" si="16"/>
        <v>4191959.552561922</v>
      </c>
      <c r="G38" s="524">
        <f t="shared" si="17"/>
        <v>663445.26101058407</v>
      </c>
      <c r="H38" s="491">
        <f t="shared" si="18"/>
        <v>663445.26101058407</v>
      </c>
      <c r="I38" s="511">
        <f t="shared" si="6"/>
        <v>0</v>
      </c>
      <c r="J38" s="511"/>
      <c r="K38" s="525"/>
      <c r="L38" s="514">
        <f t="shared" si="19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4191959.552561922</v>
      </c>
      <c r="E39" s="522">
        <f t="shared" si="15"/>
        <v>204734</v>
      </c>
      <c r="F39" s="523">
        <f t="shared" si="16"/>
        <v>3987225.552561922</v>
      </c>
      <c r="G39" s="524">
        <f t="shared" si="17"/>
        <v>641575.98997070151</v>
      </c>
      <c r="H39" s="491">
        <f t="shared" si="18"/>
        <v>641575.98997070151</v>
      </c>
      <c r="I39" s="511">
        <f t="shared" si="6"/>
        <v>0</v>
      </c>
      <c r="J39" s="511"/>
      <c r="K39" s="525"/>
      <c r="L39" s="514">
        <f t="shared" si="19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3987225.552561922</v>
      </c>
      <c r="E40" s="522">
        <f t="shared" si="15"/>
        <v>204734</v>
      </c>
      <c r="F40" s="523">
        <f t="shared" si="16"/>
        <v>3782491.552561922</v>
      </c>
      <c r="G40" s="524">
        <f t="shared" si="17"/>
        <v>619706.71893081907</v>
      </c>
      <c r="H40" s="491">
        <f t="shared" si="18"/>
        <v>619706.71893081907</v>
      </c>
      <c r="I40" s="511">
        <f t="shared" si="6"/>
        <v>0</v>
      </c>
      <c r="J40" s="511"/>
      <c r="K40" s="525"/>
      <c r="L40" s="514">
        <f t="shared" si="19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3782491.552561922</v>
      </c>
      <c r="E41" s="522">
        <f t="shared" si="15"/>
        <v>204734</v>
      </c>
      <c r="F41" s="523">
        <f t="shared" si="16"/>
        <v>3577757.552561922</v>
      </c>
      <c r="G41" s="524">
        <f t="shared" si="17"/>
        <v>597837.44789093663</v>
      </c>
      <c r="H41" s="491">
        <f t="shared" si="18"/>
        <v>597837.44789093663</v>
      </c>
      <c r="I41" s="511">
        <f t="shared" si="6"/>
        <v>0</v>
      </c>
      <c r="J41" s="511"/>
      <c r="K41" s="525"/>
      <c r="L41" s="514">
        <f t="shared" si="19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3577757.552561922</v>
      </c>
      <c r="E42" s="522">
        <f t="shared" si="15"/>
        <v>204734</v>
      </c>
      <c r="F42" s="523">
        <f t="shared" si="16"/>
        <v>3373023.552561922</v>
      </c>
      <c r="G42" s="524">
        <f t="shared" si="17"/>
        <v>575968.17685105407</v>
      </c>
      <c r="H42" s="491">
        <f t="shared" si="18"/>
        <v>575968.17685105407</v>
      </c>
      <c r="I42" s="511">
        <f t="shared" si="6"/>
        <v>0</v>
      </c>
      <c r="J42" s="511"/>
      <c r="K42" s="525"/>
      <c r="L42" s="514">
        <f t="shared" si="19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3373023.552561922</v>
      </c>
      <c r="E43" s="522">
        <f t="shared" si="15"/>
        <v>204734</v>
      </c>
      <c r="F43" s="523">
        <f t="shared" si="16"/>
        <v>3168289.552561922</v>
      </c>
      <c r="G43" s="524">
        <f t="shared" si="17"/>
        <v>554098.90581117151</v>
      </c>
      <c r="H43" s="491">
        <f t="shared" si="18"/>
        <v>554098.90581117151</v>
      </c>
      <c r="I43" s="511">
        <f t="shared" si="6"/>
        <v>0</v>
      </c>
      <c r="J43" s="511"/>
      <c r="K43" s="525"/>
      <c r="L43" s="514">
        <f t="shared" si="19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3168289.552561922</v>
      </c>
      <c r="E44" s="522">
        <f t="shared" si="15"/>
        <v>204734</v>
      </c>
      <c r="F44" s="523">
        <f t="shared" si="16"/>
        <v>2963555.552561922</v>
      </c>
      <c r="G44" s="524">
        <f t="shared" si="17"/>
        <v>532229.63477128907</v>
      </c>
      <c r="H44" s="491">
        <f t="shared" si="18"/>
        <v>532229.63477128907</v>
      </c>
      <c r="I44" s="511">
        <f t="shared" si="6"/>
        <v>0</v>
      </c>
      <c r="J44" s="511"/>
      <c r="K44" s="525"/>
      <c r="L44" s="514">
        <f t="shared" si="19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2963555.552561922</v>
      </c>
      <c r="E45" s="522">
        <f t="shared" si="15"/>
        <v>204734</v>
      </c>
      <c r="F45" s="523">
        <f t="shared" si="16"/>
        <v>2758821.552561922</v>
      </c>
      <c r="G45" s="524">
        <f t="shared" si="17"/>
        <v>510360.36373140657</v>
      </c>
      <c r="H45" s="491">
        <f t="shared" si="18"/>
        <v>510360.36373140657</v>
      </c>
      <c r="I45" s="511">
        <f t="shared" si="6"/>
        <v>0</v>
      </c>
      <c r="J45" s="511"/>
      <c r="K45" s="525"/>
      <c r="L45" s="514">
        <f t="shared" si="19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2758821.552561922</v>
      </c>
      <c r="E46" s="522">
        <f t="shared" si="15"/>
        <v>204734</v>
      </c>
      <c r="F46" s="523">
        <f t="shared" si="16"/>
        <v>2554087.552561922</v>
      </c>
      <c r="G46" s="524">
        <f t="shared" si="17"/>
        <v>488491.09269152401</v>
      </c>
      <c r="H46" s="491">
        <f t="shared" si="18"/>
        <v>488491.09269152401</v>
      </c>
      <c r="I46" s="511">
        <f t="shared" si="6"/>
        <v>0</v>
      </c>
      <c r="J46" s="511"/>
      <c r="K46" s="525"/>
      <c r="L46" s="514">
        <f t="shared" si="19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2554087.552561922</v>
      </c>
      <c r="E47" s="522">
        <f t="shared" si="15"/>
        <v>204734</v>
      </c>
      <c r="F47" s="523">
        <f t="shared" si="16"/>
        <v>2349353.552561922</v>
      </c>
      <c r="G47" s="524">
        <f t="shared" si="17"/>
        <v>466621.82165164151</v>
      </c>
      <c r="H47" s="491">
        <f t="shared" si="18"/>
        <v>466621.82165164151</v>
      </c>
      <c r="I47" s="511">
        <f t="shared" si="6"/>
        <v>0</v>
      </c>
      <c r="J47" s="511"/>
      <c r="K47" s="525"/>
      <c r="L47" s="514">
        <f t="shared" si="19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2349353.552561922</v>
      </c>
      <c r="E48" s="522">
        <f t="shared" si="15"/>
        <v>204734</v>
      </c>
      <c r="F48" s="523">
        <f t="shared" si="16"/>
        <v>2144619.552561922</v>
      </c>
      <c r="G48" s="524">
        <f t="shared" si="17"/>
        <v>444752.55061175907</v>
      </c>
      <c r="H48" s="491">
        <f t="shared" si="18"/>
        <v>444752.55061175907</v>
      </c>
      <c r="I48" s="511">
        <f t="shared" si="6"/>
        <v>0</v>
      </c>
      <c r="J48" s="511"/>
      <c r="K48" s="525"/>
      <c r="L48" s="514">
        <f t="shared" si="19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2144619.552561922</v>
      </c>
      <c r="E49" s="522">
        <f t="shared" si="15"/>
        <v>204734</v>
      </c>
      <c r="F49" s="523">
        <f t="shared" si="16"/>
        <v>1939885.552561922</v>
      </c>
      <c r="G49" s="524">
        <f t="shared" si="17"/>
        <v>422883.27957187651</v>
      </c>
      <c r="H49" s="491">
        <f t="shared" si="18"/>
        <v>422883.27957187651</v>
      </c>
      <c r="I49" s="511">
        <f t="shared" si="6"/>
        <v>0</v>
      </c>
      <c r="J49" s="511"/>
      <c r="K49" s="525"/>
      <c r="L49" s="514">
        <f t="shared" si="19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1939885.552561922</v>
      </c>
      <c r="E50" s="522">
        <f t="shared" si="15"/>
        <v>204734</v>
      </c>
      <c r="F50" s="523">
        <f t="shared" si="16"/>
        <v>1735151.552561922</v>
      </c>
      <c r="G50" s="524">
        <f t="shared" si="17"/>
        <v>401014.00853199401</v>
      </c>
      <c r="H50" s="491">
        <f t="shared" si="18"/>
        <v>401014.00853199401</v>
      </c>
      <c r="I50" s="511">
        <f t="shared" si="6"/>
        <v>0</v>
      </c>
      <c r="J50" s="511"/>
      <c r="K50" s="525"/>
      <c r="L50" s="514">
        <f t="shared" si="19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1735151.552561922</v>
      </c>
      <c r="E51" s="522">
        <f t="shared" si="15"/>
        <v>204734</v>
      </c>
      <c r="F51" s="523">
        <f t="shared" si="16"/>
        <v>1530417.552561922</v>
      </c>
      <c r="G51" s="524">
        <f t="shared" si="17"/>
        <v>379144.73749211151</v>
      </c>
      <c r="H51" s="491">
        <f t="shared" si="18"/>
        <v>379144.73749211151</v>
      </c>
      <c r="I51" s="511">
        <f t="shared" si="6"/>
        <v>0</v>
      </c>
      <c r="J51" s="511"/>
      <c r="K51" s="525"/>
      <c r="L51" s="514">
        <f t="shared" si="19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1530417.552561922</v>
      </c>
      <c r="E52" s="522">
        <f t="shared" si="15"/>
        <v>204734</v>
      </c>
      <c r="F52" s="523">
        <f t="shared" si="16"/>
        <v>1325683.552561922</v>
      </c>
      <c r="G52" s="524">
        <f t="shared" si="17"/>
        <v>357275.46645222901</v>
      </c>
      <c r="H52" s="491">
        <f t="shared" si="18"/>
        <v>357275.46645222901</v>
      </c>
      <c r="I52" s="511">
        <f t="shared" si="6"/>
        <v>0</v>
      </c>
      <c r="J52" s="511"/>
      <c r="K52" s="525"/>
      <c r="L52" s="514">
        <f t="shared" si="19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1325683.552561922</v>
      </c>
      <c r="E53" s="522">
        <f t="shared" si="15"/>
        <v>204734</v>
      </c>
      <c r="F53" s="523">
        <f t="shared" si="16"/>
        <v>1120949.552561922</v>
      </c>
      <c r="G53" s="524">
        <f t="shared" ref="G53:G72" si="20">+I$12*((D53+F53)/2)+E53</f>
        <v>335406.19541234651</v>
      </c>
      <c r="H53" s="491">
        <f t="shared" ref="H53:H72" si="21">+I$13*((D53+F53)/2)+E53</f>
        <v>335406.19541234651</v>
      </c>
      <c r="I53" s="511">
        <f t="shared" si="6"/>
        <v>0</v>
      </c>
      <c r="J53" s="511"/>
      <c r="K53" s="525"/>
      <c r="L53" s="514">
        <f t="shared" si="19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1120949.552561922</v>
      </c>
      <c r="E54" s="522">
        <f t="shared" si="15"/>
        <v>204734</v>
      </c>
      <c r="F54" s="523">
        <f t="shared" si="16"/>
        <v>916215.552561922</v>
      </c>
      <c r="G54" s="524">
        <f t="shared" si="20"/>
        <v>313536.92437246395</v>
      </c>
      <c r="H54" s="491">
        <f t="shared" si="21"/>
        <v>313536.92437246395</v>
      </c>
      <c r="I54" s="511">
        <f t="shared" si="6"/>
        <v>0</v>
      </c>
      <c r="J54" s="511"/>
      <c r="K54" s="525"/>
      <c r="L54" s="514">
        <f t="shared" si="19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916215.552561922</v>
      </c>
      <c r="E55" s="522">
        <f t="shared" si="15"/>
        <v>204734</v>
      </c>
      <c r="F55" s="523">
        <f t="shared" si="16"/>
        <v>711481.552561922</v>
      </c>
      <c r="G55" s="524">
        <f t="shared" si="20"/>
        <v>291667.65333258151</v>
      </c>
      <c r="H55" s="491">
        <f t="shared" si="21"/>
        <v>291667.65333258151</v>
      </c>
      <c r="I55" s="511">
        <f t="shared" si="6"/>
        <v>0</v>
      </c>
      <c r="J55" s="511"/>
      <c r="K55" s="525"/>
      <c r="L55" s="514">
        <f t="shared" si="19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711481.552561922</v>
      </c>
      <c r="E56" s="522">
        <f t="shared" si="15"/>
        <v>204734</v>
      </c>
      <c r="F56" s="523">
        <f t="shared" si="16"/>
        <v>506747.552561922</v>
      </c>
      <c r="G56" s="524">
        <f t="shared" si="20"/>
        <v>269798.38229269895</v>
      </c>
      <c r="H56" s="491">
        <f t="shared" si="21"/>
        <v>269798.38229269895</v>
      </c>
      <c r="I56" s="511">
        <f t="shared" si="6"/>
        <v>0</v>
      </c>
      <c r="J56" s="511"/>
      <c r="K56" s="525"/>
      <c r="L56" s="514">
        <f t="shared" si="19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506747.552561922</v>
      </c>
      <c r="E57" s="522">
        <f t="shared" si="15"/>
        <v>204734</v>
      </c>
      <c r="F57" s="523">
        <f t="shared" si="16"/>
        <v>302013.552561922</v>
      </c>
      <c r="G57" s="524">
        <f t="shared" si="20"/>
        <v>247929.11125281645</v>
      </c>
      <c r="H57" s="491">
        <f t="shared" si="21"/>
        <v>247929.11125281645</v>
      </c>
      <c r="I57" s="511">
        <f t="shared" si="6"/>
        <v>0</v>
      </c>
      <c r="J57" s="511"/>
      <c r="K57" s="525"/>
      <c r="L57" s="514">
        <f t="shared" si="19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302013.552561922</v>
      </c>
      <c r="E58" s="522">
        <f t="shared" si="15"/>
        <v>204734</v>
      </c>
      <c r="F58" s="523">
        <f t="shared" si="16"/>
        <v>97279.552561921999</v>
      </c>
      <c r="G58" s="524">
        <f t="shared" si="20"/>
        <v>226059.84021293395</v>
      </c>
      <c r="H58" s="491">
        <f t="shared" si="21"/>
        <v>226059.84021293395</v>
      </c>
      <c r="I58" s="511">
        <f t="shared" si="6"/>
        <v>0</v>
      </c>
      <c r="J58" s="511"/>
      <c r="K58" s="525"/>
      <c r="L58" s="514">
        <f t="shared" si="19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97279.552561921999</v>
      </c>
      <c r="E59" s="522">
        <f t="shared" si="15"/>
        <v>97279.552561921999</v>
      </c>
      <c r="F59" s="523">
        <f t="shared" si="16"/>
        <v>0</v>
      </c>
      <c r="G59" s="524">
        <f t="shared" si="20"/>
        <v>102475.15490841835</v>
      </c>
      <c r="H59" s="491">
        <f t="shared" si="21"/>
        <v>102475.15490841835</v>
      </c>
      <c r="I59" s="511">
        <f t="shared" si="6"/>
        <v>0</v>
      </c>
      <c r="J59" s="511"/>
      <c r="K59" s="525"/>
      <c r="L59" s="514">
        <f t="shared" si="19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15"/>
        <v>0</v>
      </c>
      <c r="F60" s="523">
        <f t="shared" si="16"/>
        <v>0</v>
      </c>
      <c r="G60" s="524">
        <f t="shared" si="20"/>
        <v>0</v>
      </c>
      <c r="H60" s="491">
        <f t="shared" si="21"/>
        <v>0</v>
      </c>
      <c r="I60" s="511">
        <f t="shared" si="6"/>
        <v>0</v>
      </c>
      <c r="J60" s="511"/>
      <c r="K60" s="525"/>
      <c r="L60" s="514">
        <f t="shared" si="19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5"/>
        <v>0</v>
      </c>
      <c r="F61" s="523">
        <f t="shared" si="16"/>
        <v>0</v>
      </c>
      <c r="G61" s="524">
        <f t="shared" si="20"/>
        <v>0</v>
      </c>
      <c r="H61" s="491">
        <f t="shared" si="21"/>
        <v>0</v>
      </c>
      <c r="I61" s="511">
        <f t="shared" si="6"/>
        <v>0</v>
      </c>
      <c r="J61" s="511"/>
      <c r="K61" s="525"/>
      <c r="L61" s="514">
        <f t="shared" si="19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5"/>
        <v>0</v>
      </c>
      <c r="F62" s="523">
        <f t="shared" si="16"/>
        <v>0</v>
      </c>
      <c r="G62" s="524">
        <f t="shared" si="20"/>
        <v>0</v>
      </c>
      <c r="H62" s="491">
        <f t="shared" si="21"/>
        <v>0</v>
      </c>
      <c r="I62" s="511">
        <f t="shared" si="6"/>
        <v>0</v>
      </c>
      <c r="J62" s="511"/>
      <c r="K62" s="525"/>
      <c r="L62" s="514">
        <f t="shared" si="19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5"/>
        <v>0</v>
      </c>
      <c r="F63" s="523">
        <f t="shared" si="16"/>
        <v>0</v>
      </c>
      <c r="G63" s="524">
        <f t="shared" si="20"/>
        <v>0</v>
      </c>
      <c r="H63" s="491">
        <f t="shared" si="21"/>
        <v>0</v>
      </c>
      <c r="I63" s="511">
        <f t="shared" si="6"/>
        <v>0</v>
      </c>
      <c r="J63" s="511"/>
      <c r="K63" s="525"/>
      <c r="L63" s="514">
        <f t="shared" si="19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5"/>
        <v>0</v>
      </c>
      <c r="F64" s="523">
        <f t="shared" si="16"/>
        <v>0</v>
      </c>
      <c r="G64" s="524">
        <f t="shared" si="20"/>
        <v>0</v>
      </c>
      <c r="H64" s="491">
        <f t="shared" si="21"/>
        <v>0</v>
      </c>
      <c r="I64" s="511">
        <f t="shared" si="6"/>
        <v>0</v>
      </c>
      <c r="J64" s="511"/>
      <c r="K64" s="525"/>
      <c r="L64" s="514">
        <f t="shared" si="19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5"/>
        <v>0</v>
      </c>
      <c r="F65" s="523">
        <f t="shared" si="16"/>
        <v>0</v>
      </c>
      <c r="G65" s="524">
        <f t="shared" si="20"/>
        <v>0</v>
      </c>
      <c r="H65" s="491">
        <f t="shared" si="21"/>
        <v>0</v>
      </c>
      <c r="I65" s="511">
        <f t="shared" si="6"/>
        <v>0</v>
      </c>
      <c r="J65" s="511"/>
      <c r="K65" s="525"/>
      <c r="L65" s="514">
        <f t="shared" si="19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5"/>
        <v>0</v>
      </c>
      <c r="F66" s="523">
        <f t="shared" si="16"/>
        <v>0</v>
      </c>
      <c r="G66" s="524">
        <f t="shared" si="20"/>
        <v>0</v>
      </c>
      <c r="H66" s="491">
        <f t="shared" si="21"/>
        <v>0</v>
      </c>
      <c r="I66" s="511">
        <f t="shared" si="6"/>
        <v>0</v>
      </c>
      <c r="J66" s="511"/>
      <c r="K66" s="525"/>
      <c r="L66" s="514">
        <f t="shared" si="19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5"/>
        <v>0</v>
      </c>
      <c r="F67" s="523">
        <f t="shared" si="16"/>
        <v>0</v>
      </c>
      <c r="G67" s="524">
        <f t="shared" si="20"/>
        <v>0</v>
      </c>
      <c r="H67" s="491">
        <f t="shared" si="21"/>
        <v>0</v>
      </c>
      <c r="I67" s="511">
        <f t="shared" si="6"/>
        <v>0</v>
      </c>
      <c r="J67" s="511"/>
      <c r="K67" s="525"/>
      <c r="L67" s="514">
        <f t="shared" si="19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5"/>
        <v>0</v>
      </c>
      <c r="F68" s="523">
        <f t="shared" si="16"/>
        <v>0</v>
      </c>
      <c r="G68" s="524">
        <f t="shared" si="20"/>
        <v>0</v>
      </c>
      <c r="H68" s="491">
        <f t="shared" si="21"/>
        <v>0</v>
      </c>
      <c r="I68" s="511">
        <f t="shared" si="6"/>
        <v>0</v>
      </c>
      <c r="J68" s="511"/>
      <c r="K68" s="525"/>
      <c r="L68" s="514">
        <f t="shared" si="19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5"/>
        <v>0</v>
      </c>
      <c r="F69" s="523">
        <f t="shared" si="16"/>
        <v>0</v>
      </c>
      <c r="G69" s="524">
        <f t="shared" si="20"/>
        <v>0</v>
      </c>
      <c r="H69" s="491">
        <f t="shared" si="21"/>
        <v>0</v>
      </c>
      <c r="I69" s="511">
        <f t="shared" si="6"/>
        <v>0</v>
      </c>
      <c r="J69" s="511"/>
      <c r="K69" s="525"/>
      <c r="L69" s="514">
        <f t="shared" si="19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5"/>
        <v>0</v>
      </c>
      <c r="F70" s="523">
        <f t="shared" si="16"/>
        <v>0</v>
      </c>
      <c r="G70" s="524">
        <f t="shared" si="20"/>
        <v>0</v>
      </c>
      <c r="H70" s="491">
        <f t="shared" si="21"/>
        <v>0</v>
      </c>
      <c r="I70" s="511">
        <f t="shared" si="6"/>
        <v>0</v>
      </c>
      <c r="J70" s="511"/>
      <c r="K70" s="525"/>
      <c r="L70" s="514">
        <f t="shared" si="19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5"/>
        <v>0</v>
      </c>
      <c r="F71" s="523">
        <f t="shared" si="16"/>
        <v>0</v>
      </c>
      <c r="G71" s="524">
        <f t="shared" si="20"/>
        <v>0</v>
      </c>
      <c r="H71" s="491">
        <f t="shared" si="21"/>
        <v>0</v>
      </c>
      <c r="I71" s="511">
        <f t="shared" si="6"/>
        <v>0</v>
      </c>
      <c r="J71" s="511"/>
      <c r="K71" s="525"/>
      <c r="L71" s="514">
        <f t="shared" si="19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8">
        <f>IF(F71+SUM(E$17:E71)=D$10,F71,D$10-SUM(E$17:E71))</f>
        <v>0</v>
      </c>
      <c r="E72" s="529">
        <f t="shared" si="15"/>
        <v>0</v>
      </c>
      <c r="F72" s="528">
        <f t="shared" si="16"/>
        <v>0</v>
      </c>
      <c r="G72" s="530">
        <f t="shared" si="20"/>
        <v>0</v>
      </c>
      <c r="H72" s="471">
        <f t="shared" si="21"/>
        <v>0</v>
      </c>
      <c r="I72" s="531">
        <f t="shared" si="6"/>
        <v>0</v>
      </c>
      <c r="J72" s="511"/>
      <c r="K72" s="532"/>
      <c r="L72" s="533">
        <f t="shared" si="19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8598828.0000000019</v>
      </c>
      <c r="F73" s="375"/>
      <c r="G73" s="375">
        <f>SUM(G17:G72)</f>
        <v>29426305.89490138</v>
      </c>
      <c r="H73" s="375">
        <f>SUM(H17:H72)</f>
        <v>29426305.89490138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34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942766.54121136409</v>
      </c>
      <c r="N87" s="546">
        <f>IF(J92&lt;D11,0,VLOOKUP(J92,C17:O72,11))</f>
        <v>942766.54121136409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976605.47751006903</v>
      </c>
      <c r="N88" s="550">
        <f>IF(J92&lt;D11,0,VLOOKUP(J92,C99:P154,7))</f>
        <v>976605.47751006903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Bann - LS Ordnance - Hooks 69 kV - Rebuild 7.1 mi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33838.936298704939</v>
      </c>
      <c r="N89" s="555">
        <f>+N88-N87</f>
        <v>33838.936298704939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TP2011024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8598828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64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11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204734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2013</v>
      </c>
      <c r="D99" s="629">
        <v>0</v>
      </c>
      <c r="E99" s="630">
        <v>102307.79761904763</v>
      </c>
      <c r="F99" s="631">
        <v>8491547.2023809515</v>
      </c>
      <c r="G99" s="632">
        <v>4245773.6011904757</v>
      </c>
      <c r="H99" s="633">
        <v>676725.73574462067</v>
      </c>
      <c r="I99" s="634">
        <v>676725.73574462067</v>
      </c>
      <c r="J99" s="613">
        <v>0</v>
      </c>
      <c r="K99" s="514"/>
      <c r="L99" s="518">
        <f t="shared" ref="L99:L104" si="22">H99</f>
        <v>676725.73574462067</v>
      </c>
      <c r="M99" s="519">
        <f t="shared" ref="M99:M104" si="23">IF(L99&lt;&gt;0,+H99-L99,0)</f>
        <v>0</v>
      </c>
      <c r="N99" s="518">
        <f t="shared" ref="N99:N104" si="24">I99</f>
        <v>676725.73574462067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8491547.2023809515</v>
      </c>
      <c r="E100" s="630">
        <v>204734</v>
      </c>
      <c r="F100" s="631">
        <v>8286813.2023809515</v>
      </c>
      <c r="G100" s="631">
        <v>8389180.2023809515</v>
      </c>
      <c r="H100" s="633">
        <v>1345020.3976952727</v>
      </c>
      <c r="I100" s="634">
        <v>1345020.3976952727</v>
      </c>
      <c r="J100" s="514">
        <v>0</v>
      </c>
      <c r="K100" s="514"/>
      <c r="L100" s="518">
        <f t="shared" si="22"/>
        <v>1345020.3976952727</v>
      </c>
      <c r="M100" s="519">
        <f t="shared" si="23"/>
        <v>0</v>
      </c>
      <c r="N100" s="518">
        <f t="shared" si="24"/>
        <v>1345020.3976952727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25">IF(D101=F100,"","IU")</f>
        <v>IU</v>
      </c>
      <c r="C101" s="507">
        <f>IF(D93="","-",+C100+1)</f>
        <v>2015</v>
      </c>
      <c r="D101" s="629">
        <v>8291786.2023809524</v>
      </c>
      <c r="E101" s="630">
        <v>204734</v>
      </c>
      <c r="F101" s="631">
        <v>8087052.2023809524</v>
      </c>
      <c r="G101" s="631">
        <v>8189419.2023809524</v>
      </c>
      <c r="H101" s="633">
        <v>1283844.5787456448</v>
      </c>
      <c r="I101" s="634">
        <v>1283844.5787456448</v>
      </c>
      <c r="J101" s="514">
        <f>+I101-H101</f>
        <v>0</v>
      </c>
      <c r="K101" s="514"/>
      <c r="L101" s="518">
        <f t="shared" si="22"/>
        <v>1283844.5787456448</v>
      </c>
      <c r="M101" s="519">
        <f t="shared" si="23"/>
        <v>0</v>
      </c>
      <c r="N101" s="518">
        <f t="shared" si="24"/>
        <v>1283844.5787456448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5"/>
        <v/>
      </c>
      <c r="C102" s="507">
        <f>IF(D93="","-",+C101+1)</f>
        <v>2016</v>
      </c>
      <c r="D102" s="629">
        <v>8087052.2023809524</v>
      </c>
      <c r="E102" s="630">
        <v>199972.7441860465</v>
      </c>
      <c r="F102" s="631">
        <v>7887079.4581949059</v>
      </c>
      <c r="G102" s="631">
        <v>7987065.8302879296</v>
      </c>
      <c r="H102" s="633">
        <v>1213930.6577994749</v>
      </c>
      <c r="I102" s="634">
        <v>1213930.6577994749</v>
      </c>
      <c r="J102" s="514">
        <f t="shared" ref="J102:J154" si="26">+I102-H102</f>
        <v>0</v>
      </c>
      <c r="K102" s="514"/>
      <c r="L102" s="518">
        <f t="shared" si="22"/>
        <v>1213930.6577994749</v>
      </c>
      <c r="M102" s="519">
        <f t="shared" si="23"/>
        <v>0</v>
      </c>
      <c r="N102" s="518">
        <f t="shared" si="24"/>
        <v>1213930.6577994749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5"/>
        <v/>
      </c>
      <c r="C103" s="507">
        <f>IF(D93="","-",+C102+1)</f>
        <v>2017</v>
      </c>
      <c r="D103" s="629">
        <v>7887079.4581949059</v>
      </c>
      <c r="E103" s="630">
        <v>204734</v>
      </c>
      <c r="F103" s="631">
        <v>7682345.4581949059</v>
      </c>
      <c r="G103" s="631">
        <v>7784712.4581949059</v>
      </c>
      <c r="H103" s="633">
        <v>1150354.3699475904</v>
      </c>
      <c r="I103" s="634">
        <v>1150354.3699475904</v>
      </c>
      <c r="J103" s="514">
        <f t="shared" si="26"/>
        <v>0</v>
      </c>
      <c r="K103" s="514"/>
      <c r="L103" s="518">
        <f t="shared" si="22"/>
        <v>1150354.3699475904</v>
      </c>
      <c r="M103" s="519">
        <f t="shared" si="23"/>
        <v>0</v>
      </c>
      <c r="N103" s="518">
        <f t="shared" si="24"/>
        <v>1150354.3699475904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5"/>
        <v/>
      </c>
      <c r="C104" s="507">
        <f>IF(D93="","-",+C103+1)</f>
        <v>2018</v>
      </c>
      <c r="D104" s="629">
        <v>7682345.4581949059</v>
      </c>
      <c r="E104" s="630">
        <v>204734</v>
      </c>
      <c r="F104" s="631">
        <v>7477611.4581949059</v>
      </c>
      <c r="G104" s="631">
        <v>7579978.4581949059</v>
      </c>
      <c r="H104" s="633">
        <v>1005214.4856005983</v>
      </c>
      <c r="I104" s="634">
        <v>1005214.4856005983</v>
      </c>
      <c r="J104" s="514">
        <f t="shared" si="26"/>
        <v>0</v>
      </c>
      <c r="K104" s="514"/>
      <c r="L104" s="518">
        <f t="shared" si="22"/>
        <v>1005214.4856005983</v>
      </c>
      <c r="M104" s="519">
        <f t="shared" si="23"/>
        <v>0</v>
      </c>
      <c r="N104" s="518">
        <f t="shared" si="24"/>
        <v>1005214.4856005983</v>
      </c>
      <c r="O104" s="514">
        <f t="shared" ref="O104:O130" si="27">IF(N104&lt;&gt;0,+I104-N104,0)</f>
        <v>0</v>
      </c>
      <c r="P104" s="514">
        <f t="shared" ref="P104:P130" si="28">+O104-M104</f>
        <v>0</v>
      </c>
      <c r="Q104" s="269"/>
    </row>
    <row r="105" spans="1:17" ht="12.5">
      <c r="B105" s="195" t="str">
        <f t="shared" si="25"/>
        <v/>
      </c>
      <c r="C105" s="507">
        <f>IF(D93="","-",+C104+1)</f>
        <v>2019</v>
      </c>
      <c r="D105" s="629">
        <v>7477611.4581949059</v>
      </c>
      <c r="E105" s="630">
        <v>199972.7441860465</v>
      </c>
      <c r="F105" s="631">
        <v>7277638.7140088594</v>
      </c>
      <c r="G105" s="631">
        <v>7377625.0861018822</v>
      </c>
      <c r="H105" s="633">
        <v>989677.76558481681</v>
      </c>
      <c r="I105" s="634">
        <v>989677.76558481681</v>
      </c>
      <c r="J105" s="514">
        <f t="shared" si="26"/>
        <v>0</v>
      </c>
      <c r="K105" s="514"/>
      <c r="L105" s="518">
        <f t="shared" ref="L105" si="29">H105</f>
        <v>989677.76558481681</v>
      </c>
      <c r="M105" s="519">
        <f t="shared" ref="M105" si="30">IF(L105&lt;&gt;0,+H105-L105,0)</f>
        <v>0</v>
      </c>
      <c r="N105" s="518">
        <f t="shared" ref="N105" si="31">I105</f>
        <v>989677.76558481681</v>
      </c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5"/>
        <v/>
      </c>
      <c r="C106" s="507">
        <f>IF(D93="","-",+C105+1)</f>
        <v>2020</v>
      </c>
      <c r="D106" s="374">
        <f>IF(F105+SUM(E$99:E105)=D$92,F105,D$92-SUM(E$99:E105))</f>
        <v>7277638.7140088594</v>
      </c>
      <c r="E106" s="522">
        <f t="shared" ref="E106:E154" si="32">IF(+$J$96&lt;F105,$J$96,D106)</f>
        <v>204734</v>
      </c>
      <c r="F106" s="523">
        <f t="shared" ref="F106:F154" si="33">+D106-E106</f>
        <v>7072904.7140088594</v>
      </c>
      <c r="G106" s="523">
        <f t="shared" ref="G106:G154" si="34">+(F106+D106)/2</f>
        <v>7175271.7140088594</v>
      </c>
      <c r="H106" s="526">
        <f t="shared" ref="H106:H154" si="35">+J$94*G106+E106</f>
        <v>976605.47751006903</v>
      </c>
      <c r="I106" s="577">
        <f t="shared" ref="I106:I154" si="36">+J$95*G106+E106</f>
        <v>976605.47751006903</v>
      </c>
      <c r="J106" s="514">
        <f t="shared" si="26"/>
        <v>0</v>
      </c>
      <c r="K106" s="514"/>
      <c r="L106" s="525"/>
      <c r="M106" s="514">
        <f t="shared" ref="M106:M130" si="37">IF(L106&lt;&gt;0,+H106-L106,0)</f>
        <v>0</v>
      </c>
      <c r="N106" s="525"/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5"/>
        <v/>
      </c>
      <c r="C107" s="507">
        <f>IF(D93="","-",+C106+1)</f>
        <v>2021</v>
      </c>
      <c r="D107" s="374">
        <f>IF(F106+SUM(E$99:E106)=D$92,F106,D$92-SUM(E$99:E106))</f>
        <v>7072904.7140088594</v>
      </c>
      <c r="E107" s="522">
        <f t="shared" si="32"/>
        <v>204734</v>
      </c>
      <c r="F107" s="523">
        <f t="shared" si="33"/>
        <v>6868170.7140088594</v>
      </c>
      <c r="G107" s="523">
        <f t="shared" si="34"/>
        <v>6970537.7140088594</v>
      </c>
      <c r="H107" s="526">
        <f t="shared" si="35"/>
        <v>954581.45648686297</v>
      </c>
      <c r="I107" s="577">
        <f t="shared" si="36"/>
        <v>954581.45648686297</v>
      </c>
      <c r="J107" s="514">
        <f t="shared" si="26"/>
        <v>0</v>
      </c>
      <c r="K107" s="514"/>
      <c r="L107" s="525"/>
      <c r="M107" s="514">
        <f t="shared" si="37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5"/>
        <v/>
      </c>
      <c r="C108" s="507">
        <f>IF(D93="","-",+C107+1)</f>
        <v>2022</v>
      </c>
      <c r="D108" s="374">
        <f>IF(F107+SUM(E$99:E107)=D$92,F107,D$92-SUM(E$99:E107))</f>
        <v>6868170.7140088594</v>
      </c>
      <c r="E108" s="522">
        <f t="shared" si="32"/>
        <v>204734</v>
      </c>
      <c r="F108" s="523">
        <f t="shared" si="33"/>
        <v>6663436.7140088594</v>
      </c>
      <c r="G108" s="523">
        <f t="shared" si="34"/>
        <v>6765803.7140088594</v>
      </c>
      <c r="H108" s="526">
        <f t="shared" si="35"/>
        <v>932557.43546365702</v>
      </c>
      <c r="I108" s="577">
        <f t="shared" si="36"/>
        <v>932557.43546365702</v>
      </c>
      <c r="J108" s="514">
        <f t="shared" si="26"/>
        <v>0</v>
      </c>
      <c r="K108" s="514"/>
      <c r="L108" s="525"/>
      <c r="M108" s="514">
        <f t="shared" si="37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2023</v>
      </c>
      <c r="D109" s="374">
        <f>IF(F108+SUM(E$99:E108)=D$92,F108,D$92-SUM(E$99:E108))</f>
        <v>6663436.7140088594</v>
      </c>
      <c r="E109" s="522">
        <f t="shared" si="32"/>
        <v>204734</v>
      </c>
      <c r="F109" s="523">
        <f t="shared" si="33"/>
        <v>6458702.7140088594</v>
      </c>
      <c r="G109" s="523">
        <f t="shared" si="34"/>
        <v>6561069.7140088594</v>
      </c>
      <c r="H109" s="526">
        <f t="shared" si="35"/>
        <v>910533.41444045096</v>
      </c>
      <c r="I109" s="577">
        <f t="shared" si="36"/>
        <v>910533.41444045096</v>
      </c>
      <c r="J109" s="514">
        <f t="shared" si="26"/>
        <v>0</v>
      </c>
      <c r="K109" s="514"/>
      <c r="L109" s="525"/>
      <c r="M109" s="514">
        <f t="shared" si="37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2024</v>
      </c>
      <c r="D110" s="374">
        <f>IF(F109+SUM(E$99:E109)=D$92,F109,D$92-SUM(E$99:E109))</f>
        <v>6458702.7140088594</v>
      </c>
      <c r="E110" s="522">
        <f t="shared" si="32"/>
        <v>204734</v>
      </c>
      <c r="F110" s="523">
        <f t="shared" si="33"/>
        <v>6253968.7140088594</v>
      </c>
      <c r="G110" s="523">
        <f t="shared" si="34"/>
        <v>6356335.7140088594</v>
      </c>
      <c r="H110" s="526">
        <f t="shared" si="35"/>
        <v>888509.39341724501</v>
      </c>
      <c r="I110" s="577">
        <f t="shared" si="36"/>
        <v>888509.39341724501</v>
      </c>
      <c r="J110" s="514">
        <f t="shared" si="26"/>
        <v>0</v>
      </c>
      <c r="K110" s="514"/>
      <c r="L110" s="525"/>
      <c r="M110" s="514">
        <f t="shared" si="37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2025</v>
      </c>
      <c r="D111" s="374">
        <f>IF(F110+SUM(E$99:E110)=D$92,F110,D$92-SUM(E$99:E110))</f>
        <v>6253968.7140088594</v>
      </c>
      <c r="E111" s="522">
        <f t="shared" si="32"/>
        <v>204734</v>
      </c>
      <c r="F111" s="523">
        <f t="shared" si="33"/>
        <v>6049234.7140088594</v>
      </c>
      <c r="G111" s="523">
        <f t="shared" si="34"/>
        <v>6151601.7140088594</v>
      </c>
      <c r="H111" s="526">
        <f t="shared" si="35"/>
        <v>866485.37239403906</v>
      </c>
      <c r="I111" s="577">
        <f t="shared" si="36"/>
        <v>866485.37239403906</v>
      </c>
      <c r="J111" s="514">
        <f t="shared" si="26"/>
        <v>0</v>
      </c>
      <c r="K111" s="514"/>
      <c r="L111" s="525"/>
      <c r="M111" s="514">
        <f t="shared" si="37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2026</v>
      </c>
      <c r="D112" s="374">
        <f>IF(F111+SUM(E$99:E111)=D$92,F111,D$92-SUM(E$99:E111))</f>
        <v>6049234.7140088594</v>
      </c>
      <c r="E112" s="522">
        <f t="shared" si="32"/>
        <v>204734</v>
      </c>
      <c r="F112" s="523">
        <f t="shared" si="33"/>
        <v>5844500.7140088594</v>
      </c>
      <c r="G112" s="523">
        <f t="shared" si="34"/>
        <v>5946867.7140088594</v>
      </c>
      <c r="H112" s="526">
        <f t="shared" si="35"/>
        <v>844461.351370833</v>
      </c>
      <c r="I112" s="577">
        <f t="shared" si="36"/>
        <v>844461.351370833</v>
      </c>
      <c r="J112" s="514">
        <f t="shared" si="26"/>
        <v>0</v>
      </c>
      <c r="K112" s="514"/>
      <c r="L112" s="525"/>
      <c r="M112" s="514">
        <f t="shared" si="37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2027</v>
      </c>
      <c r="D113" s="374">
        <f>IF(F112+SUM(E$99:E112)=D$92,F112,D$92-SUM(E$99:E112))</f>
        <v>5844500.7140088594</v>
      </c>
      <c r="E113" s="522">
        <f t="shared" si="32"/>
        <v>204734</v>
      </c>
      <c r="F113" s="523">
        <f t="shared" si="33"/>
        <v>5639766.7140088594</v>
      </c>
      <c r="G113" s="523">
        <f t="shared" si="34"/>
        <v>5742133.7140088594</v>
      </c>
      <c r="H113" s="526">
        <f t="shared" si="35"/>
        <v>822437.33034762705</v>
      </c>
      <c r="I113" s="577">
        <f t="shared" si="36"/>
        <v>822437.33034762705</v>
      </c>
      <c r="J113" s="514">
        <f t="shared" si="26"/>
        <v>0</v>
      </c>
      <c r="K113" s="514"/>
      <c r="L113" s="525"/>
      <c r="M113" s="514">
        <f t="shared" si="37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2028</v>
      </c>
      <c r="D114" s="374">
        <f>IF(F113+SUM(E$99:E113)=D$92,F113,D$92-SUM(E$99:E113))</f>
        <v>5639766.7140088594</v>
      </c>
      <c r="E114" s="522">
        <f t="shared" si="32"/>
        <v>204734</v>
      </c>
      <c r="F114" s="523">
        <f t="shared" si="33"/>
        <v>5435032.7140088594</v>
      </c>
      <c r="G114" s="523">
        <f t="shared" si="34"/>
        <v>5537399.7140088594</v>
      </c>
      <c r="H114" s="526">
        <f t="shared" si="35"/>
        <v>800413.30932442099</v>
      </c>
      <c r="I114" s="577">
        <f t="shared" si="36"/>
        <v>800413.30932442099</v>
      </c>
      <c r="J114" s="514">
        <f t="shared" si="26"/>
        <v>0</v>
      </c>
      <c r="K114" s="514"/>
      <c r="L114" s="525"/>
      <c r="M114" s="514">
        <f t="shared" si="37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2029</v>
      </c>
      <c r="D115" s="374">
        <f>IF(F114+SUM(E$99:E114)=D$92,F114,D$92-SUM(E$99:E114))</f>
        <v>5435032.7140088594</v>
      </c>
      <c r="E115" s="522">
        <f t="shared" si="32"/>
        <v>204734</v>
      </c>
      <c r="F115" s="523">
        <f t="shared" si="33"/>
        <v>5230298.7140088594</v>
      </c>
      <c r="G115" s="523">
        <f t="shared" si="34"/>
        <v>5332665.7140088594</v>
      </c>
      <c r="H115" s="526">
        <f t="shared" si="35"/>
        <v>778389.28830121504</v>
      </c>
      <c r="I115" s="577">
        <f t="shared" si="36"/>
        <v>778389.28830121504</v>
      </c>
      <c r="J115" s="514">
        <f t="shared" si="26"/>
        <v>0</v>
      </c>
      <c r="K115" s="514"/>
      <c r="L115" s="525"/>
      <c r="M115" s="514">
        <f t="shared" si="37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2030</v>
      </c>
      <c r="D116" s="374">
        <f>IF(F115+SUM(E$99:E115)=D$92,F115,D$92-SUM(E$99:E115))</f>
        <v>5230298.7140088594</v>
      </c>
      <c r="E116" s="522">
        <f t="shared" si="32"/>
        <v>204734</v>
      </c>
      <c r="F116" s="523">
        <f t="shared" si="33"/>
        <v>5025564.7140088594</v>
      </c>
      <c r="G116" s="523">
        <f t="shared" si="34"/>
        <v>5127931.7140088594</v>
      </c>
      <c r="H116" s="526">
        <f t="shared" si="35"/>
        <v>756365.26727800898</v>
      </c>
      <c r="I116" s="577">
        <f t="shared" si="36"/>
        <v>756365.26727800898</v>
      </c>
      <c r="J116" s="514">
        <f t="shared" si="26"/>
        <v>0</v>
      </c>
      <c r="K116" s="514"/>
      <c r="L116" s="525"/>
      <c r="M116" s="514">
        <f t="shared" si="37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2031</v>
      </c>
      <c r="D117" s="374">
        <f>IF(F116+SUM(E$99:E116)=D$92,F116,D$92-SUM(E$99:E116))</f>
        <v>5025564.7140088594</v>
      </c>
      <c r="E117" s="522">
        <f t="shared" si="32"/>
        <v>204734</v>
      </c>
      <c r="F117" s="523">
        <f t="shared" si="33"/>
        <v>4820830.7140088594</v>
      </c>
      <c r="G117" s="523">
        <f t="shared" si="34"/>
        <v>4923197.7140088594</v>
      </c>
      <c r="H117" s="526">
        <f t="shared" si="35"/>
        <v>734341.24625480303</v>
      </c>
      <c r="I117" s="577">
        <f t="shared" si="36"/>
        <v>734341.24625480303</v>
      </c>
      <c r="J117" s="514">
        <f t="shared" si="26"/>
        <v>0</v>
      </c>
      <c r="K117" s="514"/>
      <c r="L117" s="525"/>
      <c r="M117" s="514">
        <f t="shared" si="37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2032</v>
      </c>
      <c r="D118" s="374">
        <f>IF(F117+SUM(E$99:E117)=D$92,F117,D$92-SUM(E$99:E117))</f>
        <v>4820830.7140088594</v>
      </c>
      <c r="E118" s="522">
        <f t="shared" si="32"/>
        <v>204734</v>
      </c>
      <c r="F118" s="523">
        <f t="shared" si="33"/>
        <v>4616096.7140088594</v>
      </c>
      <c r="G118" s="523">
        <f t="shared" si="34"/>
        <v>4718463.7140088594</v>
      </c>
      <c r="H118" s="526">
        <f t="shared" si="35"/>
        <v>712317.22523159697</v>
      </c>
      <c r="I118" s="577">
        <f t="shared" si="36"/>
        <v>712317.22523159697</v>
      </c>
      <c r="J118" s="514">
        <f t="shared" si="26"/>
        <v>0</v>
      </c>
      <c r="K118" s="514"/>
      <c r="L118" s="525"/>
      <c r="M118" s="514">
        <f t="shared" si="37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2033</v>
      </c>
      <c r="D119" s="374">
        <f>IF(F118+SUM(E$99:E118)=D$92,F118,D$92-SUM(E$99:E118))</f>
        <v>4616096.7140088594</v>
      </c>
      <c r="E119" s="522">
        <f t="shared" si="32"/>
        <v>204734</v>
      </c>
      <c r="F119" s="523">
        <f t="shared" si="33"/>
        <v>4411362.7140088594</v>
      </c>
      <c r="G119" s="523">
        <f t="shared" si="34"/>
        <v>4513729.7140088594</v>
      </c>
      <c r="H119" s="526">
        <f t="shared" si="35"/>
        <v>690293.20420839102</v>
      </c>
      <c r="I119" s="577">
        <f t="shared" si="36"/>
        <v>690293.20420839102</v>
      </c>
      <c r="J119" s="514">
        <f t="shared" si="26"/>
        <v>0</v>
      </c>
      <c r="K119" s="514"/>
      <c r="L119" s="525"/>
      <c r="M119" s="514">
        <f t="shared" si="37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2034</v>
      </c>
      <c r="D120" s="374">
        <f>IF(F119+SUM(E$99:E119)=D$92,F119,D$92-SUM(E$99:E119))</f>
        <v>4411362.7140088594</v>
      </c>
      <c r="E120" s="522">
        <f t="shared" si="32"/>
        <v>204734</v>
      </c>
      <c r="F120" s="523">
        <f t="shared" si="33"/>
        <v>4206628.7140088594</v>
      </c>
      <c r="G120" s="523">
        <f t="shared" si="34"/>
        <v>4308995.7140088594</v>
      </c>
      <c r="H120" s="526">
        <f t="shared" si="35"/>
        <v>668269.18318518507</v>
      </c>
      <c r="I120" s="577">
        <f t="shared" si="36"/>
        <v>668269.18318518507</v>
      </c>
      <c r="J120" s="514">
        <f t="shared" si="26"/>
        <v>0</v>
      </c>
      <c r="K120" s="514"/>
      <c r="L120" s="525"/>
      <c r="M120" s="514">
        <f t="shared" si="37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2035</v>
      </c>
      <c r="D121" s="374">
        <f>IF(F120+SUM(E$99:E120)=D$92,F120,D$92-SUM(E$99:E120))</f>
        <v>4206628.7140088594</v>
      </c>
      <c r="E121" s="522">
        <f t="shared" si="32"/>
        <v>204734</v>
      </c>
      <c r="F121" s="523">
        <f t="shared" si="33"/>
        <v>4001894.7140088594</v>
      </c>
      <c r="G121" s="523">
        <f t="shared" si="34"/>
        <v>4104261.7140088594</v>
      </c>
      <c r="H121" s="526">
        <f t="shared" si="35"/>
        <v>646245.16216197901</v>
      </c>
      <c r="I121" s="577">
        <f t="shared" si="36"/>
        <v>646245.16216197901</v>
      </c>
      <c r="J121" s="514">
        <f t="shared" si="26"/>
        <v>0</v>
      </c>
      <c r="K121" s="514"/>
      <c r="L121" s="525"/>
      <c r="M121" s="514">
        <f t="shared" si="37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2036</v>
      </c>
      <c r="D122" s="374">
        <f>IF(F121+SUM(E$99:E121)=D$92,F121,D$92-SUM(E$99:E121))</f>
        <v>4001894.7140088594</v>
      </c>
      <c r="E122" s="522">
        <f t="shared" si="32"/>
        <v>204734</v>
      </c>
      <c r="F122" s="523">
        <f t="shared" si="33"/>
        <v>3797160.7140088594</v>
      </c>
      <c r="G122" s="523">
        <f t="shared" si="34"/>
        <v>3899527.7140088594</v>
      </c>
      <c r="H122" s="526">
        <f t="shared" si="35"/>
        <v>624221.14113877295</v>
      </c>
      <c r="I122" s="577">
        <f t="shared" si="36"/>
        <v>624221.14113877295</v>
      </c>
      <c r="J122" s="514">
        <f t="shared" si="26"/>
        <v>0</v>
      </c>
      <c r="K122" s="514"/>
      <c r="L122" s="525"/>
      <c r="M122" s="514">
        <f t="shared" si="37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2037</v>
      </c>
      <c r="D123" s="374">
        <f>IF(F122+SUM(E$99:E122)=D$92,F122,D$92-SUM(E$99:E122))</f>
        <v>3797160.7140088594</v>
      </c>
      <c r="E123" s="522">
        <f t="shared" si="32"/>
        <v>204734</v>
      </c>
      <c r="F123" s="523">
        <f t="shared" si="33"/>
        <v>3592426.7140088594</v>
      </c>
      <c r="G123" s="523">
        <f t="shared" si="34"/>
        <v>3694793.7140088594</v>
      </c>
      <c r="H123" s="526">
        <f t="shared" si="35"/>
        <v>602197.120115567</v>
      </c>
      <c r="I123" s="577">
        <f t="shared" si="36"/>
        <v>602197.120115567</v>
      </c>
      <c r="J123" s="514">
        <f t="shared" si="26"/>
        <v>0</v>
      </c>
      <c r="K123" s="514"/>
      <c r="L123" s="525"/>
      <c r="M123" s="514">
        <f t="shared" si="37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2038</v>
      </c>
      <c r="D124" s="374">
        <f>IF(F123+SUM(E$99:E123)=D$92,F123,D$92-SUM(E$99:E123))</f>
        <v>3592426.7140088594</v>
      </c>
      <c r="E124" s="522">
        <f t="shared" si="32"/>
        <v>204734</v>
      </c>
      <c r="F124" s="523">
        <f t="shared" si="33"/>
        <v>3387692.7140088594</v>
      </c>
      <c r="G124" s="523">
        <f t="shared" si="34"/>
        <v>3490059.7140088594</v>
      </c>
      <c r="H124" s="526">
        <f t="shared" si="35"/>
        <v>580173.09909236105</v>
      </c>
      <c r="I124" s="577">
        <f t="shared" si="36"/>
        <v>580173.09909236105</v>
      </c>
      <c r="J124" s="514">
        <f t="shared" si="26"/>
        <v>0</v>
      </c>
      <c r="K124" s="514"/>
      <c r="L124" s="525"/>
      <c r="M124" s="514">
        <f t="shared" si="37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2039</v>
      </c>
      <c r="D125" s="374">
        <f>IF(F124+SUM(E$99:E124)=D$92,F124,D$92-SUM(E$99:E124))</f>
        <v>3387692.7140088594</v>
      </c>
      <c r="E125" s="522">
        <f t="shared" si="32"/>
        <v>204734</v>
      </c>
      <c r="F125" s="523">
        <f t="shared" si="33"/>
        <v>3182958.7140088594</v>
      </c>
      <c r="G125" s="523">
        <f t="shared" si="34"/>
        <v>3285325.7140088594</v>
      </c>
      <c r="H125" s="526">
        <f t="shared" si="35"/>
        <v>558149.07806915499</v>
      </c>
      <c r="I125" s="577">
        <f t="shared" si="36"/>
        <v>558149.07806915499</v>
      </c>
      <c r="J125" s="514">
        <f t="shared" si="26"/>
        <v>0</v>
      </c>
      <c r="K125" s="514"/>
      <c r="L125" s="525"/>
      <c r="M125" s="514">
        <f t="shared" si="37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2040</v>
      </c>
      <c r="D126" s="374">
        <f>IF(F125+SUM(E$99:E125)=D$92,F125,D$92-SUM(E$99:E125))</f>
        <v>3182958.7140088594</v>
      </c>
      <c r="E126" s="522">
        <f t="shared" si="32"/>
        <v>204734</v>
      </c>
      <c r="F126" s="523">
        <f t="shared" si="33"/>
        <v>2978224.7140088594</v>
      </c>
      <c r="G126" s="523">
        <f t="shared" si="34"/>
        <v>3080591.7140088594</v>
      </c>
      <c r="H126" s="526">
        <f t="shared" si="35"/>
        <v>536125.05704594892</v>
      </c>
      <c r="I126" s="577">
        <f t="shared" si="36"/>
        <v>536125.05704594892</v>
      </c>
      <c r="J126" s="514">
        <f t="shared" si="26"/>
        <v>0</v>
      </c>
      <c r="K126" s="514"/>
      <c r="L126" s="525"/>
      <c r="M126" s="514">
        <f t="shared" si="37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2041</v>
      </c>
      <c r="D127" s="374">
        <f>IF(F126+SUM(E$99:E126)=D$92,F126,D$92-SUM(E$99:E126))</f>
        <v>2978224.7140088594</v>
      </c>
      <c r="E127" s="522">
        <f t="shared" si="32"/>
        <v>204734</v>
      </c>
      <c r="F127" s="523">
        <f t="shared" si="33"/>
        <v>2773490.7140088594</v>
      </c>
      <c r="G127" s="523">
        <f t="shared" si="34"/>
        <v>2875857.7140088594</v>
      </c>
      <c r="H127" s="526">
        <f t="shared" si="35"/>
        <v>514101.03602274304</v>
      </c>
      <c r="I127" s="577">
        <f t="shared" si="36"/>
        <v>514101.03602274304</v>
      </c>
      <c r="J127" s="514">
        <f t="shared" si="26"/>
        <v>0</v>
      </c>
      <c r="K127" s="514"/>
      <c r="L127" s="525"/>
      <c r="M127" s="514">
        <f t="shared" si="37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2042</v>
      </c>
      <c r="D128" s="374">
        <f>IF(F127+SUM(E$99:E127)=D$92,F127,D$92-SUM(E$99:E127))</f>
        <v>2773490.7140088594</v>
      </c>
      <c r="E128" s="522">
        <f t="shared" si="32"/>
        <v>204734</v>
      </c>
      <c r="F128" s="523">
        <f t="shared" si="33"/>
        <v>2568756.7140088594</v>
      </c>
      <c r="G128" s="523">
        <f t="shared" si="34"/>
        <v>2671123.7140088594</v>
      </c>
      <c r="H128" s="526">
        <f t="shared" si="35"/>
        <v>492077.01499953703</v>
      </c>
      <c r="I128" s="577">
        <f t="shared" si="36"/>
        <v>492077.01499953703</v>
      </c>
      <c r="J128" s="514">
        <f t="shared" si="26"/>
        <v>0</v>
      </c>
      <c r="K128" s="514"/>
      <c r="L128" s="525"/>
      <c r="M128" s="514">
        <f t="shared" si="37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2043</v>
      </c>
      <c r="D129" s="374">
        <f>IF(F128+SUM(E$99:E128)=D$92,F128,D$92-SUM(E$99:E128))</f>
        <v>2568756.7140088594</v>
      </c>
      <c r="E129" s="522">
        <f t="shared" si="32"/>
        <v>204734</v>
      </c>
      <c r="F129" s="523">
        <f t="shared" si="33"/>
        <v>2364022.7140088594</v>
      </c>
      <c r="G129" s="523">
        <f t="shared" si="34"/>
        <v>2466389.7140088594</v>
      </c>
      <c r="H129" s="526">
        <f t="shared" si="35"/>
        <v>470052.99397633102</v>
      </c>
      <c r="I129" s="577">
        <f t="shared" si="36"/>
        <v>470052.99397633102</v>
      </c>
      <c r="J129" s="514">
        <f t="shared" si="26"/>
        <v>0</v>
      </c>
      <c r="K129" s="514"/>
      <c r="L129" s="525"/>
      <c r="M129" s="514">
        <f t="shared" si="37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2044</v>
      </c>
      <c r="D130" s="374">
        <f>IF(F129+SUM(E$99:E129)=D$92,F129,D$92-SUM(E$99:E129))</f>
        <v>2364022.7140088594</v>
      </c>
      <c r="E130" s="522">
        <f t="shared" si="32"/>
        <v>204734</v>
      </c>
      <c r="F130" s="523">
        <f t="shared" si="33"/>
        <v>2159288.7140088594</v>
      </c>
      <c r="G130" s="523">
        <f t="shared" si="34"/>
        <v>2261655.7140088594</v>
      </c>
      <c r="H130" s="526">
        <f t="shared" si="35"/>
        <v>448028.97295312502</v>
      </c>
      <c r="I130" s="577">
        <f t="shared" si="36"/>
        <v>448028.97295312502</v>
      </c>
      <c r="J130" s="514">
        <f t="shared" si="26"/>
        <v>0</v>
      </c>
      <c r="K130" s="514"/>
      <c r="L130" s="525"/>
      <c r="M130" s="514">
        <f t="shared" si="37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2045</v>
      </c>
      <c r="D131" s="374">
        <f>IF(F130+SUM(E$99:E130)=D$92,F130,D$92-SUM(E$99:E130))</f>
        <v>2159288.7140088594</v>
      </c>
      <c r="E131" s="522">
        <f t="shared" si="32"/>
        <v>204734</v>
      </c>
      <c r="F131" s="523">
        <f t="shared" si="33"/>
        <v>1954554.7140088594</v>
      </c>
      <c r="G131" s="523">
        <f t="shared" si="34"/>
        <v>2056921.7140088594</v>
      </c>
      <c r="H131" s="526">
        <f t="shared" si="35"/>
        <v>426004.95192991901</v>
      </c>
      <c r="I131" s="577">
        <f t="shared" si="36"/>
        <v>426004.95192991901</v>
      </c>
      <c r="J131" s="514">
        <f t="shared" si="26"/>
        <v>0</v>
      </c>
      <c r="K131" s="514"/>
      <c r="L131" s="525"/>
      <c r="M131" s="514">
        <f t="shared" ref="M131:M154" si="38">IF(L541&lt;&gt;0,+H541-L541,0)</f>
        <v>0</v>
      </c>
      <c r="N131" s="525"/>
      <c r="O131" s="514">
        <f t="shared" ref="O131:O154" si="39">IF(N541&lt;&gt;0,+I541-N541,0)</f>
        <v>0</v>
      </c>
      <c r="P131" s="514">
        <f t="shared" ref="P131:P154" si="40">+O541-M541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2046</v>
      </c>
      <c r="D132" s="374">
        <f>IF(F131+SUM(E$99:E131)=D$92,F131,D$92-SUM(E$99:E131))</f>
        <v>1954554.7140088594</v>
      </c>
      <c r="E132" s="522">
        <f t="shared" si="32"/>
        <v>204734</v>
      </c>
      <c r="F132" s="523">
        <f t="shared" si="33"/>
        <v>1749820.7140088594</v>
      </c>
      <c r="G132" s="523">
        <f t="shared" si="34"/>
        <v>1852187.7140088594</v>
      </c>
      <c r="H132" s="526">
        <f t="shared" si="35"/>
        <v>403980.93090671301</v>
      </c>
      <c r="I132" s="577">
        <f t="shared" si="36"/>
        <v>403980.93090671301</v>
      </c>
      <c r="J132" s="514">
        <f t="shared" si="26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2047</v>
      </c>
      <c r="D133" s="374">
        <f>IF(F132+SUM(E$99:E132)=D$92,F132,D$92-SUM(E$99:E132))</f>
        <v>1749820.7140088594</v>
      </c>
      <c r="E133" s="522">
        <f t="shared" si="32"/>
        <v>204734</v>
      </c>
      <c r="F133" s="523">
        <f t="shared" si="33"/>
        <v>1545086.7140088594</v>
      </c>
      <c r="G133" s="523">
        <f t="shared" si="34"/>
        <v>1647453.7140088594</v>
      </c>
      <c r="H133" s="526">
        <f t="shared" si="35"/>
        <v>381956.909883507</v>
      </c>
      <c r="I133" s="577">
        <f t="shared" si="36"/>
        <v>381956.909883507</v>
      </c>
      <c r="J133" s="514">
        <f t="shared" si="26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2048</v>
      </c>
      <c r="D134" s="374">
        <f>IF(F133+SUM(E$99:E133)=D$92,F133,D$92-SUM(E$99:E133))</f>
        <v>1545086.7140088594</v>
      </c>
      <c r="E134" s="522">
        <f t="shared" si="32"/>
        <v>204734</v>
      </c>
      <c r="F134" s="523">
        <f t="shared" si="33"/>
        <v>1340352.7140088594</v>
      </c>
      <c r="G134" s="523">
        <f t="shared" si="34"/>
        <v>1442719.7140088594</v>
      </c>
      <c r="H134" s="526">
        <f t="shared" si="35"/>
        <v>359932.888860301</v>
      </c>
      <c r="I134" s="577">
        <f t="shared" si="36"/>
        <v>359932.888860301</v>
      </c>
      <c r="J134" s="514">
        <f t="shared" si="26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2049</v>
      </c>
      <c r="D135" s="374">
        <f>IF(F134+SUM(E$99:E134)=D$92,F134,D$92-SUM(E$99:E134))</f>
        <v>1340352.7140088594</v>
      </c>
      <c r="E135" s="522">
        <f t="shared" si="32"/>
        <v>204734</v>
      </c>
      <c r="F135" s="523">
        <f t="shared" si="33"/>
        <v>1135618.7140088594</v>
      </c>
      <c r="G135" s="523">
        <f t="shared" si="34"/>
        <v>1237985.7140088594</v>
      </c>
      <c r="H135" s="526">
        <f t="shared" si="35"/>
        <v>337908.86783709505</v>
      </c>
      <c r="I135" s="577">
        <f t="shared" si="36"/>
        <v>337908.86783709505</v>
      </c>
      <c r="J135" s="514">
        <f t="shared" si="26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2050</v>
      </c>
      <c r="D136" s="374">
        <f>IF(F135+SUM(E$99:E135)=D$92,F135,D$92-SUM(E$99:E135))</f>
        <v>1135618.7140088594</v>
      </c>
      <c r="E136" s="522">
        <f t="shared" si="32"/>
        <v>204734</v>
      </c>
      <c r="F136" s="523">
        <f t="shared" si="33"/>
        <v>930884.71400885936</v>
      </c>
      <c r="G136" s="523">
        <f t="shared" si="34"/>
        <v>1033251.7140088594</v>
      </c>
      <c r="H136" s="526">
        <f t="shared" si="35"/>
        <v>315884.84681388899</v>
      </c>
      <c r="I136" s="577">
        <f t="shared" si="36"/>
        <v>315884.84681388899</v>
      </c>
      <c r="J136" s="514">
        <f t="shared" si="26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2051</v>
      </c>
      <c r="D137" s="374">
        <f>IF(F136+SUM(E$99:E136)=D$92,F136,D$92-SUM(E$99:E136))</f>
        <v>930884.71400885936</v>
      </c>
      <c r="E137" s="522">
        <f t="shared" si="32"/>
        <v>204734</v>
      </c>
      <c r="F137" s="523">
        <f t="shared" si="33"/>
        <v>726150.71400885936</v>
      </c>
      <c r="G137" s="523">
        <f t="shared" si="34"/>
        <v>828517.71400885936</v>
      </c>
      <c r="H137" s="526">
        <f t="shared" si="35"/>
        <v>293860.82579068304</v>
      </c>
      <c r="I137" s="577">
        <f t="shared" si="36"/>
        <v>293860.82579068304</v>
      </c>
      <c r="J137" s="514">
        <f t="shared" si="26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2052</v>
      </c>
      <c r="D138" s="374">
        <f>IF(F137+SUM(E$99:E137)=D$92,F137,D$92-SUM(E$99:E137))</f>
        <v>726150.71400885936</v>
      </c>
      <c r="E138" s="522">
        <f t="shared" si="32"/>
        <v>204734</v>
      </c>
      <c r="F138" s="523">
        <f t="shared" si="33"/>
        <v>521416.71400885936</v>
      </c>
      <c r="G138" s="523">
        <f t="shared" si="34"/>
        <v>623783.71400885936</v>
      </c>
      <c r="H138" s="526">
        <f t="shared" si="35"/>
        <v>271836.80476747698</v>
      </c>
      <c r="I138" s="577">
        <f t="shared" si="36"/>
        <v>271836.80476747698</v>
      </c>
      <c r="J138" s="514">
        <f t="shared" si="26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2053</v>
      </c>
      <c r="D139" s="374">
        <f>IF(F138+SUM(E$99:E138)=D$92,F138,D$92-SUM(E$99:E138))</f>
        <v>521416.71400885936</v>
      </c>
      <c r="E139" s="522">
        <f t="shared" si="32"/>
        <v>204734</v>
      </c>
      <c r="F139" s="523">
        <f t="shared" si="33"/>
        <v>316682.71400885936</v>
      </c>
      <c r="G139" s="523">
        <f t="shared" si="34"/>
        <v>419049.71400885936</v>
      </c>
      <c r="H139" s="526">
        <f t="shared" si="35"/>
        <v>249812.783744271</v>
      </c>
      <c r="I139" s="577">
        <f t="shared" si="36"/>
        <v>249812.783744271</v>
      </c>
      <c r="J139" s="514">
        <f t="shared" si="26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2054</v>
      </c>
      <c r="D140" s="374">
        <f>IF(F139+SUM(E$99:E139)=D$92,F139,D$92-SUM(E$99:E139))</f>
        <v>316682.71400885936</v>
      </c>
      <c r="E140" s="522">
        <f t="shared" si="32"/>
        <v>204734</v>
      </c>
      <c r="F140" s="523">
        <f t="shared" si="33"/>
        <v>111948.71400885936</v>
      </c>
      <c r="G140" s="523">
        <f t="shared" si="34"/>
        <v>214315.71400885936</v>
      </c>
      <c r="H140" s="526">
        <f t="shared" si="35"/>
        <v>227788.762721065</v>
      </c>
      <c r="I140" s="577">
        <f t="shared" si="36"/>
        <v>227788.762721065</v>
      </c>
      <c r="J140" s="514">
        <f t="shared" si="26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2055</v>
      </c>
      <c r="D141" s="374">
        <f>IF(F140+SUM(E$99:E140)=D$92,F140,D$92-SUM(E$99:E140))</f>
        <v>111948.71400885936</v>
      </c>
      <c r="E141" s="522">
        <f t="shared" si="32"/>
        <v>111948.71400885936</v>
      </c>
      <c r="F141" s="523">
        <f t="shared" si="33"/>
        <v>0</v>
      </c>
      <c r="G141" s="523">
        <f t="shared" si="34"/>
        <v>55974.357004429679</v>
      </c>
      <c r="H141" s="526">
        <f t="shared" si="35"/>
        <v>117970.09011359036</v>
      </c>
      <c r="I141" s="577">
        <f t="shared" si="36"/>
        <v>117970.09011359036</v>
      </c>
      <c r="J141" s="514">
        <f t="shared" si="26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2"/>
        <v>0</v>
      </c>
      <c r="F142" s="523">
        <f t="shared" si="33"/>
        <v>0</v>
      </c>
      <c r="G142" s="523">
        <f t="shared" si="34"/>
        <v>0</v>
      </c>
      <c r="H142" s="526">
        <f t="shared" si="35"/>
        <v>0</v>
      </c>
      <c r="I142" s="577">
        <f t="shared" si="36"/>
        <v>0</v>
      </c>
      <c r="J142" s="514">
        <f t="shared" si="26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2"/>
        <v>0</v>
      </c>
      <c r="F143" s="523">
        <f t="shared" si="33"/>
        <v>0</v>
      </c>
      <c r="G143" s="523">
        <f t="shared" si="34"/>
        <v>0</v>
      </c>
      <c r="H143" s="526">
        <f t="shared" si="35"/>
        <v>0</v>
      </c>
      <c r="I143" s="577">
        <f t="shared" si="36"/>
        <v>0</v>
      </c>
      <c r="J143" s="514">
        <f t="shared" si="26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2"/>
        <v>0</v>
      </c>
      <c r="F144" s="523">
        <f t="shared" si="33"/>
        <v>0</v>
      </c>
      <c r="G144" s="523">
        <f t="shared" si="34"/>
        <v>0</v>
      </c>
      <c r="H144" s="526">
        <f t="shared" si="35"/>
        <v>0</v>
      </c>
      <c r="I144" s="577">
        <f t="shared" si="36"/>
        <v>0</v>
      </c>
      <c r="J144" s="514">
        <f t="shared" si="26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2"/>
        <v>0</v>
      </c>
      <c r="F145" s="523">
        <f t="shared" si="33"/>
        <v>0</v>
      </c>
      <c r="G145" s="523">
        <f t="shared" si="34"/>
        <v>0</v>
      </c>
      <c r="H145" s="526">
        <f t="shared" si="35"/>
        <v>0</v>
      </c>
      <c r="I145" s="577">
        <f t="shared" si="36"/>
        <v>0</v>
      </c>
      <c r="J145" s="514">
        <f t="shared" si="26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2"/>
        <v>0</v>
      </c>
      <c r="F146" s="523">
        <f t="shared" si="33"/>
        <v>0</v>
      </c>
      <c r="G146" s="523">
        <f t="shared" si="34"/>
        <v>0</v>
      </c>
      <c r="H146" s="526">
        <f t="shared" si="35"/>
        <v>0</v>
      </c>
      <c r="I146" s="577">
        <f t="shared" si="36"/>
        <v>0</v>
      </c>
      <c r="J146" s="514">
        <f t="shared" si="26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2"/>
        <v>0</v>
      </c>
      <c r="F147" s="523">
        <f t="shared" si="33"/>
        <v>0</v>
      </c>
      <c r="G147" s="523">
        <f t="shared" si="34"/>
        <v>0</v>
      </c>
      <c r="H147" s="526">
        <f t="shared" si="35"/>
        <v>0</v>
      </c>
      <c r="I147" s="577">
        <f t="shared" si="36"/>
        <v>0</v>
      </c>
      <c r="J147" s="514">
        <f t="shared" si="26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2"/>
        <v>0</v>
      </c>
      <c r="F148" s="523">
        <f t="shared" si="33"/>
        <v>0</v>
      </c>
      <c r="G148" s="523">
        <f t="shared" si="34"/>
        <v>0</v>
      </c>
      <c r="H148" s="526">
        <f t="shared" si="35"/>
        <v>0</v>
      </c>
      <c r="I148" s="577">
        <f t="shared" si="36"/>
        <v>0</v>
      </c>
      <c r="J148" s="514">
        <f t="shared" si="26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2"/>
        <v>0</v>
      </c>
      <c r="F149" s="523">
        <f t="shared" si="33"/>
        <v>0</v>
      </c>
      <c r="G149" s="523">
        <f t="shared" si="34"/>
        <v>0</v>
      </c>
      <c r="H149" s="526">
        <f t="shared" si="35"/>
        <v>0</v>
      </c>
      <c r="I149" s="577">
        <f t="shared" si="36"/>
        <v>0</v>
      </c>
      <c r="J149" s="514">
        <f t="shared" si="26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2"/>
        <v>0</v>
      </c>
      <c r="F150" s="523">
        <f t="shared" si="33"/>
        <v>0</v>
      </c>
      <c r="G150" s="523">
        <f t="shared" si="34"/>
        <v>0</v>
      </c>
      <c r="H150" s="526">
        <f t="shared" si="35"/>
        <v>0</v>
      </c>
      <c r="I150" s="577">
        <f t="shared" si="36"/>
        <v>0</v>
      </c>
      <c r="J150" s="514">
        <f t="shared" si="26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2"/>
        <v>0</v>
      </c>
      <c r="F151" s="523">
        <f t="shared" si="33"/>
        <v>0</v>
      </c>
      <c r="G151" s="523">
        <f t="shared" si="34"/>
        <v>0</v>
      </c>
      <c r="H151" s="526">
        <f t="shared" si="35"/>
        <v>0</v>
      </c>
      <c r="I151" s="577">
        <f t="shared" si="36"/>
        <v>0</v>
      </c>
      <c r="J151" s="514">
        <f t="shared" si="26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2"/>
        <v>0</v>
      </c>
      <c r="F152" s="523">
        <f t="shared" si="33"/>
        <v>0</v>
      </c>
      <c r="G152" s="523">
        <f t="shared" si="34"/>
        <v>0</v>
      </c>
      <c r="H152" s="526">
        <f t="shared" si="35"/>
        <v>0</v>
      </c>
      <c r="I152" s="577">
        <f t="shared" si="36"/>
        <v>0</v>
      </c>
      <c r="J152" s="514">
        <f t="shared" si="26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2"/>
        <v>0</v>
      </c>
      <c r="F153" s="523">
        <f t="shared" si="33"/>
        <v>0</v>
      </c>
      <c r="G153" s="523">
        <f t="shared" si="34"/>
        <v>0</v>
      </c>
      <c r="H153" s="526">
        <f t="shared" si="35"/>
        <v>0</v>
      </c>
      <c r="I153" s="577">
        <f t="shared" si="36"/>
        <v>0</v>
      </c>
      <c r="J153" s="514">
        <f t="shared" si="26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2"/>
        <v>0</v>
      </c>
      <c r="F154" s="523">
        <f t="shared" si="33"/>
        <v>0</v>
      </c>
      <c r="G154" s="523">
        <f t="shared" si="34"/>
        <v>0</v>
      </c>
      <c r="H154" s="526">
        <f t="shared" si="35"/>
        <v>0</v>
      </c>
      <c r="I154" s="577">
        <f t="shared" si="36"/>
        <v>0</v>
      </c>
      <c r="J154" s="514">
        <f t="shared" si="26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  <c r="Q154" s="269"/>
    </row>
    <row r="155" spans="2:17" ht="12.5">
      <c r="C155" s="374" t="s">
        <v>78</v>
      </c>
      <c r="D155" s="375"/>
      <c r="E155" s="375">
        <f>SUM(E99:E154)</f>
        <v>8598828</v>
      </c>
      <c r="F155" s="375"/>
      <c r="G155" s="375"/>
      <c r="H155" s="375">
        <f>SUM(H99:H154)</f>
        <v>28859637.285276458</v>
      </c>
      <c r="I155" s="375">
        <f>SUM(I99:I154)</f>
        <v>28859637.285276458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1">
    <cfRule type="cellIs" dxfId="93" priority="2" stopIfTrue="1" operator="equal">
      <formula>$I$10</formula>
    </cfRule>
  </conditionalFormatting>
  <conditionalFormatting sqref="C99:C154">
    <cfRule type="cellIs" dxfId="92" priority="3" stopIfTrue="1" operator="equal">
      <formula>$J$92</formula>
    </cfRule>
  </conditionalFormatting>
  <conditionalFormatting sqref="C72">
    <cfRule type="cellIs" dxfId="91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Q162"/>
  <sheetViews>
    <sheetView view="pageBreakPreview" topLeftCell="A76" zoomScale="75" zoomScaleNormal="100" zoomScaleSheetLayoutView="75" workbookViewId="0">
      <selection activeCell="L105" sqref="L105:N105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8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35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476769.34521357011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476769.34521357011</v>
      </c>
      <c r="O6" s="269"/>
      <c r="P6" s="269"/>
    </row>
    <row r="7" spans="1:17" ht="13.5" thickBot="1">
      <c r="C7" s="467" t="s">
        <v>48</v>
      </c>
      <c r="D7" s="624" t="s">
        <v>298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300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4344850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103448.80952380953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3795000</v>
      </c>
      <c r="E17" s="627">
        <v>45178.571428571428</v>
      </c>
      <c r="F17" s="626">
        <v>3749821.4285714286</v>
      </c>
      <c r="G17" s="627">
        <v>570105.1315196018</v>
      </c>
      <c r="H17" s="610">
        <v>570105.1315196018</v>
      </c>
      <c r="I17" s="616">
        <v>0</v>
      </c>
      <c r="J17" s="511"/>
      <c r="K17" s="512">
        <f t="shared" ref="K17:K22" si="0">G17</f>
        <v>570105.1315196018</v>
      </c>
      <c r="L17" s="597">
        <f t="shared" ref="L17:L22" si="1">IF(K17&lt;&gt;0,+G17-K17,0)</f>
        <v>0</v>
      </c>
      <c r="M17" s="512">
        <f t="shared" ref="M17:M22" si="2">H17</f>
        <v>570105.1315196018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3749821.4285714286</v>
      </c>
      <c r="E18" s="609">
        <v>103448.73809523809</v>
      </c>
      <c r="F18" s="626">
        <v>3646372.6904761908</v>
      </c>
      <c r="G18" s="609">
        <v>595382.73103628133</v>
      </c>
      <c r="H18" s="610">
        <v>595382.73103628133</v>
      </c>
      <c r="I18" s="616">
        <v>0</v>
      </c>
      <c r="J18" s="511"/>
      <c r="K18" s="518">
        <f t="shared" si="0"/>
        <v>595382.73103628133</v>
      </c>
      <c r="L18" s="519">
        <f t="shared" si="1"/>
        <v>0</v>
      </c>
      <c r="M18" s="518">
        <f t="shared" si="2"/>
        <v>595382.73103628133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3646372.6904761908</v>
      </c>
      <c r="E19" s="609">
        <v>103448.80952380953</v>
      </c>
      <c r="F19" s="626">
        <v>3542923.8809523811</v>
      </c>
      <c r="G19" s="609">
        <v>570068.89413461182</v>
      </c>
      <c r="H19" s="610">
        <v>570068.89413461182</v>
      </c>
      <c r="I19" s="511">
        <v>0</v>
      </c>
      <c r="J19" s="511"/>
      <c r="K19" s="518">
        <f t="shared" si="0"/>
        <v>570068.89413461182</v>
      </c>
      <c r="L19" s="519">
        <f t="shared" si="1"/>
        <v>0</v>
      </c>
      <c r="M19" s="518">
        <f t="shared" si="2"/>
        <v>570068.89413461182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4092773.8809523811</v>
      </c>
      <c r="E20" s="609">
        <v>103448.80952380953</v>
      </c>
      <c r="F20" s="626">
        <v>3989325.0714285714</v>
      </c>
      <c r="G20" s="609">
        <v>628862.07408133126</v>
      </c>
      <c r="H20" s="610">
        <v>628862.07408133126</v>
      </c>
      <c r="I20" s="511">
        <v>0</v>
      </c>
      <c r="J20" s="511"/>
      <c r="K20" s="518">
        <f t="shared" si="0"/>
        <v>628862.07408133126</v>
      </c>
      <c r="L20" s="519">
        <f t="shared" si="1"/>
        <v>0</v>
      </c>
      <c r="M20" s="518">
        <f t="shared" si="2"/>
        <v>628862.07408133126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3989325.0714285714</v>
      </c>
      <c r="E21" s="609">
        <v>101043.02325581395</v>
      </c>
      <c r="F21" s="626">
        <v>3888282.0481727575</v>
      </c>
      <c r="G21" s="609">
        <v>589031.37569687236</v>
      </c>
      <c r="H21" s="610">
        <v>589031.37569687236</v>
      </c>
      <c r="I21" s="511">
        <f t="shared" ref="I21:I72" si="6">H21-G21</f>
        <v>0</v>
      </c>
      <c r="J21" s="511"/>
      <c r="K21" s="518">
        <f t="shared" si="0"/>
        <v>589031.37569687236</v>
      </c>
      <c r="L21" s="519">
        <f t="shared" si="1"/>
        <v>0</v>
      </c>
      <c r="M21" s="518">
        <f t="shared" si="2"/>
        <v>589031.37569687236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3888282.0481727575</v>
      </c>
      <c r="E22" s="609">
        <v>105971.95121951219</v>
      </c>
      <c r="F22" s="626">
        <v>3782310.0969532453</v>
      </c>
      <c r="G22" s="609">
        <v>593415.44968499895</v>
      </c>
      <c r="H22" s="610">
        <v>593415.44968499895</v>
      </c>
      <c r="I22" s="511">
        <f t="shared" si="6"/>
        <v>0</v>
      </c>
      <c r="J22" s="511"/>
      <c r="K22" s="518">
        <f t="shared" si="0"/>
        <v>593415.44968499895</v>
      </c>
      <c r="L22" s="519">
        <f t="shared" si="1"/>
        <v>0</v>
      </c>
      <c r="M22" s="518">
        <f t="shared" si="2"/>
        <v>593415.44968499895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3782310.0969532453</v>
      </c>
      <c r="E23" s="609">
        <v>105971.95121951219</v>
      </c>
      <c r="F23" s="626">
        <v>3676338.1457337332</v>
      </c>
      <c r="G23" s="609">
        <v>579947.04003308562</v>
      </c>
      <c r="H23" s="610">
        <v>579947.04003308562</v>
      </c>
      <c r="I23" s="511">
        <f t="shared" si="6"/>
        <v>0</v>
      </c>
      <c r="J23" s="511"/>
      <c r="K23" s="518">
        <f t="shared" ref="K23" si="7">G23</f>
        <v>579947.04003308562</v>
      </c>
      <c r="L23" s="519">
        <f t="shared" ref="L23" si="8">IF(K23&lt;&gt;0,+G23-K23,0)</f>
        <v>0</v>
      </c>
      <c r="M23" s="518">
        <f t="shared" ref="M23" si="9">H23</f>
        <v>579947.04003308562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3676338.1457337332</v>
      </c>
      <c r="E24" s="609">
        <v>105971.95121951219</v>
      </c>
      <c r="F24" s="626">
        <v>3570366.194514221</v>
      </c>
      <c r="G24" s="609">
        <v>476769.34521357011</v>
      </c>
      <c r="H24" s="610">
        <v>476769.34521357011</v>
      </c>
      <c r="I24" s="511">
        <f t="shared" si="6"/>
        <v>0</v>
      </c>
      <c r="J24" s="511"/>
      <c r="K24" s="518">
        <f t="shared" ref="K24" si="12">G24</f>
        <v>476769.34521357011</v>
      </c>
      <c r="L24" s="519">
        <f t="shared" ref="L24" si="13">IF(K24&lt;&gt;0,+G24-K24,0)</f>
        <v>0</v>
      </c>
      <c r="M24" s="518">
        <f t="shared" ref="M24" si="14">H24</f>
        <v>476769.34521357011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/>
      </c>
      <c r="C25" s="507">
        <f>IF(D11="","-",+C24+1)</f>
        <v>2021</v>
      </c>
      <c r="D25" s="523">
        <f>IF(F24+SUM(E$17:E24)=D$10,F24,D$10-SUM(E$17:E24))</f>
        <v>3570366.194514221</v>
      </c>
      <c r="E25" s="522">
        <f t="shared" ref="E25:E72" si="15">IF(+$I$14&lt;F24,$I$14,D25)</f>
        <v>103448.80952380953</v>
      </c>
      <c r="F25" s="523">
        <f t="shared" ref="F25:F72" si="16">+D25-E25</f>
        <v>3466917.3849904113</v>
      </c>
      <c r="G25" s="524">
        <f t="shared" ref="G25:G52" si="17">+I$12*((D25+F25)/2)+E25</f>
        <v>479302.99589417636</v>
      </c>
      <c r="H25" s="491">
        <f t="shared" ref="H25:H52" si="18">+I$13*((D25+F25)/2)+E25</f>
        <v>479302.99589417636</v>
      </c>
      <c r="I25" s="511">
        <f t="shared" si="6"/>
        <v>0</v>
      </c>
      <c r="J25" s="511"/>
      <c r="K25" s="525"/>
      <c r="L25" s="514">
        <f t="shared" ref="L25:L72" si="19">IF(K25&lt;&gt;0,+G25-K25,0)</f>
        <v>0</v>
      </c>
      <c r="M25" s="525"/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/>
      </c>
      <c r="C26" s="507">
        <f>IF(D11="","-",+C25+1)</f>
        <v>2022</v>
      </c>
      <c r="D26" s="523">
        <f>IF(F25+SUM(E$17:E25)=D$10,F25,D$10-SUM(E$17:E25))</f>
        <v>3466917.3849904113</v>
      </c>
      <c r="E26" s="522">
        <f t="shared" si="15"/>
        <v>103448.80952380953</v>
      </c>
      <c r="F26" s="523">
        <f t="shared" si="16"/>
        <v>3363468.5754666016</v>
      </c>
      <c r="G26" s="524">
        <f t="shared" si="17"/>
        <v>468252.80367290694</v>
      </c>
      <c r="H26" s="491">
        <f t="shared" si="18"/>
        <v>468252.80367290694</v>
      </c>
      <c r="I26" s="511">
        <f t="shared" si="6"/>
        <v>0</v>
      </c>
      <c r="J26" s="511"/>
      <c r="K26" s="525"/>
      <c r="L26" s="514">
        <f t="shared" si="19"/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3363468.5754666016</v>
      </c>
      <c r="E27" s="522">
        <f t="shared" si="15"/>
        <v>103448.80952380953</v>
      </c>
      <c r="F27" s="523">
        <f t="shared" si="16"/>
        <v>3260019.7659427919</v>
      </c>
      <c r="G27" s="524">
        <f t="shared" si="17"/>
        <v>457202.61145163752</v>
      </c>
      <c r="H27" s="491">
        <f t="shared" si="18"/>
        <v>457202.61145163752</v>
      </c>
      <c r="I27" s="511">
        <f t="shared" si="6"/>
        <v>0</v>
      </c>
      <c r="J27" s="511"/>
      <c r="K27" s="525"/>
      <c r="L27" s="514">
        <f t="shared" si="19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3260019.7659427919</v>
      </c>
      <c r="E28" s="522">
        <f t="shared" si="15"/>
        <v>103448.80952380953</v>
      </c>
      <c r="F28" s="523">
        <f t="shared" si="16"/>
        <v>3156570.9564189822</v>
      </c>
      <c r="G28" s="524">
        <f t="shared" si="17"/>
        <v>446152.4192303681</v>
      </c>
      <c r="H28" s="491">
        <f t="shared" si="18"/>
        <v>446152.4192303681</v>
      </c>
      <c r="I28" s="511">
        <f t="shared" si="6"/>
        <v>0</v>
      </c>
      <c r="J28" s="511"/>
      <c r="K28" s="525"/>
      <c r="L28" s="514">
        <f t="shared" si="19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3156570.9564189822</v>
      </c>
      <c r="E29" s="522">
        <f t="shared" si="15"/>
        <v>103448.80952380953</v>
      </c>
      <c r="F29" s="523">
        <f t="shared" si="16"/>
        <v>3053122.1468951725</v>
      </c>
      <c r="G29" s="524">
        <f t="shared" si="17"/>
        <v>435102.22700909869</v>
      </c>
      <c r="H29" s="491">
        <f t="shared" si="18"/>
        <v>435102.22700909869</v>
      </c>
      <c r="I29" s="511">
        <f t="shared" si="6"/>
        <v>0</v>
      </c>
      <c r="J29" s="511"/>
      <c r="K29" s="525"/>
      <c r="L29" s="514">
        <f t="shared" si="19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3053122.1468951725</v>
      </c>
      <c r="E30" s="522">
        <f t="shared" si="15"/>
        <v>103448.80952380953</v>
      </c>
      <c r="F30" s="523">
        <f t="shared" si="16"/>
        <v>2949673.3373713628</v>
      </c>
      <c r="G30" s="524">
        <f t="shared" si="17"/>
        <v>424052.03478782927</v>
      </c>
      <c r="H30" s="491">
        <f t="shared" si="18"/>
        <v>424052.03478782927</v>
      </c>
      <c r="I30" s="511">
        <f t="shared" si="6"/>
        <v>0</v>
      </c>
      <c r="J30" s="511"/>
      <c r="K30" s="525"/>
      <c r="L30" s="514">
        <f t="shared" si="19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2949673.3373713628</v>
      </c>
      <c r="E31" s="522">
        <f t="shared" si="15"/>
        <v>103448.80952380953</v>
      </c>
      <c r="F31" s="523">
        <f t="shared" si="16"/>
        <v>2846224.5278475531</v>
      </c>
      <c r="G31" s="524">
        <f t="shared" si="17"/>
        <v>413001.84256655985</v>
      </c>
      <c r="H31" s="491">
        <f t="shared" si="18"/>
        <v>413001.84256655985</v>
      </c>
      <c r="I31" s="511">
        <f t="shared" si="6"/>
        <v>0</v>
      </c>
      <c r="J31" s="511"/>
      <c r="K31" s="525"/>
      <c r="L31" s="514">
        <f t="shared" si="19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2846224.5278475531</v>
      </c>
      <c r="E32" s="522">
        <f t="shared" si="15"/>
        <v>103448.80952380953</v>
      </c>
      <c r="F32" s="523">
        <f t="shared" si="16"/>
        <v>2742775.7183237434</v>
      </c>
      <c r="G32" s="524">
        <f t="shared" si="17"/>
        <v>401951.65034529043</v>
      </c>
      <c r="H32" s="491">
        <f t="shared" si="18"/>
        <v>401951.65034529043</v>
      </c>
      <c r="I32" s="511">
        <f t="shared" si="6"/>
        <v>0</v>
      </c>
      <c r="J32" s="511"/>
      <c r="K32" s="525"/>
      <c r="L32" s="514">
        <f t="shared" si="19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2742775.7183237434</v>
      </c>
      <c r="E33" s="522">
        <f t="shared" si="15"/>
        <v>103448.80952380953</v>
      </c>
      <c r="F33" s="523">
        <f t="shared" si="16"/>
        <v>2639326.9087999337</v>
      </c>
      <c r="G33" s="524">
        <f t="shared" si="17"/>
        <v>390901.45812402101</v>
      </c>
      <c r="H33" s="491">
        <f t="shared" si="18"/>
        <v>390901.45812402101</v>
      </c>
      <c r="I33" s="511">
        <f t="shared" si="6"/>
        <v>0</v>
      </c>
      <c r="J33" s="511"/>
      <c r="K33" s="525"/>
      <c r="L33" s="514">
        <f t="shared" si="19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2639326.9087999337</v>
      </c>
      <c r="E34" s="522">
        <f t="shared" si="15"/>
        <v>103448.80952380953</v>
      </c>
      <c r="F34" s="523">
        <f t="shared" si="16"/>
        <v>2535878.099276124</v>
      </c>
      <c r="G34" s="524">
        <f t="shared" si="17"/>
        <v>379851.26590275159</v>
      </c>
      <c r="H34" s="491">
        <f t="shared" si="18"/>
        <v>379851.26590275159</v>
      </c>
      <c r="I34" s="511">
        <f t="shared" si="6"/>
        <v>0</v>
      </c>
      <c r="J34" s="511"/>
      <c r="K34" s="525"/>
      <c r="L34" s="514">
        <f t="shared" si="19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2535878.099276124</v>
      </c>
      <c r="E35" s="522">
        <f t="shared" si="15"/>
        <v>103448.80952380953</v>
      </c>
      <c r="F35" s="523">
        <f t="shared" si="16"/>
        <v>2432429.2897523143</v>
      </c>
      <c r="G35" s="524">
        <f t="shared" si="17"/>
        <v>368801.07368148217</v>
      </c>
      <c r="H35" s="491">
        <f t="shared" si="18"/>
        <v>368801.07368148217</v>
      </c>
      <c r="I35" s="511">
        <f t="shared" si="6"/>
        <v>0</v>
      </c>
      <c r="J35" s="511"/>
      <c r="K35" s="525"/>
      <c r="L35" s="514">
        <f t="shared" si="19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2432429.2897523143</v>
      </c>
      <c r="E36" s="522">
        <f t="shared" si="15"/>
        <v>103448.80952380953</v>
      </c>
      <c r="F36" s="523">
        <f t="shared" si="16"/>
        <v>2328980.4802285046</v>
      </c>
      <c r="G36" s="524">
        <f t="shared" si="17"/>
        <v>357750.88146021275</v>
      </c>
      <c r="H36" s="491">
        <f t="shared" si="18"/>
        <v>357750.88146021275</v>
      </c>
      <c r="I36" s="511">
        <f t="shared" si="6"/>
        <v>0</v>
      </c>
      <c r="J36" s="511"/>
      <c r="K36" s="525"/>
      <c r="L36" s="514">
        <f t="shared" si="19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2328980.4802285046</v>
      </c>
      <c r="E37" s="522">
        <f t="shared" si="15"/>
        <v>103448.80952380953</v>
      </c>
      <c r="F37" s="523">
        <f t="shared" si="16"/>
        <v>2225531.6707046949</v>
      </c>
      <c r="G37" s="524">
        <f t="shared" si="17"/>
        <v>346700.68923894333</v>
      </c>
      <c r="H37" s="491">
        <f t="shared" si="18"/>
        <v>346700.68923894333</v>
      </c>
      <c r="I37" s="511">
        <f t="shared" si="6"/>
        <v>0</v>
      </c>
      <c r="J37" s="511"/>
      <c r="K37" s="525"/>
      <c r="L37" s="514">
        <f t="shared" si="19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2225531.6707046949</v>
      </c>
      <c r="E38" s="522">
        <f t="shared" si="15"/>
        <v>103448.80952380953</v>
      </c>
      <c r="F38" s="523">
        <f t="shared" si="16"/>
        <v>2122082.8611808852</v>
      </c>
      <c r="G38" s="524">
        <f t="shared" si="17"/>
        <v>335650.49701767392</v>
      </c>
      <c r="H38" s="491">
        <f t="shared" si="18"/>
        <v>335650.49701767392</v>
      </c>
      <c r="I38" s="511">
        <f t="shared" si="6"/>
        <v>0</v>
      </c>
      <c r="J38" s="511"/>
      <c r="K38" s="525"/>
      <c r="L38" s="514">
        <f t="shared" si="19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2122082.8611808852</v>
      </c>
      <c r="E39" s="522">
        <f t="shared" si="15"/>
        <v>103448.80952380953</v>
      </c>
      <c r="F39" s="523">
        <f t="shared" si="16"/>
        <v>2018634.0516570758</v>
      </c>
      <c r="G39" s="524">
        <f t="shared" si="17"/>
        <v>324600.3047964045</v>
      </c>
      <c r="H39" s="491">
        <f t="shared" si="18"/>
        <v>324600.3047964045</v>
      </c>
      <c r="I39" s="511">
        <f t="shared" si="6"/>
        <v>0</v>
      </c>
      <c r="J39" s="511"/>
      <c r="K39" s="525"/>
      <c r="L39" s="514">
        <f t="shared" si="19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2018634.0516570758</v>
      </c>
      <c r="E40" s="522">
        <f t="shared" si="15"/>
        <v>103448.80952380953</v>
      </c>
      <c r="F40" s="523">
        <f t="shared" si="16"/>
        <v>1915185.2421332663</v>
      </c>
      <c r="G40" s="524">
        <f t="shared" si="17"/>
        <v>313550.11257513508</v>
      </c>
      <c r="H40" s="491">
        <f t="shared" si="18"/>
        <v>313550.11257513508</v>
      </c>
      <c r="I40" s="511">
        <f t="shared" si="6"/>
        <v>0</v>
      </c>
      <c r="J40" s="511"/>
      <c r="K40" s="525"/>
      <c r="L40" s="514">
        <f t="shared" si="19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1915185.2421332663</v>
      </c>
      <c r="E41" s="522">
        <f t="shared" si="15"/>
        <v>103448.80952380953</v>
      </c>
      <c r="F41" s="523">
        <f t="shared" si="16"/>
        <v>1811736.4326094568</v>
      </c>
      <c r="G41" s="524">
        <f t="shared" si="17"/>
        <v>302499.92035386572</v>
      </c>
      <c r="H41" s="491">
        <f t="shared" si="18"/>
        <v>302499.92035386572</v>
      </c>
      <c r="I41" s="511">
        <f t="shared" si="6"/>
        <v>0</v>
      </c>
      <c r="J41" s="511"/>
      <c r="K41" s="525"/>
      <c r="L41" s="514">
        <f t="shared" si="19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1811736.4326094568</v>
      </c>
      <c r="E42" s="522">
        <f t="shared" si="15"/>
        <v>103448.80952380953</v>
      </c>
      <c r="F42" s="523">
        <f t="shared" si="16"/>
        <v>1708287.6230856474</v>
      </c>
      <c r="G42" s="524">
        <f t="shared" si="17"/>
        <v>291449.72813259636</v>
      </c>
      <c r="H42" s="491">
        <f t="shared" si="18"/>
        <v>291449.72813259636</v>
      </c>
      <c r="I42" s="511">
        <f t="shared" si="6"/>
        <v>0</v>
      </c>
      <c r="J42" s="511"/>
      <c r="K42" s="525"/>
      <c r="L42" s="514">
        <f t="shared" si="19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1708287.6230856474</v>
      </c>
      <c r="E43" s="522">
        <f t="shared" si="15"/>
        <v>103448.80952380953</v>
      </c>
      <c r="F43" s="523">
        <f t="shared" si="16"/>
        <v>1604838.8135618379</v>
      </c>
      <c r="G43" s="524">
        <f t="shared" si="17"/>
        <v>280399.53591132688</v>
      </c>
      <c r="H43" s="491">
        <f t="shared" si="18"/>
        <v>280399.53591132688</v>
      </c>
      <c r="I43" s="511">
        <f t="shared" si="6"/>
        <v>0</v>
      </c>
      <c r="J43" s="511"/>
      <c r="K43" s="525"/>
      <c r="L43" s="514">
        <f t="shared" si="19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1604838.8135618379</v>
      </c>
      <c r="E44" s="522">
        <f t="shared" si="15"/>
        <v>103448.80952380953</v>
      </c>
      <c r="F44" s="523">
        <f t="shared" si="16"/>
        <v>1501390.0040380284</v>
      </c>
      <c r="G44" s="524">
        <f t="shared" si="17"/>
        <v>269349.34369005752</v>
      </c>
      <c r="H44" s="491">
        <f t="shared" si="18"/>
        <v>269349.34369005752</v>
      </c>
      <c r="I44" s="511">
        <f t="shared" si="6"/>
        <v>0</v>
      </c>
      <c r="J44" s="511"/>
      <c r="K44" s="525"/>
      <c r="L44" s="514">
        <f t="shared" si="19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1501390.0040380284</v>
      </c>
      <c r="E45" s="522">
        <f t="shared" si="15"/>
        <v>103448.80952380953</v>
      </c>
      <c r="F45" s="523">
        <f t="shared" si="16"/>
        <v>1397941.194514219</v>
      </c>
      <c r="G45" s="524">
        <f t="shared" si="17"/>
        <v>258299.15146878813</v>
      </c>
      <c r="H45" s="491">
        <f t="shared" si="18"/>
        <v>258299.15146878813</v>
      </c>
      <c r="I45" s="511">
        <f t="shared" si="6"/>
        <v>0</v>
      </c>
      <c r="J45" s="511"/>
      <c r="K45" s="525"/>
      <c r="L45" s="514">
        <f t="shared" si="19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1397941.194514219</v>
      </c>
      <c r="E46" s="522">
        <f t="shared" si="15"/>
        <v>103448.80952380953</v>
      </c>
      <c r="F46" s="523">
        <f t="shared" si="16"/>
        <v>1294492.3849904095</v>
      </c>
      <c r="G46" s="524">
        <f t="shared" si="17"/>
        <v>247248.95924751877</v>
      </c>
      <c r="H46" s="491">
        <f t="shared" si="18"/>
        <v>247248.95924751877</v>
      </c>
      <c r="I46" s="511">
        <f t="shared" si="6"/>
        <v>0</v>
      </c>
      <c r="J46" s="511"/>
      <c r="K46" s="525"/>
      <c r="L46" s="514">
        <f t="shared" si="19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1294492.3849904095</v>
      </c>
      <c r="E47" s="522">
        <f t="shared" si="15"/>
        <v>103448.80952380953</v>
      </c>
      <c r="F47" s="523">
        <f t="shared" si="16"/>
        <v>1191043.5754666</v>
      </c>
      <c r="G47" s="524">
        <f t="shared" si="17"/>
        <v>236198.76702624935</v>
      </c>
      <c r="H47" s="491">
        <f t="shared" si="18"/>
        <v>236198.76702624935</v>
      </c>
      <c r="I47" s="511">
        <f t="shared" si="6"/>
        <v>0</v>
      </c>
      <c r="J47" s="511"/>
      <c r="K47" s="525"/>
      <c r="L47" s="514">
        <f t="shared" si="19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1191043.5754666</v>
      </c>
      <c r="E48" s="522">
        <f t="shared" si="15"/>
        <v>103448.80952380953</v>
      </c>
      <c r="F48" s="523">
        <f t="shared" si="16"/>
        <v>1087594.7659427905</v>
      </c>
      <c r="G48" s="524">
        <f t="shared" si="17"/>
        <v>225148.57480497996</v>
      </c>
      <c r="H48" s="491">
        <f t="shared" si="18"/>
        <v>225148.57480497996</v>
      </c>
      <c r="I48" s="511">
        <f t="shared" si="6"/>
        <v>0</v>
      </c>
      <c r="J48" s="511"/>
      <c r="K48" s="525"/>
      <c r="L48" s="514">
        <f t="shared" si="19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1087594.7659427905</v>
      </c>
      <c r="E49" s="522">
        <f t="shared" si="15"/>
        <v>103448.80952380953</v>
      </c>
      <c r="F49" s="523">
        <f t="shared" si="16"/>
        <v>984145.95641898108</v>
      </c>
      <c r="G49" s="524">
        <f t="shared" si="17"/>
        <v>214098.38258371057</v>
      </c>
      <c r="H49" s="491">
        <f t="shared" si="18"/>
        <v>214098.38258371057</v>
      </c>
      <c r="I49" s="511">
        <f t="shared" si="6"/>
        <v>0</v>
      </c>
      <c r="J49" s="511"/>
      <c r="K49" s="525"/>
      <c r="L49" s="514">
        <f t="shared" si="19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984145.95641898108</v>
      </c>
      <c r="E50" s="522">
        <f t="shared" si="15"/>
        <v>103448.80952380953</v>
      </c>
      <c r="F50" s="523">
        <f t="shared" si="16"/>
        <v>880697.14689517161</v>
      </c>
      <c r="G50" s="524">
        <f t="shared" si="17"/>
        <v>203048.19036244118</v>
      </c>
      <c r="H50" s="491">
        <f t="shared" si="18"/>
        <v>203048.19036244118</v>
      </c>
      <c r="I50" s="511">
        <f t="shared" si="6"/>
        <v>0</v>
      </c>
      <c r="J50" s="511"/>
      <c r="K50" s="525"/>
      <c r="L50" s="514">
        <f t="shared" si="19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880697.14689517161</v>
      </c>
      <c r="E51" s="522">
        <f t="shared" si="15"/>
        <v>103448.80952380953</v>
      </c>
      <c r="F51" s="523">
        <f t="shared" si="16"/>
        <v>777248.33737136214</v>
      </c>
      <c r="G51" s="524">
        <f t="shared" si="17"/>
        <v>191997.99814117176</v>
      </c>
      <c r="H51" s="491">
        <f t="shared" si="18"/>
        <v>191997.99814117176</v>
      </c>
      <c r="I51" s="511">
        <f t="shared" si="6"/>
        <v>0</v>
      </c>
      <c r="J51" s="511"/>
      <c r="K51" s="525"/>
      <c r="L51" s="514">
        <f t="shared" si="19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777248.33737136214</v>
      </c>
      <c r="E52" s="522">
        <f t="shared" si="15"/>
        <v>103448.80952380953</v>
      </c>
      <c r="F52" s="523">
        <f t="shared" si="16"/>
        <v>673799.52784755267</v>
      </c>
      <c r="G52" s="524">
        <f t="shared" si="17"/>
        <v>180947.8059199024</v>
      </c>
      <c r="H52" s="491">
        <f t="shared" si="18"/>
        <v>180947.8059199024</v>
      </c>
      <c r="I52" s="511">
        <f t="shared" si="6"/>
        <v>0</v>
      </c>
      <c r="J52" s="511"/>
      <c r="K52" s="525"/>
      <c r="L52" s="514">
        <f t="shared" si="19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673799.52784755267</v>
      </c>
      <c r="E53" s="522">
        <f t="shared" si="15"/>
        <v>103448.80952380953</v>
      </c>
      <c r="F53" s="523">
        <f t="shared" si="16"/>
        <v>570350.7183237432</v>
      </c>
      <c r="G53" s="524">
        <f t="shared" ref="G53:G72" si="20">+I$12*((D53+F53)/2)+E53</f>
        <v>169897.61369863298</v>
      </c>
      <c r="H53" s="491">
        <f t="shared" ref="H53:H72" si="21">+I$13*((D53+F53)/2)+E53</f>
        <v>169897.61369863298</v>
      </c>
      <c r="I53" s="511">
        <f t="shared" si="6"/>
        <v>0</v>
      </c>
      <c r="J53" s="511"/>
      <c r="K53" s="525"/>
      <c r="L53" s="514">
        <f t="shared" si="19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570350.7183237432</v>
      </c>
      <c r="E54" s="522">
        <f t="shared" si="15"/>
        <v>103448.80952380953</v>
      </c>
      <c r="F54" s="523">
        <f t="shared" si="16"/>
        <v>466901.90879993368</v>
      </c>
      <c r="G54" s="524">
        <f t="shared" si="20"/>
        <v>158847.42147736359</v>
      </c>
      <c r="H54" s="491">
        <f t="shared" si="21"/>
        <v>158847.42147736359</v>
      </c>
      <c r="I54" s="511">
        <f t="shared" si="6"/>
        <v>0</v>
      </c>
      <c r="J54" s="511"/>
      <c r="K54" s="525"/>
      <c r="L54" s="514">
        <f t="shared" si="19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466901.90879993368</v>
      </c>
      <c r="E55" s="522">
        <f t="shared" si="15"/>
        <v>103448.80952380953</v>
      </c>
      <c r="F55" s="523">
        <f t="shared" si="16"/>
        <v>363453.09927612415</v>
      </c>
      <c r="G55" s="524">
        <f t="shared" si="20"/>
        <v>147797.2292560942</v>
      </c>
      <c r="H55" s="491">
        <f t="shared" si="21"/>
        <v>147797.2292560942</v>
      </c>
      <c r="I55" s="511">
        <f t="shared" si="6"/>
        <v>0</v>
      </c>
      <c r="J55" s="511"/>
      <c r="K55" s="525"/>
      <c r="L55" s="514">
        <f t="shared" si="19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363453.09927612415</v>
      </c>
      <c r="E56" s="522">
        <f t="shared" si="15"/>
        <v>103448.80952380953</v>
      </c>
      <c r="F56" s="523">
        <f t="shared" si="16"/>
        <v>260004.28975231462</v>
      </c>
      <c r="G56" s="524">
        <f t="shared" si="20"/>
        <v>136747.03703482478</v>
      </c>
      <c r="H56" s="491">
        <f t="shared" si="21"/>
        <v>136747.03703482478</v>
      </c>
      <c r="I56" s="511">
        <f t="shared" si="6"/>
        <v>0</v>
      </c>
      <c r="J56" s="511"/>
      <c r="K56" s="525"/>
      <c r="L56" s="514">
        <f t="shared" si="19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260004.28975231462</v>
      </c>
      <c r="E57" s="522">
        <f t="shared" si="15"/>
        <v>103448.80952380953</v>
      </c>
      <c r="F57" s="523">
        <f t="shared" si="16"/>
        <v>156555.4802285051</v>
      </c>
      <c r="G57" s="524">
        <f t="shared" si="20"/>
        <v>125696.84481355539</v>
      </c>
      <c r="H57" s="491">
        <f t="shared" si="21"/>
        <v>125696.84481355539</v>
      </c>
      <c r="I57" s="511">
        <f t="shared" si="6"/>
        <v>0</v>
      </c>
      <c r="J57" s="511"/>
      <c r="K57" s="525"/>
      <c r="L57" s="514">
        <f t="shared" si="19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156555.4802285051</v>
      </c>
      <c r="E58" s="522">
        <f t="shared" si="15"/>
        <v>103448.80952380953</v>
      </c>
      <c r="F58" s="523">
        <f t="shared" si="16"/>
        <v>53106.670704695571</v>
      </c>
      <c r="G58" s="524">
        <f t="shared" si="20"/>
        <v>114646.65259228599</v>
      </c>
      <c r="H58" s="491">
        <f t="shared" si="21"/>
        <v>114646.65259228599</v>
      </c>
      <c r="I58" s="511">
        <f t="shared" si="6"/>
        <v>0</v>
      </c>
      <c r="J58" s="511"/>
      <c r="K58" s="525"/>
      <c r="L58" s="514">
        <f t="shared" si="19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53106.670704695571</v>
      </c>
      <c r="E59" s="522">
        <f t="shared" si="15"/>
        <v>53106.670704695571</v>
      </c>
      <c r="F59" s="523">
        <f t="shared" si="16"/>
        <v>0</v>
      </c>
      <c r="G59" s="524">
        <f t="shared" si="20"/>
        <v>55943.044183616454</v>
      </c>
      <c r="H59" s="491">
        <f t="shared" si="21"/>
        <v>55943.044183616454</v>
      </c>
      <c r="I59" s="511">
        <f t="shared" si="6"/>
        <v>0</v>
      </c>
      <c r="J59" s="511"/>
      <c r="K59" s="525"/>
      <c r="L59" s="514">
        <f t="shared" si="19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15"/>
        <v>0</v>
      </c>
      <c r="F60" s="523">
        <f t="shared" si="16"/>
        <v>0</v>
      </c>
      <c r="G60" s="524">
        <f t="shared" si="20"/>
        <v>0</v>
      </c>
      <c r="H60" s="491">
        <f t="shared" si="21"/>
        <v>0</v>
      </c>
      <c r="I60" s="511">
        <f t="shared" si="6"/>
        <v>0</v>
      </c>
      <c r="J60" s="511"/>
      <c r="K60" s="525"/>
      <c r="L60" s="514">
        <f t="shared" si="19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5"/>
        <v>0</v>
      </c>
      <c r="F61" s="523">
        <f t="shared" si="16"/>
        <v>0</v>
      </c>
      <c r="G61" s="524">
        <f t="shared" si="20"/>
        <v>0</v>
      </c>
      <c r="H61" s="491">
        <f t="shared" si="21"/>
        <v>0</v>
      </c>
      <c r="I61" s="511">
        <f t="shared" si="6"/>
        <v>0</v>
      </c>
      <c r="J61" s="511"/>
      <c r="K61" s="525"/>
      <c r="L61" s="514">
        <f t="shared" si="19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5"/>
        <v>0</v>
      </c>
      <c r="F62" s="523">
        <f t="shared" si="16"/>
        <v>0</v>
      </c>
      <c r="G62" s="524">
        <f t="shared" si="20"/>
        <v>0</v>
      </c>
      <c r="H62" s="491">
        <f t="shared" si="21"/>
        <v>0</v>
      </c>
      <c r="I62" s="511">
        <f t="shared" si="6"/>
        <v>0</v>
      </c>
      <c r="J62" s="511"/>
      <c r="K62" s="525"/>
      <c r="L62" s="514">
        <f t="shared" si="19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5"/>
        <v>0</v>
      </c>
      <c r="F63" s="523">
        <f t="shared" si="16"/>
        <v>0</v>
      </c>
      <c r="G63" s="524">
        <f t="shared" si="20"/>
        <v>0</v>
      </c>
      <c r="H63" s="491">
        <f t="shared" si="21"/>
        <v>0</v>
      </c>
      <c r="I63" s="511">
        <f t="shared" si="6"/>
        <v>0</v>
      </c>
      <c r="J63" s="511"/>
      <c r="K63" s="525"/>
      <c r="L63" s="514">
        <f t="shared" si="19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5"/>
        <v>0</v>
      </c>
      <c r="F64" s="523">
        <f t="shared" si="16"/>
        <v>0</v>
      </c>
      <c r="G64" s="524">
        <f t="shared" si="20"/>
        <v>0</v>
      </c>
      <c r="H64" s="491">
        <f t="shared" si="21"/>
        <v>0</v>
      </c>
      <c r="I64" s="511">
        <f t="shared" si="6"/>
        <v>0</v>
      </c>
      <c r="J64" s="511"/>
      <c r="K64" s="525"/>
      <c r="L64" s="514">
        <f t="shared" si="19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5"/>
        <v>0</v>
      </c>
      <c r="F65" s="523">
        <f t="shared" si="16"/>
        <v>0</v>
      </c>
      <c r="G65" s="524">
        <f t="shared" si="20"/>
        <v>0</v>
      </c>
      <c r="H65" s="491">
        <f t="shared" si="21"/>
        <v>0</v>
      </c>
      <c r="I65" s="511">
        <f t="shared" si="6"/>
        <v>0</v>
      </c>
      <c r="J65" s="511"/>
      <c r="K65" s="525"/>
      <c r="L65" s="514">
        <f t="shared" si="19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5"/>
        <v>0</v>
      </c>
      <c r="F66" s="523">
        <f t="shared" si="16"/>
        <v>0</v>
      </c>
      <c r="G66" s="524">
        <f t="shared" si="20"/>
        <v>0</v>
      </c>
      <c r="H66" s="491">
        <f t="shared" si="21"/>
        <v>0</v>
      </c>
      <c r="I66" s="511">
        <f t="shared" si="6"/>
        <v>0</v>
      </c>
      <c r="J66" s="511"/>
      <c r="K66" s="525"/>
      <c r="L66" s="514">
        <f t="shared" si="19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5"/>
        <v>0</v>
      </c>
      <c r="F67" s="523">
        <f t="shared" si="16"/>
        <v>0</v>
      </c>
      <c r="G67" s="524">
        <f t="shared" si="20"/>
        <v>0</v>
      </c>
      <c r="H67" s="491">
        <f t="shared" si="21"/>
        <v>0</v>
      </c>
      <c r="I67" s="511">
        <f t="shared" si="6"/>
        <v>0</v>
      </c>
      <c r="J67" s="511"/>
      <c r="K67" s="525"/>
      <c r="L67" s="514">
        <f t="shared" si="19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5"/>
        <v>0</v>
      </c>
      <c r="F68" s="523">
        <f t="shared" si="16"/>
        <v>0</v>
      </c>
      <c r="G68" s="524">
        <f t="shared" si="20"/>
        <v>0</v>
      </c>
      <c r="H68" s="491">
        <f t="shared" si="21"/>
        <v>0</v>
      </c>
      <c r="I68" s="511">
        <f t="shared" si="6"/>
        <v>0</v>
      </c>
      <c r="J68" s="511"/>
      <c r="K68" s="525"/>
      <c r="L68" s="514">
        <f t="shared" si="19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5"/>
        <v>0</v>
      </c>
      <c r="F69" s="523">
        <f t="shared" si="16"/>
        <v>0</v>
      </c>
      <c r="G69" s="524">
        <f t="shared" si="20"/>
        <v>0</v>
      </c>
      <c r="H69" s="491">
        <f t="shared" si="21"/>
        <v>0</v>
      </c>
      <c r="I69" s="511">
        <f t="shared" si="6"/>
        <v>0</v>
      </c>
      <c r="J69" s="511"/>
      <c r="K69" s="525"/>
      <c r="L69" s="514">
        <f t="shared" si="19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5"/>
        <v>0</v>
      </c>
      <c r="F70" s="523">
        <f t="shared" si="16"/>
        <v>0</v>
      </c>
      <c r="G70" s="524">
        <f t="shared" si="20"/>
        <v>0</v>
      </c>
      <c r="H70" s="491">
        <f t="shared" si="21"/>
        <v>0</v>
      </c>
      <c r="I70" s="511">
        <f t="shared" si="6"/>
        <v>0</v>
      </c>
      <c r="J70" s="511"/>
      <c r="K70" s="525"/>
      <c r="L70" s="514">
        <f t="shared" si="19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5"/>
        <v>0</v>
      </c>
      <c r="F71" s="523">
        <f t="shared" si="16"/>
        <v>0</v>
      </c>
      <c r="G71" s="524">
        <f t="shared" si="20"/>
        <v>0</v>
      </c>
      <c r="H71" s="491">
        <f t="shared" si="21"/>
        <v>0</v>
      </c>
      <c r="I71" s="511">
        <f t="shared" si="6"/>
        <v>0</v>
      </c>
      <c r="J71" s="511"/>
      <c r="K71" s="525"/>
      <c r="L71" s="514">
        <f t="shared" si="19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8">
        <f>IF(F71+SUM(E$17:E71)=D$10,F71,D$10-SUM(E$17:E71))</f>
        <v>0</v>
      </c>
      <c r="E72" s="529">
        <f t="shared" si="15"/>
        <v>0</v>
      </c>
      <c r="F72" s="528">
        <f t="shared" si="16"/>
        <v>0</v>
      </c>
      <c r="G72" s="530">
        <f t="shared" si="20"/>
        <v>0</v>
      </c>
      <c r="H72" s="471">
        <f t="shared" si="21"/>
        <v>0</v>
      </c>
      <c r="I72" s="531">
        <f t="shared" si="6"/>
        <v>0</v>
      </c>
      <c r="J72" s="511"/>
      <c r="K72" s="532"/>
      <c r="L72" s="533">
        <f t="shared" si="19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4344850.0000000009</v>
      </c>
      <c r="F73" s="375"/>
      <c r="G73" s="375">
        <f>SUM(G17:G72)</f>
        <v>14756669.109853826</v>
      </c>
      <c r="H73" s="375">
        <f>SUM(H17:H72)</f>
        <v>14756669.109853826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35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476769.34521357011</v>
      </c>
      <c r="N87" s="546">
        <f>IF(J92&lt;D11,0,VLOOKUP(J92,C17:O72,11))</f>
        <v>476769.34521357011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493459.88444780855</v>
      </c>
      <c r="N88" s="550">
        <f>IF(J92&lt;D11,0,VLOOKUP(J92,C99:P154,7))</f>
        <v>493459.88444780855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Diana - Replace North Autotransformer #3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16690.539234238444</v>
      </c>
      <c r="N89" s="555">
        <f>+N88-N87</f>
        <v>16690.539234238444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TP2010065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4344850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64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103448.80952380953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2013</v>
      </c>
      <c r="D99" s="629">
        <v>0</v>
      </c>
      <c r="E99" s="630">
        <v>51724.369047619053</v>
      </c>
      <c r="F99" s="631">
        <v>4293122.6309523806</v>
      </c>
      <c r="G99" s="632">
        <v>2146561.3154761903</v>
      </c>
      <c r="H99" s="633">
        <v>342136.30353000003</v>
      </c>
      <c r="I99" s="634">
        <v>342136.30353000003</v>
      </c>
      <c r="J99" s="613">
        <v>0</v>
      </c>
      <c r="K99" s="514"/>
      <c r="L99" s="518">
        <f t="shared" ref="L99:L104" si="22">H99</f>
        <v>342136.30353000003</v>
      </c>
      <c r="M99" s="519">
        <f t="shared" ref="M99:M104" si="23">IF(L99&lt;&gt;0,+H99-L99,0)</f>
        <v>0</v>
      </c>
      <c r="N99" s="518">
        <f t="shared" ref="N99:N104" si="24">I99</f>
        <v>342136.30353000003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4293122.6309523806</v>
      </c>
      <c r="E100" s="630">
        <v>103448.80952380953</v>
      </c>
      <c r="F100" s="631">
        <v>4189673.8214285709</v>
      </c>
      <c r="G100" s="631">
        <v>4241398.2261904757</v>
      </c>
      <c r="H100" s="633">
        <v>679954.3306665339</v>
      </c>
      <c r="I100" s="634">
        <v>679954.3306665339</v>
      </c>
      <c r="J100" s="514">
        <v>0</v>
      </c>
      <c r="K100" s="514"/>
      <c r="L100" s="518">
        <f t="shared" si="22"/>
        <v>679954.3306665339</v>
      </c>
      <c r="M100" s="519">
        <f t="shared" si="23"/>
        <v>0</v>
      </c>
      <c r="N100" s="518">
        <f t="shared" si="24"/>
        <v>679954.3306665339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25">IF(D101=F100,"","IU")</f>
        <v/>
      </c>
      <c r="C101" s="507">
        <f>IF(D93="","-",+C100+1)</f>
        <v>2015</v>
      </c>
      <c r="D101" s="629">
        <v>4189673.8214285709</v>
      </c>
      <c r="E101" s="630">
        <v>103448.80952380953</v>
      </c>
      <c r="F101" s="631">
        <v>4086225.0119047612</v>
      </c>
      <c r="G101" s="631">
        <v>4137949.416666666</v>
      </c>
      <c r="H101" s="633">
        <v>665893.21056754142</v>
      </c>
      <c r="I101" s="634">
        <v>665893.21056754142</v>
      </c>
      <c r="J101" s="514">
        <v>0</v>
      </c>
      <c r="K101" s="514"/>
      <c r="L101" s="518">
        <f t="shared" si="22"/>
        <v>665893.21056754142</v>
      </c>
      <c r="M101" s="519">
        <f t="shared" si="23"/>
        <v>0</v>
      </c>
      <c r="N101" s="518">
        <f t="shared" si="24"/>
        <v>665893.21056754142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5"/>
        <v>IU</v>
      </c>
      <c r="C102" s="507">
        <f>IF(D93="","-",+C101+1)</f>
        <v>2016</v>
      </c>
      <c r="D102" s="629">
        <v>4086228.0119047621</v>
      </c>
      <c r="E102" s="630">
        <v>101043.02325581395</v>
      </c>
      <c r="F102" s="631">
        <v>3985184.9886489483</v>
      </c>
      <c r="G102" s="631">
        <v>4035706.5002768552</v>
      </c>
      <c r="H102" s="633">
        <v>613375.91620122688</v>
      </c>
      <c r="I102" s="634">
        <v>613375.91620122688</v>
      </c>
      <c r="J102" s="514">
        <f>+I102-H102</f>
        <v>0</v>
      </c>
      <c r="K102" s="514"/>
      <c r="L102" s="518">
        <f t="shared" si="22"/>
        <v>613375.91620122688</v>
      </c>
      <c r="M102" s="519">
        <f t="shared" si="23"/>
        <v>0</v>
      </c>
      <c r="N102" s="518">
        <f t="shared" si="24"/>
        <v>613375.91620122688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5"/>
        <v/>
      </c>
      <c r="C103" s="507">
        <f>IF(D93="","-",+C102+1)</f>
        <v>2017</v>
      </c>
      <c r="D103" s="629">
        <v>3985184.9886489483</v>
      </c>
      <c r="E103" s="630">
        <v>103448.80952380953</v>
      </c>
      <c r="F103" s="631">
        <v>3881736.1791251386</v>
      </c>
      <c r="G103" s="631">
        <v>3933460.5838870434</v>
      </c>
      <c r="H103" s="633">
        <v>581252.00039105583</v>
      </c>
      <c r="I103" s="634">
        <v>581252.00039105583</v>
      </c>
      <c r="J103" s="514">
        <f t="shared" ref="J103:J154" si="26">+I103-H103</f>
        <v>0</v>
      </c>
      <c r="K103" s="514"/>
      <c r="L103" s="518">
        <f t="shared" si="22"/>
        <v>581252.00039105583</v>
      </c>
      <c r="M103" s="519">
        <f t="shared" si="23"/>
        <v>0</v>
      </c>
      <c r="N103" s="518">
        <f t="shared" si="24"/>
        <v>581252.00039105583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5"/>
        <v/>
      </c>
      <c r="C104" s="507">
        <f>IF(D93="","-",+C103+1)</f>
        <v>2018</v>
      </c>
      <c r="D104" s="629">
        <v>3881736.1791251386</v>
      </c>
      <c r="E104" s="630">
        <v>103448.80952380953</v>
      </c>
      <c r="F104" s="631">
        <v>3778287.3696013289</v>
      </c>
      <c r="G104" s="631">
        <v>3830011.7743632337</v>
      </c>
      <c r="H104" s="633">
        <v>507915.61664035521</v>
      </c>
      <c r="I104" s="634">
        <v>507915.61664035521</v>
      </c>
      <c r="J104" s="514">
        <f t="shared" si="26"/>
        <v>0</v>
      </c>
      <c r="K104" s="514"/>
      <c r="L104" s="518">
        <f t="shared" si="22"/>
        <v>507915.61664035521</v>
      </c>
      <c r="M104" s="519">
        <f t="shared" si="23"/>
        <v>0</v>
      </c>
      <c r="N104" s="518">
        <f t="shared" si="24"/>
        <v>507915.61664035521</v>
      </c>
      <c r="O104" s="514">
        <f t="shared" ref="O104:O130" si="27">IF(N104&lt;&gt;0,+I104-N104,0)</f>
        <v>0</v>
      </c>
      <c r="P104" s="514">
        <f t="shared" ref="P104:P130" si="28">+O104-M104</f>
        <v>0</v>
      </c>
      <c r="Q104" s="269"/>
    </row>
    <row r="105" spans="1:17" ht="12.5">
      <c r="B105" s="195" t="str">
        <f t="shared" si="25"/>
        <v/>
      </c>
      <c r="C105" s="507">
        <f>IF(D93="","-",+C104+1)</f>
        <v>2019</v>
      </c>
      <c r="D105" s="629">
        <v>3778287.3696013289</v>
      </c>
      <c r="E105" s="630">
        <v>101043.02325581395</v>
      </c>
      <c r="F105" s="631">
        <v>3677244.346345515</v>
      </c>
      <c r="G105" s="631">
        <v>3727765.8579734219</v>
      </c>
      <c r="H105" s="633">
        <v>500065.11807412654</v>
      </c>
      <c r="I105" s="634">
        <v>500065.11807412654</v>
      </c>
      <c r="J105" s="514">
        <f t="shared" si="26"/>
        <v>0</v>
      </c>
      <c r="K105" s="514"/>
      <c r="L105" s="518">
        <f t="shared" ref="L105" si="29">H105</f>
        <v>500065.11807412654</v>
      </c>
      <c r="M105" s="519">
        <f t="shared" ref="M105" si="30">IF(L105&lt;&gt;0,+H105-L105,0)</f>
        <v>0</v>
      </c>
      <c r="N105" s="518">
        <f t="shared" ref="N105" si="31">I105</f>
        <v>500065.11807412654</v>
      </c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5"/>
        <v/>
      </c>
      <c r="C106" s="507">
        <f>IF(D93="","-",+C105+1)</f>
        <v>2020</v>
      </c>
      <c r="D106" s="374">
        <f>IF(F105+SUM(E$99:E105)=D$92,F105,D$92-SUM(E$99:E105))</f>
        <v>3677244.346345515</v>
      </c>
      <c r="E106" s="522">
        <f t="shared" ref="E106:E154" si="32">IF(+$J$96&lt;F105,$J$96,D106)</f>
        <v>103448.80952380953</v>
      </c>
      <c r="F106" s="523">
        <f t="shared" ref="F106:F154" si="33">+D106-E106</f>
        <v>3573795.5368217053</v>
      </c>
      <c r="G106" s="523">
        <f t="shared" ref="G106:G154" si="34">+(F106+D106)/2</f>
        <v>3625519.9415836101</v>
      </c>
      <c r="H106" s="526">
        <f t="shared" ref="H106:H154" si="35">+J$94*G106+E106</f>
        <v>493459.88444780855</v>
      </c>
      <c r="I106" s="577">
        <f t="shared" ref="I106:I154" si="36">+J$95*G106+E106</f>
        <v>493459.88444780855</v>
      </c>
      <c r="J106" s="514">
        <f t="shared" si="26"/>
        <v>0</v>
      </c>
      <c r="K106" s="514"/>
      <c r="L106" s="525"/>
      <c r="M106" s="514">
        <f t="shared" ref="M106:M130" si="37">IF(L106&lt;&gt;0,+H106-L106,0)</f>
        <v>0</v>
      </c>
      <c r="N106" s="525"/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5"/>
        <v/>
      </c>
      <c r="C107" s="507">
        <f>IF(D93="","-",+C106+1)</f>
        <v>2021</v>
      </c>
      <c r="D107" s="374">
        <f>IF(F106+SUM(E$99:E106)=D$92,F106,D$92-SUM(E$99:E106))</f>
        <v>3573795.5368217053</v>
      </c>
      <c r="E107" s="522">
        <f t="shared" si="32"/>
        <v>103448.80952380953</v>
      </c>
      <c r="F107" s="523">
        <f t="shared" si="33"/>
        <v>3470346.7272978956</v>
      </c>
      <c r="G107" s="523">
        <f t="shared" si="34"/>
        <v>3522071.1320598004</v>
      </c>
      <c r="H107" s="526">
        <f t="shared" si="35"/>
        <v>482331.49953969358</v>
      </c>
      <c r="I107" s="577">
        <f t="shared" si="36"/>
        <v>482331.49953969358</v>
      </c>
      <c r="J107" s="514">
        <f t="shared" si="26"/>
        <v>0</v>
      </c>
      <c r="K107" s="514"/>
      <c r="L107" s="525"/>
      <c r="M107" s="514">
        <f t="shared" si="37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5"/>
        <v/>
      </c>
      <c r="C108" s="507">
        <f>IF(D93="","-",+C107+1)</f>
        <v>2022</v>
      </c>
      <c r="D108" s="374">
        <f>IF(F107+SUM(E$99:E107)=D$92,F107,D$92-SUM(E$99:E107))</f>
        <v>3470346.7272978956</v>
      </c>
      <c r="E108" s="522">
        <f t="shared" si="32"/>
        <v>103448.80952380953</v>
      </c>
      <c r="F108" s="523">
        <f t="shared" si="33"/>
        <v>3366897.9177740859</v>
      </c>
      <c r="G108" s="523">
        <f t="shared" si="34"/>
        <v>3418622.3225359907</v>
      </c>
      <c r="H108" s="526">
        <f t="shared" si="35"/>
        <v>471203.11463157856</v>
      </c>
      <c r="I108" s="577">
        <f t="shared" si="36"/>
        <v>471203.11463157856</v>
      </c>
      <c r="J108" s="514">
        <f t="shared" si="26"/>
        <v>0</v>
      </c>
      <c r="K108" s="514"/>
      <c r="L108" s="525"/>
      <c r="M108" s="514">
        <f t="shared" si="37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2023</v>
      </c>
      <c r="D109" s="374">
        <f>IF(F108+SUM(E$99:E108)=D$92,F108,D$92-SUM(E$99:E108))</f>
        <v>3366897.9177740859</v>
      </c>
      <c r="E109" s="522">
        <f t="shared" si="32"/>
        <v>103448.80952380953</v>
      </c>
      <c r="F109" s="523">
        <f t="shared" si="33"/>
        <v>3263449.1082502762</v>
      </c>
      <c r="G109" s="523">
        <f t="shared" si="34"/>
        <v>3315173.513012181</v>
      </c>
      <c r="H109" s="526">
        <f t="shared" si="35"/>
        <v>460074.72972346353</v>
      </c>
      <c r="I109" s="577">
        <f t="shared" si="36"/>
        <v>460074.72972346353</v>
      </c>
      <c r="J109" s="514">
        <f t="shared" si="26"/>
        <v>0</v>
      </c>
      <c r="K109" s="514"/>
      <c r="L109" s="525"/>
      <c r="M109" s="514">
        <f t="shared" si="37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2024</v>
      </c>
      <c r="D110" s="374">
        <f>IF(F109+SUM(E$99:E109)=D$92,F109,D$92-SUM(E$99:E109))</f>
        <v>3263449.1082502762</v>
      </c>
      <c r="E110" s="522">
        <f t="shared" si="32"/>
        <v>103448.80952380953</v>
      </c>
      <c r="F110" s="523">
        <f t="shared" si="33"/>
        <v>3160000.2987264665</v>
      </c>
      <c r="G110" s="523">
        <f t="shared" si="34"/>
        <v>3211724.7034883713</v>
      </c>
      <c r="H110" s="526">
        <f t="shared" si="35"/>
        <v>448946.34481534851</v>
      </c>
      <c r="I110" s="577">
        <f t="shared" si="36"/>
        <v>448946.34481534851</v>
      </c>
      <c r="J110" s="514">
        <f t="shared" si="26"/>
        <v>0</v>
      </c>
      <c r="K110" s="514"/>
      <c r="L110" s="525"/>
      <c r="M110" s="514">
        <f t="shared" si="37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2025</v>
      </c>
      <c r="D111" s="374">
        <f>IF(F110+SUM(E$99:E110)=D$92,F110,D$92-SUM(E$99:E110))</f>
        <v>3160000.2987264665</v>
      </c>
      <c r="E111" s="522">
        <f t="shared" si="32"/>
        <v>103448.80952380953</v>
      </c>
      <c r="F111" s="523">
        <f t="shared" si="33"/>
        <v>3056551.4892026568</v>
      </c>
      <c r="G111" s="523">
        <f t="shared" si="34"/>
        <v>3108275.8939645616</v>
      </c>
      <c r="H111" s="526">
        <f t="shared" si="35"/>
        <v>437817.95990723354</v>
      </c>
      <c r="I111" s="577">
        <f t="shared" si="36"/>
        <v>437817.95990723354</v>
      </c>
      <c r="J111" s="514">
        <f t="shared" si="26"/>
        <v>0</v>
      </c>
      <c r="K111" s="514"/>
      <c r="L111" s="525"/>
      <c r="M111" s="514">
        <f t="shared" si="37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2026</v>
      </c>
      <c r="D112" s="374">
        <f>IF(F111+SUM(E$99:E111)=D$92,F111,D$92-SUM(E$99:E111))</f>
        <v>3056551.4892026568</v>
      </c>
      <c r="E112" s="522">
        <f t="shared" si="32"/>
        <v>103448.80952380953</v>
      </c>
      <c r="F112" s="523">
        <f t="shared" si="33"/>
        <v>2953102.6796788471</v>
      </c>
      <c r="G112" s="523">
        <f t="shared" si="34"/>
        <v>3004827.0844407519</v>
      </c>
      <c r="H112" s="526">
        <f t="shared" si="35"/>
        <v>426689.57499911851</v>
      </c>
      <c r="I112" s="577">
        <f t="shared" si="36"/>
        <v>426689.57499911851</v>
      </c>
      <c r="J112" s="514">
        <f t="shared" si="26"/>
        <v>0</v>
      </c>
      <c r="K112" s="514"/>
      <c r="L112" s="525"/>
      <c r="M112" s="514">
        <f t="shared" si="37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2027</v>
      </c>
      <c r="D113" s="374">
        <f>IF(F112+SUM(E$99:E112)=D$92,F112,D$92-SUM(E$99:E112))</f>
        <v>2953102.6796788471</v>
      </c>
      <c r="E113" s="522">
        <f t="shared" si="32"/>
        <v>103448.80952380953</v>
      </c>
      <c r="F113" s="523">
        <f t="shared" si="33"/>
        <v>2849653.8701550374</v>
      </c>
      <c r="G113" s="523">
        <f t="shared" si="34"/>
        <v>2901378.2749169422</v>
      </c>
      <c r="H113" s="526">
        <f t="shared" si="35"/>
        <v>415561.19009100349</v>
      </c>
      <c r="I113" s="577">
        <f t="shared" si="36"/>
        <v>415561.19009100349</v>
      </c>
      <c r="J113" s="514">
        <f t="shared" si="26"/>
        <v>0</v>
      </c>
      <c r="K113" s="514"/>
      <c r="L113" s="525"/>
      <c r="M113" s="514">
        <f t="shared" si="37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2028</v>
      </c>
      <c r="D114" s="374">
        <f>IF(F113+SUM(E$99:E113)=D$92,F113,D$92-SUM(E$99:E113))</f>
        <v>2849653.8701550374</v>
      </c>
      <c r="E114" s="522">
        <f t="shared" si="32"/>
        <v>103448.80952380953</v>
      </c>
      <c r="F114" s="523">
        <f t="shared" si="33"/>
        <v>2746205.0606312277</v>
      </c>
      <c r="G114" s="523">
        <f t="shared" si="34"/>
        <v>2797929.4653931325</v>
      </c>
      <c r="H114" s="526">
        <f t="shared" si="35"/>
        <v>404432.80518288852</v>
      </c>
      <c r="I114" s="577">
        <f t="shared" si="36"/>
        <v>404432.80518288852</v>
      </c>
      <c r="J114" s="514">
        <f t="shared" si="26"/>
        <v>0</v>
      </c>
      <c r="K114" s="514"/>
      <c r="L114" s="525"/>
      <c r="M114" s="514">
        <f t="shared" si="37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2029</v>
      </c>
      <c r="D115" s="374">
        <f>IF(F114+SUM(E$99:E114)=D$92,F114,D$92-SUM(E$99:E114))</f>
        <v>2746205.0606312277</v>
      </c>
      <c r="E115" s="522">
        <f t="shared" si="32"/>
        <v>103448.80952380953</v>
      </c>
      <c r="F115" s="523">
        <f t="shared" si="33"/>
        <v>2642756.251107418</v>
      </c>
      <c r="G115" s="523">
        <f t="shared" si="34"/>
        <v>2694480.6558693228</v>
      </c>
      <c r="H115" s="526">
        <f t="shared" si="35"/>
        <v>393304.4202747735</v>
      </c>
      <c r="I115" s="577">
        <f t="shared" si="36"/>
        <v>393304.4202747735</v>
      </c>
      <c r="J115" s="514">
        <f t="shared" si="26"/>
        <v>0</v>
      </c>
      <c r="K115" s="514"/>
      <c r="L115" s="525"/>
      <c r="M115" s="514">
        <f t="shared" si="37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2030</v>
      </c>
      <c r="D116" s="374">
        <f>IF(F115+SUM(E$99:E115)=D$92,F115,D$92-SUM(E$99:E115))</f>
        <v>2642756.251107418</v>
      </c>
      <c r="E116" s="522">
        <f t="shared" si="32"/>
        <v>103448.80952380953</v>
      </c>
      <c r="F116" s="523">
        <f t="shared" si="33"/>
        <v>2539307.4415836083</v>
      </c>
      <c r="G116" s="523">
        <f t="shared" si="34"/>
        <v>2591031.8463455131</v>
      </c>
      <c r="H116" s="526">
        <f t="shared" si="35"/>
        <v>382176.03536665847</v>
      </c>
      <c r="I116" s="577">
        <f t="shared" si="36"/>
        <v>382176.03536665847</v>
      </c>
      <c r="J116" s="514">
        <f t="shared" si="26"/>
        <v>0</v>
      </c>
      <c r="K116" s="514"/>
      <c r="L116" s="525"/>
      <c r="M116" s="514">
        <f t="shared" si="37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2031</v>
      </c>
      <c r="D117" s="374">
        <f>IF(F116+SUM(E$99:E116)=D$92,F116,D$92-SUM(E$99:E116))</f>
        <v>2539307.4415836083</v>
      </c>
      <c r="E117" s="522">
        <f t="shared" si="32"/>
        <v>103448.80952380953</v>
      </c>
      <c r="F117" s="523">
        <f t="shared" si="33"/>
        <v>2435858.6320597986</v>
      </c>
      <c r="G117" s="523">
        <f t="shared" si="34"/>
        <v>2487583.0368217034</v>
      </c>
      <c r="H117" s="526">
        <f t="shared" si="35"/>
        <v>371047.6504585435</v>
      </c>
      <c r="I117" s="577">
        <f t="shared" si="36"/>
        <v>371047.6504585435</v>
      </c>
      <c r="J117" s="514">
        <f t="shared" si="26"/>
        <v>0</v>
      </c>
      <c r="K117" s="514"/>
      <c r="L117" s="525"/>
      <c r="M117" s="514">
        <f t="shared" si="37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2032</v>
      </c>
      <c r="D118" s="374">
        <f>IF(F117+SUM(E$99:E117)=D$92,F117,D$92-SUM(E$99:E117))</f>
        <v>2435858.6320597986</v>
      </c>
      <c r="E118" s="522">
        <f t="shared" si="32"/>
        <v>103448.80952380953</v>
      </c>
      <c r="F118" s="523">
        <f t="shared" si="33"/>
        <v>2332409.8225359889</v>
      </c>
      <c r="G118" s="523">
        <f t="shared" si="34"/>
        <v>2384134.2272978937</v>
      </c>
      <c r="H118" s="526">
        <f t="shared" si="35"/>
        <v>359919.26555042848</v>
      </c>
      <c r="I118" s="577">
        <f t="shared" si="36"/>
        <v>359919.26555042848</v>
      </c>
      <c r="J118" s="514">
        <f t="shared" si="26"/>
        <v>0</v>
      </c>
      <c r="K118" s="514"/>
      <c r="L118" s="525"/>
      <c r="M118" s="514">
        <f t="shared" si="37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2033</v>
      </c>
      <c r="D119" s="374">
        <f>IF(F118+SUM(E$99:E118)=D$92,F118,D$92-SUM(E$99:E118))</f>
        <v>2332409.8225359889</v>
      </c>
      <c r="E119" s="522">
        <f t="shared" si="32"/>
        <v>103448.80952380953</v>
      </c>
      <c r="F119" s="523">
        <f t="shared" si="33"/>
        <v>2228961.0130121792</v>
      </c>
      <c r="G119" s="523">
        <f t="shared" si="34"/>
        <v>2280685.417774084</v>
      </c>
      <c r="H119" s="526">
        <f t="shared" si="35"/>
        <v>348790.88064231351</v>
      </c>
      <c r="I119" s="577">
        <f t="shared" si="36"/>
        <v>348790.88064231351</v>
      </c>
      <c r="J119" s="514">
        <f t="shared" si="26"/>
        <v>0</v>
      </c>
      <c r="K119" s="514"/>
      <c r="L119" s="525"/>
      <c r="M119" s="514">
        <f t="shared" si="37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2034</v>
      </c>
      <c r="D120" s="374">
        <f>IF(F119+SUM(E$99:E119)=D$92,F119,D$92-SUM(E$99:E119))</f>
        <v>2228961.0130121792</v>
      </c>
      <c r="E120" s="522">
        <f t="shared" si="32"/>
        <v>103448.80952380953</v>
      </c>
      <c r="F120" s="523">
        <f t="shared" si="33"/>
        <v>2125512.2034883695</v>
      </c>
      <c r="G120" s="523">
        <f t="shared" si="34"/>
        <v>2177236.6082502743</v>
      </c>
      <c r="H120" s="526">
        <f t="shared" si="35"/>
        <v>337662.49573419848</v>
      </c>
      <c r="I120" s="577">
        <f t="shared" si="36"/>
        <v>337662.49573419848</v>
      </c>
      <c r="J120" s="514">
        <f t="shared" si="26"/>
        <v>0</v>
      </c>
      <c r="K120" s="514"/>
      <c r="L120" s="525"/>
      <c r="M120" s="514">
        <f t="shared" si="37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2035</v>
      </c>
      <c r="D121" s="374">
        <f>IF(F120+SUM(E$99:E120)=D$92,F120,D$92-SUM(E$99:E120))</f>
        <v>2125512.2034883695</v>
      </c>
      <c r="E121" s="522">
        <f t="shared" si="32"/>
        <v>103448.80952380953</v>
      </c>
      <c r="F121" s="523">
        <f t="shared" si="33"/>
        <v>2022063.39396456</v>
      </c>
      <c r="G121" s="523">
        <f t="shared" si="34"/>
        <v>2073787.7987264646</v>
      </c>
      <c r="H121" s="526">
        <f t="shared" si="35"/>
        <v>326534.11082608346</v>
      </c>
      <c r="I121" s="577">
        <f t="shared" si="36"/>
        <v>326534.11082608346</v>
      </c>
      <c r="J121" s="514">
        <f t="shared" si="26"/>
        <v>0</v>
      </c>
      <c r="K121" s="514"/>
      <c r="L121" s="525"/>
      <c r="M121" s="514">
        <f t="shared" si="37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2036</v>
      </c>
      <c r="D122" s="374">
        <f>IF(F121+SUM(E$99:E121)=D$92,F121,D$92-SUM(E$99:E121))</f>
        <v>2022063.39396456</v>
      </c>
      <c r="E122" s="522">
        <f t="shared" si="32"/>
        <v>103448.80952380953</v>
      </c>
      <c r="F122" s="523">
        <f t="shared" si="33"/>
        <v>1918614.5844407505</v>
      </c>
      <c r="G122" s="523">
        <f t="shared" si="34"/>
        <v>1970338.9892026554</v>
      </c>
      <c r="H122" s="526">
        <f t="shared" si="35"/>
        <v>315405.72591796849</v>
      </c>
      <c r="I122" s="577">
        <f t="shared" si="36"/>
        <v>315405.72591796849</v>
      </c>
      <c r="J122" s="514">
        <f t="shared" si="26"/>
        <v>0</v>
      </c>
      <c r="K122" s="514"/>
      <c r="L122" s="525"/>
      <c r="M122" s="514">
        <f t="shared" si="37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2037</v>
      </c>
      <c r="D123" s="374">
        <f>IF(F122+SUM(E$99:E122)=D$92,F122,D$92-SUM(E$99:E122))</f>
        <v>1918614.5844407505</v>
      </c>
      <c r="E123" s="522">
        <f t="shared" si="32"/>
        <v>103448.80952380953</v>
      </c>
      <c r="F123" s="523">
        <f t="shared" si="33"/>
        <v>1815165.7749169411</v>
      </c>
      <c r="G123" s="523">
        <f t="shared" si="34"/>
        <v>1866890.1796788457</v>
      </c>
      <c r="H123" s="526">
        <f t="shared" si="35"/>
        <v>304277.34100985352</v>
      </c>
      <c r="I123" s="577">
        <f t="shared" si="36"/>
        <v>304277.34100985352</v>
      </c>
      <c r="J123" s="514">
        <f t="shared" si="26"/>
        <v>0</v>
      </c>
      <c r="K123" s="514"/>
      <c r="L123" s="525"/>
      <c r="M123" s="514">
        <f t="shared" si="37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2038</v>
      </c>
      <c r="D124" s="374">
        <f>IF(F123+SUM(E$99:E123)=D$92,F123,D$92-SUM(E$99:E123))</f>
        <v>1815165.7749169411</v>
      </c>
      <c r="E124" s="522">
        <f t="shared" si="32"/>
        <v>103448.80952380953</v>
      </c>
      <c r="F124" s="523">
        <f t="shared" si="33"/>
        <v>1711716.9653931316</v>
      </c>
      <c r="G124" s="523">
        <f t="shared" si="34"/>
        <v>1763441.3701550364</v>
      </c>
      <c r="H124" s="526">
        <f t="shared" si="35"/>
        <v>293148.9561017385</v>
      </c>
      <c r="I124" s="577">
        <f t="shared" si="36"/>
        <v>293148.9561017385</v>
      </c>
      <c r="J124" s="514">
        <f t="shared" si="26"/>
        <v>0</v>
      </c>
      <c r="K124" s="514"/>
      <c r="L124" s="525"/>
      <c r="M124" s="514">
        <f t="shared" si="37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2039</v>
      </c>
      <c r="D125" s="374">
        <f>IF(F124+SUM(E$99:E124)=D$92,F124,D$92-SUM(E$99:E124))</f>
        <v>1711716.9653931316</v>
      </c>
      <c r="E125" s="522">
        <f t="shared" si="32"/>
        <v>103448.80952380953</v>
      </c>
      <c r="F125" s="523">
        <f t="shared" si="33"/>
        <v>1608268.1558693221</v>
      </c>
      <c r="G125" s="523">
        <f t="shared" si="34"/>
        <v>1659992.5606312267</v>
      </c>
      <c r="H125" s="526">
        <f t="shared" si="35"/>
        <v>282020.57119362353</v>
      </c>
      <c r="I125" s="577">
        <f t="shared" si="36"/>
        <v>282020.57119362353</v>
      </c>
      <c r="J125" s="514">
        <f t="shared" si="26"/>
        <v>0</v>
      </c>
      <c r="K125" s="514"/>
      <c r="L125" s="525"/>
      <c r="M125" s="514">
        <f t="shared" si="37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2040</v>
      </c>
      <c r="D126" s="374">
        <f>IF(F125+SUM(E$99:E125)=D$92,F125,D$92-SUM(E$99:E125))</f>
        <v>1608268.1558693221</v>
      </c>
      <c r="E126" s="522">
        <f t="shared" si="32"/>
        <v>103448.80952380953</v>
      </c>
      <c r="F126" s="523">
        <f t="shared" si="33"/>
        <v>1504819.3463455127</v>
      </c>
      <c r="G126" s="523">
        <f t="shared" si="34"/>
        <v>1556543.7511074175</v>
      </c>
      <c r="H126" s="526">
        <f t="shared" si="35"/>
        <v>270892.18628550856</v>
      </c>
      <c r="I126" s="577">
        <f t="shared" si="36"/>
        <v>270892.18628550856</v>
      </c>
      <c r="J126" s="514">
        <f t="shared" si="26"/>
        <v>0</v>
      </c>
      <c r="K126" s="514"/>
      <c r="L126" s="525"/>
      <c r="M126" s="514">
        <f t="shared" si="37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2041</v>
      </c>
      <c r="D127" s="374">
        <f>IF(F126+SUM(E$99:E126)=D$92,F126,D$92-SUM(E$99:E126))</f>
        <v>1504819.3463455127</v>
      </c>
      <c r="E127" s="522">
        <f t="shared" si="32"/>
        <v>103448.80952380953</v>
      </c>
      <c r="F127" s="523">
        <f t="shared" si="33"/>
        <v>1401370.5368217032</v>
      </c>
      <c r="G127" s="523">
        <f t="shared" si="34"/>
        <v>1453094.9415836078</v>
      </c>
      <c r="H127" s="526">
        <f t="shared" si="35"/>
        <v>259763.80137739357</v>
      </c>
      <c r="I127" s="577">
        <f t="shared" si="36"/>
        <v>259763.80137739357</v>
      </c>
      <c r="J127" s="514">
        <f t="shared" si="26"/>
        <v>0</v>
      </c>
      <c r="K127" s="514"/>
      <c r="L127" s="525"/>
      <c r="M127" s="514">
        <f t="shared" si="37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2042</v>
      </c>
      <c r="D128" s="374">
        <f>IF(F127+SUM(E$99:E127)=D$92,F127,D$92-SUM(E$99:E127))</f>
        <v>1401370.5368217032</v>
      </c>
      <c r="E128" s="522">
        <f t="shared" si="32"/>
        <v>103448.80952380953</v>
      </c>
      <c r="F128" s="523">
        <f t="shared" si="33"/>
        <v>1297921.7272978937</v>
      </c>
      <c r="G128" s="523">
        <f t="shared" si="34"/>
        <v>1349646.1320597986</v>
      </c>
      <c r="H128" s="526">
        <f t="shared" si="35"/>
        <v>248635.4164692786</v>
      </c>
      <c r="I128" s="577">
        <f t="shared" si="36"/>
        <v>248635.4164692786</v>
      </c>
      <c r="J128" s="514">
        <f t="shared" si="26"/>
        <v>0</v>
      </c>
      <c r="K128" s="514"/>
      <c r="L128" s="525"/>
      <c r="M128" s="514">
        <f t="shared" si="37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2043</v>
      </c>
      <c r="D129" s="374">
        <f>IF(F128+SUM(E$99:E128)=D$92,F128,D$92-SUM(E$99:E128))</f>
        <v>1297921.7272978937</v>
      </c>
      <c r="E129" s="522">
        <f t="shared" si="32"/>
        <v>103448.80952380953</v>
      </c>
      <c r="F129" s="523">
        <f t="shared" si="33"/>
        <v>1194472.9177740843</v>
      </c>
      <c r="G129" s="523">
        <f t="shared" si="34"/>
        <v>1246197.3225359889</v>
      </c>
      <c r="H129" s="526">
        <f t="shared" si="35"/>
        <v>237507.0315611636</v>
      </c>
      <c r="I129" s="577">
        <f t="shared" si="36"/>
        <v>237507.0315611636</v>
      </c>
      <c r="J129" s="514">
        <f t="shared" si="26"/>
        <v>0</v>
      </c>
      <c r="K129" s="514"/>
      <c r="L129" s="525"/>
      <c r="M129" s="514">
        <f t="shared" si="37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2044</v>
      </c>
      <c r="D130" s="374">
        <f>IF(F129+SUM(E$99:E129)=D$92,F129,D$92-SUM(E$99:E129))</f>
        <v>1194472.9177740843</v>
      </c>
      <c r="E130" s="522">
        <f t="shared" si="32"/>
        <v>103448.80952380953</v>
      </c>
      <c r="F130" s="523">
        <f t="shared" si="33"/>
        <v>1091024.1082502748</v>
      </c>
      <c r="G130" s="523">
        <f t="shared" si="34"/>
        <v>1142748.5130121796</v>
      </c>
      <c r="H130" s="526">
        <f t="shared" si="35"/>
        <v>226378.64665304864</v>
      </c>
      <c r="I130" s="577">
        <f t="shared" si="36"/>
        <v>226378.64665304864</v>
      </c>
      <c r="J130" s="514">
        <f t="shared" si="26"/>
        <v>0</v>
      </c>
      <c r="K130" s="514"/>
      <c r="L130" s="525"/>
      <c r="M130" s="514">
        <f t="shared" si="37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2045</v>
      </c>
      <c r="D131" s="374">
        <f>IF(F130+SUM(E$99:E130)=D$92,F130,D$92-SUM(E$99:E130))</f>
        <v>1091024.1082502748</v>
      </c>
      <c r="E131" s="522">
        <f t="shared" si="32"/>
        <v>103448.80952380953</v>
      </c>
      <c r="F131" s="523">
        <f t="shared" si="33"/>
        <v>987575.29872646532</v>
      </c>
      <c r="G131" s="523">
        <f t="shared" si="34"/>
        <v>1039299.7034883701</v>
      </c>
      <c r="H131" s="526">
        <f t="shared" si="35"/>
        <v>215250.26174493364</v>
      </c>
      <c r="I131" s="577">
        <f t="shared" si="36"/>
        <v>215250.26174493364</v>
      </c>
      <c r="J131" s="514">
        <f t="shared" si="26"/>
        <v>0</v>
      </c>
      <c r="K131" s="514"/>
      <c r="L131" s="525"/>
      <c r="M131" s="514">
        <f t="shared" ref="M131:M154" si="38">IF(L541&lt;&gt;0,+H541-L541,0)</f>
        <v>0</v>
      </c>
      <c r="N131" s="525"/>
      <c r="O131" s="514">
        <f t="shared" ref="O131:O154" si="39">IF(N541&lt;&gt;0,+I541-N541,0)</f>
        <v>0</v>
      </c>
      <c r="P131" s="514">
        <f t="shared" ref="P131:P154" si="40">+O541-M541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2046</v>
      </c>
      <c r="D132" s="374">
        <f>IF(F131+SUM(E$99:E131)=D$92,F131,D$92-SUM(E$99:E131))</f>
        <v>987575.29872646532</v>
      </c>
      <c r="E132" s="522">
        <f t="shared" si="32"/>
        <v>103448.80952380953</v>
      </c>
      <c r="F132" s="523">
        <f t="shared" si="33"/>
        <v>884126.48920265585</v>
      </c>
      <c r="G132" s="523">
        <f t="shared" si="34"/>
        <v>935850.89396456059</v>
      </c>
      <c r="H132" s="526">
        <f t="shared" si="35"/>
        <v>204121.87683681864</v>
      </c>
      <c r="I132" s="577">
        <f t="shared" si="36"/>
        <v>204121.87683681864</v>
      </c>
      <c r="J132" s="514">
        <f t="shared" si="26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2047</v>
      </c>
      <c r="D133" s="374">
        <f>IF(F132+SUM(E$99:E132)=D$92,F132,D$92-SUM(E$99:E132))</f>
        <v>884126.48920265585</v>
      </c>
      <c r="E133" s="522">
        <f t="shared" si="32"/>
        <v>103448.80952380953</v>
      </c>
      <c r="F133" s="523">
        <f t="shared" si="33"/>
        <v>780677.67967884638</v>
      </c>
      <c r="G133" s="523">
        <f t="shared" si="34"/>
        <v>832402.08444075112</v>
      </c>
      <c r="H133" s="526">
        <f t="shared" si="35"/>
        <v>192993.49192870368</v>
      </c>
      <c r="I133" s="577">
        <f t="shared" si="36"/>
        <v>192993.49192870368</v>
      </c>
      <c r="J133" s="514">
        <f t="shared" si="26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2048</v>
      </c>
      <c r="D134" s="374">
        <f>IF(F133+SUM(E$99:E133)=D$92,F133,D$92-SUM(E$99:E133))</f>
        <v>780677.67967884638</v>
      </c>
      <c r="E134" s="522">
        <f t="shared" si="32"/>
        <v>103448.80952380953</v>
      </c>
      <c r="F134" s="523">
        <f t="shared" si="33"/>
        <v>677228.87015503692</v>
      </c>
      <c r="G134" s="523">
        <f t="shared" si="34"/>
        <v>728953.27491694165</v>
      </c>
      <c r="H134" s="526">
        <f t="shared" si="35"/>
        <v>181865.10702058871</v>
      </c>
      <c r="I134" s="577">
        <f t="shared" si="36"/>
        <v>181865.10702058871</v>
      </c>
      <c r="J134" s="514">
        <f t="shared" si="26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2049</v>
      </c>
      <c r="D135" s="374">
        <f>IF(F134+SUM(E$99:E134)=D$92,F134,D$92-SUM(E$99:E134))</f>
        <v>677228.87015503692</v>
      </c>
      <c r="E135" s="522">
        <f t="shared" si="32"/>
        <v>103448.80952380953</v>
      </c>
      <c r="F135" s="523">
        <f t="shared" si="33"/>
        <v>573780.06063122745</v>
      </c>
      <c r="G135" s="523">
        <f t="shared" si="34"/>
        <v>625504.46539313218</v>
      </c>
      <c r="H135" s="526">
        <f t="shared" si="35"/>
        <v>170736.72211247371</v>
      </c>
      <c r="I135" s="577">
        <f t="shared" si="36"/>
        <v>170736.72211247371</v>
      </c>
      <c r="J135" s="514">
        <f t="shared" si="26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2050</v>
      </c>
      <c r="D136" s="374">
        <f>IF(F135+SUM(E$99:E135)=D$92,F135,D$92-SUM(E$99:E135))</f>
        <v>573780.06063122745</v>
      </c>
      <c r="E136" s="522">
        <f t="shared" si="32"/>
        <v>103448.80952380953</v>
      </c>
      <c r="F136" s="523">
        <f t="shared" si="33"/>
        <v>470331.25110741792</v>
      </c>
      <c r="G136" s="523">
        <f t="shared" si="34"/>
        <v>522055.65586932271</v>
      </c>
      <c r="H136" s="526">
        <f t="shared" si="35"/>
        <v>159608.33720435872</v>
      </c>
      <c r="I136" s="577">
        <f t="shared" si="36"/>
        <v>159608.33720435872</v>
      </c>
      <c r="J136" s="514">
        <f t="shared" si="26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2051</v>
      </c>
      <c r="D137" s="374">
        <f>IF(F136+SUM(E$99:E136)=D$92,F136,D$92-SUM(E$99:E136))</f>
        <v>470331.25110741792</v>
      </c>
      <c r="E137" s="522">
        <f t="shared" si="32"/>
        <v>103448.80952380953</v>
      </c>
      <c r="F137" s="523">
        <f t="shared" si="33"/>
        <v>366882.44158360839</v>
      </c>
      <c r="G137" s="523">
        <f t="shared" si="34"/>
        <v>418606.84634551313</v>
      </c>
      <c r="H137" s="526">
        <f t="shared" si="35"/>
        <v>148479.95229624375</v>
      </c>
      <c r="I137" s="577">
        <f t="shared" si="36"/>
        <v>148479.95229624375</v>
      </c>
      <c r="J137" s="514">
        <f t="shared" si="26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2052</v>
      </c>
      <c r="D138" s="374">
        <f>IF(F137+SUM(E$99:E137)=D$92,F137,D$92-SUM(E$99:E137))</f>
        <v>366882.44158360839</v>
      </c>
      <c r="E138" s="522">
        <f t="shared" si="32"/>
        <v>103448.80952380953</v>
      </c>
      <c r="F138" s="523">
        <f t="shared" si="33"/>
        <v>263433.63205979887</v>
      </c>
      <c r="G138" s="523">
        <f t="shared" si="34"/>
        <v>315158.03682170366</v>
      </c>
      <c r="H138" s="526">
        <f t="shared" si="35"/>
        <v>137351.56738812875</v>
      </c>
      <c r="I138" s="577">
        <f t="shared" si="36"/>
        <v>137351.56738812875</v>
      </c>
      <c r="J138" s="514">
        <f t="shared" si="26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2053</v>
      </c>
      <c r="D139" s="374">
        <f>IF(F138+SUM(E$99:E138)=D$92,F138,D$92-SUM(E$99:E138))</f>
        <v>263433.63205979887</v>
      </c>
      <c r="E139" s="522">
        <f t="shared" si="32"/>
        <v>103448.80952380953</v>
      </c>
      <c r="F139" s="523">
        <f t="shared" si="33"/>
        <v>159984.82253598934</v>
      </c>
      <c r="G139" s="523">
        <f t="shared" si="34"/>
        <v>211709.2272978941</v>
      </c>
      <c r="H139" s="526">
        <f t="shared" si="35"/>
        <v>126223.18248001375</v>
      </c>
      <c r="I139" s="577">
        <f t="shared" si="36"/>
        <v>126223.18248001375</v>
      </c>
      <c r="J139" s="514">
        <f t="shared" si="26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2054</v>
      </c>
      <c r="D140" s="374">
        <f>IF(F139+SUM(E$99:E139)=D$92,F139,D$92-SUM(E$99:E139))</f>
        <v>159984.82253598934</v>
      </c>
      <c r="E140" s="522">
        <f t="shared" si="32"/>
        <v>103448.80952380953</v>
      </c>
      <c r="F140" s="523">
        <f t="shared" si="33"/>
        <v>56536.013012179814</v>
      </c>
      <c r="G140" s="523">
        <f t="shared" si="34"/>
        <v>108260.41777408458</v>
      </c>
      <c r="H140" s="526">
        <f t="shared" si="35"/>
        <v>115094.79757189877</v>
      </c>
      <c r="I140" s="577">
        <f t="shared" si="36"/>
        <v>115094.79757189877</v>
      </c>
      <c r="J140" s="514">
        <f t="shared" si="26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2055</v>
      </c>
      <c r="D141" s="374">
        <f>IF(F140+SUM(E$99:E140)=D$92,F140,D$92-SUM(E$99:E140))</f>
        <v>56536.013012179814</v>
      </c>
      <c r="E141" s="522">
        <f t="shared" si="32"/>
        <v>56536.013012179814</v>
      </c>
      <c r="F141" s="523">
        <f t="shared" si="33"/>
        <v>0</v>
      </c>
      <c r="G141" s="523">
        <f t="shared" si="34"/>
        <v>28268.006506089907</v>
      </c>
      <c r="H141" s="526">
        <f t="shared" si="35"/>
        <v>59576.910809195688</v>
      </c>
      <c r="I141" s="577">
        <f t="shared" si="36"/>
        <v>59576.910809195688</v>
      </c>
      <c r="J141" s="514">
        <f t="shared" si="26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2"/>
        <v>0</v>
      </c>
      <c r="F142" s="523">
        <f t="shared" si="33"/>
        <v>0</v>
      </c>
      <c r="G142" s="523">
        <f t="shared" si="34"/>
        <v>0</v>
      </c>
      <c r="H142" s="526">
        <f t="shared" si="35"/>
        <v>0</v>
      </c>
      <c r="I142" s="577">
        <f t="shared" si="36"/>
        <v>0</v>
      </c>
      <c r="J142" s="514">
        <f t="shared" si="26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2"/>
        <v>0</v>
      </c>
      <c r="F143" s="523">
        <f t="shared" si="33"/>
        <v>0</v>
      </c>
      <c r="G143" s="523">
        <f t="shared" si="34"/>
        <v>0</v>
      </c>
      <c r="H143" s="526">
        <f t="shared" si="35"/>
        <v>0</v>
      </c>
      <c r="I143" s="577">
        <f t="shared" si="36"/>
        <v>0</v>
      </c>
      <c r="J143" s="514">
        <f t="shared" si="26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2"/>
        <v>0</v>
      </c>
      <c r="F144" s="523">
        <f t="shared" si="33"/>
        <v>0</v>
      </c>
      <c r="G144" s="523">
        <f t="shared" si="34"/>
        <v>0</v>
      </c>
      <c r="H144" s="526">
        <f t="shared" si="35"/>
        <v>0</v>
      </c>
      <c r="I144" s="577">
        <f t="shared" si="36"/>
        <v>0</v>
      </c>
      <c r="J144" s="514">
        <f t="shared" si="26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2"/>
        <v>0</v>
      </c>
      <c r="F145" s="523">
        <f t="shared" si="33"/>
        <v>0</v>
      </c>
      <c r="G145" s="523">
        <f t="shared" si="34"/>
        <v>0</v>
      </c>
      <c r="H145" s="526">
        <f t="shared" si="35"/>
        <v>0</v>
      </c>
      <c r="I145" s="577">
        <f t="shared" si="36"/>
        <v>0</v>
      </c>
      <c r="J145" s="514">
        <f t="shared" si="26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2"/>
        <v>0</v>
      </c>
      <c r="F146" s="523">
        <f t="shared" si="33"/>
        <v>0</v>
      </c>
      <c r="G146" s="523">
        <f t="shared" si="34"/>
        <v>0</v>
      </c>
      <c r="H146" s="526">
        <f t="shared" si="35"/>
        <v>0</v>
      </c>
      <c r="I146" s="577">
        <f t="shared" si="36"/>
        <v>0</v>
      </c>
      <c r="J146" s="514">
        <f t="shared" si="26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2"/>
        <v>0</v>
      </c>
      <c r="F147" s="523">
        <f t="shared" si="33"/>
        <v>0</v>
      </c>
      <c r="G147" s="523">
        <f t="shared" si="34"/>
        <v>0</v>
      </c>
      <c r="H147" s="526">
        <f t="shared" si="35"/>
        <v>0</v>
      </c>
      <c r="I147" s="577">
        <f t="shared" si="36"/>
        <v>0</v>
      </c>
      <c r="J147" s="514">
        <f t="shared" si="26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2"/>
        <v>0</v>
      </c>
      <c r="F148" s="523">
        <f t="shared" si="33"/>
        <v>0</v>
      </c>
      <c r="G148" s="523">
        <f t="shared" si="34"/>
        <v>0</v>
      </c>
      <c r="H148" s="526">
        <f t="shared" si="35"/>
        <v>0</v>
      </c>
      <c r="I148" s="577">
        <f t="shared" si="36"/>
        <v>0</v>
      </c>
      <c r="J148" s="514">
        <f t="shared" si="26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2"/>
        <v>0</v>
      </c>
      <c r="F149" s="523">
        <f t="shared" si="33"/>
        <v>0</v>
      </c>
      <c r="G149" s="523">
        <f t="shared" si="34"/>
        <v>0</v>
      </c>
      <c r="H149" s="526">
        <f t="shared" si="35"/>
        <v>0</v>
      </c>
      <c r="I149" s="577">
        <f t="shared" si="36"/>
        <v>0</v>
      </c>
      <c r="J149" s="514">
        <f t="shared" si="26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2"/>
        <v>0</v>
      </c>
      <c r="F150" s="523">
        <f t="shared" si="33"/>
        <v>0</v>
      </c>
      <c r="G150" s="523">
        <f t="shared" si="34"/>
        <v>0</v>
      </c>
      <c r="H150" s="526">
        <f t="shared" si="35"/>
        <v>0</v>
      </c>
      <c r="I150" s="577">
        <f t="shared" si="36"/>
        <v>0</v>
      </c>
      <c r="J150" s="514">
        <f t="shared" si="26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2"/>
        <v>0</v>
      </c>
      <c r="F151" s="523">
        <f t="shared" si="33"/>
        <v>0</v>
      </c>
      <c r="G151" s="523">
        <f t="shared" si="34"/>
        <v>0</v>
      </c>
      <c r="H151" s="526">
        <f t="shared" si="35"/>
        <v>0</v>
      </c>
      <c r="I151" s="577">
        <f t="shared" si="36"/>
        <v>0</v>
      </c>
      <c r="J151" s="514">
        <f t="shared" si="26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2"/>
        <v>0</v>
      </c>
      <c r="F152" s="523">
        <f t="shared" si="33"/>
        <v>0</v>
      </c>
      <c r="G152" s="523">
        <f t="shared" si="34"/>
        <v>0</v>
      </c>
      <c r="H152" s="526">
        <f t="shared" si="35"/>
        <v>0</v>
      </c>
      <c r="I152" s="577">
        <f t="shared" si="36"/>
        <v>0</v>
      </c>
      <c r="J152" s="514">
        <f t="shared" si="26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2"/>
        <v>0</v>
      </c>
      <c r="F153" s="523">
        <f t="shared" si="33"/>
        <v>0</v>
      </c>
      <c r="G153" s="523">
        <f t="shared" si="34"/>
        <v>0</v>
      </c>
      <c r="H153" s="526">
        <f t="shared" si="35"/>
        <v>0</v>
      </c>
      <c r="I153" s="577">
        <f t="shared" si="36"/>
        <v>0</v>
      </c>
      <c r="J153" s="514">
        <f t="shared" si="26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2"/>
        <v>0</v>
      </c>
      <c r="F154" s="523">
        <f t="shared" si="33"/>
        <v>0</v>
      </c>
      <c r="G154" s="523">
        <f t="shared" si="34"/>
        <v>0</v>
      </c>
      <c r="H154" s="526">
        <f t="shared" si="35"/>
        <v>0</v>
      </c>
      <c r="I154" s="577">
        <f t="shared" si="36"/>
        <v>0</v>
      </c>
      <c r="J154" s="514">
        <f t="shared" si="26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  <c r="Q154" s="269"/>
    </row>
    <row r="155" spans="2:17" ht="12.5">
      <c r="C155" s="374" t="s">
        <v>78</v>
      </c>
      <c r="D155" s="375"/>
      <c r="E155" s="375">
        <f>SUM(E99:E154)</f>
        <v>4344850.0000000019</v>
      </c>
      <c r="F155" s="375"/>
      <c r="G155" s="375"/>
      <c r="H155" s="375">
        <f>SUM(H99:H154)</f>
        <v>14599876.342224911</v>
      </c>
      <c r="I155" s="375">
        <f>SUM(I99:I154)</f>
        <v>14599876.342224911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90" priority="1" stopIfTrue="1" operator="equal">
      <formula>$I$10</formula>
    </cfRule>
  </conditionalFormatting>
  <conditionalFormatting sqref="C99:C154">
    <cfRule type="cellIs" dxfId="8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Q162"/>
  <sheetViews>
    <sheetView view="pageBreakPreview" topLeftCell="A73" zoomScale="75" zoomScaleNormal="100" zoomScaleSheetLayoutView="75" workbookViewId="0">
      <selection activeCell="C108" sqref="C108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8" style="183" customWidth="1"/>
    <col min="13" max="13" width="17.7265625" style="183" customWidth="1"/>
    <col min="14" max="14" width="19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36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714348.32768844545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714348.32768844545</v>
      </c>
      <c r="O6" s="269"/>
      <c r="P6" s="269"/>
    </row>
    <row r="7" spans="1:17" ht="13.5" thickBot="1">
      <c r="C7" s="467" t="s">
        <v>48</v>
      </c>
      <c r="D7" s="624" t="s">
        <v>301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263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6389739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9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152136.64285714287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1750000</v>
      </c>
      <c r="E17" s="627">
        <v>17361.111111111109</v>
      </c>
      <c r="F17" s="626">
        <v>1732638.888888889</v>
      </c>
      <c r="G17" s="627">
        <v>259908.17345772672</v>
      </c>
      <c r="H17" s="610">
        <v>259908.17345772672</v>
      </c>
      <c r="I17" s="616">
        <v>0</v>
      </c>
      <c r="J17" s="511"/>
      <c r="K17" s="512">
        <f t="shared" ref="K17:K22" si="0">G17</f>
        <v>259908.17345772672</v>
      </c>
      <c r="L17" s="597">
        <f t="shared" ref="L17:L22" si="1">IF(K17&lt;&gt;0,+G17-K17,0)</f>
        <v>0</v>
      </c>
      <c r="M17" s="512">
        <f t="shared" ref="M17:M22" si="2">H17</f>
        <v>259908.17345772672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1732638.888888889</v>
      </c>
      <c r="E18" s="609">
        <v>72336.119047619053</v>
      </c>
      <c r="F18" s="626">
        <v>1660302.7698412701</v>
      </c>
      <c r="G18" s="609">
        <v>296328.40957577864</v>
      </c>
      <c r="H18" s="610">
        <v>296328.40957577864</v>
      </c>
      <c r="I18" s="616">
        <v>0</v>
      </c>
      <c r="J18" s="511"/>
      <c r="K18" s="518">
        <f t="shared" si="0"/>
        <v>296328.40957577864</v>
      </c>
      <c r="L18" s="519">
        <f t="shared" si="1"/>
        <v>0</v>
      </c>
      <c r="M18" s="518">
        <f t="shared" si="2"/>
        <v>296328.40957577864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1660302.7698412701</v>
      </c>
      <c r="E19" s="609">
        <v>152136.64285714287</v>
      </c>
      <c r="F19" s="626">
        <v>1508166.1269841271</v>
      </c>
      <c r="G19" s="609">
        <v>350769.36244899174</v>
      </c>
      <c r="H19" s="610">
        <v>350769.36244899174</v>
      </c>
      <c r="I19" s="511">
        <v>0</v>
      </c>
      <c r="J19" s="511"/>
      <c r="K19" s="518">
        <f t="shared" si="0"/>
        <v>350769.36244899174</v>
      </c>
      <c r="L19" s="519">
        <f t="shared" si="1"/>
        <v>0</v>
      </c>
      <c r="M19" s="518">
        <f t="shared" si="2"/>
        <v>350769.36244899174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6147905.1269841269</v>
      </c>
      <c r="E20" s="609">
        <v>152136.64285714287</v>
      </c>
      <c r="F20" s="626">
        <v>5995768.4841269841</v>
      </c>
      <c r="G20" s="609">
        <v>932066.05749159923</v>
      </c>
      <c r="H20" s="610">
        <v>932066.05749159923</v>
      </c>
      <c r="I20" s="511">
        <f>H20-G20</f>
        <v>0</v>
      </c>
      <c r="J20" s="511"/>
      <c r="K20" s="518">
        <f t="shared" si="0"/>
        <v>932066.05749159923</v>
      </c>
      <c r="L20" s="519">
        <f t="shared" si="1"/>
        <v>0</v>
      </c>
      <c r="M20" s="518">
        <f t="shared" si="2"/>
        <v>932066.05749159923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5995768.4841269841</v>
      </c>
      <c r="E21" s="609">
        <v>148598.58139534883</v>
      </c>
      <c r="F21" s="626">
        <v>5847169.9027316356</v>
      </c>
      <c r="G21" s="609">
        <v>882224.40250085481</v>
      </c>
      <c r="H21" s="610">
        <v>882224.40250085481</v>
      </c>
      <c r="I21" s="511">
        <f t="shared" ref="I21:I72" si="6">H21-G21</f>
        <v>0</v>
      </c>
      <c r="J21" s="511"/>
      <c r="K21" s="518">
        <f t="shared" si="0"/>
        <v>882224.40250085481</v>
      </c>
      <c r="L21" s="519">
        <f t="shared" si="1"/>
        <v>0</v>
      </c>
      <c r="M21" s="518">
        <f t="shared" si="2"/>
        <v>882224.40250085481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5847169.9027316356</v>
      </c>
      <c r="E22" s="609">
        <v>155847.29268292684</v>
      </c>
      <c r="F22" s="626">
        <v>5691322.6100487085</v>
      </c>
      <c r="G22" s="609">
        <v>889084.4471340694</v>
      </c>
      <c r="H22" s="610">
        <v>889084.4471340694</v>
      </c>
      <c r="I22" s="511">
        <f t="shared" si="6"/>
        <v>0</v>
      </c>
      <c r="J22" s="511"/>
      <c r="K22" s="518">
        <f t="shared" si="0"/>
        <v>889084.4471340694</v>
      </c>
      <c r="L22" s="519">
        <f t="shared" si="1"/>
        <v>0</v>
      </c>
      <c r="M22" s="518">
        <f t="shared" si="2"/>
        <v>889084.4471340694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5691322.6100487085</v>
      </c>
      <c r="E23" s="609">
        <v>155847.29268292684</v>
      </c>
      <c r="F23" s="626">
        <v>5535475.3173657814</v>
      </c>
      <c r="G23" s="609">
        <v>869277.17590012413</v>
      </c>
      <c r="H23" s="610">
        <v>869277.17590012413</v>
      </c>
      <c r="I23" s="511">
        <f t="shared" si="6"/>
        <v>0</v>
      </c>
      <c r="J23" s="511"/>
      <c r="K23" s="518">
        <f t="shared" ref="K23" si="7">G23</f>
        <v>869277.17590012413</v>
      </c>
      <c r="L23" s="519">
        <f t="shared" ref="L23" si="8">IF(K23&lt;&gt;0,+G23-K23,0)</f>
        <v>0</v>
      </c>
      <c r="M23" s="518">
        <f t="shared" ref="M23" si="9">H23</f>
        <v>869277.17590012413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5535475.3173657814</v>
      </c>
      <c r="E24" s="609">
        <v>155847.29268292684</v>
      </c>
      <c r="F24" s="626">
        <v>5379628.0246828543</v>
      </c>
      <c r="G24" s="609">
        <v>714348.32768844545</v>
      </c>
      <c r="H24" s="610">
        <v>714348.32768844545</v>
      </c>
      <c r="I24" s="511">
        <f t="shared" si="6"/>
        <v>0</v>
      </c>
      <c r="J24" s="511"/>
      <c r="K24" s="518">
        <f t="shared" ref="K24" si="12">G24</f>
        <v>714348.32768844545</v>
      </c>
      <c r="L24" s="519">
        <f t="shared" ref="L24" si="13">IF(K24&lt;&gt;0,+G24-K24,0)</f>
        <v>0</v>
      </c>
      <c r="M24" s="518">
        <f t="shared" ref="M24" si="14">H24</f>
        <v>714348.32768844545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/>
      </c>
      <c r="C25" s="507">
        <f>IF(D11="","-",+C24+1)</f>
        <v>2021</v>
      </c>
      <c r="D25" s="523">
        <f>IF(F24+SUM(E$17:E24)=D$10,F24,D$10-SUM(E$17:E24))</f>
        <v>5379628.0246828543</v>
      </c>
      <c r="E25" s="522">
        <f t="shared" ref="E25:E72" si="15">IF(+$I$14&lt;F24,$I$14,D25)</f>
        <v>152136.64285714287</v>
      </c>
      <c r="F25" s="523">
        <f t="shared" ref="F25:F72" si="16">+D25-E25</f>
        <v>5227491.3818257116</v>
      </c>
      <c r="G25" s="524">
        <f t="shared" ref="G25:G52" si="17">+I$12*((D25+F25)/2)+E25</f>
        <v>718652.14407661173</v>
      </c>
      <c r="H25" s="491">
        <f t="shared" ref="H25:H52" si="18">+I$13*((D25+F25)/2)+E25</f>
        <v>718652.14407661173</v>
      </c>
      <c r="I25" s="511">
        <f t="shared" si="6"/>
        <v>0</v>
      </c>
      <c r="J25" s="511"/>
      <c r="K25" s="525"/>
      <c r="L25" s="514">
        <f t="shared" ref="L25:L72" si="19">IF(K25&lt;&gt;0,+G25-K25,0)</f>
        <v>0</v>
      </c>
      <c r="M25" s="525"/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/>
      </c>
      <c r="C26" s="507">
        <f>IF(D11="","-",+C25+1)</f>
        <v>2022</v>
      </c>
      <c r="D26" s="523">
        <f>IF(F25+SUM(E$17:E25)=D$10,F25,D$10-SUM(E$17:E25))</f>
        <v>5227491.3818257116</v>
      </c>
      <c r="E26" s="522">
        <f t="shared" si="15"/>
        <v>152136.64285714287</v>
      </c>
      <c r="F26" s="523">
        <f t="shared" si="16"/>
        <v>5075354.7389685689</v>
      </c>
      <c r="G26" s="524">
        <f t="shared" si="17"/>
        <v>702401.21615188674</v>
      </c>
      <c r="H26" s="491">
        <f t="shared" si="18"/>
        <v>702401.21615188674</v>
      </c>
      <c r="I26" s="511">
        <f t="shared" si="6"/>
        <v>0</v>
      </c>
      <c r="J26" s="511"/>
      <c r="K26" s="525"/>
      <c r="L26" s="514">
        <f t="shared" si="19"/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5075354.7389685689</v>
      </c>
      <c r="E27" s="522">
        <f t="shared" si="15"/>
        <v>152136.64285714287</v>
      </c>
      <c r="F27" s="523">
        <f t="shared" si="16"/>
        <v>4923218.0961114261</v>
      </c>
      <c r="G27" s="524">
        <f t="shared" si="17"/>
        <v>686150.28822716163</v>
      </c>
      <c r="H27" s="491">
        <f t="shared" si="18"/>
        <v>686150.28822716163</v>
      </c>
      <c r="I27" s="511">
        <f t="shared" si="6"/>
        <v>0</v>
      </c>
      <c r="J27" s="511"/>
      <c r="K27" s="525"/>
      <c r="L27" s="514">
        <f t="shared" si="19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4923218.0961114261</v>
      </c>
      <c r="E28" s="522">
        <f t="shared" si="15"/>
        <v>152136.64285714287</v>
      </c>
      <c r="F28" s="523">
        <f t="shared" si="16"/>
        <v>4771081.4532542834</v>
      </c>
      <c r="G28" s="524">
        <f t="shared" si="17"/>
        <v>669899.36030243663</v>
      </c>
      <c r="H28" s="491">
        <f t="shared" si="18"/>
        <v>669899.36030243663</v>
      </c>
      <c r="I28" s="511">
        <f t="shared" si="6"/>
        <v>0</v>
      </c>
      <c r="J28" s="511"/>
      <c r="K28" s="525"/>
      <c r="L28" s="514">
        <f t="shared" si="19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4771081.4532542834</v>
      </c>
      <c r="E29" s="522">
        <f t="shared" si="15"/>
        <v>152136.64285714287</v>
      </c>
      <c r="F29" s="523">
        <f t="shared" si="16"/>
        <v>4618944.8103971407</v>
      </c>
      <c r="G29" s="524">
        <f t="shared" si="17"/>
        <v>653648.43237771152</v>
      </c>
      <c r="H29" s="491">
        <f t="shared" si="18"/>
        <v>653648.43237771152</v>
      </c>
      <c r="I29" s="511">
        <f t="shared" si="6"/>
        <v>0</v>
      </c>
      <c r="J29" s="511"/>
      <c r="K29" s="525"/>
      <c r="L29" s="514">
        <f t="shared" si="19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4618944.8103971407</v>
      </c>
      <c r="E30" s="522">
        <f t="shared" si="15"/>
        <v>152136.64285714287</v>
      </c>
      <c r="F30" s="523">
        <f t="shared" si="16"/>
        <v>4466808.167539998</v>
      </c>
      <c r="G30" s="524">
        <f t="shared" si="17"/>
        <v>637397.50445298653</v>
      </c>
      <c r="H30" s="491">
        <f t="shared" si="18"/>
        <v>637397.50445298653</v>
      </c>
      <c r="I30" s="511">
        <f t="shared" si="6"/>
        <v>0</v>
      </c>
      <c r="J30" s="511"/>
      <c r="K30" s="525"/>
      <c r="L30" s="514">
        <f t="shared" si="19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4466808.167539998</v>
      </c>
      <c r="E31" s="522">
        <f t="shared" si="15"/>
        <v>152136.64285714287</v>
      </c>
      <c r="F31" s="523">
        <f t="shared" si="16"/>
        <v>4314671.5246828552</v>
      </c>
      <c r="G31" s="524">
        <f t="shared" si="17"/>
        <v>621146.57652826142</v>
      </c>
      <c r="H31" s="491">
        <f t="shared" si="18"/>
        <v>621146.57652826142</v>
      </c>
      <c r="I31" s="511">
        <f t="shared" si="6"/>
        <v>0</v>
      </c>
      <c r="J31" s="511"/>
      <c r="K31" s="525"/>
      <c r="L31" s="514">
        <f t="shared" si="19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4314671.5246828552</v>
      </c>
      <c r="E32" s="522">
        <f t="shared" si="15"/>
        <v>152136.64285714287</v>
      </c>
      <c r="F32" s="523">
        <f t="shared" si="16"/>
        <v>4162534.8818257125</v>
      </c>
      <c r="G32" s="524">
        <f t="shared" si="17"/>
        <v>604895.64860353642</v>
      </c>
      <c r="H32" s="491">
        <f t="shared" si="18"/>
        <v>604895.64860353642</v>
      </c>
      <c r="I32" s="511">
        <f t="shared" si="6"/>
        <v>0</v>
      </c>
      <c r="J32" s="511"/>
      <c r="K32" s="525"/>
      <c r="L32" s="514">
        <f t="shared" si="19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4162534.8818257125</v>
      </c>
      <c r="E33" s="522">
        <f t="shared" si="15"/>
        <v>152136.64285714287</v>
      </c>
      <c r="F33" s="523">
        <f t="shared" si="16"/>
        <v>4010398.2389685698</v>
      </c>
      <c r="G33" s="524">
        <f t="shared" si="17"/>
        <v>588644.72067881131</v>
      </c>
      <c r="H33" s="491">
        <f t="shared" si="18"/>
        <v>588644.72067881131</v>
      </c>
      <c r="I33" s="511">
        <f t="shared" si="6"/>
        <v>0</v>
      </c>
      <c r="J33" s="511"/>
      <c r="K33" s="525"/>
      <c r="L33" s="514">
        <f t="shared" si="19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4010398.2389685698</v>
      </c>
      <c r="E34" s="522">
        <f t="shared" si="15"/>
        <v>152136.64285714287</v>
      </c>
      <c r="F34" s="523">
        <f t="shared" si="16"/>
        <v>3858261.5961114271</v>
      </c>
      <c r="G34" s="524">
        <f t="shared" si="17"/>
        <v>572393.79275408632</v>
      </c>
      <c r="H34" s="491">
        <f t="shared" si="18"/>
        <v>572393.79275408632</v>
      </c>
      <c r="I34" s="511">
        <f t="shared" si="6"/>
        <v>0</v>
      </c>
      <c r="J34" s="511"/>
      <c r="K34" s="525"/>
      <c r="L34" s="514">
        <f t="shared" si="19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3858261.5961114271</v>
      </c>
      <c r="E35" s="522">
        <f t="shared" si="15"/>
        <v>152136.64285714287</v>
      </c>
      <c r="F35" s="523">
        <f t="shared" si="16"/>
        <v>3706124.9532542843</v>
      </c>
      <c r="G35" s="524">
        <f t="shared" si="17"/>
        <v>556142.86482936121</v>
      </c>
      <c r="H35" s="491">
        <f t="shared" si="18"/>
        <v>556142.86482936121</v>
      </c>
      <c r="I35" s="511">
        <f t="shared" si="6"/>
        <v>0</v>
      </c>
      <c r="J35" s="511"/>
      <c r="K35" s="525"/>
      <c r="L35" s="514">
        <f t="shared" si="19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3706124.9532542843</v>
      </c>
      <c r="E36" s="522">
        <f t="shared" si="15"/>
        <v>152136.64285714287</v>
      </c>
      <c r="F36" s="523">
        <f t="shared" si="16"/>
        <v>3553988.3103971416</v>
      </c>
      <c r="G36" s="524">
        <f t="shared" si="17"/>
        <v>539891.93690463621</v>
      </c>
      <c r="H36" s="491">
        <f t="shared" si="18"/>
        <v>539891.93690463621</v>
      </c>
      <c r="I36" s="511">
        <f t="shared" si="6"/>
        <v>0</v>
      </c>
      <c r="J36" s="511"/>
      <c r="K36" s="525"/>
      <c r="L36" s="514">
        <f t="shared" si="19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3553988.3103971416</v>
      </c>
      <c r="E37" s="522">
        <f t="shared" si="15"/>
        <v>152136.64285714287</v>
      </c>
      <c r="F37" s="523">
        <f t="shared" si="16"/>
        <v>3401851.6675399989</v>
      </c>
      <c r="G37" s="524">
        <f t="shared" si="17"/>
        <v>523641.0089799111</v>
      </c>
      <c r="H37" s="491">
        <f t="shared" si="18"/>
        <v>523641.0089799111</v>
      </c>
      <c r="I37" s="511">
        <f t="shared" si="6"/>
        <v>0</v>
      </c>
      <c r="J37" s="511"/>
      <c r="K37" s="525"/>
      <c r="L37" s="514">
        <f t="shared" si="19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3401851.6675399989</v>
      </c>
      <c r="E38" s="522">
        <f t="shared" si="15"/>
        <v>152136.64285714287</v>
      </c>
      <c r="F38" s="523">
        <f t="shared" si="16"/>
        <v>3249715.0246828562</v>
      </c>
      <c r="G38" s="524">
        <f t="shared" si="17"/>
        <v>507390.08105518611</v>
      </c>
      <c r="H38" s="491">
        <f t="shared" si="18"/>
        <v>507390.08105518611</v>
      </c>
      <c r="I38" s="511">
        <f t="shared" si="6"/>
        <v>0</v>
      </c>
      <c r="J38" s="511"/>
      <c r="K38" s="525"/>
      <c r="L38" s="514">
        <f t="shared" si="19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3249715.0246828562</v>
      </c>
      <c r="E39" s="522">
        <f t="shared" si="15"/>
        <v>152136.64285714287</v>
      </c>
      <c r="F39" s="523">
        <f t="shared" si="16"/>
        <v>3097578.3818257134</v>
      </c>
      <c r="G39" s="524">
        <f t="shared" si="17"/>
        <v>491139.153130461</v>
      </c>
      <c r="H39" s="491">
        <f t="shared" si="18"/>
        <v>491139.153130461</v>
      </c>
      <c r="I39" s="511">
        <f t="shared" si="6"/>
        <v>0</v>
      </c>
      <c r="J39" s="511"/>
      <c r="K39" s="525"/>
      <c r="L39" s="514">
        <f t="shared" si="19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3097578.3818257134</v>
      </c>
      <c r="E40" s="522">
        <f t="shared" si="15"/>
        <v>152136.64285714287</v>
      </c>
      <c r="F40" s="523">
        <f t="shared" si="16"/>
        <v>2945441.7389685707</v>
      </c>
      <c r="G40" s="524">
        <f t="shared" si="17"/>
        <v>474888.225205736</v>
      </c>
      <c r="H40" s="491">
        <f t="shared" si="18"/>
        <v>474888.225205736</v>
      </c>
      <c r="I40" s="511">
        <f t="shared" si="6"/>
        <v>0</v>
      </c>
      <c r="J40" s="511"/>
      <c r="K40" s="525"/>
      <c r="L40" s="514">
        <f t="shared" si="19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2945441.7389685707</v>
      </c>
      <c r="E41" s="522">
        <f t="shared" si="15"/>
        <v>152136.64285714287</v>
      </c>
      <c r="F41" s="523">
        <f t="shared" si="16"/>
        <v>2793305.096111428</v>
      </c>
      <c r="G41" s="524">
        <f t="shared" si="17"/>
        <v>458637.29728101089</v>
      </c>
      <c r="H41" s="491">
        <f t="shared" si="18"/>
        <v>458637.29728101089</v>
      </c>
      <c r="I41" s="511">
        <f t="shared" si="6"/>
        <v>0</v>
      </c>
      <c r="J41" s="511"/>
      <c r="K41" s="525"/>
      <c r="L41" s="514">
        <f t="shared" si="19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2793305.096111428</v>
      </c>
      <c r="E42" s="522">
        <f t="shared" si="15"/>
        <v>152136.64285714287</v>
      </c>
      <c r="F42" s="523">
        <f t="shared" si="16"/>
        <v>2641168.4532542853</v>
      </c>
      <c r="G42" s="524">
        <f t="shared" si="17"/>
        <v>442386.3693562859</v>
      </c>
      <c r="H42" s="491">
        <f t="shared" si="18"/>
        <v>442386.3693562859</v>
      </c>
      <c r="I42" s="511">
        <f t="shared" si="6"/>
        <v>0</v>
      </c>
      <c r="J42" s="511"/>
      <c r="K42" s="525"/>
      <c r="L42" s="514">
        <f t="shared" si="19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2641168.4532542853</v>
      </c>
      <c r="E43" s="522">
        <f t="shared" si="15"/>
        <v>152136.64285714287</v>
      </c>
      <c r="F43" s="523">
        <f t="shared" si="16"/>
        <v>2489031.8103971425</v>
      </c>
      <c r="G43" s="524">
        <f t="shared" si="17"/>
        <v>426135.44143156079</v>
      </c>
      <c r="H43" s="491">
        <f t="shared" si="18"/>
        <v>426135.44143156079</v>
      </c>
      <c r="I43" s="511">
        <f t="shared" si="6"/>
        <v>0</v>
      </c>
      <c r="J43" s="511"/>
      <c r="K43" s="525"/>
      <c r="L43" s="514">
        <f t="shared" si="19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2489031.8103971425</v>
      </c>
      <c r="E44" s="522">
        <f t="shared" si="15"/>
        <v>152136.64285714287</v>
      </c>
      <c r="F44" s="523">
        <f t="shared" si="16"/>
        <v>2336895.1675399998</v>
      </c>
      <c r="G44" s="524">
        <f t="shared" si="17"/>
        <v>409884.51350683579</v>
      </c>
      <c r="H44" s="491">
        <f t="shared" si="18"/>
        <v>409884.51350683579</v>
      </c>
      <c r="I44" s="511">
        <f t="shared" si="6"/>
        <v>0</v>
      </c>
      <c r="J44" s="511"/>
      <c r="K44" s="525"/>
      <c r="L44" s="514">
        <f t="shared" si="19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2336895.1675399998</v>
      </c>
      <c r="E45" s="522">
        <f t="shared" si="15"/>
        <v>152136.64285714287</v>
      </c>
      <c r="F45" s="523">
        <f t="shared" si="16"/>
        <v>2184758.5246828571</v>
      </c>
      <c r="G45" s="524">
        <f t="shared" si="17"/>
        <v>393633.58558211068</v>
      </c>
      <c r="H45" s="491">
        <f t="shared" si="18"/>
        <v>393633.58558211068</v>
      </c>
      <c r="I45" s="511">
        <f t="shared" si="6"/>
        <v>0</v>
      </c>
      <c r="J45" s="511"/>
      <c r="K45" s="525"/>
      <c r="L45" s="514">
        <f t="shared" si="19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2184758.5246828571</v>
      </c>
      <c r="E46" s="522">
        <f t="shared" si="15"/>
        <v>152136.64285714287</v>
      </c>
      <c r="F46" s="523">
        <f t="shared" si="16"/>
        <v>2032621.8818257141</v>
      </c>
      <c r="G46" s="524">
        <f t="shared" si="17"/>
        <v>377382.65765738569</v>
      </c>
      <c r="H46" s="491">
        <f t="shared" si="18"/>
        <v>377382.65765738569</v>
      </c>
      <c r="I46" s="511">
        <f t="shared" si="6"/>
        <v>0</v>
      </c>
      <c r="J46" s="511"/>
      <c r="K46" s="525"/>
      <c r="L46" s="514">
        <f t="shared" si="19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2032621.8818257141</v>
      </c>
      <c r="E47" s="522">
        <f t="shared" si="15"/>
        <v>152136.64285714287</v>
      </c>
      <c r="F47" s="523">
        <f t="shared" si="16"/>
        <v>1880485.2389685712</v>
      </c>
      <c r="G47" s="524">
        <f t="shared" si="17"/>
        <v>361131.72973266058</v>
      </c>
      <c r="H47" s="491">
        <f t="shared" si="18"/>
        <v>361131.72973266058</v>
      </c>
      <c r="I47" s="511">
        <f t="shared" si="6"/>
        <v>0</v>
      </c>
      <c r="J47" s="511"/>
      <c r="K47" s="525"/>
      <c r="L47" s="514">
        <f t="shared" si="19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1880485.2389685712</v>
      </c>
      <c r="E48" s="522">
        <f t="shared" si="15"/>
        <v>152136.64285714287</v>
      </c>
      <c r="F48" s="523">
        <f t="shared" si="16"/>
        <v>1728348.5961114282</v>
      </c>
      <c r="G48" s="524">
        <f t="shared" si="17"/>
        <v>344880.80180793547</v>
      </c>
      <c r="H48" s="491">
        <f t="shared" si="18"/>
        <v>344880.80180793547</v>
      </c>
      <c r="I48" s="511">
        <f t="shared" si="6"/>
        <v>0</v>
      </c>
      <c r="J48" s="511"/>
      <c r="K48" s="525"/>
      <c r="L48" s="514">
        <f t="shared" si="19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1728348.5961114282</v>
      </c>
      <c r="E49" s="522">
        <f t="shared" si="15"/>
        <v>152136.64285714287</v>
      </c>
      <c r="F49" s="523">
        <f t="shared" si="16"/>
        <v>1576211.9532542853</v>
      </c>
      <c r="G49" s="524">
        <f t="shared" si="17"/>
        <v>328629.87388321041</v>
      </c>
      <c r="H49" s="491">
        <f t="shared" si="18"/>
        <v>328629.87388321041</v>
      </c>
      <c r="I49" s="511">
        <f t="shared" si="6"/>
        <v>0</v>
      </c>
      <c r="J49" s="511"/>
      <c r="K49" s="525"/>
      <c r="L49" s="514">
        <f t="shared" si="19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1576211.9532542853</v>
      </c>
      <c r="E50" s="522">
        <f t="shared" si="15"/>
        <v>152136.64285714287</v>
      </c>
      <c r="F50" s="523">
        <f t="shared" si="16"/>
        <v>1424075.3103971423</v>
      </c>
      <c r="G50" s="524">
        <f t="shared" si="17"/>
        <v>312378.94595848536</v>
      </c>
      <c r="H50" s="491">
        <f t="shared" si="18"/>
        <v>312378.94595848536</v>
      </c>
      <c r="I50" s="511">
        <f t="shared" si="6"/>
        <v>0</v>
      </c>
      <c r="J50" s="511"/>
      <c r="K50" s="525"/>
      <c r="L50" s="514">
        <f t="shared" si="19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1424075.3103971423</v>
      </c>
      <c r="E51" s="522">
        <f t="shared" si="15"/>
        <v>152136.64285714287</v>
      </c>
      <c r="F51" s="523">
        <f t="shared" si="16"/>
        <v>1271938.6675399994</v>
      </c>
      <c r="G51" s="524">
        <f t="shared" si="17"/>
        <v>296128.01803376025</v>
      </c>
      <c r="H51" s="491">
        <f t="shared" si="18"/>
        <v>296128.01803376025</v>
      </c>
      <c r="I51" s="511">
        <f t="shared" si="6"/>
        <v>0</v>
      </c>
      <c r="J51" s="511"/>
      <c r="K51" s="525"/>
      <c r="L51" s="514">
        <f t="shared" si="19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1271938.6675399994</v>
      </c>
      <c r="E52" s="522">
        <f t="shared" si="15"/>
        <v>152136.64285714287</v>
      </c>
      <c r="F52" s="523">
        <f t="shared" si="16"/>
        <v>1119802.0246828564</v>
      </c>
      <c r="G52" s="524">
        <f t="shared" si="17"/>
        <v>279877.0901090352</v>
      </c>
      <c r="H52" s="491">
        <f t="shared" si="18"/>
        <v>279877.0901090352</v>
      </c>
      <c r="I52" s="511">
        <f t="shared" si="6"/>
        <v>0</v>
      </c>
      <c r="J52" s="511"/>
      <c r="K52" s="525"/>
      <c r="L52" s="514">
        <f t="shared" si="19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1119802.0246828564</v>
      </c>
      <c r="E53" s="522">
        <f t="shared" si="15"/>
        <v>152136.64285714287</v>
      </c>
      <c r="F53" s="523">
        <f t="shared" si="16"/>
        <v>967665.38182571356</v>
      </c>
      <c r="G53" s="524">
        <f t="shared" ref="G53:G72" si="20">+I$12*((D53+F53)/2)+E53</f>
        <v>263626.16218431015</v>
      </c>
      <c r="H53" s="491">
        <f t="shared" ref="H53:H72" si="21">+I$13*((D53+F53)/2)+E53</f>
        <v>263626.16218431015</v>
      </c>
      <c r="I53" s="511">
        <f t="shared" si="6"/>
        <v>0</v>
      </c>
      <c r="J53" s="511"/>
      <c r="K53" s="525"/>
      <c r="L53" s="514">
        <f t="shared" si="19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967665.38182571356</v>
      </c>
      <c r="E54" s="522">
        <f t="shared" si="15"/>
        <v>152136.64285714287</v>
      </c>
      <c r="F54" s="523">
        <f t="shared" si="16"/>
        <v>815528.73896857072</v>
      </c>
      <c r="G54" s="524">
        <f t="shared" si="20"/>
        <v>247375.23425958504</v>
      </c>
      <c r="H54" s="491">
        <f t="shared" si="21"/>
        <v>247375.23425958504</v>
      </c>
      <c r="I54" s="511">
        <f t="shared" si="6"/>
        <v>0</v>
      </c>
      <c r="J54" s="511"/>
      <c r="K54" s="525"/>
      <c r="L54" s="514">
        <f t="shared" si="19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815528.73896857072</v>
      </c>
      <c r="E55" s="522">
        <f t="shared" si="15"/>
        <v>152136.64285714287</v>
      </c>
      <c r="F55" s="523">
        <f t="shared" si="16"/>
        <v>663392.09611142788</v>
      </c>
      <c r="G55" s="524">
        <f t="shared" si="20"/>
        <v>231124.30633485998</v>
      </c>
      <c r="H55" s="491">
        <f t="shared" si="21"/>
        <v>231124.30633485998</v>
      </c>
      <c r="I55" s="511">
        <f t="shared" si="6"/>
        <v>0</v>
      </c>
      <c r="J55" s="511"/>
      <c r="K55" s="525"/>
      <c r="L55" s="514">
        <f t="shared" si="19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663392.09611142788</v>
      </c>
      <c r="E56" s="522">
        <f t="shared" si="15"/>
        <v>152136.64285714287</v>
      </c>
      <c r="F56" s="523">
        <f t="shared" si="16"/>
        <v>511255.45325428504</v>
      </c>
      <c r="G56" s="524">
        <f t="shared" si="20"/>
        <v>214873.3784101349</v>
      </c>
      <c r="H56" s="491">
        <f t="shared" si="21"/>
        <v>214873.3784101349</v>
      </c>
      <c r="I56" s="511">
        <f t="shared" si="6"/>
        <v>0</v>
      </c>
      <c r="J56" s="511"/>
      <c r="K56" s="525"/>
      <c r="L56" s="514">
        <f t="shared" si="19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511255.45325428504</v>
      </c>
      <c r="E57" s="522">
        <f t="shared" si="15"/>
        <v>152136.64285714287</v>
      </c>
      <c r="F57" s="523">
        <f t="shared" si="16"/>
        <v>359118.8103971422</v>
      </c>
      <c r="G57" s="524">
        <f t="shared" si="20"/>
        <v>198622.45048540985</v>
      </c>
      <c r="H57" s="491">
        <f t="shared" si="21"/>
        <v>198622.45048540985</v>
      </c>
      <c r="I57" s="511">
        <f t="shared" si="6"/>
        <v>0</v>
      </c>
      <c r="J57" s="511"/>
      <c r="K57" s="525"/>
      <c r="L57" s="514">
        <f t="shared" si="19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359118.8103971422</v>
      </c>
      <c r="E58" s="522">
        <f t="shared" si="15"/>
        <v>152136.64285714287</v>
      </c>
      <c r="F58" s="523">
        <f t="shared" si="16"/>
        <v>206982.16753999933</v>
      </c>
      <c r="G58" s="524">
        <f t="shared" si="20"/>
        <v>182371.52256068477</v>
      </c>
      <c r="H58" s="491">
        <f t="shared" si="21"/>
        <v>182371.52256068477</v>
      </c>
      <c r="I58" s="511">
        <f t="shared" si="6"/>
        <v>0</v>
      </c>
      <c r="J58" s="511"/>
      <c r="K58" s="525"/>
      <c r="L58" s="514">
        <f t="shared" si="19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206982.16753999933</v>
      </c>
      <c r="E59" s="522">
        <f t="shared" si="15"/>
        <v>152136.64285714287</v>
      </c>
      <c r="F59" s="523">
        <f t="shared" si="16"/>
        <v>54845.524682856456</v>
      </c>
      <c r="G59" s="524">
        <f t="shared" si="20"/>
        <v>166120.59463595971</v>
      </c>
      <c r="H59" s="491">
        <f t="shared" si="21"/>
        <v>166120.59463595971</v>
      </c>
      <c r="I59" s="511">
        <f t="shared" si="6"/>
        <v>0</v>
      </c>
      <c r="J59" s="511"/>
      <c r="K59" s="525"/>
      <c r="L59" s="514">
        <f t="shared" si="19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54845.524682856456</v>
      </c>
      <c r="E60" s="522">
        <f t="shared" si="15"/>
        <v>54845.524682856456</v>
      </c>
      <c r="F60" s="523">
        <f t="shared" si="16"/>
        <v>0</v>
      </c>
      <c r="G60" s="524">
        <f t="shared" si="20"/>
        <v>57774.768591083601</v>
      </c>
      <c r="H60" s="491">
        <f t="shared" si="21"/>
        <v>57774.768591083601</v>
      </c>
      <c r="I60" s="511">
        <f t="shared" si="6"/>
        <v>0</v>
      </c>
      <c r="J60" s="511"/>
      <c r="K60" s="525"/>
      <c r="L60" s="514">
        <f t="shared" si="19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5"/>
        <v>0</v>
      </c>
      <c r="F61" s="523">
        <f t="shared" si="16"/>
        <v>0</v>
      </c>
      <c r="G61" s="524">
        <f t="shared" si="20"/>
        <v>0</v>
      </c>
      <c r="H61" s="491">
        <f t="shared" si="21"/>
        <v>0</v>
      </c>
      <c r="I61" s="511">
        <f t="shared" si="6"/>
        <v>0</v>
      </c>
      <c r="J61" s="511"/>
      <c r="K61" s="525"/>
      <c r="L61" s="514">
        <f t="shared" si="19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5"/>
        <v>0</v>
      </c>
      <c r="F62" s="523">
        <f t="shared" si="16"/>
        <v>0</v>
      </c>
      <c r="G62" s="524">
        <f t="shared" si="20"/>
        <v>0</v>
      </c>
      <c r="H62" s="491">
        <f t="shared" si="21"/>
        <v>0</v>
      </c>
      <c r="I62" s="511">
        <f t="shared" si="6"/>
        <v>0</v>
      </c>
      <c r="J62" s="511"/>
      <c r="K62" s="525"/>
      <c r="L62" s="514">
        <f t="shared" si="19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5"/>
        <v>0</v>
      </c>
      <c r="F63" s="523">
        <f t="shared" si="16"/>
        <v>0</v>
      </c>
      <c r="G63" s="524">
        <f t="shared" si="20"/>
        <v>0</v>
      </c>
      <c r="H63" s="491">
        <f t="shared" si="21"/>
        <v>0</v>
      </c>
      <c r="I63" s="511">
        <f t="shared" si="6"/>
        <v>0</v>
      </c>
      <c r="J63" s="511"/>
      <c r="K63" s="525"/>
      <c r="L63" s="514">
        <f t="shared" si="19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5"/>
        <v>0</v>
      </c>
      <c r="F64" s="523">
        <f t="shared" si="16"/>
        <v>0</v>
      </c>
      <c r="G64" s="524">
        <f t="shared" si="20"/>
        <v>0</v>
      </c>
      <c r="H64" s="491">
        <f t="shared" si="21"/>
        <v>0</v>
      </c>
      <c r="I64" s="511">
        <f t="shared" si="6"/>
        <v>0</v>
      </c>
      <c r="J64" s="511"/>
      <c r="K64" s="525"/>
      <c r="L64" s="514">
        <f t="shared" si="19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5"/>
        <v>0</v>
      </c>
      <c r="F65" s="523">
        <f t="shared" si="16"/>
        <v>0</v>
      </c>
      <c r="G65" s="524">
        <f t="shared" si="20"/>
        <v>0</v>
      </c>
      <c r="H65" s="491">
        <f t="shared" si="21"/>
        <v>0</v>
      </c>
      <c r="I65" s="511">
        <f t="shared" si="6"/>
        <v>0</v>
      </c>
      <c r="J65" s="511"/>
      <c r="K65" s="525"/>
      <c r="L65" s="514">
        <f t="shared" si="19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5"/>
        <v>0</v>
      </c>
      <c r="F66" s="523">
        <f t="shared" si="16"/>
        <v>0</v>
      </c>
      <c r="G66" s="524">
        <f t="shared" si="20"/>
        <v>0</v>
      </c>
      <c r="H66" s="491">
        <f t="shared" si="21"/>
        <v>0</v>
      </c>
      <c r="I66" s="511">
        <f t="shared" si="6"/>
        <v>0</v>
      </c>
      <c r="J66" s="511"/>
      <c r="K66" s="525"/>
      <c r="L66" s="514">
        <f t="shared" si="19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5"/>
        <v>0</v>
      </c>
      <c r="F67" s="523">
        <f t="shared" si="16"/>
        <v>0</v>
      </c>
      <c r="G67" s="524">
        <f t="shared" si="20"/>
        <v>0</v>
      </c>
      <c r="H67" s="491">
        <f t="shared" si="21"/>
        <v>0</v>
      </c>
      <c r="I67" s="511">
        <f t="shared" si="6"/>
        <v>0</v>
      </c>
      <c r="J67" s="511"/>
      <c r="K67" s="525"/>
      <c r="L67" s="514">
        <f t="shared" si="19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5"/>
        <v>0</v>
      </c>
      <c r="F68" s="523">
        <f t="shared" si="16"/>
        <v>0</v>
      </c>
      <c r="G68" s="524">
        <f t="shared" si="20"/>
        <v>0</v>
      </c>
      <c r="H68" s="491">
        <f t="shared" si="21"/>
        <v>0</v>
      </c>
      <c r="I68" s="511">
        <f t="shared" si="6"/>
        <v>0</v>
      </c>
      <c r="J68" s="511"/>
      <c r="K68" s="525"/>
      <c r="L68" s="514">
        <f t="shared" si="19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5"/>
        <v>0</v>
      </c>
      <c r="F69" s="523">
        <f t="shared" si="16"/>
        <v>0</v>
      </c>
      <c r="G69" s="524">
        <f t="shared" si="20"/>
        <v>0</v>
      </c>
      <c r="H69" s="491">
        <f t="shared" si="21"/>
        <v>0</v>
      </c>
      <c r="I69" s="511">
        <f t="shared" si="6"/>
        <v>0</v>
      </c>
      <c r="J69" s="511"/>
      <c r="K69" s="525"/>
      <c r="L69" s="514">
        <f t="shared" si="19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5"/>
        <v>0</v>
      </c>
      <c r="F70" s="523">
        <f t="shared" si="16"/>
        <v>0</v>
      </c>
      <c r="G70" s="524">
        <f t="shared" si="20"/>
        <v>0</v>
      </c>
      <c r="H70" s="491">
        <f t="shared" si="21"/>
        <v>0</v>
      </c>
      <c r="I70" s="511">
        <f t="shared" si="6"/>
        <v>0</v>
      </c>
      <c r="J70" s="511"/>
      <c r="K70" s="525"/>
      <c r="L70" s="514">
        <f t="shared" si="19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5"/>
        <v>0</v>
      </c>
      <c r="F71" s="523">
        <f t="shared" si="16"/>
        <v>0</v>
      </c>
      <c r="G71" s="524">
        <f t="shared" si="20"/>
        <v>0</v>
      </c>
      <c r="H71" s="491">
        <f t="shared" si="21"/>
        <v>0</v>
      </c>
      <c r="I71" s="511">
        <f t="shared" si="6"/>
        <v>0</v>
      </c>
      <c r="J71" s="511"/>
      <c r="K71" s="525"/>
      <c r="L71" s="514">
        <f t="shared" si="19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15"/>
        <v>0</v>
      </c>
      <c r="F72" s="523">
        <f t="shared" si="16"/>
        <v>0</v>
      </c>
      <c r="G72" s="524">
        <f t="shared" si="20"/>
        <v>0</v>
      </c>
      <c r="H72" s="491">
        <f t="shared" si="21"/>
        <v>0</v>
      </c>
      <c r="I72" s="511">
        <f t="shared" si="6"/>
        <v>0</v>
      </c>
      <c r="J72" s="511"/>
      <c r="K72" s="532"/>
      <c r="L72" s="533">
        <f t="shared" si="19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6389738.9999999991</v>
      </c>
      <c r="F73" s="375"/>
      <c r="G73" s="375">
        <f>SUM(G17:G72)</f>
        <v>20735304.052258674</v>
      </c>
      <c r="H73" s="375">
        <f>SUM(H17:H72)</f>
        <v>20735304.052258674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36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714348.32768844545</v>
      </c>
      <c r="N87" s="546">
        <f>IF(J92&lt;D11,0,VLOOKUP(J92,C17:O72,11))</f>
        <v>714348.32768844545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730645.78949753172</v>
      </c>
      <c r="N88" s="550">
        <f>IF(J92&lt;D11,0,VLOOKUP(J92,C99:P154,7))</f>
        <v>730645.78949753172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Osburn 161 kV Line Work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16297.461809086264</v>
      </c>
      <c r="N89" s="555">
        <f>+N88-N87</f>
        <v>16297.461809086264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TP______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6389739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36" t="s">
        <v>373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9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152136.64285714287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 t="str">
        <f>IF(D93= "","-",D93)</f>
        <v>2013</v>
      </c>
      <c r="D99" s="629">
        <v>0</v>
      </c>
      <c r="E99" s="630">
        <v>30140.049603174608</v>
      </c>
      <c r="F99" s="631">
        <v>3007976.9503968256</v>
      </c>
      <c r="G99" s="632">
        <v>1503988.4751984128</v>
      </c>
      <c r="H99" s="633">
        <v>233617.21066655827</v>
      </c>
      <c r="I99" s="634">
        <v>233617.21066655827</v>
      </c>
      <c r="J99" s="613">
        <v>0</v>
      </c>
      <c r="K99" s="514"/>
      <c r="L99" s="518">
        <f t="shared" ref="L99:L104" si="22">H99</f>
        <v>233617.21066655827</v>
      </c>
      <c r="M99" s="519">
        <f t="shared" ref="M99:M104" si="23">IF(L99&lt;&gt;0,+H99-L99,0)</f>
        <v>0</v>
      </c>
      <c r="N99" s="518">
        <f t="shared" ref="N99:N104" si="24">I99</f>
        <v>233617.21066655827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3007976.9503968256</v>
      </c>
      <c r="E100" s="630">
        <v>152136.64285714287</v>
      </c>
      <c r="F100" s="631">
        <v>2855840.3075396828</v>
      </c>
      <c r="G100" s="631">
        <v>2931908.6289682542</v>
      </c>
      <c r="H100" s="633">
        <v>550651.80741983175</v>
      </c>
      <c r="I100" s="634">
        <v>550651.80741983175</v>
      </c>
      <c r="J100" s="514">
        <v>0</v>
      </c>
      <c r="K100" s="514"/>
      <c r="L100" s="518">
        <f t="shared" si="22"/>
        <v>550651.80741983175</v>
      </c>
      <c r="M100" s="519">
        <f t="shared" si="23"/>
        <v>0</v>
      </c>
      <c r="N100" s="518">
        <f t="shared" si="24"/>
        <v>550651.80741983175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25">IF(D101=F100,"","IU")</f>
        <v>IU</v>
      </c>
      <c r="C101" s="507">
        <f>IF(D93="","-",+C100+1)</f>
        <v>2015</v>
      </c>
      <c r="D101" s="629">
        <v>6207462.3075396828</v>
      </c>
      <c r="E101" s="630">
        <v>152136.64285714287</v>
      </c>
      <c r="F101" s="631">
        <v>6055325.6646825401</v>
      </c>
      <c r="G101" s="631">
        <v>6131393.9861111119</v>
      </c>
      <c r="H101" s="633">
        <v>960063.54821647424</v>
      </c>
      <c r="I101" s="634">
        <v>960063.54821647424</v>
      </c>
      <c r="J101" s="514">
        <f>+I101-H101</f>
        <v>0</v>
      </c>
      <c r="K101" s="514"/>
      <c r="L101" s="518">
        <f t="shared" si="22"/>
        <v>960063.54821647424</v>
      </c>
      <c r="M101" s="519">
        <f t="shared" si="23"/>
        <v>0</v>
      </c>
      <c r="N101" s="518">
        <f t="shared" si="24"/>
        <v>960063.54821647424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5"/>
        <v/>
      </c>
      <c r="C102" s="507">
        <f>IF(D93="","-",+C101+1)</f>
        <v>2016</v>
      </c>
      <c r="D102" s="629">
        <v>6055325.6646825401</v>
      </c>
      <c r="E102" s="630">
        <v>148598.58139534883</v>
      </c>
      <c r="F102" s="631">
        <v>5906727.0832871916</v>
      </c>
      <c r="G102" s="631">
        <v>5981026.3739848658</v>
      </c>
      <c r="H102" s="633">
        <v>907889.80952511146</v>
      </c>
      <c r="I102" s="634">
        <v>907889.80952511146</v>
      </c>
      <c r="J102" s="514">
        <f t="shared" ref="J102:J154" si="26">+I102-H102</f>
        <v>0</v>
      </c>
      <c r="K102" s="514"/>
      <c r="L102" s="518">
        <f t="shared" si="22"/>
        <v>907889.80952511146</v>
      </c>
      <c r="M102" s="519">
        <f t="shared" si="23"/>
        <v>0</v>
      </c>
      <c r="N102" s="518">
        <f t="shared" si="24"/>
        <v>907889.80952511146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5"/>
        <v/>
      </c>
      <c r="C103" s="507">
        <f>IF(D93="","-",+C102+1)</f>
        <v>2017</v>
      </c>
      <c r="D103" s="629">
        <v>5906727.0832871916</v>
      </c>
      <c r="E103" s="630">
        <v>152136.64285714287</v>
      </c>
      <c r="F103" s="631">
        <v>5754590.4404300489</v>
      </c>
      <c r="G103" s="631">
        <v>5830658.7618586197</v>
      </c>
      <c r="H103" s="633">
        <v>860395.26191799133</v>
      </c>
      <c r="I103" s="634">
        <v>860395.26191799133</v>
      </c>
      <c r="J103" s="514">
        <f t="shared" si="26"/>
        <v>0</v>
      </c>
      <c r="K103" s="514"/>
      <c r="L103" s="518">
        <f t="shared" si="22"/>
        <v>860395.26191799133</v>
      </c>
      <c r="M103" s="519">
        <f t="shared" si="23"/>
        <v>0</v>
      </c>
      <c r="N103" s="518">
        <f t="shared" si="24"/>
        <v>860395.26191799133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5"/>
        <v/>
      </c>
      <c r="C104" s="507">
        <f>IF(D93="","-",+C103+1)</f>
        <v>2018</v>
      </c>
      <c r="D104" s="629">
        <v>5754590.4404300489</v>
      </c>
      <c r="E104" s="630">
        <v>152136.64285714287</v>
      </c>
      <c r="F104" s="631">
        <v>5602453.7975729061</v>
      </c>
      <c r="G104" s="631">
        <v>5678522.119001478</v>
      </c>
      <c r="H104" s="633">
        <v>751814.61930280633</v>
      </c>
      <c r="I104" s="634">
        <v>751814.61930280633</v>
      </c>
      <c r="J104" s="514">
        <f t="shared" si="26"/>
        <v>0</v>
      </c>
      <c r="K104" s="514"/>
      <c r="L104" s="518">
        <f t="shared" si="22"/>
        <v>751814.61930280633</v>
      </c>
      <c r="M104" s="519">
        <f t="shared" si="23"/>
        <v>0</v>
      </c>
      <c r="N104" s="518">
        <f t="shared" si="24"/>
        <v>751814.61930280633</v>
      </c>
      <c r="O104" s="514">
        <f t="shared" ref="O104:O130" si="27">IF(N104&lt;&gt;0,+I104-N104,0)</f>
        <v>0</v>
      </c>
      <c r="P104" s="514">
        <f t="shared" ref="P104:P130" si="28">+O104-M104</f>
        <v>0</v>
      </c>
      <c r="Q104" s="269"/>
    </row>
    <row r="105" spans="1:17" ht="12.5">
      <c r="B105" s="195" t="str">
        <f t="shared" si="25"/>
        <v/>
      </c>
      <c r="C105" s="507">
        <f>IF(D93="","-",+C104+1)</f>
        <v>2019</v>
      </c>
      <c r="D105" s="629">
        <v>5602453.7975729061</v>
      </c>
      <c r="E105" s="630">
        <v>148598.58139534883</v>
      </c>
      <c r="F105" s="631">
        <v>5453855.2161775576</v>
      </c>
      <c r="G105" s="631">
        <v>5528154.5068752319</v>
      </c>
      <c r="H105" s="633">
        <v>740335.26118023507</v>
      </c>
      <c r="I105" s="634">
        <v>740335.26118023507</v>
      </c>
      <c r="J105" s="514">
        <f t="shared" si="26"/>
        <v>0</v>
      </c>
      <c r="K105" s="514"/>
      <c r="L105" s="518">
        <f t="shared" ref="L105" si="29">H105</f>
        <v>740335.26118023507</v>
      </c>
      <c r="M105" s="519">
        <f t="shared" ref="M105" si="30">IF(L105&lt;&gt;0,+H105-L105,0)</f>
        <v>0</v>
      </c>
      <c r="N105" s="518">
        <f t="shared" ref="N105" si="31">I105</f>
        <v>740335.26118023507</v>
      </c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5"/>
        <v/>
      </c>
      <c r="C106" s="507">
        <f>IF(D93="","-",+C105+1)</f>
        <v>2020</v>
      </c>
      <c r="D106" s="374">
        <f>IF(F105+SUM(E$99:E105)=D$92,F105,D$92-SUM(E$99:E105))</f>
        <v>5453855.2161775576</v>
      </c>
      <c r="E106" s="522">
        <f t="shared" ref="E106:E154" si="32">IF(+$J$96&lt;F105,$J$96,D106)</f>
        <v>152136.64285714287</v>
      </c>
      <c r="F106" s="523">
        <f t="shared" ref="F106:F154" si="33">+D106-E106</f>
        <v>5301718.5733204149</v>
      </c>
      <c r="G106" s="523">
        <f t="shared" ref="G106:G154" si="34">+(F106+D106)/2</f>
        <v>5377786.8947489858</v>
      </c>
      <c r="H106" s="526">
        <f t="shared" ref="H106:H154" si="35">+J$94*G106+E106</f>
        <v>730645.78949753172</v>
      </c>
      <c r="I106" s="577">
        <f t="shared" ref="I106:I154" si="36">+J$95*G106+E106</f>
        <v>730645.78949753172</v>
      </c>
      <c r="J106" s="514">
        <f t="shared" si="26"/>
        <v>0</v>
      </c>
      <c r="K106" s="514"/>
      <c r="L106" s="525"/>
      <c r="M106" s="514">
        <f t="shared" ref="M106:M130" si="37">IF(L106&lt;&gt;0,+H106-L106,0)</f>
        <v>0</v>
      </c>
      <c r="N106" s="525"/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5"/>
        <v/>
      </c>
      <c r="C107" s="507">
        <f>IF(D93="","-",+C106+1)</f>
        <v>2021</v>
      </c>
      <c r="D107" s="374">
        <f>IF(F106+SUM(E$99:E106)=D$92,F106,D$92-SUM(E$99:E106))</f>
        <v>5301718.5733204149</v>
      </c>
      <c r="E107" s="522">
        <f t="shared" si="32"/>
        <v>152136.64285714287</v>
      </c>
      <c r="F107" s="523">
        <f t="shared" si="33"/>
        <v>5149581.9304632721</v>
      </c>
      <c r="G107" s="523">
        <f t="shared" si="34"/>
        <v>5225650.251891844</v>
      </c>
      <c r="H107" s="526">
        <f t="shared" si="35"/>
        <v>714279.86776159296</v>
      </c>
      <c r="I107" s="577">
        <f t="shared" si="36"/>
        <v>714279.86776159296</v>
      </c>
      <c r="J107" s="514">
        <f t="shared" si="26"/>
        <v>0</v>
      </c>
      <c r="K107" s="514"/>
      <c r="L107" s="525"/>
      <c r="M107" s="514">
        <f t="shared" si="37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5"/>
        <v/>
      </c>
      <c r="C108" s="507">
        <f>IF(D93="","-",+C107+1)</f>
        <v>2022</v>
      </c>
      <c r="D108" s="374">
        <f>IF(F107+SUM(E$99:E107)=D$92,F107,D$92-SUM(E$99:E107))</f>
        <v>5149581.9304632721</v>
      </c>
      <c r="E108" s="522">
        <f t="shared" si="32"/>
        <v>152136.64285714287</v>
      </c>
      <c r="F108" s="523">
        <f t="shared" si="33"/>
        <v>4997445.2876061294</v>
      </c>
      <c r="G108" s="523">
        <f t="shared" si="34"/>
        <v>5073513.6090347003</v>
      </c>
      <c r="H108" s="526">
        <f t="shared" si="35"/>
        <v>697913.94602565409</v>
      </c>
      <c r="I108" s="577">
        <f t="shared" si="36"/>
        <v>697913.94602565409</v>
      </c>
      <c r="J108" s="514">
        <f t="shared" si="26"/>
        <v>0</v>
      </c>
      <c r="K108" s="514"/>
      <c r="L108" s="525"/>
      <c r="M108" s="514">
        <f t="shared" si="37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2023</v>
      </c>
      <c r="D109" s="374">
        <f>IF(F108+SUM(E$99:E108)=D$92,F108,D$92-SUM(E$99:E108))</f>
        <v>4997445.2876061294</v>
      </c>
      <c r="E109" s="522">
        <f t="shared" si="32"/>
        <v>152136.64285714287</v>
      </c>
      <c r="F109" s="523">
        <f t="shared" si="33"/>
        <v>4845308.6447489867</v>
      </c>
      <c r="G109" s="523">
        <f t="shared" si="34"/>
        <v>4921376.9661775585</v>
      </c>
      <c r="H109" s="526">
        <f t="shared" si="35"/>
        <v>681548.02428971545</v>
      </c>
      <c r="I109" s="577">
        <f t="shared" si="36"/>
        <v>681548.02428971545</v>
      </c>
      <c r="J109" s="514">
        <f t="shared" si="26"/>
        <v>0</v>
      </c>
      <c r="K109" s="514"/>
      <c r="L109" s="525"/>
      <c r="M109" s="514">
        <f t="shared" si="37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2024</v>
      </c>
      <c r="D110" s="374">
        <f>IF(F109+SUM(E$99:E109)=D$92,F109,D$92-SUM(E$99:E109))</f>
        <v>4845308.6447489867</v>
      </c>
      <c r="E110" s="522">
        <f t="shared" si="32"/>
        <v>152136.64285714287</v>
      </c>
      <c r="F110" s="523">
        <f t="shared" si="33"/>
        <v>4693172.001891844</v>
      </c>
      <c r="G110" s="523">
        <f t="shared" si="34"/>
        <v>4769240.3233204149</v>
      </c>
      <c r="H110" s="526">
        <f t="shared" si="35"/>
        <v>665182.10255377658</v>
      </c>
      <c r="I110" s="577">
        <f t="shared" si="36"/>
        <v>665182.10255377658</v>
      </c>
      <c r="J110" s="514">
        <f t="shared" si="26"/>
        <v>0</v>
      </c>
      <c r="K110" s="514"/>
      <c r="L110" s="525"/>
      <c r="M110" s="514">
        <f t="shared" si="37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2025</v>
      </c>
      <c r="D111" s="374">
        <f>IF(F110+SUM(E$99:E110)=D$92,F110,D$92-SUM(E$99:E110))</f>
        <v>4693172.001891844</v>
      </c>
      <c r="E111" s="522">
        <f t="shared" si="32"/>
        <v>152136.64285714287</v>
      </c>
      <c r="F111" s="523">
        <f t="shared" si="33"/>
        <v>4541035.3590347013</v>
      </c>
      <c r="G111" s="523">
        <f t="shared" si="34"/>
        <v>4617103.6804632731</v>
      </c>
      <c r="H111" s="526">
        <f t="shared" si="35"/>
        <v>648816.18081783783</v>
      </c>
      <c r="I111" s="577">
        <f t="shared" si="36"/>
        <v>648816.18081783783</v>
      </c>
      <c r="J111" s="514">
        <f t="shared" si="26"/>
        <v>0</v>
      </c>
      <c r="K111" s="514"/>
      <c r="L111" s="525"/>
      <c r="M111" s="514">
        <f t="shared" si="37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2026</v>
      </c>
      <c r="D112" s="374">
        <f>IF(F111+SUM(E$99:E111)=D$92,F111,D$92-SUM(E$99:E111))</f>
        <v>4541035.3590347013</v>
      </c>
      <c r="E112" s="522">
        <f t="shared" si="32"/>
        <v>152136.64285714287</v>
      </c>
      <c r="F112" s="523">
        <f t="shared" si="33"/>
        <v>4388898.7161775585</v>
      </c>
      <c r="G112" s="523">
        <f t="shared" si="34"/>
        <v>4464967.0376061294</v>
      </c>
      <c r="H112" s="526">
        <f t="shared" si="35"/>
        <v>632450.25908189896</v>
      </c>
      <c r="I112" s="577">
        <f t="shared" si="36"/>
        <v>632450.25908189896</v>
      </c>
      <c r="J112" s="514">
        <f t="shared" si="26"/>
        <v>0</v>
      </c>
      <c r="K112" s="514"/>
      <c r="L112" s="525"/>
      <c r="M112" s="514">
        <f t="shared" si="37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2027</v>
      </c>
      <c r="D113" s="374">
        <f>IF(F112+SUM(E$99:E112)=D$92,F112,D$92-SUM(E$99:E112))</f>
        <v>4388898.7161775585</v>
      </c>
      <c r="E113" s="522">
        <f t="shared" si="32"/>
        <v>152136.64285714287</v>
      </c>
      <c r="F113" s="523">
        <f t="shared" si="33"/>
        <v>4236762.0733204158</v>
      </c>
      <c r="G113" s="523">
        <f t="shared" si="34"/>
        <v>4312830.3947489876</v>
      </c>
      <c r="H113" s="526">
        <f t="shared" si="35"/>
        <v>616084.3373459602</v>
      </c>
      <c r="I113" s="577">
        <f t="shared" si="36"/>
        <v>616084.3373459602</v>
      </c>
      <c r="J113" s="514">
        <f t="shared" si="26"/>
        <v>0</v>
      </c>
      <c r="K113" s="514"/>
      <c r="L113" s="525"/>
      <c r="M113" s="514">
        <f t="shared" si="37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2028</v>
      </c>
      <c r="D114" s="374">
        <f>IF(F113+SUM(E$99:E113)=D$92,F113,D$92-SUM(E$99:E113))</f>
        <v>4236762.0733204158</v>
      </c>
      <c r="E114" s="522">
        <f t="shared" si="32"/>
        <v>152136.64285714287</v>
      </c>
      <c r="F114" s="523">
        <f t="shared" si="33"/>
        <v>4084625.4304632731</v>
      </c>
      <c r="G114" s="523">
        <f t="shared" si="34"/>
        <v>4160693.7518918444</v>
      </c>
      <c r="H114" s="526">
        <f t="shared" si="35"/>
        <v>599718.41561002145</v>
      </c>
      <c r="I114" s="577">
        <f t="shared" si="36"/>
        <v>599718.41561002145</v>
      </c>
      <c r="J114" s="514">
        <f t="shared" si="26"/>
        <v>0</v>
      </c>
      <c r="K114" s="514"/>
      <c r="L114" s="525"/>
      <c r="M114" s="514">
        <f t="shared" si="37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2029</v>
      </c>
      <c r="D115" s="374">
        <f>IF(F114+SUM(E$99:E114)=D$92,F114,D$92-SUM(E$99:E114))</f>
        <v>4084625.4304632731</v>
      </c>
      <c r="E115" s="522">
        <f t="shared" si="32"/>
        <v>152136.64285714287</v>
      </c>
      <c r="F115" s="523">
        <f t="shared" si="33"/>
        <v>3932488.7876061304</v>
      </c>
      <c r="G115" s="523">
        <f t="shared" si="34"/>
        <v>4008557.1090347017</v>
      </c>
      <c r="H115" s="526">
        <f t="shared" si="35"/>
        <v>583352.49387408257</v>
      </c>
      <c r="I115" s="577">
        <f t="shared" si="36"/>
        <v>583352.49387408257</v>
      </c>
      <c r="J115" s="514">
        <f t="shared" si="26"/>
        <v>0</v>
      </c>
      <c r="K115" s="514"/>
      <c r="L115" s="525"/>
      <c r="M115" s="514">
        <f t="shared" si="37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2030</v>
      </c>
      <c r="D116" s="374">
        <f>IF(F115+SUM(E$99:E115)=D$92,F115,D$92-SUM(E$99:E115))</f>
        <v>3932488.7876061304</v>
      </c>
      <c r="E116" s="522">
        <f t="shared" si="32"/>
        <v>152136.64285714287</v>
      </c>
      <c r="F116" s="523">
        <f t="shared" si="33"/>
        <v>3780352.1447489876</v>
      </c>
      <c r="G116" s="523">
        <f t="shared" si="34"/>
        <v>3856420.466177559</v>
      </c>
      <c r="H116" s="526">
        <f t="shared" si="35"/>
        <v>566986.57213814382</v>
      </c>
      <c r="I116" s="577">
        <f t="shared" si="36"/>
        <v>566986.57213814382</v>
      </c>
      <c r="J116" s="514">
        <f t="shared" si="26"/>
        <v>0</v>
      </c>
      <c r="K116" s="514"/>
      <c r="L116" s="525"/>
      <c r="M116" s="514">
        <f t="shared" si="37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2031</v>
      </c>
      <c r="D117" s="374">
        <f>IF(F116+SUM(E$99:E116)=D$92,F116,D$92-SUM(E$99:E116))</f>
        <v>3780352.1447489876</v>
      </c>
      <c r="E117" s="522">
        <f t="shared" si="32"/>
        <v>152136.64285714287</v>
      </c>
      <c r="F117" s="523">
        <f t="shared" si="33"/>
        <v>3628215.5018918449</v>
      </c>
      <c r="G117" s="523">
        <f t="shared" si="34"/>
        <v>3704283.8233204163</v>
      </c>
      <c r="H117" s="526">
        <f t="shared" si="35"/>
        <v>550620.65040220495</v>
      </c>
      <c r="I117" s="577">
        <f t="shared" si="36"/>
        <v>550620.65040220495</v>
      </c>
      <c r="J117" s="514">
        <f t="shared" si="26"/>
        <v>0</v>
      </c>
      <c r="K117" s="514"/>
      <c r="L117" s="525"/>
      <c r="M117" s="514">
        <f t="shared" si="37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2032</v>
      </c>
      <c r="D118" s="374">
        <f>IF(F117+SUM(E$99:E117)=D$92,F117,D$92-SUM(E$99:E117))</f>
        <v>3628215.5018918449</v>
      </c>
      <c r="E118" s="522">
        <f t="shared" si="32"/>
        <v>152136.64285714287</v>
      </c>
      <c r="F118" s="523">
        <f t="shared" si="33"/>
        <v>3476078.8590347022</v>
      </c>
      <c r="G118" s="523">
        <f t="shared" si="34"/>
        <v>3552147.1804632735</v>
      </c>
      <c r="H118" s="526">
        <f t="shared" si="35"/>
        <v>534254.72866626619</v>
      </c>
      <c r="I118" s="577">
        <f t="shared" si="36"/>
        <v>534254.72866626619</v>
      </c>
      <c r="J118" s="514">
        <f t="shared" si="26"/>
        <v>0</v>
      </c>
      <c r="K118" s="514"/>
      <c r="L118" s="525"/>
      <c r="M118" s="514">
        <f t="shared" si="37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2033</v>
      </c>
      <c r="D119" s="374">
        <f>IF(F118+SUM(E$99:E118)=D$92,F118,D$92-SUM(E$99:E118))</f>
        <v>3476078.8590347022</v>
      </c>
      <c r="E119" s="522">
        <f t="shared" si="32"/>
        <v>152136.64285714287</v>
      </c>
      <c r="F119" s="523">
        <f t="shared" si="33"/>
        <v>3323942.2161775595</v>
      </c>
      <c r="G119" s="523">
        <f t="shared" si="34"/>
        <v>3400010.5376061308</v>
      </c>
      <c r="H119" s="526">
        <f t="shared" si="35"/>
        <v>517888.80693032744</v>
      </c>
      <c r="I119" s="577">
        <f t="shared" si="36"/>
        <v>517888.80693032744</v>
      </c>
      <c r="J119" s="514">
        <f t="shared" si="26"/>
        <v>0</v>
      </c>
      <c r="K119" s="514"/>
      <c r="L119" s="525"/>
      <c r="M119" s="514">
        <f t="shared" si="37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2034</v>
      </c>
      <c r="D120" s="374">
        <f>IF(F119+SUM(E$99:E119)=D$92,F119,D$92-SUM(E$99:E119))</f>
        <v>3323942.2161775595</v>
      </c>
      <c r="E120" s="522">
        <f t="shared" si="32"/>
        <v>152136.64285714287</v>
      </c>
      <c r="F120" s="523">
        <f t="shared" si="33"/>
        <v>3171805.5733204167</v>
      </c>
      <c r="G120" s="523">
        <f t="shared" si="34"/>
        <v>3247873.8947489881</v>
      </c>
      <c r="H120" s="526">
        <f t="shared" si="35"/>
        <v>501522.88519438857</v>
      </c>
      <c r="I120" s="577">
        <f t="shared" si="36"/>
        <v>501522.88519438857</v>
      </c>
      <c r="J120" s="514">
        <f t="shared" si="26"/>
        <v>0</v>
      </c>
      <c r="K120" s="514"/>
      <c r="L120" s="525"/>
      <c r="M120" s="514">
        <f t="shared" si="37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2035</v>
      </c>
      <c r="D121" s="374">
        <f>IF(F120+SUM(E$99:E120)=D$92,F120,D$92-SUM(E$99:E120))</f>
        <v>3171805.5733204167</v>
      </c>
      <c r="E121" s="522">
        <f t="shared" si="32"/>
        <v>152136.64285714287</v>
      </c>
      <c r="F121" s="523">
        <f t="shared" si="33"/>
        <v>3019668.930463274</v>
      </c>
      <c r="G121" s="523">
        <f t="shared" si="34"/>
        <v>3095737.2518918454</v>
      </c>
      <c r="H121" s="526">
        <f t="shared" si="35"/>
        <v>485156.96345844981</v>
      </c>
      <c r="I121" s="577">
        <f t="shared" si="36"/>
        <v>485156.96345844981</v>
      </c>
      <c r="J121" s="514">
        <f t="shared" si="26"/>
        <v>0</v>
      </c>
      <c r="K121" s="514"/>
      <c r="L121" s="525"/>
      <c r="M121" s="514">
        <f t="shared" si="37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2036</v>
      </c>
      <c r="D122" s="374">
        <f>IF(F121+SUM(E$99:E121)=D$92,F121,D$92-SUM(E$99:E121))</f>
        <v>3019668.930463274</v>
      </c>
      <c r="E122" s="522">
        <f t="shared" si="32"/>
        <v>152136.64285714287</v>
      </c>
      <c r="F122" s="523">
        <f t="shared" si="33"/>
        <v>2867532.2876061313</v>
      </c>
      <c r="G122" s="523">
        <f t="shared" si="34"/>
        <v>2943600.6090347026</v>
      </c>
      <c r="H122" s="526">
        <f t="shared" si="35"/>
        <v>468791.04172251094</v>
      </c>
      <c r="I122" s="577">
        <f t="shared" si="36"/>
        <v>468791.04172251094</v>
      </c>
      <c r="J122" s="514">
        <f t="shared" si="26"/>
        <v>0</v>
      </c>
      <c r="K122" s="514"/>
      <c r="L122" s="525"/>
      <c r="M122" s="514">
        <f t="shared" si="37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2037</v>
      </c>
      <c r="D123" s="374">
        <f>IF(F122+SUM(E$99:E122)=D$92,F122,D$92-SUM(E$99:E122))</f>
        <v>2867532.2876061313</v>
      </c>
      <c r="E123" s="522">
        <f t="shared" si="32"/>
        <v>152136.64285714287</v>
      </c>
      <c r="F123" s="523">
        <f t="shared" si="33"/>
        <v>2715395.6447489886</v>
      </c>
      <c r="G123" s="523">
        <f t="shared" si="34"/>
        <v>2791463.9661775599</v>
      </c>
      <c r="H123" s="526">
        <f t="shared" si="35"/>
        <v>452425.11998657219</v>
      </c>
      <c r="I123" s="577">
        <f t="shared" si="36"/>
        <v>452425.11998657219</v>
      </c>
      <c r="J123" s="514">
        <f t="shared" si="26"/>
        <v>0</v>
      </c>
      <c r="K123" s="514"/>
      <c r="L123" s="525"/>
      <c r="M123" s="514">
        <f t="shared" si="37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2038</v>
      </c>
      <c r="D124" s="374">
        <f>IF(F123+SUM(E$99:E123)=D$92,F123,D$92-SUM(E$99:E123))</f>
        <v>2715395.6447489886</v>
      </c>
      <c r="E124" s="522">
        <f t="shared" si="32"/>
        <v>152136.64285714287</v>
      </c>
      <c r="F124" s="523">
        <f t="shared" si="33"/>
        <v>2563259.0018918458</v>
      </c>
      <c r="G124" s="523">
        <f t="shared" si="34"/>
        <v>2639327.3233204172</v>
      </c>
      <c r="H124" s="526">
        <f t="shared" si="35"/>
        <v>436059.19825063343</v>
      </c>
      <c r="I124" s="577">
        <f t="shared" si="36"/>
        <v>436059.19825063343</v>
      </c>
      <c r="J124" s="514">
        <f t="shared" si="26"/>
        <v>0</v>
      </c>
      <c r="K124" s="514"/>
      <c r="L124" s="525"/>
      <c r="M124" s="514">
        <f t="shared" si="37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2039</v>
      </c>
      <c r="D125" s="374">
        <f>IF(F124+SUM(E$99:E124)=D$92,F124,D$92-SUM(E$99:E124))</f>
        <v>2563259.0018918458</v>
      </c>
      <c r="E125" s="522">
        <f t="shared" si="32"/>
        <v>152136.64285714287</v>
      </c>
      <c r="F125" s="523">
        <f t="shared" si="33"/>
        <v>2411122.3590347031</v>
      </c>
      <c r="G125" s="523">
        <f t="shared" si="34"/>
        <v>2487190.6804632745</v>
      </c>
      <c r="H125" s="526">
        <f t="shared" si="35"/>
        <v>419693.27651469456</v>
      </c>
      <c r="I125" s="577">
        <f t="shared" si="36"/>
        <v>419693.27651469456</v>
      </c>
      <c r="J125" s="514">
        <f t="shared" si="26"/>
        <v>0</v>
      </c>
      <c r="K125" s="514"/>
      <c r="L125" s="525"/>
      <c r="M125" s="514">
        <f t="shared" si="37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2040</v>
      </c>
      <c r="D126" s="374">
        <f>IF(F125+SUM(E$99:E125)=D$92,F125,D$92-SUM(E$99:E125))</f>
        <v>2411122.3590347031</v>
      </c>
      <c r="E126" s="522">
        <f t="shared" si="32"/>
        <v>152136.64285714287</v>
      </c>
      <c r="F126" s="523">
        <f t="shared" si="33"/>
        <v>2258985.7161775604</v>
      </c>
      <c r="G126" s="523">
        <f t="shared" si="34"/>
        <v>2335054.0376061318</v>
      </c>
      <c r="H126" s="526">
        <f t="shared" si="35"/>
        <v>403327.35477875581</v>
      </c>
      <c r="I126" s="577">
        <f t="shared" si="36"/>
        <v>403327.35477875581</v>
      </c>
      <c r="J126" s="514">
        <f t="shared" si="26"/>
        <v>0</v>
      </c>
      <c r="K126" s="514"/>
      <c r="L126" s="525"/>
      <c r="M126" s="514">
        <f t="shared" si="37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2041</v>
      </c>
      <c r="D127" s="374">
        <f>IF(F126+SUM(E$99:E126)=D$92,F126,D$92-SUM(E$99:E126))</f>
        <v>2258985.7161775604</v>
      </c>
      <c r="E127" s="522">
        <f t="shared" si="32"/>
        <v>152136.64285714287</v>
      </c>
      <c r="F127" s="523">
        <f t="shared" si="33"/>
        <v>2106849.0733204177</v>
      </c>
      <c r="G127" s="523">
        <f t="shared" si="34"/>
        <v>2182917.394748989</v>
      </c>
      <c r="H127" s="526">
        <f t="shared" si="35"/>
        <v>386961.43304281699</v>
      </c>
      <c r="I127" s="577">
        <f t="shared" si="36"/>
        <v>386961.43304281699</v>
      </c>
      <c r="J127" s="514">
        <f t="shared" si="26"/>
        <v>0</v>
      </c>
      <c r="K127" s="514"/>
      <c r="L127" s="525"/>
      <c r="M127" s="514">
        <f t="shared" si="37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2042</v>
      </c>
      <c r="D128" s="374">
        <f>IF(F127+SUM(E$99:E127)=D$92,F127,D$92-SUM(E$99:E127))</f>
        <v>2106849.0733204177</v>
      </c>
      <c r="E128" s="522">
        <f t="shared" si="32"/>
        <v>152136.64285714287</v>
      </c>
      <c r="F128" s="523">
        <f t="shared" si="33"/>
        <v>1954712.4304632747</v>
      </c>
      <c r="G128" s="523">
        <f t="shared" si="34"/>
        <v>2030780.7518918463</v>
      </c>
      <c r="H128" s="526">
        <f t="shared" si="35"/>
        <v>370595.51130687818</v>
      </c>
      <c r="I128" s="577">
        <f t="shared" si="36"/>
        <v>370595.51130687818</v>
      </c>
      <c r="J128" s="514">
        <f t="shared" si="26"/>
        <v>0</v>
      </c>
      <c r="K128" s="514"/>
      <c r="L128" s="525"/>
      <c r="M128" s="514">
        <f t="shared" si="37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2043</v>
      </c>
      <c r="D129" s="374">
        <f>IF(F128+SUM(E$99:E128)=D$92,F128,D$92-SUM(E$99:E128))</f>
        <v>1954712.4304632747</v>
      </c>
      <c r="E129" s="522">
        <f t="shared" si="32"/>
        <v>152136.64285714287</v>
      </c>
      <c r="F129" s="523">
        <f t="shared" si="33"/>
        <v>1802575.7876061318</v>
      </c>
      <c r="G129" s="523">
        <f t="shared" si="34"/>
        <v>1878644.1090347031</v>
      </c>
      <c r="H129" s="526">
        <f t="shared" si="35"/>
        <v>354229.58957093931</v>
      </c>
      <c r="I129" s="577">
        <f t="shared" si="36"/>
        <v>354229.58957093931</v>
      </c>
      <c r="J129" s="514">
        <f t="shared" si="26"/>
        <v>0</v>
      </c>
      <c r="K129" s="514"/>
      <c r="L129" s="525"/>
      <c r="M129" s="514">
        <f t="shared" si="37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2044</v>
      </c>
      <c r="D130" s="374">
        <f>IF(F129+SUM(E$99:E129)=D$92,F129,D$92-SUM(E$99:E129))</f>
        <v>1802575.7876061318</v>
      </c>
      <c r="E130" s="522">
        <f t="shared" si="32"/>
        <v>152136.64285714287</v>
      </c>
      <c r="F130" s="523">
        <f t="shared" si="33"/>
        <v>1650439.1447489888</v>
      </c>
      <c r="G130" s="523">
        <f t="shared" si="34"/>
        <v>1726507.4661775604</v>
      </c>
      <c r="H130" s="526">
        <f t="shared" si="35"/>
        <v>337863.66783500055</v>
      </c>
      <c r="I130" s="577">
        <f t="shared" si="36"/>
        <v>337863.66783500055</v>
      </c>
      <c r="J130" s="514">
        <f t="shared" si="26"/>
        <v>0</v>
      </c>
      <c r="K130" s="514"/>
      <c r="L130" s="525"/>
      <c r="M130" s="514">
        <f t="shared" si="37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2045</v>
      </c>
      <c r="D131" s="374">
        <f>IF(F130+SUM(E$99:E130)=D$92,F130,D$92-SUM(E$99:E130))</f>
        <v>1650439.1447489888</v>
      </c>
      <c r="E131" s="522">
        <f t="shared" si="32"/>
        <v>152136.64285714287</v>
      </c>
      <c r="F131" s="523">
        <f t="shared" si="33"/>
        <v>1498302.5018918458</v>
      </c>
      <c r="G131" s="523">
        <f t="shared" si="34"/>
        <v>1574370.8233204172</v>
      </c>
      <c r="H131" s="526">
        <f t="shared" si="35"/>
        <v>321497.74609906168</v>
      </c>
      <c r="I131" s="577">
        <f t="shared" si="36"/>
        <v>321497.74609906168</v>
      </c>
      <c r="J131" s="514">
        <f t="shared" si="26"/>
        <v>0</v>
      </c>
      <c r="K131" s="514"/>
      <c r="L131" s="525"/>
      <c r="M131" s="514">
        <f t="shared" ref="M131:M154" si="38">IF(L541&lt;&gt;0,+H541-L541,0)</f>
        <v>0</v>
      </c>
      <c r="N131" s="525"/>
      <c r="O131" s="514">
        <f t="shared" ref="O131:O154" si="39">IF(N541&lt;&gt;0,+I541-N541,0)</f>
        <v>0</v>
      </c>
      <c r="P131" s="514">
        <f t="shared" ref="P131:P154" si="40">+O541-M541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2046</v>
      </c>
      <c r="D132" s="374">
        <f>IF(F131+SUM(E$99:E131)=D$92,F131,D$92-SUM(E$99:E131))</f>
        <v>1498302.5018918458</v>
      </c>
      <c r="E132" s="522">
        <f t="shared" si="32"/>
        <v>152136.64285714287</v>
      </c>
      <c r="F132" s="523">
        <f t="shared" si="33"/>
        <v>1346165.8590347029</v>
      </c>
      <c r="G132" s="523">
        <f t="shared" si="34"/>
        <v>1422234.1804632745</v>
      </c>
      <c r="H132" s="526">
        <f t="shared" si="35"/>
        <v>305131.82436312293</v>
      </c>
      <c r="I132" s="577">
        <f t="shared" si="36"/>
        <v>305131.82436312293</v>
      </c>
      <c r="J132" s="514">
        <f t="shared" si="26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2047</v>
      </c>
      <c r="D133" s="374">
        <f>IF(F132+SUM(E$99:E132)=D$92,F132,D$92-SUM(E$99:E132))</f>
        <v>1346165.8590347029</v>
      </c>
      <c r="E133" s="522">
        <f t="shared" si="32"/>
        <v>152136.64285714287</v>
      </c>
      <c r="F133" s="523">
        <f t="shared" si="33"/>
        <v>1194029.2161775599</v>
      </c>
      <c r="G133" s="523">
        <f t="shared" si="34"/>
        <v>1270097.5376061313</v>
      </c>
      <c r="H133" s="526">
        <f t="shared" si="35"/>
        <v>288765.90262718406</v>
      </c>
      <c r="I133" s="577">
        <f t="shared" si="36"/>
        <v>288765.90262718406</v>
      </c>
      <c r="J133" s="514">
        <f t="shared" si="26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2048</v>
      </c>
      <c r="D134" s="374">
        <f>IF(F133+SUM(E$99:E133)=D$92,F133,D$92-SUM(E$99:E133))</f>
        <v>1194029.2161775599</v>
      </c>
      <c r="E134" s="522">
        <f t="shared" si="32"/>
        <v>152136.64285714287</v>
      </c>
      <c r="F134" s="523">
        <f t="shared" si="33"/>
        <v>1041892.5733204171</v>
      </c>
      <c r="G134" s="523">
        <f t="shared" si="34"/>
        <v>1117960.8947489886</v>
      </c>
      <c r="H134" s="526">
        <f t="shared" si="35"/>
        <v>272399.98089124524</v>
      </c>
      <c r="I134" s="577">
        <f t="shared" si="36"/>
        <v>272399.98089124524</v>
      </c>
      <c r="J134" s="514">
        <f t="shared" si="26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2049</v>
      </c>
      <c r="D135" s="374">
        <f>IF(F134+SUM(E$99:E134)=D$92,F134,D$92-SUM(E$99:E134))</f>
        <v>1041892.5733204171</v>
      </c>
      <c r="E135" s="522">
        <f t="shared" si="32"/>
        <v>152136.64285714287</v>
      </c>
      <c r="F135" s="523">
        <f t="shared" si="33"/>
        <v>889755.93046327424</v>
      </c>
      <c r="G135" s="523">
        <f t="shared" si="34"/>
        <v>965824.2518918456</v>
      </c>
      <c r="H135" s="526">
        <f t="shared" si="35"/>
        <v>256034.05915530643</v>
      </c>
      <c r="I135" s="577">
        <f t="shared" si="36"/>
        <v>256034.05915530643</v>
      </c>
      <c r="J135" s="514">
        <f t="shared" si="26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2050</v>
      </c>
      <c r="D136" s="374">
        <f>IF(F135+SUM(E$99:E135)=D$92,F135,D$92-SUM(E$99:E135))</f>
        <v>889755.93046327424</v>
      </c>
      <c r="E136" s="522">
        <f t="shared" si="32"/>
        <v>152136.64285714287</v>
      </c>
      <c r="F136" s="523">
        <f t="shared" si="33"/>
        <v>737619.2876061314</v>
      </c>
      <c r="G136" s="523">
        <f t="shared" si="34"/>
        <v>813687.60903470288</v>
      </c>
      <c r="H136" s="526">
        <f t="shared" si="35"/>
        <v>239668.13741936762</v>
      </c>
      <c r="I136" s="577">
        <f t="shared" si="36"/>
        <v>239668.13741936762</v>
      </c>
      <c r="J136" s="514">
        <f t="shared" si="26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2051</v>
      </c>
      <c r="D137" s="374">
        <f>IF(F136+SUM(E$99:E136)=D$92,F136,D$92-SUM(E$99:E136))</f>
        <v>737619.2876061314</v>
      </c>
      <c r="E137" s="522">
        <f t="shared" si="32"/>
        <v>152136.64285714287</v>
      </c>
      <c r="F137" s="523">
        <f t="shared" si="33"/>
        <v>585482.64474898856</v>
      </c>
      <c r="G137" s="523">
        <f t="shared" si="34"/>
        <v>661550.96617755992</v>
      </c>
      <c r="H137" s="526">
        <f t="shared" si="35"/>
        <v>223302.2156834288</v>
      </c>
      <c r="I137" s="577">
        <f t="shared" si="36"/>
        <v>223302.2156834288</v>
      </c>
      <c r="J137" s="514">
        <f t="shared" si="26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2052</v>
      </c>
      <c r="D138" s="374">
        <f>IF(F137+SUM(E$99:E137)=D$92,F137,D$92-SUM(E$99:E137))</f>
        <v>585482.64474898856</v>
      </c>
      <c r="E138" s="522">
        <f t="shared" si="32"/>
        <v>152136.64285714287</v>
      </c>
      <c r="F138" s="523">
        <f t="shared" si="33"/>
        <v>433346.00189184572</v>
      </c>
      <c r="G138" s="523">
        <f t="shared" si="34"/>
        <v>509414.32332041714</v>
      </c>
      <c r="H138" s="526">
        <f t="shared" si="35"/>
        <v>206936.29394748999</v>
      </c>
      <c r="I138" s="577">
        <f t="shared" si="36"/>
        <v>206936.29394748999</v>
      </c>
      <c r="J138" s="514">
        <f t="shared" si="26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2053</v>
      </c>
      <c r="D139" s="374">
        <f>IF(F138+SUM(E$99:E138)=D$92,F138,D$92-SUM(E$99:E138))</f>
        <v>433346.00189184572</v>
      </c>
      <c r="E139" s="522">
        <f t="shared" si="32"/>
        <v>152136.64285714287</v>
      </c>
      <c r="F139" s="523">
        <f t="shared" si="33"/>
        <v>281209.35903470288</v>
      </c>
      <c r="G139" s="523">
        <f t="shared" si="34"/>
        <v>357277.6804632743</v>
      </c>
      <c r="H139" s="526">
        <f t="shared" si="35"/>
        <v>190570.37221155118</v>
      </c>
      <c r="I139" s="577">
        <f t="shared" si="36"/>
        <v>190570.37221155118</v>
      </c>
      <c r="J139" s="514">
        <f t="shared" si="26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2054</v>
      </c>
      <c r="D140" s="374">
        <f>IF(F139+SUM(E$99:E139)=D$92,F139,D$92-SUM(E$99:E139))</f>
        <v>281209.35903470288</v>
      </c>
      <c r="E140" s="522">
        <f t="shared" si="32"/>
        <v>152136.64285714287</v>
      </c>
      <c r="F140" s="523">
        <f t="shared" si="33"/>
        <v>129072.71617756001</v>
      </c>
      <c r="G140" s="523">
        <f t="shared" si="34"/>
        <v>205141.03760613146</v>
      </c>
      <c r="H140" s="526">
        <f t="shared" si="35"/>
        <v>174204.45047561236</v>
      </c>
      <c r="I140" s="577">
        <f t="shared" si="36"/>
        <v>174204.45047561236</v>
      </c>
      <c r="J140" s="514">
        <f t="shared" si="26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2055</v>
      </c>
      <c r="D141" s="374">
        <f>IF(F140+SUM(E$99:E140)=D$92,F140,D$92-SUM(E$99:E140))</f>
        <v>129072.71617756001</v>
      </c>
      <c r="E141" s="522">
        <f t="shared" si="32"/>
        <v>129072.71617756001</v>
      </c>
      <c r="F141" s="523">
        <f t="shared" si="33"/>
        <v>0</v>
      </c>
      <c r="G141" s="523">
        <f t="shared" si="34"/>
        <v>64536.358088780005</v>
      </c>
      <c r="H141" s="526">
        <f t="shared" si="35"/>
        <v>136015.13955281005</v>
      </c>
      <c r="I141" s="577">
        <f t="shared" si="36"/>
        <v>136015.13955281005</v>
      </c>
      <c r="J141" s="514">
        <f t="shared" si="26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2"/>
        <v>0</v>
      </c>
      <c r="F142" s="523">
        <f t="shared" si="33"/>
        <v>0</v>
      </c>
      <c r="G142" s="523">
        <f t="shared" si="34"/>
        <v>0</v>
      </c>
      <c r="H142" s="526">
        <f t="shared" si="35"/>
        <v>0</v>
      </c>
      <c r="I142" s="577">
        <f t="shared" si="36"/>
        <v>0</v>
      </c>
      <c r="J142" s="514">
        <f t="shared" si="26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2"/>
        <v>0</v>
      </c>
      <c r="F143" s="523">
        <f t="shared" si="33"/>
        <v>0</v>
      </c>
      <c r="G143" s="523">
        <f t="shared" si="34"/>
        <v>0</v>
      </c>
      <c r="H143" s="526">
        <f t="shared" si="35"/>
        <v>0</v>
      </c>
      <c r="I143" s="577">
        <f t="shared" si="36"/>
        <v>0</v>
      </c>
      <c r="J143" s="514">
        <f t="shared" si="26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2"/>
        <v>0</v>
      </c>
      <c r="F144" s="523">
        <f t="shared" si="33"/>
        <v>0</v>
      </c>
      <c r="G144" s="523">
        <f t="shared" si="34"/>
        <v>0</v>
      </c>
      <c r="H144" s="526">
        <f t="shared" si="35"/>
        <v>0</v>
      </c>
      <c r="I144" s="577">
        <f t="shared" si="36"/>
        <v>0</v>
      </c>
      <c r="J144" s="514">
        <f t="shared" si="26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2"/>
        <v>0</v>
      </c>
      <c r="F145" s="523">
        <f t="shared" si="33"/>
        <v>0</v>
      </c>
      <c r="G145" s="523">
        <f t="shared" si="34"/>
        <v>0</v>
      </c>
      <c r="H145" s="526">
        <f t="shared" si="35"/>
        <v>0</v>
      </c>
      <c r="I145" s="577">
        <f t="shared" si="36"/>
        <v>0</v>
      </c>
      <c r="J145" s="514">
        <f t="shared" si="26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2"/>
        <v>0</v>
      </c>
      <c r="F146" s="523">
        <f t="shared" si="33"/>
        <v>0</v>
      </c>
      <c r="G146" s="523">
        <f t="shared" si="34"/>
        <v>0</v>
      </c>
      <c r="H146" s="526">
        <f t="shared" si="35"/>
        <v>0</v>
      </c>
      <c r="I146" s="577">
        <f t="shared" si="36"/>
        <v>0</v>
      </c>
      <c r="J146" s="514">
        <f t="shared" si="26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2"/>
        <v>0</v>
      </c>
      <c r="F147" s="523">
        <f t="shared" si="33"/>
        <v>0</v>
      </c>
      <c r="G147" s="523">
        <f t="shared" si="34"/>
        <v>0</v>
      </c>
      <c r="H147" s="526">
        <f t="shared" si="35"/>
        <v>0</v>
      </c>
      <c r="I147" s="577">
        <f t="shared" si="36"/>
        <v>0</v>
      </c>
      <c r="J147" s="514">
        <f t="shared" si="26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2"/>
        <v>0</v>
      </c>
      <c r="F148" s="523">
        <f t="shared" si="33"/>
        <v>0</v>
      </c>
      <c r="G148" s="523">
        <f t="shared" si="34"/>
        <v>0</v>
      </c>
      <c r="H148" s="526">
        <f t="shared" si="35"/>
        <v>0</v>
      </c>
      <c r="I148" s="577">
        <f t="shared" si="36"/>
        <v>0</v>
      </c>
      <c r="J148" s="514">
        <f t="shared" si="26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2"/>
        <v>0</v>
      </c>
      <c r="F149" s="523">
        <f t="shared" si="33"/>
        <v>0</v>
      </c>
      <c r="G149" s="523">
        <f t="shared" si="34"/>
        <v>0</v>
      </c>
      <c r="H149" s="526">
        <f t="shared" si="35"/>
        <v>0</v>
      </c>
      <c r="I149" s="577">
        <f t="shared" si="36"/>
        <v>0</v>
      </c>
      <c r="J149" s="514">
        <f t="shared" si="26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2"/>
        <v>0</v>
      </c>
      <c r="F150" s="523">
        <f t="shared" si="33"/>
        <v>0</v>
      </c>
      <c r="G150" s="523">
        <f t="shared" si="34"/>
        <v>0</v>
      </c>
      <c r="H150" s="526">
        <f t="shared" si="35"/>
        <v>0</v>
      </c>
      <c r="I150" s="577">
        <f t="shared" si="36"/>
        <v>0</v>
      </c>
      <c r="J150" s="514">
        <f t="shared" si="26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2"/>
        <v>0</v>
      </c>
      <c r="F151" s="523">
        <f t="shared" si="33"/>
        <v>0</v>
      </c>
      <c r="G151" s="523">
        <f t="shared" si="34"/>
        <v>0</v>
      </c>
      <c r="H151" s="526">
        <f t="shared" si="35"/>
        <v>0</v>
      </c>
      <c r="I151" s="577">
        <f t="shared" si="36"/>
        <v>0</v>
      </c>
      <c r="J151" s="514">
        <f t="shared" si="26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2"/>
        <v>0</v>
      </c>
      <c r="F152" s="523">
        <f t="shared" si="33"/>
        <v>0</v>
      </c>
      <c r="G152" s="523">
        <f t="shared" si="34"/>
        <v>0</v>
      </c>
      <c r="H152" s="526">
        <f t="shared" si="35"/>
        <v>0</v>
      </c>
      <c r="I152" s="577">
        <f t="shared" si="36"/>
        <v>0</v>
      </c>
      <c r="J152" s="514">
        <f t="shared" si="26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2"/>
        <v>0</v>
      </c>
      <c r="F153" s="523">
        <f t="shared" si="33"/>
        <v>0</v>
      </c>
      <c r="G153" s="523">
        <f t="shared" si="34"/>
        <v>0</v>
      </c>
      <c r="H153" s="526">
        <f t="shared" si="35"/>
        <v>0</v>
      </c>
      <c r="I153" s="577">
        <f t="shared" si="36"/>
        <v>0</v>
      </c>
      <c r="J153" s="514">
        <f t="shared" si="26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2"/>
        <v>0</v>
      </c>
      <c r="F154" s="523">
        <f t="shared" si="33"/>
        <v>0</v>
      </c>
      <c r="G154" s="523">
        <f t="shared" si="34"/>
        <v>0</v>
      </c>
      <c r="H154" s="526">
        <f t="shared" si="35"/>
        <v>0</v>
      </c>
      <c r="I154" s="577">
        <f t="shared" si="36"/>
        <v>0</v>
      </c>
      <c r="J154" s="514">
        <f t="shared" si="26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  <c r="Q154" s="269"/>
    </row>
    <row r="155" spans="2:17" ht="12.5">
      <c r="C155" s="374" t="s">
        <v>78</v>
      </c>
      <c r="D155" s="375"/>
      <c r="E155" s="375">
        <f>SUM(E99:E154)</f>
        <v>6389739.0000000019</v>
      </c>
      <c r="F155" s="375"/>
      <c r="G155" s="375"/>
      <c r="H155" s="375">
        <f>SUM(H99:H154)</f>
        <v>20975661.857311845</v>
      </c>
      <c r="I155" s="375">
        <f>SUM(I99:I154)</f>
        <v>20975661.857311845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8" priority="1" stopIfTrue="1" operator="equal">
      <formula>$I$10</formula>
    </cfRule>
  </conditionalFormatting>
  <conditionalFormatting sqref="C99:C154">
    <cfRule type="cellIs" dxfId="8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Q162"/>
  <sheetViews>
    <sheetView view="pageBreakPreview" topLeftCell="A85" zoomScale="82" zoomScaleNormal="100" zoomScaleSheetLayoutView="82" workbookViewId="0"/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1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1779932.3659143087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1779932.3659143087</v>
      </c>
      <c r="O6" s="269"/>
      <c r="P6" s="269"/>
    </row>
    <row r="7" spans="1:17" ht="13.5" thickBot="1">
      <c r="C7" s="467" t="s">
        <v>48</v>
      </c>
      <c r="D7" s="468" t="s">
        <v>225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140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17671482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420749.57142857142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9057179</v>
      </c>
      <c r="E17" s="509">
        <v>0</v>
      </c>
      <c r="F17" s="508">
        <v>9057179</v>
      </c>
      <c r="G17" s="509">
        <v>115677</v>
      </c>
      <c r="H17" s="510">
        <v>115677</v>
      </c>
      <c r="I17" s="511">
        <f t="shared" ref="I17:I48" si="0">H17-G17</f>
        <v>0</v>
      </c>
      <c r="J17" s="511"/>
      <c r="K17" s="512">
        <v>115677</v>
      </c>
      <c r="L17" s="513">
        <f t="shared" ref="L17:L48" si="1">IF(K17&lt;&gt;0,+G17-K17,0)</f>
        <v>0</v>
      </c>
      <c r="M17" s="512">
        <v>115677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17740954</v>
      </c>
      <c r="E18" s="516">
        <v>466867</v>
      </c>
      <c r="F18" s="515">
        <v>17274087</v>
      </c>
      <c r="G18" s="516">
        <v>2950276</v>
      </c>
      <c r="H18" s="510">
        <v>2950276</v>
      </c>
      <c r="I18" s="517">
        <v>0</v>
      </c>
      <c r="J18" s="511"/>
      <c r="K18" s="518">
        <f t="shared" ref="K18:K23" si="4">G18</f>
        <v>2950276</v>
      </c>
      <c r="L18" s="519">
        <f t="shared" si="1"/>
        <v>0</v>
      </c>
      <c r="M18" s="518">
        <f t="shared" ref="M18:M23" si="5">H18</f>
        <v>2950276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17204615</v>
      </c>
      <c r="E19" s="516">
        <v>431011.75609756098</v>
      </c>
      <c r="F19" s="515">
        <v>16773603.243902439</v>
      </c>
      <c r="G19" s="516">
        <v>3050917.4869010281</v>
      </c>
      <c r="H19" s="510">
        <v>3050917.4869010281</v>
      </c>
      <c r="I19" s="517">
        <v>0</v>
      </c>
      <c r="J19" s="511"/>
      <c r="K19" s="518">
        <f t="shared" si="4"/>
        <v>3050917.4869010281</v>
      </c>
      <c r="L19" s="519">
        <f t="shared" si="1"/>
        <v>0</v>
      </c>
      <c r="M19" s="518">
        <f t="shared" si="5"/>
        <v>3050917.4869010281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16773603.243902439</v>
      </c>
      <c r="E20" s="520">
        <v>420749.57142857142</v>
      </c>
      <c r="F20" s="515">
        <v>16352853.672473868</v>
      </c>
      <c r="G20" s="516">
        <v>2852748.2601002851</v>
      </c>
      <c r="H20" s="510">
        <v>2852748.2601002851</v>
      </c>
      <c r="I20" s="517">
        <v>0</v>
      </c>
      <c r="J20" s="511"/>
      <c r="K20" s="518">
        <f t="shared" si="4"/>
        <v>2852748.2601002851</v>
      </c>
      <c r="L20" s="519">
        <f t="shared" si="1"/>
        <v>0</v>
      </c>
      <c r="M20" s="518">
        <f t="shared" si="5"/>
        <v>2852748.2601002851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16352853.672473868</v>
      </c>
      <c r="E21" s="520">
        <v>420749.57142857142</v>
      </c>
      <c r="F21" s="515">
        <v>15932104.101045297</v>
      </c>
      <c r="G21" s="516">
        <v>2651038.335861824</v>
      </c>
      <c r="H21" s="510">
        <v>2651038.335861824</v>
      </c>
      <c r="I21" s="511">
        <v>0</v>
      </c>
      <c r="J21" s="511"/>
      <c r="K21" s="518">
        <f t="shared" si="4"/>
        <v>2651038.335861824</v>
      </c>
      <c r="L21" s="519">
        <f t="shared" ref="L21:L26" si="7">IF(K21&lt;&gt;0,+G21-K21,0)</f>
        <v>0</v>
      </c>
      <c r="M21" s="518">
        <f t="shared" si="5"/>
        <v>2651038.335861824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15932104.101045297</v>
      </c>
      <c r="E22" s="520">
        <v>420749.57142857142</v>
      </c>
      <c r="F22" s="515">
        <v>15511354.529616727</v>
      </c>
      <c r="G22" s="516">
        <v>2513394.2946650204</v>
      </c>
      <c r="H22" s="510">
        <v>2513394.2946650204</v>
      </c>
      <c r="I22" s="511">
        <v>0</v>
      </c>
      <c r="J22" s="511"/>
      <c r="K22" s="518">
        <f t="shared" si="4"/>
        <v>2513394.2946650204</v>
      </c>
      <c r="L22" s="519">
        <f t="shared" si="7"/>
        <v>0</v>
      </c>
      <c r="M22" s="518">
        <f t="shared" si="5"/>
        <v>2513394.2946650204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15511354.529616727</v>
      </c>
      <c r="E23" s="520">
        <v>420749.57142857142</v>
      </c>
      <c r="F23" s="515">
        <v>15090604.958188156</v>
      </c>
      <c r="G23" s="516">
        <v>2408254.6940407706</v>
      </c>
      <c r="H23" s="510">
        <v>2408254.6940407706</v>
      </c>
      <c r="I23" s="511">
        <v>0</v>
      </c>
      <c r="J23" s="511"/>
      <c r="K23" s="518">
        <f t="shared" si="4"/>
        <v>2408254.6940407706</v>
      </c>
      <c r="L23" s="519">
        <f t="shared" si="7"/>
        <v>0</v>
      </c>
      <c r="M23" s="518">
        <f t="shared" si="5"/>
        <v>2408254.6940407706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2016</v>
      </c>
      <c r="D24" s="515">
        <v>15090604.958188156</v>
      </c>
      <c r="E24" s="520">
        <v>420749.57142857142</v>
      </c>
      <c r="F24" s="515">
        <v>14669855.386759585</v>
      </c>
      <c r="G24" s="516">
        <v>2329003.9936694037</v>
      </c>
      <c r="H24" s="510">
        <v>2329003.9936694037</v>
      </c>
      <c r="I24" s="511">
        <f t="shared" si="0"/>
        <v>0</v>
      </c>
      <c r="J24" s="511"/>
      <c r="K24" s="518">
        <f>G24</f>
        <v>2329003.9936694037</v>
      </c>
      <c r="L24" s="519">
        <f t="shared" si="7"/>
        <v>0</v>
      </c>
      <c r="M24" s="518">
        <f>H24</f>
        <v>2329003.9936694037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14669855.386759585</v>
      </c>
      <c r="E25" s="520">
        <v>410964.69767441862</v>
      </c>
      <c r="F25" s="515">
        <v>14258890.689085167</v>
      </c>
      <c r="G25" s="516">
        <v>2202992.5205155816</v>
      </c>
      <c r="H25" s="510">
        <v>2202992.5205155816</v>
      </c>
      <c r="I25" s="511">
        <f t="shared" si="0"/>
        <v>0</v>
      </c>
      <c r="J25" s="511"/>
      <c r="K25" s="518">
        <f>G25</f>
        <v>2202992.5205155816</v>
      </c>
      <c r="L25" s="519">
        <f t="shared" si="7"/>
        <v>0</v>
      </c>
      <c r="M25" s="518">
        <f>H25</f>
        <v>2202992.5205155816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14258890.689085167</v>
      </c>
      <c r="E26" s="520">
        <v>431011.75609756098</v>
      </c>
      <c r="F26" s="515">
        <v>13827878.932987606</v>
      </c>
      <c r="G26" s="516">
        <v>2215843.0945590343</v>
      </c>
      <c r="H26" s="510">
        <v>2215843.0945590343</v>
      </c>
      <c r="I26" s="511">
        <f t="shared" si="0"/>
        <v>0</v>
      </c>
      <c r="J26" s="511"/>
      <c r="K26" s="518">
        <f>G26</f>
        <v>2215843.0945590343</v>
      </c>
      <c r="L26" s="519">
        <f t="shared" si="7"/>
        <v>0</v>
      </c>
      <c r="M26" s="518">
        <f>H26</f>
        <v>2215843.0945590343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13827878.932987606</v>
      </c>
      <c r="E27" s="520">
        <v>431011.75609756098</v>
      </c>
      <c r="F27" s="515">
        <v>13396867.176890045</v>
      </c>
      <c r="G27" s="516">
        <v>2161064.0437903283</v>
      </c>
      <c r="H27" s="510">
        <v>2161064.0437903283</v>
      </c>
      <c r="I27" s="511">
        <f t="shared" si="0"/>
        <v>0</v>
      </c>
      <c r="J27" s="511"/>
      <c r="K27" s="518">
        <f>G27</f>
        <v>2161064.0437903283</v>
      </c>
      <c r="L27" s="519">
        <f t="shared" ref="L27" si="10">IF(K27&lt;&gt;0,+G27-K27,0)</f>
        <v>0</v>
      </c>
      <c r="M27" s="518">
        <f>H27</f>
        <v>2161064.0437903283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13396867.176890045</v>
      </c>
      <c r="E28" s="520">
        <v>431011.75609756098</v>
      </c>
      <c r="F28" s="515">
        <v>12965855.420792485</v>
      </c>
      <c r="G28" s="516">
        <v>1779932.3659143087</v>
      </c>
      <c r="H28" s="510">
        <v>1779932.3659143087</v>
      </c>
      <c r="I28" s="511">
        <f t="shared" si="0"/>
        <v>0</v>
      </c>
      <c r="J28" s="511"/>
      <c r="K28" s="518">
        <f>G28</f>
        <v>1779932.3659143087</v>
      </c>
      <c r="L28" s="519">
        <f t="shared" ref="L28" si="11">IF(K28&lt;&gt;0,+G28-K28,0)</f>
        <v>0</v>
      </c>
      <c r="M28" s="518">
        <f>H28</f>
        <v>1779932.3659143087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2021</v>
      </c>
      <c r="D29" s="523">
        <f>IF(F28+SUM(E$17:E28)=D$10,F28,D$10-SUM(E$17:E28))</f>
        <v>12965855.420792485</v>
      </c>
      <c r="E29" s="522">
        <f>IF(+I14&lt;F28,I14,D29)</f>
        <v>420749.57142857142</v>
      </c>
      <c r="F29" s="523">
        <f t="shared" ref="F29:F48" si="12">+D29-E29</f>
        <v>12545105.849363914</v>
      </c>
      <c r="G29" s="524">
        <f t="shared" ref="G29:G72" si="13">+I$12*((D29+F29)/2)+E29</f>
        <v>1783264.1672089391</v>
      </c>
      <c r="H29" s="491">
        <f t="shared" ref="H29:H72" si="14">+I$13*((D29+F29)/2)+E29</f>
        <v>1783264.1672089391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/>
      </c>
      <c r="C30" s="507">
        <f>IF(D11="","-",+C29+1)</f>
        <v>2022</v>
      </c>
      <c r="D30" s="523">
        <f>IF(F29+SUM(E$17:E29)=D$10,F29,D$10-SUM(E$17:E29))</f>
        <v>12545105.849363914</v>
      </c>
      <c r="E30" s="522">
        <f>IF(+I14&lt;F29,I14,D30)</f>
        <v>420749.57142857142</v>
      </c>
      <c r="F30" s="523">
        <f t="shared" si="12"/>
        <v>12124356.277935343</v>
      </c>
      <c r="G30" s="524">
        <f t="shared" si="13"/>
        <v>1738320.5505283396</v>
      </c>
      <c r="H30" s="491">
        <f t="shared" si="14"/>
        <v>1738320.5505283396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12124356.277935343</v>
      </c>
      <c r="E31" s="522">
        <f>IF(+I14&lt;F30,I14,D31)</f>
        <v>420749.57142857142</v>
      </c>
      <c r="F31" s="523">
        <f t="shared" si="12"/>
        <v>11703606.706506772</v>
      </c>
      <c r="G31" s="524">
        <f t="shared" si="13"/>
        <v>1693376.9338477403</v>
      </c>
      <c r="H31" s="491">
        <f t="shared" si="14"/>
        <v>1693376.9338477403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11703606.706506772</v>
      </c>
      <c r="E32" s="522">
        <f>IF(+I14&lt;F31,I14,D32)</f>
        <v>420749.57142857142</v>
      </c>
      <c r="F32" s="523">
        <f t="shared" si="12"/>
        <v>11282857.135078201</v>
      </c>
      <c r="G32" s="524">
        <f t="shared" si="13"/>
        <v>1648433.317167141</v>
      </c>
      <c r="H32" s="491">
        <f t="shared" si="14"/>
        <v>1648433.317167141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11282857.135078201</v>
      </c>
      <c r="E33" s="522">
        <f>IF(+I14&lt;F32,I14,D33)</f>
        <v>420749.57142857142</v>
      </c>
      <c r="F33" s="523">
        <f t="shared" si="12"/>
        <v>10862107.56364963</v>
      </c>
      <c r="G33" s="524">
        <f t="shared" si="13"/>
        <v>1603489.7004865417</v>
      </c>
      <c r="H33" s="491">
        <f t="shared" si="14"/>
        <v>1603489.7004865417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10862107.56364963</v>
      </c>
      <c r="E34" s="522">
        <f>IF(+I14&lt;F33,I14,D34)</f>
        <v>420749.57142857142</v>
      </c>
      <c r="F34" s="523">
        <f t="shared" si="12"/>
        <v>10441357.992221059</v>
      </c>
      <c r="G34" s="524">
        <f t="shared" si="13"/>
        <v>1558546.0838059424</v>
      </c>
      <c r="H34" s="491">
        <f t="shared" si="14"/>
        <v>1558546.0838059424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10441357.992221059</v>
      </c>
      <c r="E35" s="522">
        <f>IF(+I14&lt;F34,I14,D35)</f>
        <v>420749.57142857142</v>
      </c>
      <c r="F35" s="523">
        <f t="shared" si="12"/>
        <v>10020608.420792488</v>
      </c>
      <c r="G35" s="524">
        <f t="shared" si="13"/>
        <v>1513602.4671253432</v>
      </c>
      <c r="H35" s="491">
        <f t="shared" si="14"/>
        <v>1513602.4671253432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10020608.420792488</v>
      </c>
      <c r="E36" s="522">
        <f>IF(+I14&lt;F35,I14,D36)</f>
        <v>420749.57142857142</v>
      </c>
      <c r="F36" s="523">
        <f t="shared" si="12"/>
        <v>9599858.8493639175</v>
      </c>
      <c r="G36" s="524">
        <f t="shared" si="13"/>
        <v>1468658.8504447439</v>
      </c>
      <c r="H36" s="491">
        <f t="shared" si="14"/>
        <v>1468658.8504447439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9599858.8493639175</v>
      </c>
      <c r="E37" s="522">
        <f>IF(+I14&lt;F36,I14,D37)</f>
        <v>420749.57142857142</v>
      </c>
      <c r="F37" s="523">
        <f t="shared" si="12"/>
        <v>9179109.2779353466</v>
      </c>
      <c r="G37" s="524">
        <f t="shared" si="13"/>
        <v>1423715.2337641444</v>
      </c>
      <c r="H37" s="491">
        <f t="shared" si="14"/>
        <v>1423715.2337641444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9179109.2779353466</v>
      </c>
      <c r="E38" s="522">
        <f>IF(+I14&lt;F37,I14,D38)</f>
        <v>420749.57142857142</v>
      </c>
      <c r="F38" s="523">
        <f t="shared" si="12"/>
        <v>8758359.7065067757</v>
      </c>
      <c r="G38" s="524">
        <f t="shared" si="13"/>
        <v>1378771.6170835451</v>
      </c>
      <c r="H38" s="491">
        <f t="shared" si="14"/>
        <v>1378771.6170835451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8758359.7065067757</v>
      </c>
      <c r="E39" s="522">
        <f>IF(+I14&lt;F38,I14,D39)</f>
        <v>420749.57142857142</v>
      </c>
      <c r="F39" s="523">
        <f t="shared" si="12"/>
        <v>8337610.1350782039</v>
      </c>
      <c r="G39" s="524">
        <f t="shared" si="13"/>
        <v>1333828.0004029458</v>
      </c>
      <c r="H39" s="491">
        <f t="shared" si="14"/>
        <v>1333828.0004029458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8337610.1350782039</v>
      </c>
      <c r="E40" s="522">
        <f>IF(+I14&lt;F39,I14,D40)</f>
        <v>420749.57142857142</v>
      </c>
      <c r="F40" s="523">
        <f t="shared" si="12"/>
        <v>7916860.563649632</v>
      </c>
      <c r="G40" s="524">
        <f t="shared" si="13"/>
        <v>1288884.3837223463</v>
      </c>
      <c r="H40" s="491">
        <f t="shared" si="14"/>
        <v>1288884.3837223463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7916860.563649632</v>
      </c>
      <c r="E41" s="522">
        <f>IF(+I14&lt;F40,I14,D41)</f>
        <v>420749.57142857142</v>
      </c>
      <c r="F41" s="523">
        <f t="shared" si="12"/>
        <v>7496110.9922210602</v>
      </c>
      <c r="G41" s="524">
        <f t="shared" si="13"/>
        <v>1243940.767041747</v>
      </c>
      <c r="H41" s="491">
        <f t="shared" si="14"/>
        <v>1243940.767041747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7496110.9922210602</v>
      </c>
      <c r="E42" s="522">
        <f>IF(+I14&lt;F41,I14,D42)</f>
        <v>420749.57142857142</v>
      </c>
      <c r="F42" s="523">
        <f t="shared" si="12"/>
        <v>7075361.4207924884</v>
      </c>
      <c r="G42" s="524">
        <f t="shared" si="13"/>
        <v>1198997.1503611475</v>
      </c>
      <c r="H42" s="491">
        <f t="shared" si="14"/>
        <v>1198997.1503611475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7075361.4207924884</v>
      </c>
      <c r="E43" s="522">
        <f>IF(+I14&lt;F42,I14,D43)</f>
        <v>420749.57142857142</v>
      </c>
      <c r="F43" s="523">
        <f t="shared" si="12"/>
        <v>6654611.8493639166</v>
      </c>
      <c r="G43" s="524">
        <f t="shared" si="13"/>
        <v>1154053.5336805482</v>
      </c>
      <c r="H43" s="491">
        <f t="shared" si="14"/>
        <v>1154053.5336805482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6654611.8493639166</v>
      </c>
      <c r="E44" s="522">
        <f>IF(+I14&lt;F43,I14,D44)</f>
        <v>420749.57142857142</v>
      </c>
      <c r="F44" s="523">
        <f t="shared" si="12"/>
        <v>6233862.2779353447</v>
      </c>
      <c r="G44" s="524">
        <f t="shared" si="13"/>
        <v>1109109.9169999487</v>
      </c>
      <c r="H44" s="491">
        <f t="shared" si="14"/>
        <v>1109109.9169999487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6233862.2779353447</v>
      </c>
      <c r="E45" s="522">
        <f>IF(+I14&lt;F44,I14,D45)</f>
        <v>420749.57142857142</v>
      </c>
      <c r="F45" s="523">
        <f t="shared" si="12"/>
        <v>5813112.7065067729</v>
      </c>
      <c r="G45" s="524">
        <f t="shared" si="13"/>
        <v>1064166.3003193494</v>
      </c>
      <c r="H45" s="491">
        <f t="shared" si="14"/>
        <v>1064166.3003193494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5813112.7065067729</v>
      </c>
      <c r="E46" s="522">
        <f>IF(+I14&lt;F45,I14,D46)</f>
        <v>420749.57142857142</v>
      </c>
      <c r="F46" s="523">
        <f t="shared" si="12"/>
        <v>5392363.1350782011</v>
      </c>
      <c r="G46" s="524">
        <f t="shared" si="13"/>
        <v>1019222.6836387499</v>
      </c>
      <c r="H46" s="491">
        <f t="shared" si="14"/>
        <v>1019222.6836387499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5392363.1350782011</v>
      </c>
      <c r="E47" s="522">
        <f>IF(+I14&lt;F46,I14,D47)</f>
        <v>420749.57142857142</v>
      </c>
      <c r="F47" s="523">
        <f t="shared" si="12"/>
        <v>4971613.5636496292</v>
      </c>
      <c r="G47" s="524">
        <f t="shared" si="13"/>
        <v>974279.06695815036</v>
      </c>
      <c r="H47" s="491">
        <f t="shared" si="14"/>
        <v>974279.06695815036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4971613.5636496292</v>
      </c>
      <c r="E48" s="522">
        <f>IF(+I14&lt;F47,I14,D48)</f>
        <v>420749.57142857142</v>
      </c>
      <c r="F48" s="523">
        <f t="shared" si="12"/>
        <v>4550863.9922210574</v>
      </c>
      <c r="G48" s="524">
        <f t="shared" si="13"/>
        <v>929335.45027755084</v>
      </c>
      <c r="H48" s="491">
        <f t="shared" si="14"/>
        <v>929335.45027755084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4550863.9922210574</v>
      </c>
      <c r="E49" s="522">
        <f>IF(+I14&lt;F48,I14,D49)</f>
        <v>420749.57142857142</v>
      </c>
      <c r="F49" s="523">
        <f t="shared" ref="F49:F72" si="15">+D49-E49</f>
        <v>4130114.4207924861</v>
      </c>
      <c r="G49" s="524">
        <f t="shared" si="13"/>
        <v>884391.83359695156</v>
      </c>
      <c r="H49" s="491">
        <f t="shared" si="14"/>
        <v>884391.83359695156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4130114.4207924861</v>
      </c>
      <c r="E50" s="522">
        <f>IF(+I14&lt;F49,I14,D50)</f>
        <v>420749.57142857142</v>
      </c>
      <c r="F50" s="523">
        <f t="shared" si="15"/>
        <v>3709364.8493639147</v>
      </c>
      <c r="G50" s="524">
        <f t="shared" si="13"/>
        <v>839448.21691635216</v>
      </c>
      <c r="H50" s="491">
        <f t="shared" si="14"/>
        <v>839448.21691635216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3709364.8493639147</v>
      </c>
      <c r="E51" s="522">
        <f>IF(+I14&lt;F50,I14,D51)</f>
        <v>420749.57142857142</v>
      </c>
      <c r="F51" s="523">
        <f t="shared" si="15"/>
        <v>3288615.2779353433</v>
      </c>
      <c r="G51" s="524">
        <f t="shared" si="13"/>
        <v>794504.60023575288</v>
      </c>
      <c r="H51" s="491">
        <f t="shared" si="14"/>
        <v>794504.60023575288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3288615.2779353433</v>
      </c>
      <c r="E52" s="522">
        <f>IF(+I14&lt;F51,I14,D52)</f>
        <v>420749.57142857142</v>
      </c>
      <c r="F52" s="523">
        <f t="shared" si="15"/>
        <v>2867865.706506772</v>
      </c>
      <c r="G52" s="524">
        <f t="shared" si="13"/>
        <v>749560.98355515348</v>
      </c>
      <c r="H52" s="491">
        <f t="shared" si="14"/>
        <v>749560.98355515348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2867865.706506772</v>
      </c>
      <c r="E53" s="522">
        <f>IF(+I14&lt;F52,I14,D53)</f>
        <v>420749.57142857142</v>
      </c>
      <c r="F53" s="523">
        <f t="shared" si="15"/>
        <v>2447116.1350782006</v>
      </c>
      <c r="G53" s="524">
        <f t="shared" si="13"/>
        <v>704617.36687455419</v>
      </c>
      <c r="H53" s="491">
        <f t="shared" si="14"/>
        <v>704617.36687455419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2447116.1350782006</v>
      </c>
      <c r="E54" s="522">
        <f>IF(+I14&lt;F53,I14,D54)</f>
        <v>420749.57142857142</v>
      </c>
      <c r="F54" s="523">
        <f t="shared" si="15"/>
        <v>2026366.5636496292</v>
      </c>
      <c r="G54" s="524">
        <f t="shared" si="13"/>
        <v>659673.75019395468</v>
      </c>
      <c r="H54" s="491">
        <f t="shared" si="14"/>
        <v>659673.75019395468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2026366.5636496292</v>
      </c>
      <c r="E55" s="522">
        <f>IF(+I14&lt;F54,I14,D55)</f>
        <v>420749.57142857142</v>
      </c>
      <c r="F55" s="523">
        <f t="shared" si="15"/>
        <v>1605616.9922210579</v>
      </c>
      <c r="G55" s="524">
        <f t="shared" si="13"/>
        <v>614730.13351335539</v>
      </c>
      <c r="H55" s="491">
        <f t="shared" si="14"/>
        <v>614730.13351335539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1605616.9922210579</v>
      </c>
      <c r="E56" s="522">
        <f>IF(+I14&lt;F55,I14,D56)</f>
        <v>420749.57142857142</v>
      </c>
      <c r="F56" s="523">
        <f t="shared" si="15"/>
        <v>1184867.4207924865</v>
      </c>
      <c r="G56" s="524">
        <f t="shared" si="13"/>
        <v>569786.51683275599</v>
      </c>
      <c r="H56" s="491">
        <f t="shared" si="14"/>
        <v>569786.51683275599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1184867.4207924865</v>
      </c>
      <c r="E57" s="522">
        <f>IF(+I14&lt;F56,I14,D57)</f>
        <v>420749.57142857142</v>
      </c>
      <c r="F57" s="523">
        <f t="shared" si="15"/>
        <v>764117.84936391516</v>
      </c>
      <c r="G57" s="524">
        <f t="shared" si="13"/>
        <v>524842.9001521566</v>
      </c>
      <c r="H57" s="491">
        <f t="shared" si="14"/>
        <v>524842.9001521566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764117.84936391516</v>
      </c>
      <c r="E58" s="522">
        <f>IF(+I14&lt;F57,I14,D58)</f>
        <v>420749.57142857142</v>
      </c>
      <c r="F58" s="523">
        <f t="shared" si="15"/>
        <v>343368.27793534374</v>
      </c>
      <c r="G58" s="524">
        <f t="shared" si="13"/>
        <v>479899.28347155725</v>
      </c>
      <c r="H58" s="491">
        <f t="shared" si="14"/>
        <v>479899.28347155725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343368.27793534374</v>
      </c>
      <c r="E59" s="522">
        <f>IF(+I14&lt;F58,I14,D59)</f>
        <v>343368.27793534374</v>
      </c>
      <c r="F59" s="523">
        <f t="shared" si="15"/>
        <v>0</v>
      </c>
      <c r="G59" s="524">
        <f t="shared" si="13"/>
        <v>361707.22978668677</v>
      </c>
      <c r="H59" s="491">
        <f t="shared" si="14"/>
        <v>361707.22978668677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13"/>
        <v>0</v>
      </c>
      <c r="H60" s="491">
        <f t="shared" si="14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13"/>
        <v>0</v>
      </c>
      <c r="H61" s="491">
        <f t="shared" si="14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3"/>
        <v>0</v>
      </c>
      <c r="H62" s="491">
        <f t="shared" si="14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3"/>
        <v>0</v>
      </c>
      <c r="H63" s="491">
        <f t="shared" si="14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3"/>
        <v>0</v>
      </c>
      <c r="H64" s="491">
        <f t="shared" si="14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3"/>
        <v>0</v>
      </c>
      <c r="H65" s="491">
        <f t="shared" si="14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3"/>
        <v>0</v>
      </c>
      <c r="H66" s="491">
        <f t="shared" si="14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3"/>
        <v>0</v>
      </c>
      <c r="H67" s="491">
        <f t="shared" si="14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3"/>
        <v>0</v>
      </c>
      <c r="H68" s="491">
        <f t="shared" si="14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3"/>
        <v>0</v>
      </c>
      <c r="H69" s="491">
        <f t="shared" si="14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3"/>
        <v>0</v>
      </c>
      <c r="H70" s="491">
        <f t="shared" si="14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3"/>
        <v>0</v>
      </c>
      <c r="H71" s="491">
        <f t="shared" si="14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3"/>
        <v>0</v>
      </c>
      <c r="H72" s="471">
        <f t="shared" si="14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17671482</v>
      </c>
      <c r="F73" s="375"/>
      <c r="G73" s="375">
        <f>SUM(G17:G72)</f>
        <v>61540301.080011725</v>
      </c>
      <c r="H73" s="375">
        <f>SUM(H17:H72)</f>
        <v>61540301.080011725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1779932.3659143087</v>
      </c>
      <c r="N87" s="546">
        <f>IF(J92&lt;D11,0,VLOOKUP(J92,C17:O72,11))</f>
        <v>1779932.3659143087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1847492.6051652874</v>
      </c>
      <c r="N88" s="550">
        <f>IF(J92&lt;D11,0,VLOOKUP(J92,C99:P154,7))</f>
        <v>1847492.6051652874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Arsenal Hill Auto xfmr &amp; AH to Water Works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67560.239250978688</v>
      </c>
      <c r="N89" s="555">
        <f>+N88-N87</f>
        <v>67560.239250978688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TP2007057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17671482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420749.57142857142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0</v>
      </c>
      <c r="F99" s="515">
        <v>12134740</v>
      </c>
      <c r="G99" s="574">
        <v>6067370</v>
      </c>
      <c r="H99" s="575">
        <v>878177</v>
      </c>
      <c r="I99" s="576">
        <v>878177</v>
      </c>
      <c r="J99" s="514">
        <f t="shared" ref="J99:J130" si="20">+I99-H99</f>
        <v>0</v>
      </c>
      <c r="K99" s="514"/>
      <c r="L99" s="512">
        <f t="shared" ref="L99:L104" si="21">H99</f>
        <v>878177</v>
      </c>
      <c r="M99" s="513">
        <f t="shared" ref="M99:M130" si="22">IF(L99&lt;&gt;0,+H99-L99,0)</f>
        <v>0</v>
      </c>
      <c r="N99" s="512">
        <f t="shared" ref="N99:N104" si="23">I99</f>
        <v>878177</v>
      </c>
      <c r="O99" s="513">
        <f t="shared" ref="O99:O130" si="24">IF(N99&lt;&gt;0,+I99-N99,0)</f>
        <v>0</v>
      </c>
      <c r="P99" s="513">
        <f t="shared" ref="P99:P130" si="25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17671482</v>
      </c>
      <c r="E100" s="516">
        <v>431011.75609756098</v>
      </c>
      <c r="F100" s="515">
        <v>17240470.243902437</v>
      </c>
      <c r="G100" s="515">
        <v>17455976.121951219</v>
      </c>
      <c r="H100" s="516">
        <v>3312750.4635227108</v>
      </c>
      <c r="I100" s="510">
        <v>3312750.4635227108</v>
      </c>
      <c r="J100" s="514">
        <f t="shared" si="20"/>
        <v>0</v>
      </c>
      <c r="K100" s="514"/>
      <c r="L100" s="518">
        <f t="shared" si="21"/>
        <v>3312750.4635227108</v>
      </c>
      <c r="M100" s="519">
        <f t="shared" si="22"/>
        <v>0</v>
      </c>
      <c r="N100" s="518">
        <f t="shared" si="23"/>
        <v>3312750.4635227108</v>
      </c>
      <c r="O100" s="514">
        <f t="shared" si="24"/>
        <v>0</v>
      </c>
      <c r="P100" s="514">
        <f t="shared" si="25"/>
        <v>0</v>
      </c>
      <c r="Q100" s="269"/>
    </row>
    <row r="101" spans="1:17" ht="12.5">
      <c r="B101" s="195" t="str">
        <f t="shared" ref="B101:B154" si="26">IF(D101=F100,"","IU")</f>
        <v/>
      </c>
      <c r="C101" s="507">
        <f>IF(D93="","-",+C100+1)</f>
        <v>2011</v>
      </c>
      <c r="D101" s="508">
        <v>17240470.243902437</v>
      </c>
      <c r="E101" s="520">
        <v>420749.57142857142</v>
      </c>
      <c r="F101" s="515">
        <v>16819720.672473866</v>
      </c>
      <c r="G101" s="515">
        <v>17030095.458188154</v>
      </c>
      <c r="H101" s="516">
        <v>2981733.6450111624</v>
      </c>
      <c r="I101" s="510">
        <v>2981733.6450111624</v>
      </c>
      <c r="J101" s="514">
        <f t="shared" si="20"/>
        <v>0</v>
      </c>
      <c r="K101" s="514"/>
      <c r="L101" s="518">
        <f t="shared" si="21"/>
        <v>2981733.6450111624</v>
      </c>
      <c r="M101" s="519">
        <f t="shared" si="22"/>
        <v>0</v>
      </c>
      <c r="N101" s="518">
        <f t="shared" si="23"/>
        <v>2981733.6450111624</v>
      </c>
      <c r="O101" s="514">
        <f t="shared" si="24"/>
        <v>0</v>
      </c>
      <c r="P101" s="514">
        <f t="shared" si="25"/>
        <v>0</v>
      </c>
      <c r="Q101" s="269"/>
    </row>
    <row r="102" spans="1:17" ht="12.5">
      <c r="B102" s="195" t="str">
        <f t="shared" si="26"/>
        <v/>
      </c>
      <c r="C102" s="507">
        <f>IF(D93="","-",+C101+1)</f>
        <v>2012</v>
      </c>
      <c r="D102" s="508">
        <v>16819720.672473866</v>
      </c>
      <c r="E102" s="520">
        <v>420749.57142857142</v>
      </c>
      <c r="F102" s="515">
        <v>16398971.101045296</v>
      </c>
      <c r="G102" s="515">
        <v>16609345.886759581</v>
      </c>
      <c r="H102" s="516">
        <v>2864880.1232274803</v>
      </c>
      <c r="I102" s="510">
        <v>2864880.1232274803</v>
      </c>
      <c r="J102" s="514">
        <v>0</v>
      </c>
      <c r="K102" s="514"/>
      <c r="L102" s="518">
        <f t="shared" si="21"/>
        <v>2864880.1232274803</v>
      </c>
      <c r="M102" s="519">
        <f t="shared" ref="M102:M107" si="27">IF(L102&lt;&gt;0,+H102-L102,0)</f>
        <v>0</v>
      </c>
      <c r="N102" s="518">
        <f t="shared" si="23"/>
        <v>2864880.1232274803</v>
      </c>
      <c r="O102" s="514">
        <f t="shared" ref="O102:O107" si="28">IF(N102&lt;&gt;0,+I102-N102,0)</f>
        <v>0</v>
      </c>
      <c r="P102" s="514">
        <f t="shared" ref="P102:P107" si="29">+O102-M102</f>
        <v>0</v>
      </c>
      <c r="Q102" s="269"/>
    </row>
    <row r="103" spans="1:17" ht="12.5">
      <c r="B103" s="195" t="str">
        <f t="shared" si="26"/>
        <v/>
      </c>
      <c r="C103" s="507">
        <f>IF(D93="","-",+C102+1)</f>
        <v>2013</v>
      </c>
      <c r="D103" s="508">
        <v>16398971.101045296</v>
      </c>
      <c r="E103" s="520">
        <v>420749.57142857142</v>
      </c>
      <c r="F103" s="515">
        <v>15978221.529616725</v>
      </c>
      <c r="G103" s="515">
        <v>16188596.31533101</v>
      </c>
      <c r="H103" s="516">
        <v>2610932.3249301547</v>
      </c>
      <c r="I103" s="510">
        <v>2610932.3249301547</v>
      </c>
      <c r="J103" s="514">
        <v>0</v>
      </c>
      <c r="K103" s="514"/>
      <c r="L103" s="518">
        <f t="shared" si="21"/>
        <v>2610932.3249301547</v>
      </c>
      <c r="M103" s="519">
        <f t="shared" si="27"/>
        <v>0</v>
      </c>
      <c r="N103" s="518">
        <f t="shared" si="23"/>
        <v>2610932.3249301547</v>
      </c>
      <c r="O103" s="514">
        <f t="shared" si="28"/>
        <v>0</v>
      </c>
      <c r="P103" s="514">
        <f t="shared" si="29"/>
        <v>0</v>
      </c>
      <c r="Q103" s="269"/>
    </row>
    <row r="104" spans="1:17" ht="12.5">
      <c r="B104" s="195" t="str">
        <f t="shared" si="26"/>
        <v/>
      </c>
      <c r="C104" s="507">
        <f>IF(D93="","-",+C103+1)</f>
        <v>2014</v>
      </c>
      <c r="D104" s="508">
        <v>15978221.529616725</v>
      </c>
      <c r="E104" s="520">
        <v>420749.57142857142</v>
      </c>
      <c r="F104" s="515">
        <v>15557471.958188154</v>
      </c>
      <c r="G104" s="515">
        <v>15767846.743902439</v>
      </c>
      <c r="H104" s="516">
        <v>2563969.8538958314</v>
      </c>
      <c r="I104" s="510">
        <v>2563969.8538958314</v>
      </c>
      <c r="J104" s="514">
        <v>0</v>
      </c>
      <c r="K104" s="514"/>
      <c r="L104" s="518">
        <f t="shared" si="21"/>
        <v>2563969.8538958314</v>
      </c>
      <c r="M104" s="519">
        <f t="shared" si="27"/>
        <v>0</v>
      </c>
      <c r="N104" s="518">
        <f t="shared" si="23"/>
        <v>2563969.8538958314</v>
      </c>
      <c r="O104" s="514">
        <f t="shared" si="28"/>
        <v>0</v>
      </c>
      <c r="P104" s="514">
        <f t="shared" si="29"/>
        <v>0</v>
      </c>
      <c r="Q104" s="269"/>
    </row>
    <row r="105" spans="1:17" ht="12.5">
      <c r="B105" s="195" t="str">
        <f t="shared" si="26"/>
        <v/>
      </c>
      <c r="C105" s="507">
        <f>IF(D93="","-",+C104+1)</f>
        <v>2015</v>
      </c>
      <c r="D105" s="508">
        <v>15557471.958188154</v>
      </c>
      <c r="E105" s="520">
        <v>420749.57142857142</v>
      </c>
      <c r="F105" s="515">
        <v>15136722.386759583</v>
      </c>
      <c r="G105" s="515">
        <v>15347097.172473868</v>
      </c>
      <c r="H105" s="516">
        <v>2443019.3444839055</v>
      </c>
      <c r="I105" s="510">
        <v>2443019.3444839055</v>
      </c>
      <c r="J105" s="514">
        <f t="shared" si="20"/>
        <v>0</v>
      </c>
      <c r="K105" s="514"/>
      <c r="L105" s="518">
        <f>H105</f>
        <v>2443019.3444839055</v>
      </c>
      <c r="M105" s="519">
        <f t="shared" si="27"/>
        <v>0</v>
      </c>
      <c r="N105" s="518">
        <f>I105</f>
        <v>2443019.3444839055</v>
      </c>
      <c r="O105" s="514">
        <f t="shared" si="28"/>
        <v>0</v>
      </c>
      <c r="P105" s="514">
        <f t="shared" si="29"/>
        <v>0</v>
      </c>
      <c r="Q105" s="269"/>
    </row>
    <row r="106" spans="1:17" ht="12.5">
      <c r="B106" s="195" t="str">
        <f t="shared" si="26"/>
        <v/>
      </c>
      <c r="C106" s="507">
        <f>IF(D93="","-",+C105+1)</f>
        <v>2016</v>
      </c>
      <c r="D106" s="508">
        <v>15136722.386759583</v>
      </c>
      <c r="E106" s="520">
        <v>410964.69767441862</v>
      </c>
      <c r="F106" s="515">
        <v>14725757.689085165</v>
      </c>
      <c r="G106" s="515">
        <v>14931240.037922375</v>
      </c>
      <c r="H106" s="516">
        <v>2306485.4456193848</v>
      </c>
      <c r="I106" s="510">
        <v>2306485.4456193848</v>
      </c>
      <c r="J106" s="514">
        <f t="shared" si="20"/>
        <v>0</v>
      </c>
      <c r="K106" s="514"/>
      <c r="L106" s="518">
        <f>H106</f>
        <v>2306485.4456193848</v>
      </c>
      <c r="M106" s="519">
        <f t="shared" si="27"/>
        <v>0</v>
      </c>
      <c r="N106" s="518">
        <f>I106</f>
        <v>2306485.4456193848</v>
      </c>
      <c r="O106" s="514">
        <f t="shared" si="28"/>
        <v>0</v>
      </c>
      <c r="P106" s="514">
        <f t="shared" si="29"/>
        <v>0</v>
      </c>
      <c r="Q106" s="269"/>
    </row>
    <row r="107" spans="1:17" ht="12.5">
      <c r="B107" s="195" t="str">
        <f t="shared" si="26"/>
        <v/>
      </c>
      <c r="C107" s="507">
        <f>IF(D93="","-",+C106+1)</f>
        <v>2017</v>
      </c>
      <c r="D107" s="508">
        <v>14725757.689085165</v>
      </c>
      <c r="E107" s="520">
        <v>420749.57142857142</v>
      </c>
      <c r="F107" s="515">
        <v>14305008.117656594</v>
      </c>
      <c r="G107" s="515">
        <v>14515382.90337088</v>
      </c>
      <c r="H107" s="516">
        <v>2183954.2915421841</v>
      </c>
      <c r="I107" s="510">
        <v>2183954.2915421841</v>
      </c>
      <c r="J107" s="514">
        <f t="shared" si="20"/>
        <v>0</v>
      </c>
      <c r="K107" s="514"/>
      <c r="L107" s="518">
        <f>H107</f>
        <v>2183954.2915421841</v>
      </c>
      <c r="M107" s="519">
        <f t="shared" si="27"/>
        <v>0</v>
      </c>
      <c r="N107" s="518">
        <f>I107</f>
        <v>2183954.2915421841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6"/>
        <v/>
      </c>
      <c r="C108" s="507">
        <f>IF(D93="","-",+C107+1)</f>
        <v>2018</v>
      </c>
      <c r="D108" s="508">
        <v>14305008.117656594</v>
      </c>
      <c r="E108" s="520">
        <v>420749.57142857142</v>
      </c>
      <c r="F108" s="515">
        <v>13884258.546228023</v>
      </c>
      <c r="G108" s="515">
        <v>14094633.331942309</v>
      </c>
      <c r="H108" s="516">
        <v>1909207.486730136</v>
      </c>
      <c r="I108" s="510">
        <v>1909207.486730136</v>
      </c>
      <c r="J108" s="514">
        <f t="shared" si="20"/>
        <v>0</v>
      </c>
      <c r="K108" s="514"/>
      <c r="L108" s="518">
        <f>H108</f>
        <v>1909207.486730136</v>
      </c>
      <c r="M108" s="519">
        <f t="shared" ref="M108" si="30">IF(L108&lt;&gt;0,+H108-L108,0)</f>
        <v>0</v>
      </c>
      <c r="N108" s="518">
        <f>I108</f>
        <v>1909207.486730136</v>
      </c>
      <c r="O108" s="514">
        <f t="shared" ref="O108" si="31">IF(N108&lt;&gt;0,+I108-N108,0)</f>
        <v>0</v>
      </c>
      <c r="P108" s="514">
        <f t="shared" si="25"/>
        <v>0</v>
      </c>
      <c r="Q108" s="269"/>
    </row>
    <row r="109" spans="1:17" ht="12.5">
      <c r="B109" s="195" t="str">
        <f t="shared" si="26"/>
        <v/>
      </c>
      <c r="C109" s="507">
        <f>IF(D93="","-",+C108+1)</f>
        <v>2019</v>
      </c>
      <c r="D109" s="508">
        <v>13884258.546228023</v>
      </c>
      <c r="E109" s="520">
        <v>410964.69767441862</v>
      </c>
      <c r="F109" s="515">
        <v>13473293.848553605</v>
      </c>
      <c r="G109" s="515">
        <v>13678776.197390813</v>
      </c>
      <c r="H109" s="516">
        <v>1875148.3778696754</v>
      </c>
      <c r="I109" s="510">
        <v>1875148.3778696754</v>
      </c>
      <c r="J109" s="514">
        <f t="shared" si="20"/>
        <v>0</v>
      </c>
      <c r="K109" s="514"/>
      <c r="L109" s="518">
        <f>H109</f>
        <v>1875148.3778696754</v>
      </c>
      <c r="M109" s="519">
        <f t="shared" ref="M109" si="32">IF(L109&lt;&gt;0,+H109-L109,0)</f>
        <v>0</v>
      </c>
      <c r="N109" s="518">
        <f>I109</f>
        <v>1875148.3778696754</v>
      </c>
      <c r="O109" s="514">
        <f t="shared" si="24"/>
        <v>0</v>
      </c>
      <c r="P109" s="514">
        <f t="shared" si="25"/>
        <v>0</v>
      </c>
      <c r="Q109" s="269"/>
    </row>
    <row r="110" spans="1:17" ht="12.5">
      <c r="B110" s="195" t="str">
        <f t="shared" si="26"/>
        <v/>
      </c>
      <c r="C110" s="507">
        <f>IF(D93="","-",+C109+1)</f>
        <v>2020</v>
      </c>
      <c r="D110" s="374">
        <f>IF(F109+SUM(E$99:E109)=D$92,F109,D$92-SUM(E$99:E109))</f>
        <v>13473293.848553605</v>
      </c>
      <c r="E110" s="522">
        <f>IF(+J96&lt;F109,J96,D110)</f>
        <v>420749.57142857142</v>
      </c>
      <c r="F110" s="523">
        <f t="shared" ref="F110:F130" si="33">+D110-E110</f>
        <v>13052544.277125034</v>
      </c>
      <c r="G110" s="523">
        <f t="shared" ref="G110:G130" si="34">+(F110+D110)/2</f>
        <v>13262919.06283932</v>
      </c>
      <c r="H110" s="526">
        <f>+J$94*G110+E110</f>
        <v>1847492.6051652874</v>
      </c>
      <c r="I110" s="577">
        <f>+J$95*G110+E110</f>
        <v>1847492.6051652874</v>
      </c>
      <c r="J110" s="514">
        <f t="shared" si="20"/>
        <v>0</v>
      </c>
      <c r="K110" s="514"/>
      <c r="L110" s="525"/>
      <c r="M110" s="514">
        <f t="shared" si="22"/>
        <v>0</v>
      </c>
      <c r="N110" s="525"/>
      <c r="O110" s="514">
        <f t="shared" si="24"/>
        <v>0</v>
      </c>
      <c r="P110" s="514">
        <f t="shared" si="25"/>
        <v>0</v>
      </c>
      <c r="Q110" s="269"/>
    </row>
    <row r="111" spans="1:17" ht="12.5">
      <c r="B111" s="195" t="str">
        <f t="shared" si="26"/>
        <v/>
      </c>
      <c r="C111" s="507">
        <f>IF(D93="","-",+C110+1)</f>
        <v>2021</v>
      </c>
      <c r="D111" s="374">
        <f>IF(F110+SUM(E$99:E110)=D$92,F110,D$92-SUM(E$99:E110))</f>
        <v>13052544.277125034</v>
      </c>
      <c r="E111" s="522">
        <f>IF(+J96&lt;F110,J96,D111)</f>
        <v>420749.57142857142</v>
      </c>
      <c r="F111" s="523">
        <f t="shared" si="33"/>
        <v>12631794.705696464</v>
      </c>
      <c r="G111" s="523">
        <f t="shared" si="34"/>
        <v>12842169.491410749</v>
      </c>
      <c r="H111" s="526">
        <f>+J$94*G111+E111</f>
        <v>1802230.9612436732</v>
      </c>
      <c r="I111" s="577">
        <f>+J$95*G111+E111</f>
        <v>1802230.9612436732</v>
      </c>
      <c r="J111" s="514">
        <f t="shared" si="20"/>
        <v>0</v>
      </c>
      <c r="K111" s="514"/>
      <c r="L111" s="525"/>
      <c r="M111" s="514">
        <f t="shared" si="22"/>
        <v>0</v>
      </c>
      <c r="N111" s="525"/>
      <c r="O111" s="514">
        <f t="shared" si="24"/>
        <v>0</v>
      </c>
      <c r="P111" s="514">
        <f t="shared" si="25"/>
        <v>0</v>
      </c>
      <c r="Q111" s="269"/>
    </row>
    <row r="112" spans="1:17" ht="12.5">
      <c r="B112" s="195" t="str">
        <f t="shared" si="26"/>
        <v/>
      </c>
      <c r="C112" s="507">
        <f>IF(D93="","-",+C111+1)</f>
        <v>2022</v>
      </c>
      <c r="D112" s="374">
        <f>IF(F111+SUM(E$99:E111)=D$92,F111,D$92-SUM(E$99:E111))</f>
        <v>12631794.705696464</v>
      </c>
      <c r="E112" s="522">
        <f>IF(+J96&lt;F111,J96,D112)</f>
        <v>420749.57142857142</v>
      </c>
      <c r="F112" s="523">
        <f t="shared" si="33"/>
        <v>12211045.134267893</v>
      </c>
      <c r="G112" s="523">
        <f t="shared" si="34"/>
        <v>12421419.919982178</v>
      </c>
      <c r="H112" s="526">
        <f>+J$94*G112+E112</f>
        <v>1756969.3173220588</v>
      </c>
      <c r="I112" s="577">
        <f>+J$95*G112+E112</f>
        <v>1756969.3173220588</v>
      </c>
      <c r="J112" s="514">
        <f t="shared" si="20"/>
        <v>0</v>
      </c>
      <c r="K112" s="514"/>
      <c r="L112" s="525"/>
      <c r="M112" s="514">
        <f t="shared" si="22"/>
        <v>0</v>
      </c>
      <c r="N112" s="525"/>
      <c r="O112" s="514">
        <f t="shared" si="24"/>
        <v>0</v>
      </c>
      <c r="P112" s="514">
        <f t="shared" si="25"/>
        <v>0</v>
      </c>
      <c r="Q112" s="269"/>
    </row>
    <row r="113" spans="2:17" ht="12.5">
      <c r="B113" s="195" t="str">
        <f t="shared" si="26"/>
        <v/>
      </c>
      <c r="C113" s="507">
        <f>IF(D93="","-",+C112+1)</f>
        <v>2023</v>
      </c>
      <c r="D113" s="374">
        <f>IF(F112+SUM(E$99:E112)=D$92,F112,D$92-SUM(E$99:E112))</f>
        <v>12211045.134267893</v>
      </c>
      <c r="E113" s="522">
        <f>IF(+J96&lt;F112,J96,D113)</f>
        <v>420749.57142857142</v>
      </c>
      <c r="F113" s="523">
        <f t="shared" si="33"/>
        <v>11790295.562839322</v>
      </c>
      <c r="G113" s="523">
        <f t="shared" si="34"/>
        <v>12000670.348553607</v>
      </c>
      <c r="H113" s="526">
        <f t="shared" ref="H113:H154" si="35">+J$94*G113+E113</f>
        <v>1711707.6734004447</v>
      </c>
      <c r="I113" s="577">
        <f t="shared" ref="I113:I154" si="36">+J$95*G113+E113</f>
        <v>1711707.6734004447</v>
      </c>
      <c r="J113" s="514">
        <f t="shared" si="20"/>
        <v>0</v>
      </c>
      <c r="K113" s="514"/>
      <c r="L113" s="525"/>
      <c r="M113" s="514">
        <f t="shared" si="22"/>
        <v>0</v>
      </c>
      <c r="N113" s="525"/>
      <c r="O113" s="514">
        <f t="shared" si="24"/>
        <v>0</v>
      </c>
      <c r="P113" s="514">
        <f t="shared" si="25"/>
        <v>0</v>
      </c>
      <c r="Q113" s="269"/>
    </row>
    <row r="114" spans="2:17" ht="12.5">
      <c r="B114" s="195" t="str">
        <f t="shared" si="26"/>
        <v/>
      </c>
      <c r="C114" s="507">
        <f>IF(D93="","-",+C113+1)</f>
        <v>2024</v>
      </c>
      <c r="D114" s="374">
        <f>IF(F113+SUM(E$99:E113)=D$92,F113,D$92-SUM(E$99:E113))</f>
        <v>11790295.562839322</v>
      </c>
      <c r="E114" s="522">
        <f>IF(+J96&lt;F113,J96,D114)</f>
        <v>420749.57142857142</v>
      </c>
      <c r="F114" s="523">
        <f t="shared" si="33"/>
        <v>11369545.991410751</v>
      </c>
      <c r="G114" s="523">
        <f t="shared" si="34"/>
        <v>11579920.777125036</v>
      </c>
      <c r="H114" s="526">
        <f t="shared" si="35"/>
        <v>1666446.0294788305</v>
      </c>
      <c r="I114" s="577">
        <f t="shared" si="36"/>
        <v>1666446.0294788305</v>
      </c>
      <c r="J114" s="514">
        <f t="shared" si="20"/>
        <v>0</v>
      </c>
      <c r="K114" s="514"/>
      <c r="L114" s="525"/>
      <c r="M114" s="514">
        <f t="shared" si="22"/>
        <v>0</v>
      </c>
      <c r="N114" s="525"/>
      <c r="O114" s="514">
        <f t="shared" si="24"/>
        <v>0</v>
      </c>
      <c r="P114" s="514">
        <f t="shared" si="25"/>
        <v>0</v>
      </c>
      <c r="Q114" s="269"/>
    </row>
    <row r="115" spans="2:17" ht="12.5">
      <c r="B115" s="195" t="str">
        <f t="shared" si="26"/>
        <v/>
      </c>
      <c r="C115" s="507">
        <f>IF(D93="","-",+C114+1)</f>
        <v>2025</v>
      </c>
      <c r="D115" s="374">
        <f>IF(F114+SUM(E$99:E114)=D$92,F114,D$92-SUM(E$99:E114))</f>
        <v>11369545.991410751</v>
      </c>
      <c r="E115" s="522">
        <f>IF(+J96&lt;F114,J96,D115)</f>
        <v>420749.57142857142</v>
      </c>
      <c r="F115" s="523">
        <f t="shared" si="33"/>
        <v>10948796.41998218</v>
      </c>
      <c r="G115" s="523">
        <f t="shared" si="34"/>
        <v>11159171.205696465</v>
      </c>
      <c r="H115" s="526">
        <f t="shared" si="35"/>
        <v>1621184.3855572164</v>
      </c>
      <c r="I115" s="577">
        <f t="shared" si="36"/>
        <v>1621184.3855572164</v>
      </c>
      <c r="J115" s="514">
        <f t="shared" si="20"/>
        <v>0</v>
      </c>
      <c r="K115" s="514"/>
      <c r="L115" s="525"/>
      <c r="M115" s="514">
        <f t="shared" si="22"/>
        <v>0</v>
      </c>
      <c r="N115" s="525"/>
      <c r="O115" s="514">
        <f t="shared" si="24"/>
        <v>0</v>
      </c>
      <c r="P115" s="514">
        <f t="shared" si="25"/>
        <v>0</v>
      </c>
      <c r="Q115" s="269"/>
    </row>
    <row r="116" spans="2:17" ht="12.5">
      <c r="B116" s="195" t="str">
        <f t="shared" si="26"/>
        <v/>
      </c>
      <c r="C116" s="507">
        <f>IF(D93="","-",+C115+1)</f>
        <v>2026</v>
      </c>
      <c r="D116" s="374">
        <f>IF(F115+SUM(E$99:E115)=D$92,F115,D$92-SUM(E$99:E115))</f>
        <v>10948796.41998218</v>
      </c>
      <c r="E116" s="522">
        <f>IF(+J96&lt;F115,J96,D116)</f>
        <v>420749.57142857142</v>
      </c>
      <c r="F116" s="523">
        <f t="shared" si="33"/>
        <v>10528046.848553609</v>
      </c>
      <c r="G116" s="523">
        <f t="shared" si="34"/>
        <v>10738421.634267895</v>
      </c>
      <c r="H116" s="526">
        <f t="shared" si="35"/>
        <v>1575922.7416356022</v>
      </c>
      <c r="I116" s="577">
        <f t="shared" si="36"/>
        <v>1575922.7416356022</v>
      </c>
      <c r="J116" s="514">
        <f t="shared" si="20"/>
        <v>0</v>
      </c>
      <c r="K116" s="514"/>
      <c r="L116" s="525"/>
      <c r="M116" s="514">
        <f t="shared" si="22"/>
        <v>0</v>
      </c>
      <c r="N116" s="525"/>
      <c r="O116" s="514">
        <f t="shared" si="24"/>
        <v>0</v>
      </c>
      <c r="P116" s="514">
        <f t="shared" si="25"/>
        <v>0</v>
      </c>
      <c r="Q116" s="269"/>
    </row>
    <row r="117" spans="2:17" ht="12.5">
      <c r="B117" s="195" t="str">
        <f t="shared" si="26"/>
        <v/>
      </c>
      <c r="C117" s="507">
        <f>IF(D93="","-",+C116+1)</f>
        <v>2027</v>
      </c>
      <c r="D117" s="374">
        <f>IF(F116+SUM(E$99:E116)=D$92,F116,D$92-SUM(E$99:E116))</f>
        <v>10528046.848553609</v>
      </c>
      <c r="E117" s="522">
        <f>IF(+J96&lt;F116,J96,D117)</f>
        <v>420749.57142857142</v>
      </c>
      <c r="F117" s="523">
        <f t="shared" si="33"/>
        <v>10107297.277125038</v>
      </c>
      <c r="G117" s="523">
        <f t="shared" si="34"/>
        <v>10317672.062839324</v>
      </c>
      <c r="H117" s="526">
        <f t="shared" si="35"/>
        <v>1530661.097713988</v>
      </c>
      <c r="I117" s="577">
        <f t="shared" si="36"/>
        <v>1530661.097713988</v>
      </c>
      <c r="J117" s="514">
        <f t="shared" si="20"/>
        <v>0</v>
      </c>
      <c r="K117" s="514"/>
      <c r="L117" s="525"/>
      <c r="M117" s="514">
        <f t="shared" si="22"/>
        <v>0</v>
      </c>
      <c r="N117" s="525"/>
      <c r="O117" s="514">
        <f t="shared" si="24"/>
        <v>0</v>
      </c>
      <c r="P117" s="514">
        <f t="shared" si="25"/>
        <v>0</v>
      </c>
      <c r="Q117" s="269"/>
    </row>
    <row r="118" spans="2:17" ht="12.5">
      <c r="B118" s="195" t="str">
        <f t="shared" si="26"/>
        <v/>
      </c>
      <c r="C118" s="507">
        <f>IF(D93="","-",+C117+1)</f>
        <v>2028</v>
      </c>
      <c r="D118" s="374">
        <f>IF(F117+SUM(E$99:E117)=D$92,F117,D$92-SUM(E$99:E117))</f>
        <v>10107297.277125038</v>
      </c>
      <c r="E118" s="522">
        <f>IF(+J96&lt;F117,J96,D118)</f>
        <v>420749.57142857142</v>
      </c>
      <c r="F118" s="523">
        <f t="shared" si="33"/>
        <v>9686547.7056964673</v>
      </c>
      <c r="G118" s="523">
        <f t="shared" si="34"/>
        <v>9896922.4914107528</v>
      </c>
      <c r="H118" s="526">
        <f t="shared" si="35"/>
        <v>1485399.4537923739</v>
      </c>
      <c r="I118" s="577">
        <f t="shared" si="36"/>
        <v>1485399.4537923739</v>
      </c>
      <c r="J118" s="514">
        <f t="shared" si="20"/>
        <v>0</v>
      </c>
      <c r="K118" s="514"/>
      <c r="L118" s="525"/>
      <c r="M118" s="514">
        <f t="shared" si="22"/>
        <v>0</v>
      </c>
      <c r="N118" s="525"/>
      <c r="O118" s="514">
        <f t="shared" si="24"/>
        <v>0</v>
      </c>
      <c r="P118" s="514">
        <f t="shared" si="25"/>
        <v>0</v>
      </c>
      <c r="Q118" s="269"/>
    </row>
    <row r="119" spans="2:17" ht="12.5">
      <c r="B119" s="195" t="str">
        <f t="shared" si="26"/>
        <v/>
      </c>
      <c r="C119" s="507">
        <f>IF(D93="","-",+C118+1)</f>
        <v>2029</v>
      </c>
      <c r="D119" s="374">
        <f>IF(F118+SUM(E$99:E118)=D$92,F118,D$92-SUM(E$99:E118))</f>
        <v>9686547.7056964673</v>
      </c>
      <c r="E119" s="522">
        <f>IF(+J96&lt;F118,J96,D119)</f>
        <v>420749.57142857142</v>
      </c>
      <c r="F119" s="523">
        <f t="shared" si="33"/>
        <v>9265798.1342678964</v>
      </c>
      <c r="G119" s="523">
        <f t="shared" si="34"/>
        <v>9476172.9199821819</v>
      </c>
      <c r="H119" s="526">
        <f t="shared" si="35"/>
        <v>1440137.8098707597</v>
      </c>
      <c r="I119" s="577">
        <f t="shared" si="36"/>
        <v>1440137.8098707597</v>
      </c>
      <c r="J119" s="514">
        <f t="shared" si="20"/>
        <v>0</v>
      </c>
      <c r="K119" s="514"/>
      <c r="L119" s="525"/>
      <c r="M119" s="514">
        <f t="shared" si="22"/>
        <v>0</v>
      </c>
      <c r="N119" s="525"/>
      <c r="O119" s="514">
        <f t="shared" si="24"/>
        <v>0</v>
      </c>
      <c r="P119" s="514">
        <f t="shared" si="25"/>
        <v>0</v>
      </c>
      <c r="Q119" s="269"/>
    </row>
    <row r="120" spans="2:17" ht="12.5">
      <c r="B120" s="195" t="str">
        <f t="shared" si="26"/>
        <v/>
      </c>
      <c r="C120" s="507">
        <f>IF(D93="","-",+C119+1)</f>
        <v>2030</v>
      </c>
      <c r="D120" s="374">
        <f>IF(F119+SUM(E$99:E119)=D$92,F119,D$92-SUM(E$99:E119))</f>
        <v>9265798.1342678964</v>
      </c>
      <c r="E120" s="522">
        <f>IF(+J96&lt;F119,J96,D120)</f>
        <v>420749.57142857142</v>
      </c>
      <c r="F120" s="523">
        <f t="shared" si="33"/>
        <v>8845048.5628393255</v>
      </c>
      <c r="G120" s="523">
        <f t="shared" si="34"/>
        <v>9055423.348553611</v>
      </c>
      <c r="H120" s="526">
        <f t="shared" si="35"/>
        <v>1394876.1659491453</v>
      </c>
      <c r="I120" s="577">
        <f t="shared" si="36"/>
        <v>1394876.1659491453</v>
      </c>
      <c r="J120" s="514">
        <f t="shared" si="20"/>
        <v>0</v>
      </c>
      <c r="K120" s="514"/>
      <c r="L120" s="525"/>
      <c r="M120" s="514">
        <f t="shared" si="22"/>
        <v>0</v>
      </c>
      <c r="N120" s="525"/>
      <c r="O120" s="514">
        <f t="shared" si="24"/>
        <v>0</v>
      </c>
      <c r="P120" s="514">
        <f t="shared" si="25"/>
        <v>0</v>
      </c>
      <c r="Q120" s="269"/>
    </row>
    <row r="121" spans="2:17" ht="12.5">
      <c r="B121" s="195" t="str">
        <f t="shared" si="26"/>
        <v/>
      </c>
      <c r="C121" s="507">
        <f>IF(D93="","-",+C120+1)</f>
        <v>2031</v>
      </c>
      <c r="D121" s="374">
        <f>IF(F120+SUM(E$99:E120)=D$92,F120,D$92-SUM(E$99:E120))</f>
        <v>8845048.5628393255</v>
      </c>
      <c r="E121" s="522">
        <f>IF(+J96&lt;F120,J96,D121)</f>
        <v>420749.57142857142</v>
      </c>
      <c r="F121" s="523">
        <f t="shared" si="33"/>
        <v>8424298.9914107546</v>
      </c>
      <c r="G121" s="523">
        <f t="shared" si="34"/>
        <v>8634673.7771250401</v>
      </c>
      <c r="H121" s="526">
        <f t="shared" si="35"/>
        <v>1349614.5220275312</v>
      </c>
      <c r="I121" s="577">
        <f t="shared" si="36"/>
        <v>1349614.5220275312</v>
      </c>
      <c r="J121" s="514">
        <f t="shared" si="20"/>
        <v>0</v>
      </c>
      <c r="K121" s="514"/>
      <c r="L121" s="525"/>
      <c r="M121" s="514">
        <f t="shared" si="22"/>
        <v>0</v>
      </c>
      <c r="N121" s="525"/>
      <c r="O121" s="514">
        <f t="shared" si="24"/>
        <v>0</v>
      </c>
      <c r="P121" s="514">
        <f t="shared" si="25"/>
        <v>0</v>
      </c>
      <c r="Q121" s="269"/>
    </row>
    <row r="122" spans="2:17" ht="12.5">
      <c r="B122" s="195" t="str">
        <f t="shared" si="26"/>
        <v/>
      </c>
      <c r="C122" s="507">
        <f>IF(D93="","-",+C121+1)</f>
        <v>2032</v>
      </c>
      <c r="D122" s="374">
        <f>IF(F121+SUM(E$99:E121)=D$92,F121,D$92-SUM(E$99:E121))</f>
        <v>8424298.9914107546</v>
      </c>
      <c r="E122" s="522">
        <f>IF(+J96&lt;F121,J96,D122)</f>
        <v>420749.57142857142</v>
      </c>
      <c r="F122" s="523">
        <f t="shared" si="33"/>
        <v>8003549.4199821828</v>
      </c>
      <c r="G122" s="523">
        <f t="shared" si="34"/>
        <v>8213924.2056964692</v>
      </c>
      <c r="H122" s="526">
        <f t="shared" si="35"/>
        <v>1304352.878105917</v>
      </c>
      <c r="I122" s="577">
        <f t="shared" si="36"/>
        <v>1304352.878105917</v>
      </c>
      <c r="J122" s="514">
        <f t="shared" si="20"/>
        <v>0</v>
      </c>
      <c r="K122" s="514"/>
      <c r="L122" s="525"/>
      <c r="M122" s="514">
        <f t="shared" si="22"/>
        <v>0</v>
      </c>
      <c r="N122" s="525"/>
      <c r="O122" s="514">
        <f t="shared" si="24"/>
        <v>0</v>
      </c>
      <c r="P122" s="514">
        <f t="shared" si="25"/>
        <v>0</v>
      </c>
      <c r="Q122" s="269"/>
    </row>
    <row r="123" spans="2:17" ht="12.5">
      <c r="B123" s="195" t="str">
        <f t="shared" si="26"/>
        <v/>
      </c>
      <c r="C123" s="507">
        <f>IF(D93="","-",+C122+1)</f>
        <v>2033</v>
      </c>
      <c r="D123" s="374">
        <f>IF(F122+SUM(E$99:E122)=D$92,F122,D$92-SUM(E$99:E122))</f>
        <v>8003549.4199821828</v>
      </c>
      <c r="E123" s="522">
        <f>IF(+J96&lt;F122,J96,D123)</f>
        <v>420749.57142857142</v>
      </c>
      <c r="F123" s="523">
        <f t="shared" si="33"/>
        <v>7582799.848553611</v>
      </c>
      <c r="G123" s="523">
        <f t="shared" si="34"/>
        <v>7793174.6342678964</v>
      </c>
      <c r="H123" s="526">
        <f t="shared" si="35"/>
        <v>1259091.2341843026</v>
      </c>
      <c r="I123" s="577">
        <f t="shared" si="36"/>
        <v>1259091.2341843026</v>
      </c>
      <c r="J123" s="514">
        <f t="shared" si="20"/>
        <v>0</v>
      </c>
      <c r="K123" s="514"/>
      <c r="L123" s="525"/>
      <c r="M123" s="514">
        <f t="shared" si="22"/>
        <v>0</v>
      </c>
      <c r="N123" s="525"/>
      <c r="O123" s="514">
        <f t="shared" si="24"/>
        <v>0</v>
      </c>
      <c r="P123" s="514">
        <f t="shared" si="25"/>
        <v>0</v>
      </c>
      <c r="Q123" s="269"/>
    </row>
    <row r="124" spans="2:17" ht="12.5">
      <c r="B124" s="195" t="str">
        <f t="shared" si="26"/>
        <v/>
      </c>
      <c r="C124" s="507">
        <f>IF(D93="","-",+C123+1)</f>
        <v>2034</v>
      </c>
      <c r="D124" s="374">
        <f>IF(F123+SUM(E$99:E123)=D$92,F123,D$92-SUM(E$99:E123))</f>
        <v>7582799.848553611</v>
      </c>
      <c r="E124" s="522">
        <f>IF(+J96&lt;F123,J96,D124)</f>
        <v>420749.57142857142</v>
      </c>
      <c r="F124" s="523">
        <f t="shared" si="33"/>
        <v>7162050.2771250391</v>
      </c>
      <c r="G124" s="523">
        <f t="shared" si="34"/>
        <v>7372425.0628393255</v>
      </c>
      <c r="H124" s="526">
        <f t="shared" si="35"/>
        <v>1213829.5902626885</v>
      </c>
      <c r="I124" s="577">
        <f t="shared" si="36"/>
        <v>1213829.5902626885</v>
      </c>
      <c r="J124" s="514">
        <f t="shared" si="20"/>
        <v>0</v>
      </c>
      <c r="K124" s="514"/>
      <c r="L124" s="525"/>
      <c r="M124" s="514">
        <f t="shared" si="22"/>
        <v>0</v>
      </c>
      <c r="N124" s="525"/>
      <c r="O124" s="514">
        <f t="shared" si="24"/>
        <v>0</v>
      </c>
      <c r="P124" s="514">
        <f t="shared" si="25"/>
        <v>0</v>
      </c>
      <c r="Q124" s="269"/>
    </row>
    <row r="125" spans="2:17" ht="12.5">
      <c r="B125" s="195" t="str">
        <f t="shared" si="26"/>
        <v/>
      </c>
      <c r="C125" s="507">
        <f>IF(D93="","-",+C124+1)</f>
        <v>2035</v>
      </c>
      <c r="D125" s="374">
        <f>IF(F124+SUM(E$99:E124)=D$92,F124,D$92-SUM(E$99:E124))</f>
        <v>7162050.2771250391</v>
      </c>
      <c r="E125" s="522">
        <f>IF(+J96&lt;F124,J96,D125)</f>
        <v>420749.57142857142</v>
      </c>
      <c r="F125" s="523">
        <f t="shared" si="33"/>
        <v>6741300.7056964673</v>
      </c>
      <c r="G125" s="523">
        <f t="shared" si="34"/>
        <v>6951675.4914107528</v>
      </c>
      <c r="H125" s="526">
        <f t="shared" si="35"/>
        <v>1168567.9463410741</v>
      </c>
      <c r="I125" s="577">
        <f t="shared" si="36"/>
        <v>1168567.9463410741</v>
      </c>
      <c r="J125" s="514">
        <f t="shared" si="20"/>
        <v>0</v>
      </c>
      <c r="K125" s="514"/>
      <c r="L125" s="525"/>
      <c r="M125" s="514">
        <f t="shared" si="22"/>
        <v>0</v>
      </c>
      <c r="N125" s="525"/>
      <c r="O125" s="514">
        <f t="shared" si="24"/>
        <v>0</v>
      </c>
      <c r="P125" s="514">
        <f t="shared" si="25"/>
        <v>0</v>
      </c>
      <c r="Q125" s="269"/>
    </row>
    <row r="126" spans="2:17" ht="12.5">
      <c r="B126" s="195" t="str">
        <f t="shared" si="26"/>
        <v/>
      </c>
      <c r="C126" s="507">
        <f>IF(D93="","-",+C125+1)</f>
        <v>2036</v>
      </c>
      <c r="D126" s="374">
        <f>IF(F125+SUM(E$99:E125)=D$92,F125,D$92-SUM(E$99:E125))</f>
        <v>6741300.7056964673</v>
      </c>
      <c r="E126" s="522">
        <f>IF(+J96&lt;F125,J96,D126)</f>
        <v>420749.57142857142</v>
      </c>
      <c r="F126" s="523">
        <f t="shared" si="33"/>
        <v>6320551.1342678955</v>
      </c>
      <c r="G126" s="523">
        <f t="shared" si="34"/>
        <v>6530925.9199821819</v>
      </c>
      <c r="H126" s="526">
        <f t="shared" si="35"/>
        <v>1123306.3024194599</v>
      </c>
      <c r="I126" s="577">
        <f t="shared" si="36"/>
        <v>1123306.3024194599</v>
      </c>
      <c r="J126" s="514">
        <f t="shared" si="20"/>
        <v>0</v>
      </c>
      <c r="K126" s="514"/>
      <c r="L126" s="525"/>
      <c r="M126" s="514">
        <f t="shared" si="22"/>
        <v>0</v>
      </c>
      <c r="N126" s="525"/>
      <c r="O126" s="514">
        <f t="shared" si="24"/>
        <v>0</v>
      </c>
      <c r="P126" s="514">
        <f t="shared" si="25"/>
        <v>0</v>
      </c>
      <c r="Q126" s="269"/>
    </row>
    <row r="127" spans="2:17" ht="12.5">
      <c r="B127" s="195" t="str">
        <f t="shared" si="26"/>
        <v/>
      </c>
      <c r="C127" s="507">
        <f>IF(D93="","-",+C126+1)</f>
        <v>2037</v>
      </c>
      <c r="D127" s="374">
        <f>IF(F126+SUM(E$99:E126)=D$92,F126,D$92-SUM(E$99:E126))</f>
        <v>6320551.1342678955</v>
      </c>
      <c r="E127" s="522">
        <f>IF(+J96&lt;F126,J96,D127)</f>
        <v>420749.57142857142</v>
      </c>
      <c r="F127" s="523">
        <f t="shared" si="33"/>
        <v>5899801.5628393237</v>
      </c>
      <c r="G127" s="523">
        <f t="shared" si="34"/>
        <v>6110176.3485536091</v>
      </c>
      <c r="H127" s="526">
        <f t="shared" si="35"/>
        <v>1078044.6584978455</v>
      </c>
      <c r="I127" s="577">
        <f t="shared" si="36"/>
        <v>1078044.6584978455</v>
      </c>
      <c r="J127" s="514">
        <f t="shared" si="20"/>
        <v>0</v>
      </c>
      <c r="K127" s="514"/>
      <c r="L127" s="525"/>
      <c r="M127" s="514">
        <f t="shared" si="22"/>
        <v>0</v>
      </c>
      <c r="N127" s="525"/>
      <c r="O127" s="514">
        <f t="shared" si="24"/>
        <v>0</v>
      </c>
      <c r="P127" s="514">
        <f t="shared" si="25"/>
        <v>0</v>
      </c>
      <c r="Q127" s="269"/>
    </row>
    <row r="128" spans="2:17" ht="12.5">
      <c r="B128" s="195" t="str">
        <f t="shared" si="26"/>
        <v/>
      </c>
      <c r="C128" s="507">
        <f>IF(D93="","-",+C127+1)</f>
        <v>2038</v>
      </c>
      <c r="D128" s="374">
        <f>IF(F127+SUM(E$99:E127)=D$92,F127,D$92-SUM(E$99:E127))</f>
        <v>5899801.5628393237</v>
      </c>
      <c r="E128" s="522">
        <f>IF(+J96&lt;F127,J96,D128)</f>
        <v>420749.57142857142</v>
      </c>
      <c r="F128" s="523">
        <f t="shared" si="33"/>
        <v>5479051.9914107518</v>
      </c>
      <c r="G128" s="523">
        <f t="shared" si="34"/>
        <v>5689426.7771250382</v>
      </c>
      <c r="H128" s="526">
        <f t="shared" si="35"/>
        <v>1032783.0145762314</v>
      </c>
      <c r="I128" s="577">
        <f t="shared" si="36"/>
        <v>1032783.0145762314</v>
      </c>
      <c r="J128" s="514">
        <f t="shared" si="20"/>
        <v>0</v>
      </c>
      <c r="K128" s="514"/>
      <c r="L128" s="525"/>
      <c r="M128" s="514">
        <f t="shared" si="22"/>
        <v>0</v>
      </c>
      <c r="N128" s="525"/>
      <c r="O128" s="514">
        <f t="shared" si="24"/>
        <v>0</v>
      </c>
      <c r="P128" s="514">
        <f t="shared" si="25"/>
        <v>0</v>
      </c>
      <c r="Q128" s="269"/>
    </row>
    <row r="129" spans="2:17" ht="12.5">
      <c r="B129" s="195" t="str">
        <f t="shared" si="26"/>
        <v/>
      </c>
      <c r="C129" s="507">
        <f>IF(D93="","-",+C128+1)</f>
        <v>2039</v>
      </c>
      <c r="D129" s="374">
        <f>IF(F128+SUM(E$99:E128)=D$92,F128,D$92-SUM(E$99:E128))</f>
        <v>5479051.9914107518</v>
      </c>
      <c r="E129" s="522">
        <f>IF(+J96&lt;F128,J96,D129)</f>
        <v>420749.57142857142</v>
      </c>
      <c r="F129" s="523">
        <f t="shared" si="33"/>
        <v>5058302.41998218</v>
      </c>
      <c r="G129" s="523">
        <f t="shared" si="34"/>
        <v>5268677.2056964654</v>
      </c>
      <c r="H129" s="526">
        <f t="shared" si="35"/>
        <v>987521.37065461697</v>
      </c>
      <c r="I129" s="577">
        <f t="shared" si="36"/>
        <v>987521.37065461697</v>
      </c>
      <c r="J129" s="514">
        <f t="shared" si="20"/>
        <v>0</v>
      </c>
      <c r="K129" s="514"/>
      <c r="L129" s="525"/>
      <c r="M129" s="514">
        <f t="shared" si="22"/>
        <v>0</v>
      </c>
      <c r="N129" s="525"/>
      <c r="O129" s="514">
        <f t="shared" si="24"/>
        <v>0</v>
      </c>
      <c r="P129" s="514">
        <f t="shared" si="25"/>
        <v>0</v>
      </c>
      <c r="Q129" s="269"/>
    </row>
    <row r="130" spans="2:17" ht="12.5">
      <c r="B130" s="195" t="str">
        <f t="shared" si="26"/>
        <v/>
      </c>
      <c r="C130" s="507">
        <f>IF(D93="","-",+C129+1)</f>
        <v>2040</v>
      </c>
      <c r="D130" s="374">
        <f>IF(F129+SUM(E$99:E129)=D$92,F129,D$92-SUM(E$99:E129))</f>
        <v>5058302.41998218</v>
      </c>
      <c r="E130" s="522">
        <f>IF(+J96&lt;F129,J96,D130)</f>
        <v>420749.57142857142</v>
      </c>
      <c r="F130" s="523">
        <f t="shared" si="33"/>
        <v>4637552.8485536082</v>
      </c>
      <c r="G130" s="523">
        <f t="shared" si="34"/>
        <v>4847927.6342678946</v>
      </c>
      <c r="H130" s="526">
        <f t="shared" si="35"/>
        <v>942259.7267330027</v>
      </c>
      <c r="I130" s="577">
        <f t="shared" si="36"/>
        <v>942259.7267330027</v>
      </c>
      <c r="J130" s="514">
        <f t="shared" si="20"/>
        <v>0</v>
      </c>
      <c r="K130" s="514"/>
      <c r="L130" s="525"/>
      <c r="M130" s="514">
        <f t="shared" si="22"/>
        <v>0</v>
      </c>
      <c r="N130" s="525"/>
      <c r="O130" s="514">
        <f t="shared" si="24"/>
        <v>0</v>
      </c>
      <c r="P130" s="514">
        <f t="shared" si="25"/>
        <v>0</v>
      </c>
      <c r="Q130" s="269"/>
    </row>
    <row r="131" spans="2:17" ht="12.5">
      <c r="B131" s="195" t="str">
        <f t="shared" si="26"/>
        <v/>
      </c>
      <c r="C131" s="507">
        <f>IF(D93="","-",+C130+1)</f>
        <v>2041</v>
      </c>
      <c r="D131" s="374">
        <f>IF(F130+SUM(E$99:E130)=D$92,F130,D$92-SUM(E$99:E130))</f>
        <v>4637552.8485536082</v>
      </c>
      <c r="E131" s="522">
        <f>IF(+J96&lt;F130,J96,D131)</f>
        <v>420749.57142857142</v>
      </c>
      <c r="F131" s="523">
        <f t="shared" ref="F131:F154" si="37">+D131-E131</f>
        <v>4216803.2771250363</v>
      </c>
      <c r="G131" s="523">
        <f t="shared" ref="G131:G154" si="38">+(F131+D131)/2</f>
        <v>4427178.0628393218</v>
      </c>
      <c r="H131" s="526">
        <f t="shared" si="35"/>
        <v>896998.0828113883</v>
      </c>
      <c r="I131" s="577">
        <f t="shared" si="36"/>
        <v>896998.0828113883</v>
      </c>
      <c r="J131" s="514">
        <f t="shared" ref="J131:J154" si="39">+I131-H131</f>
        <v>0</v>
      </c>
      <c r="K131" s="514"/>
      <c r="L131" s="525"/>
      <c r="M131" s="514">
        <f t="shared" ref="M131:M154" si="40">IF(L131&lt;&gt;0,+H131-L131,0)</f>
        <v>0</v>
      </c>
      <c r="N131" s="525"/>
      <c r="O131" s="514">
        <f t="shared" ref="O131:O154" si="41">IF(N131&lt;&gt;0,+I131-N131,0)</f>
        <v>0</v>
      </c>
      <c r="P131" s="514">
        <f t="shared" ref="P131:P154" si="42">+O131-M131</f>
        <v>0</v>
      </c>
      <c r="Q131" s="269"/>
    </row>
    <row r="132" spans="2:17" ht="12.5">
      <c r="B132" s="195" t="str">
        <f t="shared" si="26"/>
        <v/>
      </c>
      <c r="C132" s="507">
        <f>IF(D93="","-",+C131+1)</f>
        <v>2042</v>
      </c>
      <c r="D132" s="374">
        <f>IF(F131+SUM(E$99:E131)=D$92,F131,D$92-SUM(E$99:E131))</f>
        <v>4216803.2771250363</v>
      </c>
      <c r="E132" s="522">
        <f>IF(+J96&lt;F131,J96,D132)</f>
        <v>420749.57142857142</v>
      </c>
      <c r="F132" s="523">
        <f t="shared" si="37"/>
        <v>3796053.705696465</v>
      </c>
      <c r="G132" s="523">
        <f t="shared" si="38"/>
        <v>4006428.4914107509</v>
      </c>
      <c r="H132" s="526">
        <f t="shared" si="35"/>
        <v>851736.43888977414</v>
      </c>
      <c r="I132" s="577">
        <f t="shared" si="36"/>
        <v>851736.43888977414</v>
      </c>
      <c r="J132" s="514">
        <f t="shared" si="39"/>
        <v>0</v>
      </c>
      <c r="K132" s="514"/>
      <c r="L132" s="525"/>
      <c r="M132" s="514">
        <f t="shared" si="40"/>
        <v>0</v>
      </c>
      <c r="N132" s="525"/>
      <c r="O132" s="514">
        <f t="shared" si="41"/>
        <v>0</v>
      </c>
      <c r="P132" s="514">
        <f t="shared" si="42"/>
        <v>0</v>
      </c>
      <c r="Q132" s="269"/>
    </row>
    <row r="133" spans="2:17" ht="12.5">
      <c r="B133" s="195" t="str">
        <f t="shared" si="26"/>
        <v/>
      </c>
      <c r="C133" s="507">
        <f>IF(D93="","-",+C132+1)</f>
        <v>2043</v>
      </c>
      <c r="D133" s="374">
        <f>IF(F132+SUM(E$99:E132)=D$92,F132,D$92-SUM(E$99:E132))</f>
        <v>3796053.705696465</v>
      </c>
      <c r="E133" s="522">
        <f>IF(+J96&lt;F132,J96,D133)</f>
        <v>420749.57142857142</v>
      </c>
      <c r="F133" s="523">
        <f t="shared" si="37"/>
        <v>3375304.1342678936</v>
      </c>
      <c r="G133" s="523">
        <f t="shared" si="38"/>
        <v>3585678.9199821791</v>
      </c>
      <c r="H133" s="526">
        <f t="shared" si="35"/>
        <v>806474.79496815987</v>
      </c>
      <c r="I133" s="577">
        <f t="shared" si="36"/>
        <v>806474.79496815987</v>
      </c>
      <c r="J133" s="514">
        <f t="shared" si="39"/>
        <v>0</v>
      </c>
      <c r="K133" s="514"/>
      <c r="L133" s="525"/>
      <c r="M133" s="514">
        <f t="shared" si="40"/>
        <v>0</v>
      </c>
      <c r="N133" s="525"/>
      <c r="O133" s="514">
        <f t="shared" si="41"/>
        <v>0</v>
      </c>
      <c r="P133" s="514">
        <f t="shared" si="42"/>
        <v>0</v>
      </c>
      <c r="Q133" s="269"/>
    </row>
    <row r="134" spans="2:17" ht="12.5">
      <c r="B134" s="195" t="str">
        <f t="shared" si="26"/>
        <v/>
      </c>
      <c r="C134" s="507">
        <f>IF(D93="","-",+C133+1)</f>
        <v>2044</v>
      </c>
      <c r="D134" s="374">
        <f>IF(F133+SUM(E$99:E133)=D$92,F133,D$92-SUM(E$99:E133))</f>
        <v>3375304.1342678936</v>
      </c>
      <c r="E134" s="522">
        <f>IF(+J96&lt;F133,J96,D134)</f>
        <v>420749.57142857142</v>
      </c>
      <c r="F134" s="523">
        <f t="shared" si="37"/>
        <v>2954554.5628393223</v>
      </c>
      <c r="G134" s="523">
        <f t="shared" si="38"/>
        <v>3164929.3485536082</v>
      </c>
      <c r="H134" s="526">
        <f t="shared" si="35"/>
        <v>761213.15104654571</v>
      </c>
      <c r="I134" s="577">
        <f t="shared" si="36"/>
        <v>761213.15104654571</v>
      </c>
      <c r="J134" s="514">
        <f t="shared" si="39"/>
        <v>0</v>
      </c>
      <c r="K134" s="514"/>
      <c r="L134" s="525"/>
      <c r="M134" s="514">
        <f t="shared" si="40"/>
        <v>0</v>
      </c>
      <c r="N134" s="525"/>
      <c r="O134" s="514">
        <f t="shared" si="41"/>
        <v>0</v>
      </c>
      <c r="P134" s="514">
        <f t="shared" si="42"/>
        <v>0</v>
      </c>
      <c r="Q134" s="269"/>
    </row>
    <row r="135" spans="2:17" ht="12.5">
      <c r="B135" s="195" t="str">
        <f t="shared" si="26"/>
        <v/>
      </c>
      <c r="C135" s="507">
        <f>IF(D93="","-",+C134+1)</f>
        <v>2045</v>
      </c>
      <c r="D135" s="374">
        <f>IF(F134+SUM(E$99:E134)=D$92,F134,D$92-SUM(E$99:E134))</f>
        <v>2954554.5628393223</v>
      </c>
      <c r="E135" s="522">
        <f>IF(+J96&lt;F134,J96,D135)</f>
        <v>420749.57142857142</v>
      </c>
      <c r="F135" s="523">
        <f t="shared" si="37"/>
        <v>2533804.9914107509</v>
      </c>
      <c r="G135" s="523">
        <f t="shared" si="38"/>
        <v>2744179.7771250363</v>
      </c>
      <c r="H135" s="526">
        <f t="shared" si="35"/>
        <v>715951.50712493132</v>
      </c>
      <c r="I135" s="577">
        <f t="shared" si="36"/>
        <v>715951.50712493132</v>
      </c>
      <c r="J135" s="514">
        <f t="shared" si="39"/>
        <v>0</v>
      </c>
      <c r="K135" s="514"/>
      <c r="L135" s="525"/>
      <c r="M135" s="514">
        <f t="shared" si="40"/>
        <v>0</v>
      </c>
      <c r="N135" s="525"/>
      <c r="O135" s="514">
        <f t="shared" si="41"/>
        <v>0</v>
      </c>
      <c r="P135" s="514">
        <f t="shared" si="42"/>
        <v>0</v>
      </c>
      <c r="Q135" s="269"/>
    </row>
    <row r="136" spans="2:17" ht="12.5">
      <c r="B136" s="195" t="str">
        <f t="shared" si="26"/>
        <v/>
      </c>
      <c r="C136" s="507">
        <f>IF(D93="","-",+C135+1)</f>
        <v>2046</v>
      </c>
      <c r="D136" s="374">
        <f>IF(F135+SUM(E$99:E135)=D$92,F135,D$92-SUM(E$99:E135))</f>
        <v>2533804.9914107509</v>
      </c>
      <c r="E136" s="522">
        <f>IF(+J96&lt;F135,J96,D136)</f>
        <v>420749.57142857142</v>
      </c>
      <c r="F136" s="523">
        <f t="shared" si="37"/>
        <v>2113055.4199821795</v>
      </c>
      <c r="G136" s="523">
        <f t="shared" si="38"/>
        <v>2323430.2056964654</v>
      </c>
      <c r="H136" s="526">
        <f t="shared" si="35"/>
        <v>670689.86320331716</v>
      </c>
      <c r="I136" s="577">
        <f t="shared" si="36"/>
        <v>670689.86320331716</v>
      </c>
      <c r="J136" s="514">
        <f t="shared" si="39"/>
        <v>0</v>
      </c>
      <c r="K136" s="514"/>
      <c r="L136" s="525"/>
      <c r="M136" s="514">
        <f t="shared" si="40"/>
        <v>0</v>
      </c>
      <c r="N136" s="525"/>
      <c r="O136" s="514">
        <f t="shared" si="41"/>
        <v>0</v>
      </c>
      <c r="P136" s="514">
        <f t="shared" si="42"/>
        <v>0</v>
      </c>
      <c r="Q136" s="269"/>
    </row>
    <row r="137" spans="2:17" ht="12.5">
      <c r="B137" s="195" t="str">
        <f t="shared" si="26"/>
        <v/>
      </c>
      <c r="C137" s="507">
        <f>IF(D93="","-",+C136+1)</f>
        <v>2047</v>
      </c>
      <c r="D137" s="374">
        <f>IF(F136+SUM(E$99:E136)=D$92,F136,D$92-SUM(E$99:E136))</f>
        <v>2113055.4199821795</v>
      </c>
      <c r="E137" s="522">
        <f>IF(+J96&lt;F136,J96,D137)</f>
        <v>420749.57142857142</v>
      </c>
      <c r="F137" s="523">
        <f t="shared" si="37"/>
        <v>1692305.8485536082</v>
      </c>
      <c r="G137" s="523">
        <f t="shared" si="38"/>
        <v>1902680.6342678939</v>
      </c>
      <c r="H137" s="526">
        <f t="shared" si="35"/>
        <v>625428.21928170288</v>
      </c>
      <c r="I137" s="577">
        <f t="shared" si="36"/>
        <v>625428.21928170288</v>
      </c>
      <c r="J137" s="514">
        <f t="shared" si="39"/>
        <v>0</v>
      </c>
      <c r="K137" s="514"/>
      <c r="L137" s="525"/>
      <c r="M137" s="514">
        <f t="shared" si="40"/>
        <v>0</v>
      </c>
      <c r="N137" s="525"/>
      <c r="O137" s="514">
        <f t="shared" si="41"/>
        <v>0</v>
      </c>
      <c r="P137" s="514">
        <f t="shared" si="42"/>
        <v>0</v>
      </c>
      <c r="Q137" s="269"/>
    </row>
    <row r="138" spans="2:17" ht="12.5">
      <c r="B138" s="195" t="str">
        <f t="shared" si="26"/>
        <v/>
      </c>
      <c r="C138" s="507">
        <f>IF(D93="","-",+C137+1)</f>
        <v>2048</v>
      </c>
      <c r="D138" s="374">
        <f>IF(F137+SUM(E$99:E137)=D$92,F137,D$92-SUM(E$99:E137))</f>
        <v>1692305.8485536082</v>
      </c>
      <c r="E138" s="522">
        <f>IF(+J96&lt;F137,J96,D138)</f>
        <v>420749.57142857142</v>
      </c>
      <c r="F138" s="523">
        <f t="shared" si="37"/>
        <v>1271556.2771250368</v>
      </c>
      <c r="G138" s="523">
        <f t="shared" si="38"/>
        <v>1481931.0628393225</v>
      </c>
      <c r="H138" s="526">
        <f t="shared" si="35"/>
        <v>580166.57536008861</v>
      </c>
      <c r="I138" s="577">
        <f t="shared" si="36"/>
        <v>580166.57536008861</v>
      </c>
      <c r="J138" s="514">
        <f t="shared" si="39"/>
        <v>0</v>
      </c>
      <c r="K138" s="514"/>
      <c r="L138" s="525"/>
      <c r="M138" s="514">
        <f t="shared" si="40"/>
        <v>0</v>
      </c>
      <c r="N138" s="525"/>
      <c r="O138" s="514">
        <f t="shared" si="41"/>
        <v>0</v>
      </c>
      <c r="P138" s="514">
        <f t="shared" si="42"/>
        <v>0</v>
      </c>
      <c r="Q138" s="269"/>
    </row>
    <row r="139" spans="2:17" ht="12.5">
      <c r="B139" s="195" t="str">
        <f t="shared" si="26"/>
        <v/>
      </c>
      <c r="C139" s="507">
        <f>IF(D93="","-",+C138+1)</f>
        <v>2049</v>
      </c>
      <c r="D139" s="374">
        <f>IF(F138+SUM(E$99:E138)=D$92,F138,D$92-SUM(E$99:E138))</f>
        <v>1271556.2771250368</v>
      </c>
      <c r="E139" s="522">
        <f>IF(+J96&lt;F138,J96,D139)</f>
        <v>420749.57142857142</v>
      </c>
      <c r="F139" s="523">
        <f t="shared" si="37"/>
        <v>850806.70569646545</v>
      </c>
      <c r="G139" s="523">
        <f t="shared" si="38"/>
        <v>1061181.4914107511</v>
      </c>
      <c r="H139" s="526">
        <f t="shared" si="35"/>
        <v>534904.93143847445</v>
      </c>
      <c r="I139" s="577">
        <f t="shared" si="36"/>
        <v>534904.93143847445</v>
      </c>
      <c r="J139" s="514">
        <f t="shared" si="39"/>
        <v>0</v>
      </c>
      <c r="K139" s="514"/>
      <c r="L139" s="525"/>
      <c r="M139" s="514">
        <f t="shared" si="40"/>
        <v>0</v>
      </c>
      <c r="N139" s="525"/>
      <c r="O139" s="514">
        <f t="shared" si="41"/>
        <v>0</v>
      </c>
      <c r="P139" s="514">
        <f t="shared" si="42"/>
        <v>0</v>
      </c>
      <c r="Q139" s="269"/>
    </row>
    <row r="140" spans="2:17" ht="12.5">
      <c r="B140" s="195" t="str">
        <f t="shared" si="26"/>
        <v/>
      </c>
      <c r="C140" s="507">
        <f>IF(D93="","-",+C139+1)</f>
        <v>2050</v>
      </c>
      <c r="D140" s="374">
        <f>IF(F139+SUM(E$99:E139)=D$92,F139,D$92-SUM(E$99:E139))</f>
        <v>850806.70569646545</v>
      </c>
      <c r="E140" s="522">
        <f>IF(+J96&lt;F139,J96,D140)</f>
        <v>420749.57142857142</v>
      </c>
      <c r="F140" s="523">
        <f t="shared" si="37"/>
        <v>430057.13426789403</v>
      </c>
      <c r="G140" s="523">
        <f t="shared" si="38"/>
        <v>640431.91998217977</v>
      </c>
      <c r="H140" s="526">
        <f t="shared" si="35"/>
        <v>489643.28751686017</v>
      </c>
      <c r="I140" s="577">
        <f t="shared" si="36"/>
        <v>489643.28751686017</v>
      </c>
      <c r="J140" s="514">
        <f t="shared" si="39"/>
        <v>0</v>
      </c>
      <c r="K140" s="514"/>
      <c r="L140" s="525"/>
      <c r="M140" s="514">
        <f t="shared" si="40"/>
        <v>0</v>
      </c>
      <c r="N140" s="525"/>
      <c r="O140" s="514">
        <f t="shared" si="41"/>
        <v>0</v>
      </c>
      <c r="P140" s="514">
        <f t="shared" si="42"/>
        <v>0</v>
      </c>
      <c r="Q140" s="269"/>
    </row>
    <row r="141" spans="2:17" ht="12.5">
      <c r="B141" s="195" t="str">
        <f t="shared" si="26"/>
        <v/>
      </c>
      <c r="C141" s="507">
        <f>IF(D93="","-",+C140+1)</f>
        <v>2051</v>
      </c>
      <c r="D141" s="374">
        <f>IF(F140+SUM(E$99:E140)=D$92,F140,D$92-SUM(E$99:E140))</f>
        <v>430057.13426789403</v>
      </c>
      <c r="E141" s="522">
        <f>IF(+J96&lt;F140,J96,D141)</f>
        <v>420749.57142857142</v>
      </c>
      <c r="F141" s="523">
        <f t="shared" si="37"/>
        <v>9307.562839322607</v>
      </c>
      <c r="G141" s="523">
        <f t="shared" si="38"/>
        <v>219682.34855360832</v>
      </c>
      <c r="H141" s="526">
        <f t="shared" si="35"/>
        <v>444381.6435952459</v>
      </c>
      <c r="I141" s="577">
        <f t="shared" si="36"/>
        <v>444381.6435952459</v>
      </c>
      <c r="J141" s="514">
        <f t="shared" si="39"/>
        <v>0</v>
      </c>
      <c r="K141" s="514"/>
      <c r="L141" s="525"/>
      <c r="M141" s="514">
        <f t="shared" si="40"/>
        <v>0</v>
      </c>
      <c r="N141" s="525"/>
      <c r="O141" s="514">
        <f t="shared" si="41"/>
        <v>0</v>
      </c>
      <c r="P141" s="514">
        <f t="shared" si="42"/>
        <v>0</v>
      </c>
      <c r="Q141" s="269"/>
    </row>
    <row r="142" spans="2:17" ht="12.5">
      <c r="B142" s="195" t="str">
        <f t="shared" si="26"/>
        <v/>
      </c>
      <c r="C142" s="507">
        <f>IF(D93="","-",+C141+1)</f>
        <v>2052</v>
      </c>
      <c r="D142" s="374">
        <f>IF(F141+SUM(E$99:E141)=D$92,F141,D$92-SUM(E$99:E141))</f>
        <v>9307.562839322607</v>
      </c>
      <c r="E142" s="522">
        <f>IF(+J96&lt;F141,J96,D142)</f>
        <v>9307.562839322607</v>
      </c>
      <c r="F142" s="523">
        <f t="shared" si="37"/>
        <v>0</v>
      </c>
      <c r="G142" s="523">
        <f t="shared" si="38"/>
        <v>4653.7814196613035</v>
      </c>
      <c r="H142" s="526">
        <f t="shared" si="35"/>
        <v>9808.1879422562961</v>
      </c>
      <c r="I142" s="577">
        <f t="shared" si="36"/>
        <v>9808.1879422562961</v>
      </c>
      <c r="J142" s="514">
        <f t="shared" si="39"/>
        <v>0</v>
      </c>
      <c r="K142" s="514"/>
      <c r="L142" s="525"/>
      <c r="M142" s="514">
        <f t="shared" si="40"/>
        <v>0</v>
      </c>
      <c r="N142" s="525"/>
      <c r="O142" s="514">
        <f t="shared" si="41"/>
        <v>0</v>
      </c>
      <c r="P142" s="514">
        <f t="shared" si="42"/>
        <v>0</v>
      </c>
      <c r="Q142" s="269"/>
    </row>
    <row r="143" spans="2:17" ht="12.5">
      <c r="B143" s="195" t="str">
        <f t="shared" si="26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7"/>
        <v>0</v>
      </c>
      <c r="G143" s="523">
        <f t="shared" si="38"/>
        <v>0</v>
      </c>
      <c r="H143" s="526">
        <f t="shared" si="35"/>
        <v>0</v>
      </c>
      <c r="I143" s="577">
        <f t="shared" si="36"/>
        <v>0</v>
      </c>
      <c r="J143" s="514">
        <f t="shared" si="39"/>
        <v>0</v>
      </c>
      <c r="K143" s="514"/>
      <c r="L143" s="525"/>
      <c r="M143" s="514">
        <f t="shared" si="40"/>
        <v>0</v>
      </c>
      <c r="N143" s="525"/>
      <c r="O143" s="514">
        <f t="shared" si="41"/>
        <v>0</v>
      </c>
      <c r="P143" s="514">
        <f t="shared" si="42"/>
        <v>0</v>
      </c>
      <c r="Q143" s="269"/>
    </row>
    <row r="144" spans="2:17" ht="12.5">
      <c r="B144" s="195" t="str">
        <f t="shared" si="26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7"/>
        <v>0</v>
      </c>
      <c r="G144" s="523">
        <f t="shared" si="38"/>
        <v>0</v>
      </c>
      <c r="H144" s="526">
        <f t="shared" si="35"/>
        <v>0</v>
      </c>
      <c r="I144" s="577">
        <f t="shared" si="36"/>
        <v>0</v>
      </c>
      <c r="J144" s="514">
        <f t="shared" si="39"/>
        <v>0</v>
      </c>
      <c r="K144" s="514"/>
      <c r="L144" s="525"/>
      <c r="M144" s="514">
        <f t="shared" si="40"/>
        <v>0</v>
      </c>
      <c r="N144" s="525"/>
      <c r="O144" s="514">
        <f t="shared" si="41"/>
        <v>0</v>
      </c>
      <c r="P144" s="514">
        <f t="shared" si="42"/>
        <v>0</v>
      </c>
      <c r="Q144" s="269"/>
    </row>
    <row r="145" spans="2:17" ht="12.5">
      <c r="B145" s="195" t="str">
        <f t="shared" si="26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7"/>
        <v>0</v>
      </c>
      <c r="G145" s="523">
        <f t="shared" si="38"/>
        <v>0</v>
      </c>
      <c r="H145" s="526">
        <f t="shared" si="35"/>
        <v>0</v>
      </c>
      <c r="I145" s="577">
        <f t="shared" si="36"/>
        <v>0</v>
      </c>
      <c r="J145" s="514">
        <f t="shared" si="39"/>
        <v>0</v>
      </c>
      <c r="K145" s="514"/>
      <c r="L145" s="525"/>
      <c r="M145" s="514">
        <f t="shared" si="40"/>
        <v>0</v>
      </c>
      <c r="N145" s="525"/>
      <c r="O145" s="514">
        <f t="shared" si="41"/>
        <v>0</v>
      </c>
      <c r="P145" s="514">
        <f t="shared" si="42"/>
        <v>0</v>
      </c>
      <c r="Q145" s="269"/>
    </row>
    <row r="146" spans="2:17" ht="12.5">
      <c r="B146" s="195" t="str">
        <f t="shared" si="26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7"/>
        <v>0</v>
      </c>
      <c r="G146" s="523">
        <f t="shared" si="38"/>
        <v>0</v>
      </c>
      <c r="H146" s="526">
        <f t="shared" si="35"/>
        <v>0</v>
      </c>
      <c r="I146" s="577">
        <f t="shared" si="36"/>
        <v>0</v>
      </c>
      <c r="J146" s="514">
        <f t="shared" si="39"/>
        <v>0</v>
      </c>
      <c r="K146" s="514"/>
      <c r="L146" s="525"/>
      <c r="M146" s="514">
        <f t="shared" si="40"/>
        <v>0</v>
      </c>
      <c r="N146" s="525"/>
      <c r="O146" s="514">
        <f t="shared" si="41"/>
        <v>0</v>
      </c>
      <c r="P146" s="514">
        <f t="shared" si="42"/>
        <v>0</v>
      </c>
      <c r="Q146" s="269"/>
    </row>
    <row r="147" spans="2:17" ht="12.5">
      <c r="B147" s="195" t="str">
        <f t="shared" si="26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7"/>
        <v>0</v>
      </c>
      <c r="G147" s="523">
        <f t="shared" si="38"/>
        <v>0</v>
      </c>
      <c r="H147" s="526">
        <f t="shared" si="35"/>
        <v>0</v>
      </c>
      <c r="I147" s="577">
        <f t="shared" si="36"/>
        <v>0</v>
      </c>
      <c r="J147" s="514">
        <f t="shared" si="39"/>
        <v>0</v>
      </c>
      <c r="K147" s="514"/>
      <c r="L147" s="525"/>
      <c r="M147" s="514">
        <f t="shared" si="40"/>
        <v>0</v>
      </c>
      <c r="N147" s="525"/>
      <c r="O147" s="514">
        <f t="shared" si="41"/>
        <v>0</v>
      </c>
      <c r="P147" s="514">
        <f t="shared" si="42"/>
        <v>0</v>
      </c>
      <c r="Q147" s="269"/>
    </row>
    <row r="148" spans="2:17" ht="12.5">
      <c r="B148" s="195" t="str">
        <f t="shared" si="26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7"/>
        <v>0</v>
      </c>
      <c r="G148" s="523">
        <f t="shared" si="38"/>
        <v>0</v>
      </c>
      <c r="H148" s="526">
        <f t="shared" si="35"/>
        <v>0</v>
      </c>
      <c r="I148" s="577">
        <f t="shared" si="36"/>
        <v>0</v>
      </c>
      <c r="J148" s="514">
        <f t="shared" si="39"/>
        <v>0</v>
      </c>
      <c r="K148" s="514"/>
      <c r="L148" s="525"/>
      <c r="M148" s="514">
        <f t="shared" si="40"/>
        <v>0</v>
      </c>
      <c r="N148" s="525"/>
      <c r="O148" s="514">
        <f t="shared" si="41"/>
        <v>0</v>
      </c>
      <c r="P148" s="514">
        <f t="shared" si="42"/>
        <v>0</v>
      </c>
      <c r="Q148" s="269"/>
    </row>
    <row r="149" spans="2:17" ht="12.5">
      <c r="B149" s="195" t="str">
        <f t="shared" si="26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7"/>
        <v>0</v>
      </c>
      <c r="G149" s="523">
        <f t="shared" si="38"/>
        <v>0</v>
      </c>
      <c r="H149" s="526">
        <f t="shared" si="35"/>
        <v>0</v>
      </c>
      <c r="I149" s="577">
        <f t="shared" si="36"/>
        <v>0</v>
      </c>
      <c r="J149" s="514">
        <f t="shared" si="39"/>
        <v>0</v>
      </c>
      <c r="K149" s="514"/>
      <c r="L149" s="525"/>
      <c r="M149" s="514">
        <f t="shared" si="40"/>
        <v>0</v>
      </c>
      <c r="N149" s="525"/>
      <c r="O149" s="514">
        <f t="shared" si="41"/>
        <v>0</v>
      </c>
      <c r="P149" s="514">
        <f t="shared" si="42"/>
        <v>0</v>
      </c>
      <c r="Q149" s="269"/>
    </row>
    <row r="150" spans="2:17" ht="12.5">
      <c r="B150" s="195" t="str">
        <f t="shared" si="26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7"/>
        <v>0</v>
      </c>
      <c r="G150" s="523">
        <f t="shared" si="38"/>
        <v>0</v>
      </c>
      <c r="H150" s="526">
        <f t="shared" si="35"/>
        <v>0</v>
      </c>
      <c r="I150" s="577">
        <f t="shared" si="36"/>
        <v>0</v>
      </c>
      <c r="J150" s="514">
        <f t="shared" si="39"/>
        <v>0</v>
      </c>
      <c r="K150" s="514"/>
      <c r="L150" s="525"/>
      <c r="M150" s="514">
        <f t="shared" si="40"/>
        <v>0</v>
      </c>
      <c r="N150" s="525"/>
      <c r="O150" s="514">
        <f t="shared" si="41"/>
        <v>0</v>
      </c>
      <c r="P150" s="514">
        <f t="shared" si="42"/>
        <v>0</v>
      </c>
      <c r="Q150" s="269"/>
    </row>
    <row r="151" spans="2:17" ht="12.5">
      <c r="B151" s="195" t="str">
        <f t="shared" si="26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7"/>
        <v>0</v>
      </c>
      <c r="G151" s="523">
        <f t="shared" si="38"/>
        <v>0</v>
      </c>
      <c r="H151" s="526">
        <f t="shared" si="35"/>
        <v>0</v>
      </c>
      <c r="I151" s="577">
        <f t="shared" si="36"/>
        <v>0</v>
      </c>
      <c r="J151" s="514">
        <f t="shared" si="39"/>
        <v>0</v>
      </c>
      <c r="K151" s="514"/>
      <c r="L151" s="525"/>
      <c r="M151" s="514">
        <f t="shared" si="40"/>
        <v>0</v>
      </c>
      <c r="N151" s="525"/>
      <c r="O151" s="514">
        <f t="shared" si="41"/>
        <v>0</v>
      </c>
      <c r="P151" s="514">
        <f t="shared" si="42"/>
        <v>0</v>
      </c>
      <c r="Q151" s="269"/>
    </row>
    <row r="152" spans="2:17" ht="12.5">
      <c r="B152" s="195" t="str">
        <f t="shared" si="26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7"/>
        <v>0</v>
      </c>
      <c r="G152" s="523">
        <f t="shared" si="38"/>
        <v>0</v>
      </c>
      <c r="H152" s="526">
        <f t="shared" si="35"/>
        <v>0</v>
      </c>
      <c r="I152" s="577">
        <f t="shared" si="36"/>
        <v>0</v>
      </c>
      <c r="J152" s="514">
        <f t="shared" si="39"/>
        <v>0</v>
      </c>
      <c r="K152" s="514"/>
      <c r="L152" s="525"/>
      <c r="M152" s="514">
        <f t="shared" si="40"/>
        <v>0</v>
      </c>
      <c r="N152" s="525"/>
      <c r="O152" s="514">
        <f t="shared" si="41"/>
        <v>0</v>
      </c>
      <c r="P152" s="514">
        <f t="shared" si="42"/>
        <v>0</v>
      </c>
      <c r="Q152" s="269"/>
    </row>
    <row r="153" spans="2:17" ht="12.5">
      <c r="B153" s="195" t="str">
        <f t="shared" si="26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7"/>
        <v>0</v>
      </c>
      <c r="G153" s="523">
        <f t="shared" si="38"/>
        <v>0</v>
      </c>
      <c r="H153" s="526">
        <f t="shared" si="35"/>
        <v>0</v>
      </c>
      <c r="I153" s="577">
        <f t="shared" si="36"/>
        <v>0</v>
      </c>
      <c r="J153" s="514">
        <f t="shared" si="39"/>
        <v>0</v>
      </c>
      <c r="K153" s="514"/>
      <c r="L153" s="525"/>
      <c r="M153" s="514">
        <f t="shared" si="40"/>
        <v>0</v>
      </c>
      <c r="N153" s="525"/>
      <c r="O153" s="514">
        <f t="shared" si="41"/>
        <v>0</v>
      </c>
      <c r="P153" s="514">
        <f t="shared" si="42"/>
        <v>0</v>
      </c>
      <c r="Q153" s="269"/>
    </row>
    <row r="154" spans="2:17" ht="13" thickBot="1">
      <c r="B154" s="195" t="str">
        <f t="shared" si="26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7"/>
        <v>0</v>
      </c>
      <c r="G154" s="528">
        <f t="shared" si="38"/>
        <v>0</v>
      </c>
      <c r="H154" s="530">
        <f t="shared" si="35"/>
        <v>0</v>
      </c>
      <c r="I154" s="579">
        <f t="shared" si="36"/>
        <v>0</v>
      </c>
      <c r="J154" s="533">
        <f t="shared" si="39"/>
        <v>0</v>
      </c>
      <c r="K154" s="514"/>
      <c r="L154" s="532"/>
      <c r="M154" s="533">
        <f t="shared" si="40"/>
        <v>0</v>
      </c>
      <c r="N154" s="532"/>
      <c r="O154" s="533">
        <f t="shared" si="41"/>
        <v>0</v>
      </c>
      <c r="P154" s="533">
        <f t="shared" si="42"/>
        <v>0</v>
      </c>
      <c r="Q154" s="269"/>
    </row>
    <row r="155" spans="2:17" ht="12.5">
      <c r="C155" s="374" t="s">
        <v>78</v>
      </c>
      <c r="D155" s="375"/>
      <c r="E155" s="375">
        <f>SUM(E99:E154)</f>
        <v>17671482</v>
      </c>
      <c r="F155" s="375"/>
      <c r="G155" s="375"/>
      <c r="H155" s="375">
        <f>SUM(H99:H154)</f>
        <v>62610054.524943426</v>
      </c>
      <c r="I155" s="375">
        <f>SUM(I99:I154)</f>
        <v>62610054.524943426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9" priority="1" stopIfTrue="1" operator="equal">
      <formula>$I$10</formula>
    </cfRule>
  </conditionalFormatting>
  <conditionalFormatting sqref="C99:C154">
    <cfRule type="cellIs" dxfId="15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Q162"/>
  <sheetViews>
    <sheetView view="pageBreakPreview" topLeftCell="A73" zoomScale="75" zoomScaleNormal="100" zoomScaleSheetLayoutView="75" workbookViewId="0">
      <selection activeCell="L105" sqref="L105:N105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37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553772.08511902799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553772.08511902799</v>
      </c>
      <c r="O6" s="269"/>
      <c r="P6" s="269"/>
    </row>
    <row r="7" spans="1:17" ht="13.5" thickBot="1">
      <c r="C7" s="467" t="s">
        <v>48</v>
      </c>
      <c r="D7" s="624" t="s">
        <v>303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302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5048526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120203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4585200</v>
      </c>
      <c r="E17" s="627">
        <v>54585.71428571429</v>
      </c>
      <c r="F17" s="626">
        <v>4530614.2857142854</v>
      </c>
      <c r="G17" s="627">
        <v>688813.18815380184</v>
      </c>
      <c r="H17" s="610">
        <v>688813.18815380184</v>
      </c>
      <c r="I17" s="616">
        <v>0</v>
      </c>
      <c r="J17" s="511"/>
      <c r="K17" s="512">
        <f t="shared" ref="K17:K22" si="0">G17</f>
        <v>688813.18815380184</v>
      </c>
      <c r="L17" s="597">
        <f t="shared" ref="L17:L22" si="1">IF(K17&lt;&gt;0,+G17-K17,0)</f>
        <v>0</v>
      </c>
      <c r="M17" s="512">
        <f t="shared" ref="M17:M22" si="2">H17</f>
        <v>688813.18815380184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4530614.2857142854</v>
      </c>
      <c r="E18" s="609">
        <v>120194.88095238095</v>
      </c>
      <c r="F18" s="626">
        <v>4410419.4047619049</v>
      </c>
      <c r="G18" s="609">
        <v>715206.80444444832</v>
      </c>
      <c r="H18" s="610">
        <v>715206.80444444832</v>
      </c>
      <c r="I18" s="616">
        <v>0</v>
      </c>
      <c r="J18" s="511"/>
      <c r="K18" s="518">
        <f t="shared" si="0"/>
        <v>715206.80444444832</v>
      </c>
      <c r="L18" s="519">
        <f t="shared" si="1"/>
        <v>0</v>
      </c>
      <c r="M18" s="518">
        <f t="shared" si="2"/>
        <v>715206.80444444832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4410419.4047619049</v>
      </c>
      <c r="E19" s="609">
        <v>120203</v>
      </c>
      <c r="F19" s="626">
        <v>4290216.4047619049</v>
      </c>
      <c r="G19" s="609">
        <v>685245.09772932425</v>
      </c>
      <c r="H19" s="610">
        <v>685245.09772932425</v>
      </c>
      <c r="I19" s="511">
        <v>0</v>
      </c>
      <c r="J19" s="511"/>
      <c r="K19" s="518">
        <f t="shared" si="0"/>
        <v>685245.09772932425</v>
      </c>
      <c r="L19" s="519">
        <f t="shared" si="1"/>
        <v>0</v>
      </c>
      <c r="M19" s="518">
        <f t="shared" si="2"/>
        <v>685245.09772932425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4753542.4047619049</v>
      </c>
      <c r="E20" s="609">
        <v>120203</v>
      </c>
      <c r="F20" s="626">
        <v>4633339.4047619049</v>
      </c>
      <c r="G20" s="609">
        <v>722907.67402559891</v>
      </c>
      <c r="H20" s="610">
        <v>722907.67402559891</v>
      </c>
      <c r="I20" s="511">
        <f>H20-G20</f>
        <v>0</v>
      </c>
      <c r="J20" s="511"/>
      <c r="K20" s="518">
        <f t="shared" si="0"/>
        <v>722907.67402559891</v>
      </c>
      <c r="L20" s="519">
        <f t="shared" si="1"/>
        <v>0</v>
      </c>
      <c r="M20" s="518">
        <f t="shared" si="2"/>
        <v>722907.67402559891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4633339.4047619049</v>
      </c>
      <c r="E21" s="609">
        <v>117407.58139534884</v>
      </c>
      <c r="F21" s="626">
        <v>4515931.8233665563</v>
      </c>
      <c r="G21" s="609">
        <v>684170.77799365029</v>
      </c>
      <c r="H21" s="610">
        <v>684170.77799365029</v>
      </c>
      <c r="I21" s="511">
        <f t="shared" ref="I21:I72" si="6">H21-G21</f>
        <v>0</v>
      </c>
      <c r="J21" s="511"/>
      <c r="K21" s="518">
        <f t="shared" si="0"/>
        <v>684170.77799365029</v>
      </c>
      <c r="L21" s="519">
        <f t="shared" si="1"/>
        <v>0</v>
      </c>
      <c r="M21" s="518">
        <f t="shared" si="2"/>
        <v>684170.77799365029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4515931.8233665563</v>
      </c>
      <c r="E22" s="609">
        <v>123134.78048780488</v>
      </c>
      <c r="F22" s="626">
        <v>4392797.0428787516</v>
      </c>
      <c r="G22" s="609">
        <v>689258.21441361541</v>
      </c>
      <c r="H22" s="610">
        <v>689258.21441361541</v>
      </c>
      <c r="I22" s="511">
        <f t="shared" si="6"/>
        <v>0</v>
      </c>
      <c r="J22" s="511"/>
      <c r="K22" s="518">
        <f t="shared" si="0"/>
        <v>689258.21441361541</v>
      </c>
      <c r="L22" s="519">
        <f t="shared" si="1"/>
        <v>0</v>
      </c>
      <c r="M22" s="518">
        <f t="shared" si="2"/>
        <v>689258.21441361541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4392797.0428787516</v>
      </c>
      <c r="E23" s="609">
        <v>123134.78048780488</v>
      </c>
      <c r="F23" s="626">
        <v>4269662.262390947</v>
      </c>
      <c r="G23" s="609">
        <v>673608.51044078905</v>
      </c>
      <c r="H23" s="610">
        <v>673608.51044078905</v>
      </c>
      <c r="I23" s="511">
        <f t="shared" si="6"/>
        <v>0</v>
      </c>
      <c r="J23" s="511"/>
      <c r="K23" s="518">
        <f t="shared" ref="K23" si="7">G23</f>
        <v>673608.51044078905</v>
      </c>
      <c r="L23" s="519">
        <f t="shared" ref="L23" si="8">IF(K23&lt;&gt;0,+G23-K23,0)</f>
        <v>0</v>
      </c>
      <c r="M23" s="518">
        <f t="shared" ref="M23" si="9">H23</f>
        <v>673608.51044078905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4269662.262390947</v>
      </c>
      <c r="E24" s="609">
        <v>123134.78048780488</v>
      </c>
      <c r="F24" s="626">
        <v>4146527.4819031423</v>
      </c>
      <c r="G24" s="609">
        <v>553772.08511902799</v>
      </c>
      <c r="H24" s="610">
        <v>553772.08511902799</v>
      </c>
      <c r="I24" s="511">
        <f t="shared" si="6"/>
        <v>0</v>
      </c>
      <c r="J24" s="511"/>
      <c r="K24" s="518">
        <f t="shared" ref="K24" si="12">G24</f>
        <v>553772.08511902799</v>
      </c>
      <c r="L24" s="519">
        <f t="shared" ref="L24" si="13">IF(K24&lt;&gt;0,+G24-K24,0)</f>
        <v>0</v>
      </c>
      <c r="M24" s="518">
        <f t="shared" ref="M24" si="14">H24</f>
        <v>553772.08511902799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/>
      </c>
      <c r="C25" s="507">
        <f>IF(D11="","-",+C24+1)</f>
        <v>2021</v>
      </c>
      <c r="D25" s="523">
        <f>IF(F24+SUM(E$17:E24)=D$10,F24,D$10-SUM(E$17:E24))</f>
        <v>4146527.4819031423</v>
      </c>
      <c r="E25" s="522">
        <f t="shared" ref="E25:E72" si="15">IF(+$I$14&lt;F24,$I$14,D25)</f>
        <v>120203</v>
      </c>
      <c r="F25" s="523">
        <f t="shared" ref="F25:F72" si="16">+D25-E25</f>
        <v>4026324.4819031423</v>
      </c>
      <c r="G25" s="524">
        <f t="shared" ref="G25:G52" si="17">+I$12*((D25+F25)/2)+E25</f>
        <v>556706.74330916128</v>
      </c>
      <c r="H25" s="491">
        <f t="shared" ref="H25:H52" si="18">+I$13*((D25+F25)/2)+E25</f>
        <v>556706.74330916128</v>
      </c>
      <c r="I25" s="511">
        <f t="shared" si="6"/>
        <v>0</v>
      </c>
      <c r="J25" s="511"/>
      <c r="K25" s="525"/>
      <c r="L25" s="514">
        <f t="shared" ref="L25:L72" si="19">IF(K25&lt;&gt;0,+G25-K25,0)</f>
        <v>0</v>
      </c>
      <c r="M25" s="525"/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/>
      </c>
      <c r="C26" s="507">
        <f>IF(D11="","-",+C25+1)</f>
        <v>2022</v>
      </c>
      <c r="D26" s="523">
        <f>IF(F25+SUM(E$17:E25)=D$10,F25,D$10-SUM(E$17:E25))</f>
        <v>4026324.4819031423</v>
      </c>
      <c r="E26" s="522">
        <f t="shared" si="15"/>
        <v>120203</v>
      </c>
      <c r="F26" s="523">
        <f t="shared" si="16"/>
        <v>3906121.4819031423</v>
      </c>
      <c r="G26" s="524">
        <f t="shared" si="17"/>
        <v>543866.9024092278</v>
      </c>
      <c r="H26" s="491">
        <f t="shared" si="18"/>
        <v>543866.9024092278</v>
      </c>
      <c r="I26" s="511">
        <f t="shared" si="6"/>
        <v>0</v>
      </c>
      <c r="J26" s="511"/>
      <c r="K26" s="525"/>
      <c r="L26" s="514">
        <f t="shared" si="19"/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3906121.4819031423</v>
      </c>
      <c r="E27" s="522">
        <f t="shared" si="15"/>
        <v>120203</v>
      </c>
      <c r="F27" s="523">
        <f t="shared" si="16"/>
        <v>3785918.4819031423</v>
      </c>
      <c r="G27" s="524">
        <f t="shared" si="17"/>
        <v>531027.0615092942</v>
      </c>
      <c r="H27" s="491">
        <f t="shared" si="18"/>
        <v>531027.0615092942</v>
      </c>
      <c r="I27" s="511">
        <f t="shared" si="6"/>
        <v>0</v>
      </c>
      <c r="J27" s="511"/>
      <c r="K27" s="525"/>
      <c r="L27" s="514">
        <f t="shared" si="19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3785918.4819031423</v>
      </c>
      <c r="E28" s="522">
        <f t="shared" si="15"/>
        <v>120203</v>
      </c>
      <c r="F28" s="523">
        <f t="shared" si="16"/>
        <v>3665715.4819031423</v>
      </c>
      <c r="G28" s="524">
        <f t="shared" si="17"/>
        <v>518187.22060936061</v>
      </c>
      <c r="H28" s="491">
        <f t="shared" si="18"/>
        <v>518187.22060936061</v>
      </c>
      <c r="I28" s="511">
        <f t="shared" si="6"/>
        <v>0</v>
      </c>
      <c r="J28" s="511"/>
      <c r="K28" s="525"/>
      <c r="L28" s="514">
        <f t="shared" si="19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3665715.4819031423</v>
      </c>
      <c r="E29" s="522">
        <f t="shared" si="15"/>
        <v>120203</v>
      </c>
      <c r="F29" s="523">
        <f t="shared" si="16"/>
        <v>3545512.4819031423</v>
      </c>
      <c r="G29" s="524">
        <f t="shared" si="17"/>
        <v>505347.37970942707</v>
      </c>
      <c r="H29" s="491">
        <f t="shared" si="18"/>
        <v>505347.37970942707</v>
      </c>
      <c r="I29" s="511">
        <f t="shared" si="6"/>
        <v>0</v>
      </c>
      <c r="J29" s="511"/>
      <c r="K29" s="525"/>
      <c r="L29" s="514">
        <f t="shared" si="19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3545512.4819031423</v>
      </c>
      <c r="E30" s="522">
        <f t="shared" si="15"/>
        <v>120203</v>
      </c>
      <c r="F30" s="523">
        <f t="shared" si="16"/>
        <v>3425309.4819031423</v>
      </c>
      <c r="G30" s="524">
        <f t="shared" si="17"/>
        <v>492507.53880949348</v>
      </c>
      <c r="H30" s="491">
        <f t="shared" si="18"/>
        <v>492507.53880949348</v>
      </c>
      <c r="I30" s="511">
        <f t="shared" si="6"/>
        <v>0</v>
      </c>
      <c r="J30" s="511"/>
      <c r="K30" s="525"/>
      <c r="L30" s="514">
        <f t="shared" si="19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3425309.4819031423</v>
      </c>
      <c r="E31" s="522">
        <f t="shared" si="15"/>
        <v>120203</v>
      </c>
      <c r="F31" s="523">
        <f t="shared" si="16"/>
        <v>3305106.4819031423</v>
      </c>
      <c r="G31" s="524">
        <f t="shared" si="17"/>
        <v>479667.69790955994</v>
      </c>
      <c r="H31" s="491">
        <f t="shared" si="18"/>
        <v>479667.69790955994</v>
      </c>
      <c r="I31" s="511">
        <f t="shared" si="6"/>
        <v>0</v>
      </c>
      <c r="J31" s="511"/>
      <c r="K31" s="525"/>
      <c r="L31" s="514">
        <f t="shared" si="19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3305106.4819031423</v>
      </c>
      <c r="E32" s="522">
        <f t="shared" si="15"/>
        <v>120203</v>
      </c>
      <c r="F32" s="523">
        <f t="shared" si="16"/>
        <v>3184903.4819031423</v>
      </c>
      <c r="G32" s="524">
        <f t="shared" si="17"/>
        <v>466827.8570096264</v>
      </c>
      <c r="H32" s="491">
        <f t="shared" si="18"/>
        <v>466827.8570096264</v>
      </c>
      <c r="I32" s="511">
        <f t="shared" si="6"/>
        <v>0</v>
      </c>
      <c r="J32" s="511"/>
      <c r="K32" s="525"/>
      <c r="L32" s="514">
        <f t="shared" si="19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3184903.4819031423</v>
      </c>
      <c r="E33" s="522">
        <f t="shared" si="15"/>
        <v>120203</v>
      </c>
      <c r="F33" s="523">
        <f t="shared" si="16"/>
        <v>3064700.4819031423</v>
      </c>
      <c r="G33" s="524">
        <f t="shared" si="17"/>
        <v>453988.01610969281</v>
      </c>
      <c r="H33" s="491">
        <f t="shared" si="18"/>
        <v>453988.01610969281</v>
      </c>
      <c r="I33" s="511">
        <f t="shared" si="6"/>
        <v>0</v>
      </c>
      <c r="J33" s="511"/>
      <c r="K33" s="525"/>
      <c r="L33" s="514">
        <f t="shared" si="19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3064700.4819031423</v>
      </c>
      <c r="E34" s="522">
        <f t="shared" si="15"/>
        <v>120203</v>
      </c>
      <c r="F34" s="523">
        <f t="shared" si="16"/>
        <v>2944497.4819031423</v>
      </c>
      <c r="G34" s="524">
        <f t="shared" si="17"/>
        <v>441148.17520975927</v>
      </c>
      <c r="H34" s="491">
        <f t="shared" si="18"/>
        <v>441148.17520975927</v>
      </c>
      <c r="I34" s="511">
        <f t="shared" si="6"/>
        <v>0</v>
      </c>
      <c r="J34" s="511"/>
      <c r="K34" s="525"/>
      <c r="L34" s="514">
        <f t="shared" si="19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2944497.4819031423</v>
      </c>
      <c r="E35" s="522">
        <f t="shared" si="15"/>
        <v>120203</v>
      </c>
      <c r="F35" s="523">
        <f t="shared" si="16"/>
        <v>2824294.4819031423</v>
      </c>
      <c r="G35" s="524">
        <f t="shared" si="17"/>
        <v>428308.33430982573</v>
      </c>
      <c r="H35" s="491">
        <f t="shared" si="18"/>
        <v>428308.33430982573</v>
      </c>
      <c r="I35" s="511">
        <f t="shared" si="6"/>
        <v>0</v>
      </c>
      <c r="J35" s="511"/>
      <c r="K35" s="525"/>
      <c r="L35" s="514">
        <f t="shared" si="19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2824294.4819031423</v>
      </c>
      <c r="E36" s="522">
        <f t="shared" si="15"/>
        <v>120203</v>
      </c>
      <c r="F36" s="523">
        <f t="shared" si="16"/>
        <v>2704091.4819031423</v>
      </c>
      <c r="G36" s="524">
        <f t="shared" si="17"/>
        <v>415468.49340989214</v>
      </c>
      <c r="H36" s="491">
        <f t="shared" si="18"/>
        <v>415468.49340989214</v>
      </c>
      <c r="I36" s="511">
        <f t="shared" si="6"/>
        <v>0</v>
      </c>
      <c r="J36" s="511"/>
      <c r="K36" s="525"/>
      <c r="L36" s="514">
        <f t="shared" si="19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2704091.4819031423</v>
      </c>
      <c r="E37" s="522">
        <f t="shared" si="15"/>
        <v>120203</v>
      </c>
      <c r="F37" s="523">
        <f t="shared" si="16"/>
        <v>2583888.4819031423</v>
      </c>
      <c r="G37" s="524">
        <f t="shared" si="17"/>
        <v>402628.6525099586</v>
      </c>
      <c r="H37" s="491">
        <f t="shared" si="18"/>
        <v>402628.6525099586</v>
      </c>
      <c r="I37" s="511">
        <f t="shared" si="6"/>
        <v>0</v>
      </c>
      <c r="J37" s="511"/>
      <c r="K37" s="525"/>
      <c r="L37" s="514">
        <f t="shared" si="19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2583888.4819031423</v>
      </c>
      <c r="E38" s="522">
        <f t="shared" si="15"/>
        <v>120203</v>
      </c>
      <c r="F38" s="523">
        <f t="shared" si="16"/>
        <v>2463685.4819031423</v>
      </c>
      <c r="G38" s="524">
        <f t="shared" si="17"/>
        <v>389788.81161002506</v>
      </c>
      <c r="H38" s="491">
        <f t="shared" si="18"/>
        <v>389788.81161002506</v>
      </c>
      <c r="I38" s="511">
        <f t="shared" si="6"/>
        <v>0</v>
      </c>
      <c r="J38" s="511"/>
      <c r="K38" s="525"/>
      <c r="L38" s="514">
        <f t="shared" si="19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2463685.4819031423</v>
      </c>
      <c r="E39" s="522">
        <f t="shared" si="15"/>
        <v>120203</v>
      </c>
      <c r="F39" s="523">
        <f t="shared" si="16"/>
        <v>2343482.4819031423</v>
      </c>
      <c r="G39" s="524">
        <f t="shared" si="17"/>
        <v>376948.97071009147</v>
      </c>
      <c r="H39" s="491">
        <f t="shared" si="18"/>
        <v>376948.97071009147</v>
      </c>
      <c r="I39" s="511">
        <f t="shared" si="6"/>
        <v>0</v>
      </c>
      <c r="J39" s="511"/>
      <c r="K39" s="525"/>
      <c r="L39" s="514">
        <f t="shared" si="19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2343482.4819031423</v>
      </c>
      <c r="E40" s="522">
        <f t="shared" si="15"/>
        <v>120203</v>
      </c>
      <c r="F40" s="523">
        <f t="shared" si="16"/>
        <v>2223279.4819031423</v>
      </c>
      <c r="G40" s="524">
        <f t="shared" si="17"/>
        <v>364109.12981015793</v>
      </c>
      <c r="H40" s="491">
        <f t="shared" si="18"/>
        <v>364109.12981015793</v>
      </c>
      <c r="I40" s="511">
        <f t="shared" si="6"/>
        <v>0</v>
      </c>
      <c r="J40" s="511"/>
      <c r="K40" s="525"/>
      <c r="L40" s="514">
        <f t="shared" si="19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2223279.4819031423</v>
      </c>
      <c r="E41" s="522">
        <f t="shared" si="15"/>
        <v>120203</v>
      </c>
      <c r="F41" s="523">
        <f t="shared" si="16"/>
        <v>2103076.4819031423</v>
      </c>
      <c r="G41" s="524">
        <f t="shared" si="17"/>
        <v>351269.28891022434</v>
      </c>
      <c r="H41" s="491">
        <f t="shared" si="18"/>
        <v>351269.28891022434</v>
      </c>
      <c r="I41" s="511">
        <f t="shared" si="6"/>
        <v>0</v>
      </c>
      <c r="J41" s="511"/>
      <c r="K41" s="525"/>
      <c r="L41" s="514">
        <f t="shared" si="19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2103076.4819031423</v>
      </c>
      <c r="E42" s="522">
        <f t="shared" si="15"/>
        <v>120203</v>
      </c>
      <c r="F42" s="523">
        <f t="shared" si="16"/>
        <v>1982873.4819031423</v>
      </c>
      <c r="G42" s="524">
        <f t="shared" si="17"/>
        <v>338429.4480102908</v>
      </c>
      <c r="H42" s="491">
        <f t="shared" si="18"/>
        <v>338429.4480102908</v>
      </c>
      <c r="I42" s="511">
        <f t="shared" si="6"/>
        <v>0</v>
      </c>
      <c r="J42" s="511"/>
      <c r="K42" s="525"/>
      <c r="L42" s="514">
        <f t="shared" si="19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1982873.4819031423</v>
      </c>
      <c r="E43" s="522">
        <f t="shared" si="15"/>
        <v>120203</v>
      </c>
      <c r="F43" s="523">
        <f t="shared" si="16"/>
        <v>1862670.4819031423</v>
      </c>
      <c r="G43" s="524">
        <f t="shared" si="17"/>
        <v>325589.60711035726</v>
      </c>
      <c r="H43" s="491">
        <f t="shared" si="18"/>
        <v>325589.60711035726</v>
      </c>
      <c r="I43" s="511">
        <f t="shared" si="6"/>
        <v>0</v>
      </c>
      <c r="J43" s="511"/>
      <c r="K43" s="525"/>
      <c r="L43" s="514">
        <f t="shared" si="19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1862670.4819031423</v>
      </c>
      <c r="E44" s="522">
        <f t="shared" si="15"/>
        <v>120203</v>
      </c>
      <c r="F44" s="523">
        <f t="shared" si="16"/>
        <v>1742467.4819031423</v>
      </c>
      <c r="G44" s="524">
        <f t="shared" si="17"/>
        <v>312749.76621042367</v>
      </c>
      <c r="H44" s="491">
        <f t="shared" si="18"/>
        <v>312749.76621042367</v>
      </c>
      <c r="I44" s="511">
        <f t="shared" si="6"/>
        <v>0</v>
      </c>
      <c r="J44" s="511"/>
      <c r="K44" s="525"/>
      <c r="L44" s="514">
        <f t="shared" si="19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1742467.4819031423</v>
      </c>
      <c r="E45" s="522">
        <f t="shared" si="15"/>
        <v>120203</v>
      </c>
      <c r="F45" s="523">
        <f t="shared" si="16"/>
        <v>1622264.4819031423</v>
      </c>
      <c r="G45" s="524">
        <f t="shared" si="17"/>
        <v>299909.92531049013</v>
      </c>
      <c r="H45" s="491">
        <f t="shared" si="18"/>
        <v>299909.92531049013</v>
      </c>
      <c r="I45" s="511">
        <f t="shared" si="6"/>
        <v>0</v>
      </c>
      <c r="J45" s="511"/>
      <c r="K45" s="525"/>
      <c r="L45" s="514">
        <f t="shared" si="19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1622264.4819031423</v>
      </c>
      <c r="E46" s="522">
        <f t="shared" si="15"/>
        <v>120203</v>
      </c>
      <c r="F46" s="523">
        <f t="shared" si="16"/>
        <v>1502061.4819031423</v>
      </c>
      <c r="G46" s="524">
        <f t="shared" si="17"/>
        <v>287070.08441055659</v>
      </c>
      <c r="H46" s="491">
        <f t="shared" si="18"/>
        <v>287070.08441055659</v>
      </c>
      <c r="I46" s="511">
        <f t="shared" si="6"/>
        <v>0</v>
      </c>
      <c r="J46" s="511"/>
      <c r="K46" s="525"/>
      <c r="L46" s="514">
        <f t="shared" si="19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1502061.4819031423</v>
      </c>
      <c r="E47" s="522">
        <f t="shared" si="15"/>
        <v>120203</v>
      </c>
      <c r="F47" s="523">
        <f t="shared" si="16"/>
        <v>1381858.4819031423</v>
      </c>
      <c r="G47" s="524">
        <f t="shared" si="17"/>
        <v>274230.243510623</v>
      </c>
      <c r="H47" s="491">
        <f t="shared" si="18"/>
        <v>274230.243510623</v>
      </c>
      <c r="I47" s="511">
        <f t="shared" si="6"/>
        <v>0</v>
      </c>
      <c r="J47" s="511"/>
      <c r="K47" s="525"/>
      <c r="L47" s="514">
        <f t="shared" si="19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1381858.4819031423</v>
      </c>
      <c r="E48" s="522">
        <f t="shared" si="15"/>
        <v>120203</v>
      </c>
      <c r="F48" s="523">
        <f t="shared" si="16"/>
        <v>1261655.4819031423</v>
      </c>
      <c r="G48" s="524">
        <f t="shared" si="17"/>
        <v>261390.40261068946</v>
      </c>
      <c r="H48" s="491">
        <f t="shared" si="18"/>
        <v>261390.40261068946</v>
      </c>
      <c r="I48" s="511">
        <f t="shared" si="6"/>
        <v>0</v>
      </c>
      <c r="J48" s="511"/>
      <c r="K48" s="525"/>
      <c r="L48" s="514">
        <f t="shared" si="19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1261655.4819031423</v>
      </c>
      <c r="E49" s="522">
        <f t="shared" si="15"/>
        <v>120203</v>
      </c>
      <c r="F49" s="523">
        <f t="shared" si="16"/>
        <v>1141452.4819031423</v>
      </c>
      <c r="G49" s="524">
        <f t="shared" si="17"/>
        <v>248550.56171075592</v>
      </c>
      <c r="H49" s="491">
        <f t="shared" si="18"/>
        <v>248550.56171075592</v>
      </c>
      <c r="I49" s="511">
        <f t="shared" si="6"/>
        <v>0</v>
      </c>
      <c r="J49" s="511"/>
      <c r="K49" s="525"/>
      <c r="L49" s="514">
        <f t="shared" si="19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1141452.4819031423</v>
      </c>
      <c r="E50" s="522">
        <f t="shared" si="15"/>
        <v>120203</v>
      </c>
      <c r="F50" s="523">
        <f t="shared" si="16"/>
        <v>1021249.4819031423</v>
      </c>
      <c r="G50" s="524">
        <f t="shared" si="17"/>
        <v>235710.72081082233</v>
      </c>
      <c r="H50" s="491">
        <f t="shared" si="18"/>
        <v>235710.72081082233</v>
      </c>
      <c r="I50" s="511">
        <f t="shared" si="6"/>
        <v>0</v>
      </c>
      <c r="J50" s="511"/>
      <c r="K50" s="525"/>
      <c r="L50" s="514">
        <f t="shared" si="19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1021249.4819031423</v>
      </c>
      <c r="E51" s="522">
        <f t="shared" si="15"/>
        <v>120203</v>
      </c>
      <c r="F51" s="523">
        <f t="shared" si="16"/>
        <v>901046.4819031423</v>
      </c>
      <c r="G51" s="524">
        <f t="shared" si="17"/>
        <v>222870.87991088879</v>
      </c>
      <c r="H51" s="491">
        <f t="shared" si="18"/>
        <v>222870.87991088879</v>
      </c>
      <c r="I51" s="511">
        <f t="shared" si="6"/>
        <v>0</v>
      </c>
      <c r="J51" s="511"/>
      <c r="K51" s="525"/>
      <c r="L51" s="514">
        <f t="shared" si="19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901046.4819031423</v>
      </c>
      <c r="E52" s="522">
        <f t="shared" si="15"/>
        <v>120203</v>
      </c>
      <c r="F52" s="523">
        <f t="shared" si="16"/>
        <v>780843.4819031423</v>
      </c>
      <c r="G52" s="524">
        <f t="shared" si="17"/>
        <v>210031.03901095525</v>
      </c>
      <c r="H52" s="491">
        <f t="shared" si="18"/>
        <v>210031.03901095525</v>
      </c>
      <c r="I52" s="511">
        <f t="shared" si="6"/>
        <v>0</v>
      </c>
      <c r="J52" s="511"/>
      <c r="K52" s="525"/>
      <c r="L52" s="514">
        <f t="shared" si="19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780843.4819031423</v>
      </c>
      <c r="E53" s="522">
        <f t="shared" si="15"/>
        <v>120203</v>
      </c>
      <c r="F53" s="523">
        <f t="shared" si="16"/>
        <v>660640.4819031423</v>
      </c>
      <c r="G53" s="524">
        <f t="shared" ref="G53:G72" si="20">+I$12*((D53+F53)/2)+E53</f>
        <v>197191.19811102166</v>
      </c>
      <c r="H53" s="491">
        <f t="shared" ref="H53:H72" si="21">+I$13*((D53+F53)/2)+E53</f>
        <v>197191.19811102166</v>
      </c>
      <c r="I53" s="511">
        <f t="shared" si="6"/>
        <v>0</v>
      </c>
      <c r="J53" s="511"/>
      <c r="K53" s="525"/>
      <c r="L53" s="514">
        <f t="shared" si="19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660640.4819031423</v>
      </c>
      <c r="E54" s="522">
        <f t="shared" si="15"/>
        <v>120203</v>
      </c>
      <c r="F54" s="523">
        <f t="shared" si="16"/>
        <v>540437.4819031423</v>
      </c>
      <c r="G54" s="524">
        <f t="shared" si="20"/>
        <v>184351.35721108812</v>
      </c>
      <c r="H54" s="491">
        <f t="shared" si="21"/>
        <v>184351.35721108812</v>
      </c>
      <c r="I54" s="511">
        <f t="shared" si="6"/>
        <v>0</v>
      </c>
      <c r="J54" s="511"/>
      <c r="K54" s="525"/>
      <c r="L54" s="514">
        <f t="shared" si="19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540437.4819031423</v>
      </c>
      <c r="E55" s="522">
        <f t="shared" si="15"/>
        <v>120203</v>
      </c>
      <c r="F55" s="523">
        <f t="shared" si="16"/>
        <v>420234.4819031423</v>
      </c>
      <c r="G55" s="524">
        <f t="shared" si="20"/>
        <v>171511.51631115456</v>
      </c>
      <c r="H55" s="491">
        <f t="shared" si="21"/>
        <v>171511.51631115456</v>
      </c>
      <c r="I55" s="511">
        <f t="shared" si="6"/>
        <v>0</v>
      </c>
      <c r="J55" s="511"/>
      <c r="K55" s="525"/>
      <c r="L55" s="514">
        <f t="shared" si="19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420234.4819031423</v>
      </c>
      <c r="E56" s="522">
        <f t="shared" si="15"/>
        <v>120203</v>
      </c>
      <c r="F56" s="523">
        <f t="shared" si="16"/>
        <v>300031.4819031423</v>
      </c>
      <c r="G56" s="524">
        <f t="shared" si="20"/>
        <v>158671.67541122099</v>
      </c>
      <c r="H56" s="491">
        <f t="shared" si="21"/>
        <v>158671.67541122099</v>
      </c>
      <c r="I56" s="511">
        <f t="shared" si="6"/>
        <v>0</v>
      </c>
      <c r="J56" s="511"/>
      <c r="K56" s="525"/>
      <c r="L56" s="514">
        <f t="shared" si="19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300031.4819031423</v>
      </c>
      <c r="E57" s="522">
        <f t="shared" si="15"/>
        <v>120203</v>
      </c>
      <c r="F57" s="523">
        <f t="shared" si="16"/>
        <v>179828.4819031423</v>
      </c>
      <c r="G57" s="524">
        <f t="shared" si="20"/>
        <v>145831.83451128745</v>
      </c>
      <c r="H57" s="491">
        <f t="shared" si="21"/>
        <v>145831.83451128745</v>
      </c>
      <c r="I57" s="511">
        <f t="shared" si="6"/>
        <v>0</v>
      </c>
      <c r="J57" s="511"/>
      <c r="K57" s="525"/>
      <c r="L57" s="514">
        <f t="shared" si="19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179828.4819031423</v>
      </c>
      <c r="E58" s="522">
        <f t="shared" si="15"/>
        <v>120203</v>
      </c>
      <c r="F58" s="523">
        <f t="shared" si="16"/>
        <v>59625.481903142296</v>
      </c>
      <c r="G58" s="524">
        <f t="shared" si="20"/>
        <v>132991.99361135389</v>
      </c>
      <c r="H58" s="491">
        <f t="shared" si="21"/>
        <v>132991.99361135389</v>
      </c>
      <c r="I58" s="511">
        <f t="shared" si="6"/>
        <v>0</v>
      </c>
      <c r="J58" s="511"/>
      <c r="K58" s="525"/>
      <c r="L58" s="514">
        <f t="shared" si="19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59625.481903142296</v>
      </c>
      <c r="E59" s="522">
        <f t="shared" si="15"/>
        <v>59625.481903142296</v>
      </c>
      <c r="F59" s="523">
        <f t="shared" si="16"/>
        <v>0</v>
      </c>
      <c r="G59" s="524">
        <f t="shared" si="20"/>
        <v>62810.018483835847</v>
      </c>
      <c r="H59" s="491">
        <f t="shared" si="21"/>
        <v>62810.018483835847</v>
      </c>
      <c r="I59" s="511">
        <f t="shared" si="6"/>
        <v>0</v>
      </c>
      <c r="J59" s="511"/>
      <c r="K59" s="525"/>
      <c r="L59" s="514">
        <f t="shared" si="19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15"/>
        <v>0</v>
      </c>
      <c r="F60" s="523">
        <f t="shared" si="16"/>
        <v>0</v>
      </c>
      <c r="G60" s="524">
        <f t="shared" si="20"/>
        <v>0</v>
      </c>
      <c r="H60" s="491">
        <f t="shared" si="21"/>
        <v>0</v>
      </c>
      <c r="I60" s="511">
        <f t="shared" si="6"/>
        <v>0</v>
      </c>
      <c r="J60" s="511"/>
      <c r="K60" s="525"/>
      <c r="L60" s="514">
        <f t="shared" si="19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5"/>
        <v>0</v>
      </c>
      <c r="F61" s="523">
        <f t="shared" si="16"/>
        <v>0</v>
      </c>
      <c r="G61" s="524">
        <f t="shared" si="20"/>
        <v>0</v>
      </c>
      <c r="H61" s="491">
        <f t="shared" si="21"/>
        <v>0</v>
      </c>
      <c r="I61" s="511">
        <f t="shared" si="6"/>
        <v>0</v>
      </c>
      <c r="J61" s="511"/>
      <c r="K61" s="525"/>
      <c r="L61" s="514">
        <f t="shared" si="19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5"/>
        <v>0</v>
      </c>
      <c r="F62" s="523">
        <f t="shared" si="16"/>
        <v>0</v>
      </c>
      <c r="G62" s="524">
        <f t="shared" si="20"/>
        <v>0</v>
      </c>
      <c r="H62" s="491">
        <f t="shared" si="21"/>
        <v>0</v>
      </c>
      <c r="I62" s="511">
        <f t="shared" si="6"/>
        <v>0</v>
      </c>
      <c r="J62" s="511"/>
      <c r="K62" s="525"/>
      <c r="L62" s="514">
        <f t="shared" si="19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5"/>
        <v>0</v>
      </c>
      <c r="F63" s="523">
        <f t="shared" si="16"/>
        <v>0</v>
      </c>
      <c r="G63" s="524">
        <f t="shared" si="20"/>
        <v>0</v>
      </c>
      <c r="H63" s="491">
        <f t="shared" si="21"/>
        <v>0</v>
      </c>
      <c r="I63" s="511">
        <f t="shared" si="6"/>
        <v>0</v>
      </c>
      <c r="J63" s="511"/>
      <c r="K63" s="525"/>
      <c r="L63" s="514">
        <f t="shared" si="19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5"/>
        <v>0</v>
      </c>
      <c r="F64" s="523">
        <f t="shared" si="16"/>
        <v>0</v>
      </c>
      <c r="G64" s="524">
        <f t="shared" si="20"/>
        <v>0</v>
      </c>
      <c r="H64" s="491">
        <f t="shared" si="21"/>
        <v>0</v>
      </c>
      <c r="I64" s="511">
        <f t="shared" si="6"/>
        <v>0</v>
      </c>
      <c r="J64" s="511"/>
      <c r="K64" s="525"/>
      <c r="L64" s="514">
        <f t="shared" si="19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5"/>
        <v>0</v>
      </c>
      <c r="F65" s="523">
        <f t="shared" si="16"/>
        <v>0</v>
      </c>
      <c r="G65" s="524">
        <f t="shared" si="20"/>
        <v>0</v>
      </c>
      <c r="H65" s="491">
        <f t="shared" si="21"/>
        <v>0</v>
      </c>
      <c r="I65" s="511">
        <f t="shared" si="6"/>
        <v>0</v>
      </c>
      <c r="J65" s="511"/>
      <c r="K65" s="525"/>
      <c r="L65" s="514">
        <f t="shared" si="19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5"/>
        <v>0</v>
      </c>
      <c r="F66" s="523">
        <f t="shared" si="16"/>
        <v>0</v>
      </c>
      <c r="G66" s="524">
        <f t="shared" si="20"/>
        <v>0</v>
      </c>
      <c r="H66" s="491">
        <f t="shared" si="21"/>
        <v>0</v>
      </c>
      <c r="I66" s="511">
        <f t="shared" si="6"/>
        <v>0</v>
      </c>
      <c r="J66" s="511"/>
      <c r="K66" s="525"/>
      <c r="L66" s="514">
        <f t="shared" si="19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5"/>
        <v>0</v>
      </c>
      <c r="F67" s="523">
        <f t="shared" si="16"/>
        <v>0</v>
      </c>
      <c r="G67" s="524">
        <f t="shared" si="20"/>
        <v>0</v>
      </c>
      <c r="H67" s="491">
        <f t="shared" si="21"/>
        <v>0</v>
      </c>
      <c r="I67" s="511">
        <f t="shared" si="6"/>
        <v>0</v>
      </c>
      <c r="J67" s="511"/>
      <c r="K67" s="525"/>
      <c r="L67" s="514">
        <f t="shared" si="19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5"/>
        <v>0</v>
      </c>
      <c r="F68" s="523">
        <f t="shared" si="16"/>
        <v>0</v>
      </c>
      <c r="G68" s="524">
        <f t="shared" si="20"/>
        <v>0</v>
      </c>
      <c r="H68" s="491">
        <f t="shared" si="21"/>
        <v>0</v>
      </c>
      <c r="I68" s="511">
        <f t="shared" si="6"/>
        <v>0</v>
      </c>
      <c r="J68" s="511"/>
      <c r="K68" s="525"/>
      <c r="L68" s="514">
        <f t="shared" si="19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5"/>
        <v>0</v>
      </c>
      <c r="F69" s="523">
        <f t="shared" si="16"/>
        <v>0</v>
      </c>
      <c r="G69" s="524">
        <f t="shared" si="20"/>
        <v>0</v>
      </c>
      <c r="H69" s="491">
        <f t="shared" si="21"/>
        <v>0</v>
      </c>
      <c r="I69" s="511">
        <f t="shared" si="6"/>
        <v>0</v>
      </c>
      <c r="J69" s="511"/>
      <c r="K69" s="525"/>
      <c r="L69" s="514">
        <f t="shared" si="19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5"/>
        <v>0</v>
      </c>
      <c r="F70" s="523">
        <f t="shared" si="16"/>
        <v>0</v>
      </c>
      <c r="G70" s="524">
        <f t="shared" si="20"/>
        <v>0</v>
      </c>
      <c r="H70" s="491">
        <f t="shared" si="21"/>
        <v>0</v>
      </c>
      <c r="I70" s="511">
        <f t="shared" si="6"/>
        <v>0</v>
      </c>
      <c r="J70" s="511"/>
      <c r="K70" s="525"/>
      <c r="L70" s="514">
        <f t="shared" si="19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5"/>
        <v>0</v>
      </c>
      <c r="F71" s="523">
        <f t="shared" si="16"/>
        <v>0</v>
      </c>
      <c r="G71" s="524">
        <f t="shared" si="20"/>
        <v>0</v>
      </c>
      <c r="H71" s="491">
        <f t="shared" si="21"/>
        <v>0</v>
      </c>
      <c r="I71" s="511">
        <f t="shared" si="6"/>
        <v>0</v>
      </c>
      <c r="J71" s="511"/>
      <c r="K71" s="525"/>
      <c r="L71" s="514">
        <f t="shared" si="19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15"/>
        <v>0</v>
      </c>
      <c r="F72" s="523">
        <f t="shared" si="16"/>
        <v>0</v>
      </c>
      <c r="G72" s="524">
        <f t="shared" si="20"/>
        <v>0</v>
      </c>
      <c r="H72" s="491">
        <f t="shared" si="21"/>
        <v>0</v>
      </c>
      <c r="I72" s="511">
        <f t="shared" si="6"/>
        <v>0</v>
      </c>
      <c r="J72" s="511"/>
      <c r="K72" s="532"/>
      <c r="L72" s="533">
        <f t="shared" si="19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5048526.0000000009</v>
      </c>
      <c r="F73" s="375"/>
      <c r="G73" s="375">
        <f>SUM(G17:G72)</f>
        <v>17200670.898452852</v>
      </c>
      <c r="H73" s="375">
        <f>SUM(H17:H72)</f>
        <v>17200670.898452852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37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553772.08511902799</v>
      </c>
      <c r="N87" s="546">
        <f>IF(J92&lt;D11,0,VLOOKUP(J92,C17:O72,11))</f>
        <v>553772.08511902799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573379.27306704223</v>
      </c>
      <c r="N88" s="550">
        <f>IF(J92&lt;D11,0,VLOOKUP(J92,C99:P154,7))</f>
        <v>573379.27306704223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SW Shreveport to Spring Ridge REC 138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19607.187948014238</v>
      </c>
      <c r="N89" s="555">
        <f>+N88-N87</f>
        <v>19607.187948014238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TP2010066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5048526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36" t="s">
        <v>373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120203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 t="str">
        <f>IF(D93= "","-",D93)</f>
        <v>2013</v>
      </c>
      <c r="D99" s="629">
        <v>0</v>
      </c>
      <c r="E99" s="630">
        <v>60097.440476190473</v>
      </c>
      <c r="F99" s="631">
        <v>4988087.5595238097</v>
      </c>
      <c r="G99" s="632">
        <v>2494043.7797619049</v>
      </c>
      <c r="H99" s="633">
        <v>397520.86907446757</v>
      </c>
      <c r="I99" s="634">
        <v>397520.86907446757</v>
      </c>
      <c r="J99" s="613">
        <v>0</v>
      </c>
      <c r="K99" s="514"/>
      <c r="L99" s="518">
        <f t="shared" ref="L99:L104" si="22">H99</f>
        <v>397520.86907446757</v>
      </c>
      <c r="M99" s="519">
        <f t="shared" ref="M99:M104" si="23">IF(L99&lt;&gt;0,+H99-L99,0)</f>
        <v>0</v>
      </c>
      <c r="N99" s="518">
        <f t="shared" ref="N99:N104" si="24">I99</f>
        <v>397520.86907446757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4988087.5595238097</v>
      </c>
      <c r="E100" s="630">
        <v>120203</v>
      </c>
      <c r="F100" s="631">
        <v>4867884.5595238097</v>
      </c>
      <c r="G100" s="631">
        <v>4927986.0595238097</v>
      </c>
      <c r="H100" s="633">
        <v>790031.91488158714</v>
      </c>
      <c r="I100" s="634">
        <v>790031.91488158714</v>
      </c>
      <c r="J100" s="514">
        <v>0</v>
      </c>
      <c r="K100" s="514"/>
      <c r="L100" s="518">
        <f t="shared" si="22"/>
        <v>790031.91488158714</v>
      </c>
      <c r="M100" s="519">
        <f t="shared" si="23"/>
        <v>0</v>
      </c>
      <c r="N100" s="518">
        <f t="shared" si="24"/>
        <v>790031.91488158714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25">IF(D101=F100,"","IU")</f>
        <v>IU</v>
      </c>
      <c r="C101" s="507">
        <f>IF(D93="","-",+C100+1)</f>
        <v>2015</v>
      </c>
      <c r="D101" s="629">
        <v>4868225.5595238097</v>
      </c>
      <c r="E101" s="630">
        <v>120203</v>
      </c>
      <c r="F101" s="631">
        <v>4748022.5595238097</v>
      </c>
      <c r="G101" s="631">
        <v>4808124.0595238097</v>
      </c>
      <c r="H101" s="633">
        <v>753764.11200720049</v>
      </c>
      <c r="I101" s="634">
        <v>753764.11200720049</v>
      </c>
      <c r="J101" s="514">
        <f>+I101-H101</f>
        <v>0</v>
      </c>
      <c r="K101" s="514"/>
      <c r="L101" s="518">
        <f t="shared" si="22"/>
        <v>753764.11200720049</v>
      </c>
      <c r="M101" s="519">
        <f t="shared" si="23"/>
        <v>0</v>
      </c>
      <c r="N101" s="518">
        <f t="shared" si="24"/>
        <v>753764.11200720049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5"/>
        <v/>
      </c>
      <c r="C102" s="507">
        <f>IF(D93="","-",+C101+1)</f>
        <v>2016</v>
      </c>
      <c r="D102" s="629">
        <v>4748022.5595238097</v>
      </c>
      <c r="E102" s="630">
        <v>117407.58139534884</v>
      </c>
      <c r="F102" s="631">
        <v>4630614.9781284612</v>
      </c>
      <c r="G102" s="631">
        <v>4689318.7688261354</v>
      </c>
      <c r="H102" s="633">
        <v>712716.54417822254</v>
      </c>
      <c r="I102" s="634">
        <v>712716.54417822254</v>
      </c>
      <c r="J102" s="514">
        <f t="shared" ref="J102:J154" si="26">+I102-H102</f>
        <v>0</v>
      </c>
      <c r="K102" s="514"/>
      <c r="L102" s="518">
        <f t="shared" si="22"/>
        <v>712716.54417822254</v>
      </c>
      <c r="M102" s="519">
        <f t="shared" si="23"/>
        <v>0</v>
      </c>
      <c r="N102" s="518">
        <f t="shared" si="24"/>
        <v>712716.54417822254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5"/>
        <v/>
      </c>
      <c r="C103" s="507">
        <f>IF(D93="","-",+C102+1)</f>
        <v>2017</v>
      </c>
      <c r="D103" s="629">
        <v>4630614.9781284612</v>
      </c>
      <c r="E103" s="630">
        <v>120203</v>
      </c>
      <c r="F103" s="631">
        <v>4510411.9781284612</v>
      </c>
      <c r="G103" s="631">
        <v>4570513.4781284612</v>
      </c>
      <c r="H103" s="633">
        <v>675389.93455255101</v>
      </c>
      <c r="I103" s="634">
        <v>675389.93455255101</v>
      </c>
      <c r="J103" s="514">
        <f t="shared" si="26"/>
        <v>0</v>
      </c>
      <c r="K103" s="514"/>
      <c r="L103" s="518">
        <f t="shared" si="22"/>
        <v>675389.93455255101</v>
      </c>
      <c r="M103" s="519">
        <f t="shared" si="23"/>
        <v>0</v>
      </c>
      <c r="N103" s="518">
        <f t="shared" si="24"/>
        <v>675389.93455255101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5"/>
        <v/>
      </c>
      <c r="C104" s="507">
        <f>IF(D93="","-",+C103+1)</f>
        <v>2018</v>
      </c>
      <c r="D104" s="629">
        <v>4510411.9781284612</v>
      </c>
      <c r="E104" s="630">
        <v>120203</v>
      </c>
      <c r="F104" s="631">
        <v>4390208.9781284612</v>
      </c>
      <c r="G104" s="631">
        <v>4450310.4781284612</v>
      </c>
      <c r="H104" s="633">
        <v>590176.19481222471</v>
      </c>
      <c r="I104" s="634">
        <v>590176.19481222471</v>
      </c>
      <c r="J104" s="514">
        <f t="shared" si="26"/>
        <v>0</v>
      </c>
      <c r="K104" s="514"/>
      <c r="L104" s="518">
        <f t="shared" si="22"/>
        <v>590176.19481222471</v>
      </c>
      <c r="M104" s="519">
        <f t="shared" si="23"/>
        <v>0</v>
      </c>
      <c r="N104" s="518">
        <f t="shared" si="24"/>
        <v>590176.19481222471</v>
      </c>
      <c r="O104" s="514">
        <f t="shared" ref="O104:O130" si="27">IF(N104&lt;&gt;0,+I104-N104,0)</f>
        <v>0</v>
      </c>
      <c r="P104" s="514">
        <f t="shared" ref="P104:P130" si="28">+O104-M104</f>
        <v>0</v>
      </c>
      <c r="Q104" s="269"/>
    </row>
    <row r="105" spans="1:17" ht="12.5">
      <c r="B105" s="195" t="str">
        <f t="shared" si="25"/>
        <v/>
      </c>
      <c r="C105" s="507">
        <f>IF(D93="","-",+C104+1)</f>
        <v>2019</v>
      </c>
      <c r="D105" s="629">
        <v>4390208.9781284612</v>
      </c>
      <c r="E105" s="630">
        <v>117407.58139534884</v>
      </c>
      <c r="F105" s="631">
        <v>4272801.3967331126</v>
      </c>
      <c r="G105" s="631">
        <v>4331505.1874307869</v>
      </c>
      <c r="H105" s="633">
        <v>581054.26400771562</v>
      </c>
      <c r="I105" s="634">
        <v>581054.26400771562</v>
      </c>
      <c r="J105" s="514">
        <f t="shared" si="26"/>
        <v>0</v>
      </c>
      <c r="K105" s="514"/>
      <c r="L105" s="518">
        <f t="shared" ref="L105" si="29">H105</f>
        <v>581054.26400771562</v>
      </c>
      <c r="M105" s="519">
        <f t="shared" ref="M105" si="30">IF(L105&lt;&gt;0,+H105-L105,0)</f>
        <v>0</v>
      </c>
      <c r="N105" s="518">
        <f t="shared" ref="N105" si="31">I105</f>
        <v>581054.26400771562</v>
      </c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5"/>
        <v/>
      </c>
      <c r="C106" s="507">
        <f>IF(D93="","-",+C105+1)</f>
        <v>2020</v>
      </c>
      <c r="D106" s="374">
        <f>IF(F105+SUM(E$99:E105)=D$92,F105,D$92-SUM(E$99:E105))</f>
        <v>4272801.3967331126</v>
      </c>
      <c r="E106" s="522">
        <f t="shared" ref="E106:E154" si="32">IF(+$J$96&lt;F105,$J$96,D106)</f>
        <v>120203</v>
      </c>
      <c r="F106" s="523">
        <f t="shared" ref="F106:F154" si="33">+D106-E106</f>
        <v>4152598.3967331126</v>
      </c>
      <c r="G106" s="523">
        <f t="shared" ref="G106:G154" si="34">+(F106+D106)/2</f>
        <v>4212699.8967331126</v>
      </c>
      <c r="H106" s="526">
        <f t="shared" ref="H106:H154" si="35">+J$94*G106+E106</f>
        <v>573379.27306704223</v>
      </c>
      <c r="I106" s="577">
        <f t="shared" ref="I106:I154" si="36">+J$95*G106+E106</f>
        <v>573379.27306704223</v>
      </c>
      <c r="J106" s="514">
        <f t="shared" si="26"/>
        <v>0</v>
      </c>
      <c r="K106" s="514"/>
      <c r="L106" s="525"/>
      <c r="M106" s="514">
        <f t="shared" ref="M106:M130" si="37">IF(L106&lt;&gt;0,+H106-L106,0)</f>
        <v>0</v>
      </c>
      <c r="N106" s="525"/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5"/>
        <v/>
      </c>
      <c r="C107" s="507">
        <f>IF(D93="","-",+C106+1)</f>
        <v>2021</v>
      </c>
      <c r="D107" s="374">
        <f>IF(F106+SUM(E$99:E106)=D$92,F106,D$92-SUM(E$99:E106))</f>
        <v>4152598.3967331126</v>
      </c>
      <c r="E107" s="522">
        <f t="shared" si="32"/>
        <v>120203</v>
      </c>
      <c r="F107" s="523">
        <f t="shared" si="33"/>
        <v>4032395.3967331126</v>
      </c>
      <c r="G107" s="523">
        <f t="shared" si="34"/>
        <v>4092496.8967331126</v>
      </c>
      <c r="H107" s="526">
        <f t="shared" si="35"/>
        <v>560448.575678956</v>
      </c>
      <c r="I107" s="577">
        <f t="shared" si="36"/>
        <v>560448.575678956</v>
      </c>
      <c r="J107" s="514">
        <f t="shared" si="26"/>
        <v>0</v>
      </c>
      <c r="K107" s="514"/>
      <c r="L107" s="525"/>
      <c r="M107" s="514">
        <f t="shared" si="37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5"/>
        <v/>
      </c>
      <c r="C108" s="507">
        <f>IF(D93="","-",+C107+1)</f>
        <v>2022</v>
      </c>
      <c r="D108" s="374">
        <f>IF(F107+SUM(E$99:E107)=D$92,F107,D$92-SUM(E$99:E107))</f>
        <v>4032395.3967331126</v>
      </c>
      <c r="E108" s="522">
        <f t="shared" si="32"/>
        <v>120203</v>
      </c>
      <c r="F108" s="523">
        <f t="shared" si="33"/>
        <v>3912192.3967331126</v>
      </c>
      <c r="G108" s="523">
        <f t="shared" si="34"/>
        <v>3972293.8967331126</v>
      </c>
      <c r="H108" s="526">
        <f t="shared" si="35"/>
        <v>547517.87829086988</v>
      </c>
      <c r="I108" s="577">
        <f t="shared" si="36"/>
        <v>547517.87829086988</v>
      </c>
      <c r="J108" s="514">
        <f t="shared" si="26"/>
        <v>0</v>
      </c>
      <c r="K108" s="514"/>
      <c r="L108" s="525"/>
      <c r="M108" s="514">
        <f t="shared" si="37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2023</v>
      </c>
      <c r="D109" s="374">
        <f>IF(F108+SUM(E$99:E108)=D$92,F108,D$92-SUM(E$99:E108))</f>
        <v>3912192.3967331126</v>
      </c>
      <c r="E109" s="522">
        <f t="shared" si="32"/>
        <v>120203</v>
      </c>
      <c r="F109" s="523">
        <f t="shared" si="33"/>
        <v>3791989.3967331126</v>
      </c>
      <c r="G109" s="523">
        <f t="shared" si="34"/>
        <v>3852090.8967331126</v>
      </c>
      <c r="H109" s="526">
        <f t="shared" si="35"/>
        <v>534587.18090278376</v>
      </c>
      <c r="I109" s="577">
        <f t="shared" si="36"/>
        <v>534587.18090278376</v>
      </c>
      <c r="J109" s="514">
        <f t="shared" si="26"/>
        <v>0</v>
      </c>
      <c r="K109" s="514"/>
      <c r="L109" s="525"/>
      <c r="M109" s="514">
        <f t="shared" si="37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2024</v>
      </c>
      <c r="D110" s="374">
        <f>IF(F109+SUM(E$99:E109)=D$92,F109,D$92-SUM(E$99:E109))</f>
        <v>3791989.3967331126</v>
      </c>
      <c r="E110" s="522">
        <f t="shared" si="32"/>
        <v>120203</v>
      </c>
      <c r="F110" s="523">
        <f t="shared" si="33"/>
        <v>3671786.3967331126</v>
      </c>
      <c r="G110" s="523">
        <f t="shared" si="34"/>
        <v>3731887.8967331126</v>
      </c>
      <c r="H110" s="526">
        <f t="shared" si="35"/>
        <v>521656.48351469758</v>
      </c>
      <c r="I110" s="577">
        <f t="shared" si="36"/>
        <v>521656.48351469758</v>
      </c>
      <c r="J110" s="514">
        <f t="shared" si="26"/>
        <v>0</v>
      </c>
      <c r="K110" s="514"/>
      <c r="L110" s="525"/>
      <c r="M110" s="514">
        <f t="shared" si="37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2025</v>
      </c>
      <c r="D111" s="374">
        <f>IF(F110+SUM(E$99:E110)=D$92,F110,D$92-SUM(E$99:E110))</f>
        <v>3671786.3967331126</v>
      </c>
      <c r="E111" s="522">
        <f t="shared" si="32"/>
        <v>120203</v>
      </c>
      <c r="F111" s="523">
        <f t="shared" si="33"/>
        <v>3551583.3967331126</v>
      </c>
      <c r="G111" s="523">
        <f t="shared" si="34"/>
        <v>3611684.8967331126</v>
      </c>
      <c r="H111" s="526">
        <f t="shared" si="35"/>
        <v>508725.78612661141</v>
      </c>
      <c r="I111" s="577">
        <f t="shared" si="36"/>
        <v>508725.78612661141</v>
      </c>
      <c r="J111" s="514">
        <f t="shared" si="26"/>
        <v>0</v>
      </c>
      <c r="K111" s="514"/>
      <c r="L111" s="525"/>
      <c r="M111" s="514">
        <f t="shared" si="37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2026</v>
      </c>
      <c r="D112" s="374">
        <f>IF(F111+SUM(E$99:E111)=D$92,F111,D$92-SUM(E$99:E111))</f>
        <v>3551583.3967331126</v>
      </c>
      <c r="E112" s="522">
        <f t="shared" si="32"/>
        <v>120203</v>
      </c>
      <c r="F112" s="523">
        <f t="shared" si="33"/>
        <v>3431380.3967331126</v>
      </c>
      <c r="G112" s="523">
        <f t="shared" si="34"/>
        <v>3491481.8967331126</v>
      </c>
      <c r="H112" s="526">
        <f t="shared" si="35"/>
        <v>495795.08873852529</v>
      </c>
      <c r="I112" s="577">
        <f t="shared" si="36"/>
        <v>495795.08873852529</v>
      </c>
      <c r="J112" s="514">
        <f t="shared" si="26"/>
        <v>0</v>
      </c>
      <c r="K112" s="514"/>
      <c r="L112" s="525"/>
      <c r="M112" s="514">
        <f t="shared" si="37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2027</v>
      </c>
      <c r="D113" s="374">
        <f>IF(F112+SUM(E$99:E112)=D$92,F112,D$92-SUM(E$99:E112))</f>
        <v>3431380.3967331126</v>
      </c>
      <c r="E113" s="522">
        <f t="shared" si="32"/>
        <v>120203</v>
      </c>
      <c r="F113" s="523">
        <f t="shared" si="33"/>
        <v>3311177.3967331126</v>
      </c>
      <c r="G113" s="523">
        <f t="shared" si="34"/>
        <v>3371278.8967331126</v>
      </c>
      <c r="H113" s="526">
        <f t="shared" si="35"/>
        <v>482864.39135043911</v>
      </c>
      <c r="I113" s="577">
        <f t="shared" si="36"/>
        <v>482864.39135043911</v>
      </c>
      <c r="J113" s="514">
        <f t="shared" si="26"/>
        <v>0</v>
      </c>
      <c r="K113" s="514"/>
      <c r="L113" s="525"/>
      <c r="M113" s="514">
        <f t="shared" si="37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2028</v>
      </c>
      <c r="D114" s="374">
        <f>IF(F113+SUM(E$99:E113)=D$92,F113,D$92-SUM(E$99:E113))</f>
        <v>3311177.3967331126</v>
      </c>
      <c r="E114" s="522">
        <f t="shared" si="32"/>
        <v>120203</v>
      </c>
      <c r="F114" s="523">
        <f t="shared" si="33"/>
        <v>3190974.3967331126</v>
      </c>
      <c r="G114" s="523">
        <f t="shared" si="34"/>
        <v>3251075.8967331126</v>
      </c>
      <c r="H114" s="526">
        <f t="shared" si="35"/>
        <v>469933.69396235299</v>
      </c>
      <c r="I114" s="577">
        <f t="shared" si="36"/>
        <v>469933.69396235299</v>
      </c>
      <c r="J114" s="514">
        <f t="shared" si="26"/>
        <v>0</v>
      </c>
      <c r="K114" s="514"/>
      <c r="L114" s="525"/>
      <c r="M114" s="514">
        <f t="shared" si="37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2029</v>
      </c>
      <c r="D115" s="374">
        <f>IF(F114+SUM(E$99:E114)=D$92,F114,D$92-SUM(E$99:E114))</f>
        <v>3190974.3967331126</v>
      </c>
      <c r="E115" s="522">
        <f t="shared" si="32"/>
        <v>120203</v>
      </c>
      <c r="F115" s="523">
        <f t="shared" si="33"/>
        <v>3070771.3967331126</v>
      </c>
      <c r="G115" s="523">
        <f t="shared" si="34"/>
        <v>3130872.8967331126</v>
      </c>
      <c r="H115" s="526">
        <f t="shared" si="35"/>
        <v>457002.99657426681</v>
      </c>
      <c r="I115" s="577">
        <f t="shared" si="36"/>
        <v>457002.99657426681</v>
      </c>
      <c r="J115" s="514">
        <f t="shared" si="26"/>
        <v>0</v>
      </c>
      <c r="K115" s="514"/>
      <c r="L115" s="525"/>
      <c r="M115" s="514">
        <f t="shared" si="37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2030</v>
      </c>
      <c r="D116" s="374">
        <f>IF(F115+SUM(E$99:E115)=D$92,F115,D$92-SUM(E$99:E115))</f>
        <v>3070771.3967331126</v>
      </c>
      <c r="E116" s="522">
        <f t="shared" si="32"/>
        <v>120203</v>
      </c>
      <c r="F116" s="523">
        <f t="shared" si="33"/>
        <v>2950568.3967331126</v>
      </c>
      <c r="G116" s="523">
        <f t="shared" si="34"/>
        <v>3010669.8967331126</v>
      </c>
      <c r="H116" s="526">
        <f t="shared" si="35"/>
        <v>444072.29918618064</v>
      </c>
      <c r="I116" s="577">
        <f t="shared" si="36"/>
        <v>444072.29918618064</v>
      </c>
      <c r="J116" s="514">
        <f t="shared" si="26"/>
        <v>0</v>
      </c>
      <c r="K116" s="514"/>
      <c r="L116" s="525"/>
      <c r="M116" s="514">
        <f t="shared" si="37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2031</v>
      </c>
      <c r="D117" s="374">
        <f>IF(F116+SUM(E$99:E116)=D$92,F116,D$92-SUM(E$99:E116))</f>
        <v>2950568.3967331126</v>
      </c>
      <c r="E117" s="522">
        <f t="shared" si="32"/>
        <v>120203</v>
      </c>
      <c r="F117" s="523">
        <f t="shared" si="33"/>
        <v>2830365.3967331126</v>
      </c>
      <c r="G117" s="523">
        <f t="shared" si="34"/>
        <v>2890466.8967331126</v>
      </c>
      <c r="H117" s="526">
        <f t="shared" si="35"/>
        <v>431141.60179809452</v>
      </c>
      <c r="I117" s="577">
        <f t="shared" si="36"/>
        <v>431141.60179809452</v>
      </c>
      <c r="J117" s="514">
        <f t="shared" si="26"/>
        <v>0</v>
      </c>
      <c r="K117" s="514"/>
      <c r="L117" s="525"/>
      <c r="M117" s="514">
        <f t="shared" si="37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2032</v>
      </c>
      <c r="D118" s="374">
        <f>IF(F117+SUM(E$99:E117)=D$92,F117,D$92-SUM(E$99:E117))</f>
        <v>2830365.3967331126</v>
      </c>
      <c r="E118" s="522">
        <f t="shared" si="32"/>
        <v>120203</v>
      </c>
      <c r="F118" s="523">
        <f t="shared" si="33"/>
        <v>2710162.3967331126</v>
      </c>
      <c r="G118" s="523">
        <f t="shared" si="34"/>
        <v>2770263.8967331126</v>
      </c>
      <c r="H118" s="526">
        <f t="shared" si="35"/>
        <v>418210.90441000834</v>
      </c>
      <c r="I118" s="577">
        <f t="shared" si="36"/>
        <v>418210.90441000834</v>
      </c>
      <c r="J118" s="514">
        <f t="shared" si="26"/>
        <v>0</v>
      </c>
      <c r="K118" s="514"/>
      <c r="L118" s="525"/>
      <c r="M118" s="514">
        <f t="shared" si="37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2033</v>
      </c>
      <c r="D119" s="374">
        <f>IF(F118+SUM(E$99:E118)=D$92,F118,D$92-SUM(E$99:E118))</f>
        <v>2710162.3967331126</v>
      </c>
      <c r="E119" s="522">
        <f t="shared" si="32"/>
        <v>120203</v>
      </c>
      <c r="F119" s="523">
        <f t="shared" si="33"/>
        <v>2589959.3967331126</v>
      </c>
      <c r="G119" s="523">
        <f t="shared" si="34"/>
        <v>2650060.8967331126</v>
      </c>
      <c r="H119" s="526">
        <f t="shared" si="35"/>
        <v>405280.20702192216</v>
      </c>
      <c r="I119" s="577">
        <f t="shared" si="36"/>
        <v>405280.20702192216</v>
      </c>
      <c r="J119" s="514">
        <f t="shared" si="26"/>
        <v>0</v>
      </c>
      <c r="K119" s="514"/>
      <c r="L119" s="525"/>
      <c r="M119" s="514">
        <f t="shared" si="37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2034</v>
      </c>
      <c r="D120" s="374">
        <f>IF(F119+SUM(E$99:E119)=D$92,F119,D$92-SUM(E$99:E119))</f>
        <v>2589959.3967331126</v>
      </c>
      <c r="E120" s="522">
        <f t="shared" si="32"/>
        <v>120203</v>
      </c>
      <c r="F120" s="523">
        <f t="shared" si="33"/>
        <v>2469756.3967331126</v>
      </c>
      <c r="G120" s="523">
        <f t="shared" si="34"/>
        <v>2529857.8967331126</v>
      </c>
      <c r="H120" s="526">
        <f t="shared" si="35"/>
        <v>392349.50963383605</v>
      </c>
      <c r="I120" s="577">
        <f t="shared" si="36"/>
        <v>392349.50963383605</v>
      </c>
      <c r="J120" s="514">
        <f t="shared" si="26"/>
        <v>0</v>
      </c>
      <c r="K120" s="514"/>
      <c r="L120" s="525"/>
      <c r="M120" s="514">
        <f t="shared" si="37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2035</v>
      </c>
      <c r="D121" s="374">
        <f>IF(F120+SUM(E$99:E120)=D$92,F120,D$92-SUM(E$99:E120))</f>
        <v>2469756.3967331126</v>
      </c>
      <c r="E121" s="522">
        <f t="shared" si="32"/>
        <v>120203</v>
      </c>
      <c r="F121" s="523">
        <f t="shared" si="33"/>
        <v>2349553.3967331126</v>
      </c>
      <c r="G121" s="523">
        <f t="shared" si="34"/>
        <v>2409654.8967331126</v>
      </c>
      <c r="H121" s="526">
        <f t="shared" si="35"/>
        <v>379418.81224574987</v>
      </c>
      <c r="I121" s="577">
        <f t="shared" si="36"/>
        <v>379418.81224574987</v>
      </c>
      <c r="J121" s="514">
        <f t="shared" si="26"/>
        <v>0</v>
      </c>
      <c r="K121" s="514"/>
      <c r="L121" s="525"/>
      <c r="M121" s="514">
        <f t="shared" si="37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2036</v>
      </c>
      <c r="D122" s="374">
        <f>IF(F121+SUM(E$99:E121)=D$92,F121,D$92-SUM(E$99:E121))</f>
        <v>2349553.3967331126</v>
      </c>
      <c r="E122" s="522">
        <f t="shared" si="32"/>
        <v>120203</v>
      </c>
      <c r="F122" s="523">
        <f t="shared" si="33"/>
        <v>2229350.3967331126</v>
      </c>
      <c r="G122" s="523">
        <f t="shared" si="34"/>
        <v>2289451.8967331126</v>
      </c>
      <c r="H122" s="526">
        <f t="shared" si="35"/>
        <v>366488.11485766375</v>
      </c>
      <c r="I122" s="577">
        <f t="shared" si="36"/>
        <v>366488.11485766375</v>
      </c>
      <c r="J122" s="514">
        <f t="shared" si="26"/>
        <v>0</v>
      </c>
      <c r="K122" s="514"/>
      <c r="L122" s="525"/>
      <c r="M122" s="514">
        <f t="shared" si="37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2037</v>
      </c>
      <c r="D123" s="374">
        <f>IF(F122+SUM(E$99:E122)=D$92,F122,D$92-SUM(E$99:E122))</f>
        <v>2229350.3967331126</v>
      </c>
      <c r="E123" s="522">
        <f t="shared" si="32"/>
        <v>120203</v>
      </c>
      <c r="F123" s="523">
        <f t="shared" si="33"/>
        <v>2109147.3967331126</v>
      </c>
      <c r="G123" s="523">
        <f t="shared" si="34"/>
        <v>2169248.8967331126</v>
      </c>
      <c r="H123" s="526">
        <f t="shared" si="35"/>
        <v>353557.41746957757</v>
      </c>
      <c r="I123" s="577">
        <f t="shared" si="36"/>
        <v>353557.41746957757</v>
      </c>
      <c r="J123" s="514">
        <f t="shared" si="26"/>
        <v>0</v>
      </c>
      <c r="K123" s="514"/>
      <c r="L123" s="525"/>
      <c r="M123" s="514">
        <f t="shared" si="37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2038</v>
      </c>
      <c r="D124" s="374">
        <f>IF(F123+SUM(E$99:E123)=D$92,F123,D$92-SUM(E$99:E123))</f>
        <v>2109147.3967331126</v>
      </c>
      <c r="E124" s="522">
        <f t="shared" si="32"/>
        <v>120203</v>
      </c>
      <c r="F124" s="523">
        <f t="shared" si="33"/>
        <v>1988944.3967331126</v>
      </c>
      <c r="G124" s="523">
        <f t="shared" si="34"/>
        <v>2049045.8967331126</v>
      </c>
      <c r="H124" s="526">
        <f t="shared" si="35"/>
        <v>340626.7200814914</v>
      </c>
      <c r="I124" s="577">
        <f t="shared" si="36"/>
        <v>340626.7200814914</v>
      </c>
      <c r="J124" s="514">
        <f t="shared" si="26"/>
        <v>0</v>
      </c>
      <c r="K124" s="514"/>
      <c r="L124" s="525"/>
      <c r="M124" s="514">
        <f t="shared" si="37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2039</v>
      </c>
      <c r="D125" s="374">
        <f>IF(F124+SUM(E$99:E124)=D$92,F124,D$92-SUM(E$99:E124))</f>
        <v>1988944.3967331126</v>
      </c>
      <c r="E125" s="522">
        <f t="shared" si="32"/>
        <v>120203</v>
      </c>
      <c r="F125" s="523">
        <f t="shared" si="33"/>
        <v>1868741.3967331126</v>
      </c>
      <c r="G125" s="523">
        <f t="shared" si="34"/>
        <v>1928842.8967331126</v>
      </c>
      <c r="H125" s="526">
        <f t="shared" si="35"/>
        <v>327696.02269340528</v>
      </c>
      <c r="I125" s="577">
        <f t="shared" si="36"/>
        <v>327696.02269340528</v>
      </c>
      <c r="J125" s="514">
        <f t="shared" si="26"/>
        <v>0</v>
      </c>
      <c r="K125" s="514"/>
      <c r="L125" s="525"/>
      <c r="M125" s="514">
        <f t="shared" si="37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2040</v>
      </c>
      <c r="D126" s="374">
        <f>IF(F125+SUM(E$99:E125)=D$92,F125,D$92-SUM(E$99:E125))</f>
        <v>1868741.3967331126</v>
      </c>
      <c r="E126" s="522">
        <f t="shared" si="32"/>
        <v>120203</v>
      </c>
      <c r="F126" s="523">
        <f t="shared" si="33"/>
        <v>1748538.3967331126</v>
      </c>
      <c r="G126" s="523">
        <f t="shared" si="34"/>
        <v>1808639.8967331126</v>
      </c>
      <c r="H126" s="526">
        <f t="shared" si="35"/>
        <v>314765.3253053191</v>
      </c>
      <c r="I126" s="577">
        <f t="shared" si="36"/>
        <v>314765.3253053191</v>
      </c>
      <c r="J126" s="514">
        <f t="shared" si="26"/>
        <v>0</v>
      </c>
      <c r="K126" s="514"/>
      <c r="L126" s="525"/>
      <c r="M126" s="514">
        <f t="shared" si="37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2041</v>
      </c>
      <c r="D127" s="374">
        <f>IF(F126+SUM(E$99:E126)=D$92,F126,D$92-SUM(E$99:E126))</f>
        <v>1748538.3967331126</v>
      </c>
      <c r="E127" s="522">
        <f t="shared" si="32"/>
        <v>120203</v>
      </c>
      <c r="F127" s="523">
        <f t="shared" si="33"/>
        <v>1628335.3967331126</v>
      </c>
      <c r="G127" s="523">
        <f t="shared" si="34"/>
        <v>1688436.8967331126</v>
      </c>
      <c r="H127" s="526">
        <f t="shared" si="35"/>
        <v>301834.62791723292</v>
      </c>
      <c r="I127" s="577">
        <f t="shared" si="36"/>
        <v>301834.62791723292</v>
      </c>
      <c r="J127" s="514">
        <f t="shared" si="26"/>
        <v>0</v>
      </c>
      <c r="K127" s="514"/>
      <c r="L127" s="525"/>
      <c r="M127" s="514">
        <f t="shared" si="37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2042</v>
      </c>
      <c r="D128" s="374">
        <f>IF(F127+SUM(E$99:E127)=D$92,F127,D$92-SUM(E$99:E127))</f>
        <v>1628335.3967331126</v>
      </c>
      <c r="E128" s="522">
        <f t="shared" si="32"/>
        <v>120203</v>
      </c>
      <c r="F128" s="523">
        <f t="shared" si="33"/>
        <v>1508132.3967331126</v>
      </c>
      <c r="G128" s="523">
        <f t="shared" si="34"/>
        <v>1568233.8967331126</v>
      </c>
      <c r="H128" s="526">
        <f t="shared" si="35"/>
        <v>288903.9305291468</v>
      </c>
      <c r="I128" s="577">
        <f t="shared" si="36"/>
        <v>288903.9305291468</v>
      </c>
      <c r="J128" s="514">
        <f t="shared" si="26"/>
        <v>0</v>
      </c>
      <c r="K128" s="514"/>
      <c r="L128" s="525"/>
      <c r="M128" s="514">
        <f t="shared" si="37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2043</v>
      </c>
      <c r="D129" s="374">
        <f>IF(F128+SUM(E$99:E128)=D$92,F128,D$92-SUM(E$99:E128))</f>
        <v>1508132.3967331126</v>
      </c>
      <c r="E129" s="522">
        <f t="shared" si="32"/>
        <v>120203</v>
      </c>
      <c r="F129" s="523">
        <f t="shared" si="33"/>
        <v>1387929.3967331126</v>
      </c>
      <c r="G129" s="523">
        <f t="shared" si="34"/>
        <v>1448030.8967331126</v>
      </c>
      <c r="H129" s="526">
        <f t="shared" si="35"/>
        <v>275973.23314106063</v>
      </c>
      <c r="I129" s="577">
        <f t="shared" si="36"/>
        <v>275973.23314106063</v>
      </c>
      <c r="J129" s="514">
        <f t="shared" si="26"/>
        <v>0</v>
      </c>
      <c r="K129" s="514"/>
      <c r="L129" s="525"/>
      <c r="M129" s="514">
        <f t="shared" si="37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2044</v>
      </c>
      <c r="D130" s="374">
        <f>IF(F129+SUM(E$99:E129)=D$92,F129,D$92-SUM(E$99:E129))</f>
        <v>1387929.3967331126</v>
      </c>
      <c r="E130" s="522">
        <f t="shared" si="32"/>
        <v>120203</v>
      </c>
      <c r="F130" s="523">
        <f t="shared" si="33"/>
        <v>1267726.3967331126</v>
      </c>
      <c r="G130" s="523">
        <f t="shared" si="34"/>
        <v>1327827.8967331126</v>
      </c>
      <c r="H130" s="526">
        <f t="shared" si="35"/>
        <v>263042.53575297445</v>
      </c>
      <c r="I130" s="577">
        <f t="shared" si="36"/>
        <v>263042.53575297445</v>
      </c>
      <c r="J130" s="514">
        <f t="shared" si="26"/>
        <v>0</v>
      </c>
      <c r="K130" s="514"/>
      <c r="L130" s="525"/>
      <c r="M130" s="514">
        <f t="shared" si="37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2045</v>
      </c>
      <c r="D131" s="374">
        <f>IF(F130+SUM(E$99:E130)=D$92,F130,D$92-SUM(E$99:E130))</f>
        <v>1267726.3967331126</v>
      </c>
      <c r="E131" s="522">
        <f t="shared" si="32"/>
        <v>120203</v>
      </c>
      <c r="F131" s="523">
        <f t="shared" si="33"/>
        <v>1147523.3967331126</v>
      </c>
      <c r="G131" s="523">
        <f t="shared" si="34"/>
        <v>1207624.8967331126</v>
      </c>
      <c r="H131" s="526">
        <f t="shared" si="35"/>
        <v>250111.83836488833</v>
      </c>
      <c r="I131" s="577">
        <f t="shared" si="36"/>
        <v>250111.83836488833</v>
      </c>
      <c r="J131" s="514">
        <f t="shared" si="26"/>
        <v>0</v>
      </c>
      <c r="K131" s="514"/>
      <c r="L131" s="525"/>
      <c r="M131" s="514">
        <f t="shared" ref="M131:M154" si="38">IF(L541&lt;&gt;0,+H541-L541,0)</f>
        <v>0</v>
      </c>
      <c r="N131" s="525"/>
      <c r="O131" s="514">
        <f t="shared" ref="O131:O154" si="39">IF(N541&lt;&gt;0,+I541-N541,0)</f>
        <v>0</v>
      </c>
      <c r="P131" s="514">
        <f t="shared" ref="P131:P154" si="40">+O541-M541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2046</v>
      </c>
      <c r="D132" s="374">
        <f>IF(F131+SUM(E$99:E131)=D$92,F131,D$92-SUM(E$99:E131))</f>
        <v>1147523.3967331126</v>
      </c>
      <c r="E132" s="522">
        <f t="shared" si="32"/>
        <v>120203</v>
      </c>
      <c r="F132" s="523">
        <f t="shared" si="33"/>
        <v>1027320.3967331126</v>
      </c>
      <c r="G132" s="523">
        <f t="shared" si="34"/>
        <v>1087421.8967331126</v>
      </c>
      <c r="H132" s="526">
        <f t="shared" si="35"/>
        <v>237181.14097680215</v>
      </c>
      <c r="I132" s="577">
        <f t="shared" si="36"/>
        <v>237181.14097680215</v>
      </c>
      <c r="J132" s="514">
        <f t="shared" si="26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2047</v>
      </c>
      <c r="D133" s="374">
        <f>IF(F132+SUM(E$99:E132)=D$92,F132,D$92-SUM(E$99:E132))</f>
        <v>1027320.3967331126</v>
      </c>
      <c r="E133" s="522">
        <f t="shared" si="32"/>
        <v>120203</v>
      </c>
      <c r="F133" s="523">
        <f t="shared" si="33"/>
        <v>907117.39673311263</v>
      </c>
      <c r="G133" s="523">
        <f t="shared" si="34"/>
        <v>967218.89673311263</v>
      </c>
      <c r="H133" s="526">
        <f t="shared" si="35"/>
        <v>224250.44358871604</v>
      </c>
      <c r="I133" s="577">
        <f t="shared" si="36"/>
        <v>224250.44358871604</v>
      </c>
      <c r="J133" s="514">
        <f t="shared" si="26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2048</v>
      </c>
      <c r="D134" s="374">
        <f>IF(F133+SUM(E$99:E133)=D$92,F133,D$92-SUM(E$99:E133))</f>
        <v>907117.39673311263</v>
      </c>
      <c r="E134" s="522">
        <f t="shared" si="32"/>
        <v>120203</v>
      </c>
      <c r="F134" s="523">
        <f t="shared" si="33"/>
        <v>786914.39673311263</v>
      </c>
      <c r="G134" s="523">
        <f t="shared" si="34"/>
        <v>847015.89673311263</v>
      </c>
      <c r="H134" s="526">
        <f t="shared" si="35"/>
        <v>211319.74620062986</v>
      </c>
      <c r="I134" s="577">
        <f t="shared" si="36"/>
        <v>211319.74620062986</v>
      </c>
      <c r="J134" s="514">
        <f t="shared" si="26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2049</v>
      </c>
      <c r="D135" s="374">
        <f>IF(F134+SUM(E$99:E134)=D$92,F134,D$92-SUM(E$99:E134))</f>
        <v>786914.39673311263</v>
      </c>
      <c r="E135" s="522">
        <f t="shared" si="32"/>
        <v>120203</v>
      </c>
      <c r="F135" s="523">
        <f t="shared" si="33"/>
        <v>666711.39673311263</v>
      </c>
      <c r="G135" s="523">
        <f t="shared" si="34"/>
        <v>726812.89673311263</v>
      </c>
      <c r="H135" s="526">
        <f t="shared" si="35"/>
        <v>198389.04881254371</v>
      </c>
      <c r="I135" s="577">
        <f t="shared" si="36"/>
        <v>198389.04881254371</v>
      </c>
      <c r="J135" s="514">
        <f t="shared" si="26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2050</v>
      </c>
      <c r="D136" s="374">
        <f>IF(F135+SUM(E$99:E135)=D$92,F135,D$92-SUM(E$99:E135))</f>
        <v>666711.39673311263</v>
      </c>
      <c r="E136" s="522">
        <f t="shared" si="32"/>
        <v>120203</v>
      </c>
      <c r="F136" s="523">
        <f t="shared" si="33"/>
        <v>546508.39673311263</v>
      </c>
      <c r="G136" s="523">
        <f t="shared" si="34"/>
        <v>606609.89673311263</v>
      </c>
      <c r="H136" s="526">
        <f t="shared" si="35"/>
        <v>185458.35142445756</v>
      </c>
      <c r="I136" s="577">
        <f t="shared" si="36"/>
        <v>185458.35142445756</v>
      </c>
      <c r="J136" s="514">
        <f t="shared" si="26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2051</v>
      </c>
      <c r="D137" s="374">
        <f>IF(F136+SUM(E$99:E136)=D$92,F136,D$92-SUM(E$99:E136))</f>
        <v>546508.39673311263</v>
      </c>
      <c r="E137" s="522">
        <f t="shared" si="32"/>
        <v>120203</v>
      </c>
      <c r="F137" s="523">
        <f t="shared" si="33"/>
        <v>426305.39673311263</v>
      </c>
      <c r="G137" s="523">
        <f t="shared" si="34"/>
        <v>486406.89673311263</v>
      </c>
      <c r="H137" s="526">
        <f t="shared" si="35"/>
        <v>172527.65403637139</v>
      </c>
      <c r="I137" s="577">
        <f t="shared" si="36"/>
        <v>172527.65403637139</v>
      </c>
      <c r="J137" s="514">
        <f t="shared" si="26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2052</v>
      </c>
      <c r="D138" s="374">
        <f>IF(F137+SUM(E$99:E137)=D$92,F137,D$92-SUM(E$99:E137))</f>
        <v>426305.39673311263</v>
      </c>
      <c r="E138" s="522">
        <f t="shared" si="32"/>
        <v>120203</v>
      </c>
      <c r="F138" s="523">
        <f t="shared" si="33"/>
        <v>306102.39673311263</v>
      </c>
      <c r="G138" s="523">
        <f t="shared" si="34"/>
        <v>366203.89673311263</v>
      </c>
      <c r="H138" s="526">
        <f t="shared" si="35"/>
        <v>159596.95664828524</v>
      </c>
      <c r="I138" s="577">
        <f t="shared" si="36"/>
        <v>159596.95664828524</v>
      </c>
      <c r="J138" s="514">
        <f t="shared" si="26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2053</v>
      </c>
      <c r="D139" s="374">
        <f>IF(F138+SUM(E$99:E138)=D$92,F138,D$92-SUM(E$99:E138))</f>
        <v>306102.39673311263</v>
      </c>
      <c r="E139" s="522">
        <f t="shared" si="32"/>
        <v>120203</v>
      </c>
      <c r="F139" s="523">
        <f t="shared" si="33"/>
        <v>185899.39673311263</v>
      </c>
      <c r="G139" s="523">
        <f t="shared" si="34"/>
        <v>246000.89673311263</v>
      </c>
      <c r="H139" s="526">
        <f t="shared" si="35"/>
        <v>146666.25926019909</v>
      </c>
      <c r="I139" s="577">
        <f t="shared" si="36"/>
        <v>146666.25926019909</v>
      </c>
      <c r="J139" s="514">
        <f t="shared" si="26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2054</v>
      </c>
      <c r="D140" s="374">
        <f>IF(F139+SUM(E$99:E139)=D$92,F139,D$92-SUM(E$99:E139))</f>
        <v>185899.39673311263</v>
      </c>
      <c r="E140" s="522">
        <f t="shared" si="32"/>
        <v>120203</v>
      </c>
      <c r="F140" s="523">
        <f t="shared" si="33"/>
        <v>65696.396733112633</v>
      </c>
      <c r="G140" s="523">
        <f t="shared" si="34"/>
        <v>125797.89673311263</v>
      </c>
      <c r="H140" s="526">
        <f t="shared" si="35"/>
        <v>133735.56187211294</v>
      </c>
      <c r="I140" s="577">
        <f t="shared" si="36"/>
        <v>133735.56187211294</v>
      </c>
      <c r="J140" s="514">
        <f t="shared" si="26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2055</v>
      </c>
      <c r="D141" s="374">
        <f>IF(F140+SUM(E$99:E140)=D$92,F140,D$92-SUM(E$99:E140))</f>
        <v>65696.396733112633</v>
      </c>
      <c r="E141" s="522">
        <f t="shared" si="32"/>
        <v>65696.396733112633</v>
      </c>
      <c r="F141" s="523">
        <f t="shared" si="33"/>
        <v>0</v>
      </c>
      <c r="G141" s="523">
        <f t="shared" si="34"/>
        <v>32848.198366556317</v>
      </c>
      <c r="H141" s="526">
        <f t="shared" si="35"/>
        <v>69230.003322147561</v>
      </c>
      <c r="I141" s="577">
        <f t="shared" si="36"/>
        <v>69230.003322147561</v>
      </c>
      <c r="J141" s="514">
        <f t="shared" si="26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2"/>
        <v>0</v>
      </c>
      <c r="F142" s="523">
        <f t="shared" si="33"/>
        <v>0</v>
      </c>
      <c r="G142" s="523">
        <f t="shared" si="34"/>
        <v>0</v>
      </c>
      <c r="H142" s="526">
        <f t="shared" si="35"/>
        <v>0</v>
      </c>
      <c r="I142" s="577">
        <f t="shared" si="36"/>
        <v>0</v>
      </c>
      <c r="J142" s="514">
        <f t="shared" si="26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2"/>
        <v>0</v>
      </c>
      <c r="F143" s="523">
        <f t="shared" si="33"/>
        <v>0</v>
      </c>
      <c r="G143" s="523">
        <f t="shared" si="34"/>
        <v>0</v>
      </c>
      <c r="H143" s="526">
        <f t="shared" si="35"/>
        <v>0</v>
      </c>
      <c r="I143" s="577">
        <f t="shared" si="36"/>
        <v>0</v>
      </c>
      <c r="J143" s="514">
        <f t="shared" si="26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2"/>
        <v>0</v>
      </c>
      <c r="F144" s="523">
        <f t="shared" si="33"/>
        <v>0</v>
      </c>
      <c r="G144" s="523">
        <f t="shared" si="34"/>
        <v>0</v>
      </c>
      <c r="H144" s="526">
        <f t="shared" si="35"/>
        <v>0</v>
      </c>
      <c r="I144" s="577">
        <f t="shared" si="36"/>
        <v>0</v>
      </c>
      <c r="J144" s="514">
        <f t="shared" si="26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2"/>
        <v>0</v>
      </c>
      <c r="F145" s="523">
        <f t="shared" si="33"/>
        <v>0</v>
      </c>
      <c r="G145" s="523">
        <f t="shared" si="34"/>
        <v>0</v>
      </c>
      <c r="H145" s="526">
        <f t="shared" si="35"/>
        <v>0</v>
      </c>
      <c r="I145" s="577">
        <f t="shared" si="36"/>
        <v>0</v>
      </c>
      <c r="J145" s="514">
        <f t="shared" si="26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2"/>
        <v>0</v>
      </c>
      <c r="F146" s="523">
        <f t="shared" si="33"/>
        <v>0</v>
      </c>
      <c r="G146" s="523">
        <f t="shared" si="34"/>
        <v>0</v>
      </c>
      <c r="H146" s="526">
        <f t="shared" si="35"/>
        <v>0</v>
      </c>
      <c r="I146" s="577">
        <f t="shared" si="36"/>
        <v>0</v>
      </c>
      <c r="J146" s="514">
        <f t="shared" si="26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2"/>
        <v>0</v>
      </c>
      <c r="F147" s="523">
        <f t="shared" si="33"/>
        <v>0</v>
      </c>
      <c r="G147" s="523">
        <f t="shared" si="34"/>
        <v>0</v>
      </c>
      <c r="H147" s="526">
        <f t="shared" si="35"/>
        <v>0</v>
      </c>
      <c r="I147" s="577">
        <f t="shared" si="36"/>
        <v>0</v>
      </c>
      <c r="J147" s="514">
        <f t="shared" si="26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2"/>
        <v>0</v>
      </c>
      <c r="F148" s="523">
        <f t="shared" si="33"/>
        <v>0</v>
      </c>
      <c r="G148" s="523">
        <f t="shared" si="34"/>
        <v>0</v>
      </c>
      <c r="H148" s="526">
        <f t="shared" si="35"/>
        <v>0</v>
      </c>
      <c r="I148" s="577">
        <f t="shared" si="36"/>
        <v>0</v>
      </c>
      <c r="J148" s="514">
        <f t="shared" si="26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2"/>
        <v>0</v>
      </c>
      <c r="F149" s="523">
        <f t="shared" si="33"/>
        <v>0</v>
      </c>
      <c r="G149" s="523">
        <f t="shared" si="34"/>
        <v>0</v>
      </c>
      <c r="H149" s="526">
        <f t="shared" si="35"/>
        <v>0</v>
      </c>
      <c r="I149" s="577">
        <f t="shared" si="36"/>
        <v>0</v>
      </c>
      <c r="J149" s="514">
        <f t="shared" si="26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2"/>
        <v>0</v>
      </c>
      <c r="F150" s="523">
        <f t="shared" si="33"/>
        <v>0</v>
      </c>
      <c r="G150" s="523">
        <f t="shared" si="34"/>
        <v>0</v>
      </c>
      <c r="H150" s="526">
        <f t="shared" si="35"/>
        <v>0</v>
      </c>
      <c r="I150" s="577">
        <f t="shared" si="36"/>
        <v>0</v>
      </c>
      <c r="J150" s="514">
        <f t="shared" si="26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2"/>
        <v>0</v>
      </c>
      <c r="F151" s="523">
        <f t="shared" si="33"/>
        <v>0</v>
      </c>
      <c r="G151" s="523">
        <f t="shared" si="34"/>
        <v>0</v>
      </c>
      <c r="H151" s="526">
        <f t="shared" si="35"/>
        <v>0</v>
      </c>
      <c r="I151" s="577">
        <f t="shared" si="36"/>
        <v>0</v>
      </c>
      <c r="J151" s="514">
        <f t="shared" si="26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2"/>
        <v>0</v>
      </c>
      <c r="F152" s="523">
        <f t="shared" si="33"/>
        <v>0</v>
      </c>
      <c r="G152" s="523">
        <f t="shared" si="34"/>
        <v>0</v>
      </c>
      <c r="H152" s="526">
        <f t="shared" si="35"/>
        <v>0</v>
      </c>
      <c r="I152" s="577">
        <f t="shared" si="36"/>
        <v>0</v>
      </c>
      <c r="J152" s="514">
        <f t="shared" si="26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2"/>
        <v>0</v>
      </c>
      <c r="F153" s="523">
        <f t="shared" si="33"/>
        <v>0</v>
      </c>
      <c r="G153" s="523">
        <f t="shared" si="34"/>
        <v>0</v>
      </c>
      <c r="H153" s="526">
        <f t="shared" si="35"/>
        <v>0</v>
      </c>
      <c r="I153" s="577">
        <f t="shared" si="36"/>
        <v>0</v>
      </c>
      <c r="J153" s="514">
        <f t="shared" si="26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2"/>
        <v>0</v>
      </c>
      <c r="F154" s="523">
        <f t="shared" si="33"/>
        <v>0</v>
      </c>
      <c r="G154" s="523">
        <f t="shared" si="34"/>
        <v>0</v>
      </c>
      <c r="H154" s="526">
        <f t="shared" si="35"/>
        <v>0</v>
      </c>
      <c r="I154" s="577">
        <f t="shared" si="36"/>
        <v>0</v>
      </c>
      <c r="J154" s="514">
        <f t="shared" si="26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  <c r="Q154" s="269"/>
    </row>
    <row r="155" spans="2:17" ht="12.5">
      <c r="C155" s="374" t="s">
        <v>78</v>
      </c>
      <c r="D155" s="375"/>
      <c r="E155" s="375">
        <f>SUM(E99:E154)</f>
        <v>5048526.0000000009</v>
      </c>
      <c r="F155" s="375"/>
      <c r="G155" s="375"/>
      <c r="H155" s="375">
        <f>SUM(H99:H154)</f>
        <v>16944393.44827133</v>
      </c>
      <c r="I155" s="375">
        <f>SUM(I99:I154)</f>
        <v>16944393.44827133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6" priority="1" stopIfTrue="1" operator="equal">
      <formula>$I$10</formula>
    </cfRule>
  </conditionalFormatting>
  <conditionalFormatting sqref="C99:C154">
    <cfRule type="cellIs" dxfId="8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Q162"/>
  <sheetViews>
    <sheetView view="pageBreakPreview" topLeftCell="A64" zoomScale="75" zoomScaleNormal="100" zoomScaleSheetLayoutView="75" workbookViewId="0">
      <selection activeCell="D101" sqref="D10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38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288314.59098884225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288314.59098884225</v>
      </c>
      <c r="O6" s="269"/>
      <c r="P6" s="269"/>
    </row>
    <row r="7" spans="1:17" ht="13.5" thickBot="1">
      <c r="C7" s="467" t="s">
        <v>48</v>
      </c>
      <c r="D7" s="624" t="s">
        <v>305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304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2636239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62767.595238095237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3095000</v>
      </c>
      <c r="E17" s="627">
        <v>36845.238095238092</v>
      </c>
      <c r="F17" s="626">
        <v>3058154.7619047621</v>
      </c>
      <c r="G17" s="627">
        <v>464947.39975050534</v>
      </c>
      <c r="H17" s="610">
        <v>464947.39975050534</v>
      </c>
      <c r="I17" s="616">
        <v>0</v>
      </c>
      <c r="J17" s="511"/>
      <c r="K17" s="512">
        <f t="shared" ref="K17:K22" si="0">G17</f>
        <v>464947.39975050534</v>
      </c>
      <c r="L17" s="597">
        <f t="shared" ref="L17:L22" si="1">IF(K17&lt;&gt;0,+G17-K17,0)</f>
        <v>0</v>
      </c>
      <c r="M17" s="512">
        <f t="shared" ref="M17:M22" si="2">H17</f>
        <v>464947.39975050534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3058154.7619047621</v>
      </c>
      <c r="E18" s="609">
        <v>62767.595238095237</v>
      </c>
      <c r="F18" s="626">
        <v>2995387.166666667</v>
      </c>
      <c r="G18" s="609">
        <v>466876.80029860663</v>
      </c>
      <c r="H18" s="610">
        <v>466876.80029860663</v>
      </c>
      <c r="I18" s="616">
        <v>0</v>
      </c>
      <c r="J18" s="511"/>
      <c r="K18" s="518">
        <f t="shared" si="0"/>
        <v>466876.80029860663</v>
      </c>
      <c r="L18" s="519">
        <f t="shared" si="1"/>
        <v>0</v>
      </c>
      <c r="M18" s="518">
        <f t="shared" si="2"/>
        <v>466876.80029860663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2995387.166666667</v>
      </c>
      <c r="E19" s="609">
        <v>62767.595238095237</v>
      </c>
      <c r="F19" s="626">
        <v>2932619.5714285718</v>
      </c>
      <c r="G19" s="609">
        <v>449007.67222881154</v>
      </c>
      <c r="H19" s="610">
        <v>449007.67222881154</v>
      </c>
      <c r="I19" s="511">
        <v>0</v>
      </c>
      <c r="J19" s="511"/>
      <c r="K19" s="518">
        <f t="shared" si="0"/>
        <v>449007.67222881154</v>
      </c>
      <c r="L19" s="519">
        <f t="shared" si="1"/>
        <v>0</v>
      </c>
      <c r="M19" s="518">
        <f t="shared" si="2"/>
        <v>449007.67222881154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2473858.5714285714</v>
      </c>
      <c r="E20" s="609">
        <v>62767.595238095237</v>
      </c>
      <c r="F20" s="626">
        <v>2411090.9761904762</v>
      </c>
      <c r="G20" s="609">
        <v>376402.24918929196</v>
      </c>
      <c r="H20" s="610">
        <v>376402.24918929196</v>
      </c>
      <c r="I20" s="511">
        <f>H20-G20</f>
        <v>0</v>
      </c>
      <c r="J20" s="511"/>
      <c r="K20" s="518">
        <f t="shared" si="0"/>
        <v>376402.24918929196</v>
      </c>
      <c r="L20" s="519">
        <f t="shared" si="1"/>
        <v>0</v>
      </c>
      <c r="M20" s="518">
        <f t="shared" si="2"/>
        <v>376402.24918929196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2411090.9761904762</v>
      </c>
      <c r="E21" s="609">
        <v>61307.883720930229</v>
      </c>
      <c r="F21" s="626">
        <v>2349783.092469546</v>
      </c>
      <c r="G21" s="609">
        <v>356226.25901842013</v>
      </c>
      <c r="H21" s="610">
        <v>356226.25901842013</v>
      </c>
      <c r="I21" s="511">
        <f t="shared" ref="I21:I72" si="6">H21-G21</f>
        <v>0</v>
      </c>
      <c r="J21" s="511"/>
      <c r="K21" s="518">
        <f t="shared" si="0"/>
        <v>356226.25901842013</v>
      </c>
      <c r="L21" s="519">
        <f t="shared" si="1"/>
        <v>0</v>
      </c>
      <c r="M21" s="518">
        <f t="shared" si="2"/>
        <v>356226.25901842013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2349783.092469546</v>
      </c>
      <c r="E22" s="609">
        <v>64298.512195121948</v>
      </c>
      <c r="F22" s="626">
        <v>2285484.5802744241</v>
      </c>
      <c r="G22" s="609">
        <v>358856.09627446433</v>
      </c>
      <c r="H22" s="610">
        <v>358856.09627446433</v>
      </c>
      <c r="I22" s="511">
        <f t="shared" si="6"/>
        <v>0</v>
      </c>
      <c r="J22" s="511"/>
      <c r="K22" s="518">
        <f t="shared" si="0"/>
        <v>358856.09627446433</v>
      </c>
      <c r="L22" s="519">
        <f t="shared" si="1"/>
        <v>0</v>
      </c>
      <c r="M22" s="518">
        <f t="shared" si="2"/>
        <v>358856.09627446433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2285484.5802744241</v>
      </c>
      <c r="E23" s="609">
        <v>64298.512195121948</v>
      </c>
      <c r="F23" s="626">
        <v>2221186.0680793021</v>
      </c>
      <c r="G23" s="609">
        <v>350684.13480459759</v>
      </c>
      <c r="H23" s="610">
        <v>350684.13480459759</v>
      </c>
      <c r="I23" s="511">
        <f t="shared" si="6"/>
        <v>0</v>
      </c>
      <c r="J23" s="511"/>
      <c r="K23" s="518">
        <f t="shared" ref="K23" si="7">G23</f>
        <v>350684.13480459759</v>
      </c>
      <c r="L23" s="519">
        <f t="shared" ref="L23" si="8">IF(K23&lt;&gt;0,+G23-K23,0)</f>
        <v>0</v>
      </c>
      <c r="M23" s="518">
        <f t="shared" ref="M23" si="9">H23</f>
        <v>350684.13480459759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2221186.0680793021</v>
      </c>
      <c r="E24" s="609">
        <v>64298.512195121948</v>
      </c>
      <c r="F24" s="626">
        <v>2156887.5558841801</v>
      </c>
      <c r="G24" s="609">
        <v>288314.59098884225</v>
      </c>
      <c r="H24" s="610">
        <v>288314.59098884225</v>
      </c>
      <c r="I24" s="511">
        <f t="shared" si="6"/>
        <v>0</v>
      </c>
      <c r="J24" s="511"/>
      <c r="K24" s="518">
        <f t="shared" ref="K24" si="12">G24</f>
        <v>288314.59098884225</v>
      </c>
      <c r="L24" s="519">
        <f t="shared" ref="L24" si="13">IF(K24&lt;&gt;0,+G24-K24,0)</f>
        <v>0</v>
      </c>
      <c r="M24" s="518">
        <f t="shared" ref="M24" si="14">H24</f>
        <v>288314.59098884225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/>
      </c>
      <c r="C25" s="507">
        <f>IF(D11="","-",+C24+1)</f>
        <v>2021</v>
      </c>
      <c r="D25" s="523">
        <f>IF(F24+SUM(E$17:E24)=D$10,F24,D$10-SUM(E$17:E24))</f>
        <v>2156887.5558841801</v>
      </c>
      <c r="E25" s="522">
        <f t="shared" ref="E25:E72" si="15">IF(+$I$14&lt;F24,$I$14,D25)</f>
        <v>62767.595238095237</v>
      </c>
      <c r="F25" s="523">
        <f t="shared" ref="F25:F72" si="16">+D25-E25</f>
        <v>2094119.960646085</v>
      </c>
      <c r="G25" s="524">
        <f t="shared" ref="G25:G52" si="17">+I$12*((D25+F25)/2)+E25</f>
        <v>289809.59991630737</v>
      </c>
      <c r="H25" s="491">
        <f t="shared" ref="H25:H52" si="18">+I$13*((D25+F25)/2)+E25</f>
        <v>289809.59991630737</v>
      </c>
      <c r="I25" s="511">
        <f t="shared" si="6"/>
        <v>0</v>
      </c>
      <c r="J25" s="511"/>
      <c r="K25" s="525"/>
      <c r="L25" s="514">
        <f t="shared" ref="L25:L72" si="19">IF(K25&lt;&gt;0,+G25-K25,0)</f>
        <v>0</v>
      </c>
      <c r="M25" s="525"/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/>
      </c>
      <c r="C26" s="507">
        <f>IF(D11="","-",+C25+1)</f>
        <v>2022</v>
      </c>
      <c r="D26" s="523">
        <f>IF(F25+SUM(E$17:E25)=D$10,F25,D$10-SUM(E$17:E25))</f>
        <v>2094119.960646085</v>
      </c>
      <c r="E26" s="522">
        <f t="shared" si="15"/>
        <v>62767.595238095237</v>
      </c>
      <c r="F26" s="523">
        <f t="shared" si="16"/>
        <v>2031352.3654079898</v>
      </c>
      <c r="G26" s="524">
        <f t="shared" si="17"/>
        <v>283104.89257515478</v>
      </c>
      <c r="H26" s="491">
        <f t="shared" si="18"/>
        <v>283104.89257515478</v>
      </c>
      <c r="I26" s="511">
        <f t="shared" si="6"/>
        <v>0</v>
      </c>
      <c r="J26" s="511"/>
      <c r="K26" s="525"/>
      <c r="L26" s="514">
        <f t="shared" si="19"/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2031352.3654079898</v>
      </c>
      <c r="E27" s="522">
        <f t="shared" si="15"/>
        <v>62767.595238095237</v>
      </c>
      <c r="F27" s="523">
        <f t="shared" si="16"/>
        <v>1968584.7701698947</v>
      </c>
      <c r="G27" s="524">
        <f t="shared" si="17"/>
        <v>276400.18523400219</v>
      </c>
      <c r="H27" s="491">
        <f t="shared" si="18"/>
        <v>276400.18523400219</v>
      </c>
      <c r="I27" s="511">
        <f t="shared" si="6"/>
        <v>0</v>
      </c>
      <c r="J27" s="511"/>
      <c r="K27" s="525"/>
      <c r="L27" s="514">
        <f t="shared" si="19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1968584.7701698947</v>
      </c>
      <c r="E28" s="522">
        <f t="shared" si="15"/>
        <v>62767.595238095237</v>
      </c>
      <c r="F28" s="523">
        <f t="shared" si="16"/>
        <v>1905817.1749317995</v>
      </c>
      <c r="G28" s="524">
        <f t="shared" si="17"/>
        <v>269695.47789284954</v>
      </c>
      <c r="H28" s="491">
        <f t="shared" si="18"/>
        <v>269695.47789284954</v>
      </c>
      <c r="I28" s="511">
        <f t="shared" si="6"/>
        <v>0</v>
      </c>
      <c r="J28" s="511"/>
      <c r="K28" s="525"/>
      <c r="L28" s="514">
        <f t="shared" si="19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1905817.1749317995</v>
      </c>
      <c r="E29" s="522">
        <f t="shared" si="15"/>
        <v>62767.595238095237</v>
      </c>
      <c r="F29" s="523">
        <f t="shared" si="16"/>
        <v>1843049.5796937044</v>
      </c>
      <c r="G29" s="524">
        <f t="shared" si="17"/>
        <v>262990.77055169689</v>
      </c>
      <c r="H29" s="491">
        <f t="shared" si="18"/>
        <v>262990.77055169689</v>
      </c>
      <c r="I29" s="511">
        <f t="shared" si="6"/>
        <v>0</v>
      </c>
      <c r="J29" s="511"/>
      <c r="K29" s="525"/>
      <c r="L29" s="514">
        <f t="shared" si="19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1843049.5796937044</v>
      </c>
      <c r="E30" s="522">
        <f t="shared" si="15"/>
        <v>62767.595238095237</v>
      </c>
      <c r="F30" s="523">
        <f t="shared" si="16"/>
        <v>1780281.9844556092</v>
      </c>
      <c r="G30" s="524">
        <f t="shared" si="17"/>
        <v>256286.06321054429</v>
      </c>
      <c r="H30" s="491">
        <f t="shared" si="18"/>
        <v>256286.06321054429</v>
      </c>
      <c r="I30" s="511">
        <f t="shared" si="6"/>
        <v>0</v>
      </c>
      <c r="J30" s="511"/>
      <c r="K30" s="525"/>
      <c r="L30" s="514">
        <f t="shared" si="19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1780281.9844556092</v>
      </c>
      <c r="E31" s="522">
        <f t="shared" si="15"/>
        <v>62767.595238095237</v>
      </c>
      <c r="F31" s="523">
        <f t="shared" si="16"/>
        <v>1717514.3892175141</v>
      </c>
      <c r="G31" s="524">
        <f t="shared" si="17"/>
        <v>249581.35586939167</v>
      </c>
      <c r="H31" s="491">
        <f t="shared" si="18"/>
        <v>249581.35586939167</v>
      </c>
      <c r="I31" s="511">
        <f t="shared" si="6"/>
        <v>0</v>
      </c>
      <c r="J31" s="511"/>
      <c r="K31" s="525"/>
      <c r="L31" s="514">
        <f t="shared" si="19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1717514.3892175141</v>
      </c>
      <c r="E32" s="522">
        <f t="shared" si="15"/>
        <v>62767.595238095237</v>
      </c>
      <c r="F32" s="523">
        <f t="shared" si="16"/>
        <v>1654746.7939794189</v>
      </c>
      <c r="G32" s="524">
        <f t="shared" si="17"/>
        <v>242876.64852823905</v>
      </c>
      <c r="H32" s="491">
        <f t="shared" si="18"/>
        <v>242876.64852823905</v>
      </c>
      <c r="I32" s="511">
        <f t="shared" si="6"/>
        <v>0</v>
      </c>
      <c r="J32" s="511"/>
      <c r="K32" s="525"/>
      <c r="L32" s="514">
        <f t="shared" si="19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1654746.7939794189</v>
      </c>
      <c r="E33" s="522">
        <f t="shared" si="15"/>
        <v>62767.595238095237</v>
      </c>
      <c r="F33" s="523">
        <f t="shared" si="16"/>
        <v>1591979.1987413238</v>
      </c>
      <c r="G33" s="524">
        <f t="shared" si="17"/>
        <v>236171.94118708643</v>
      </c>
      <c r="H33" s="491">
        <f t="shared" si="18"/>
        <v>236171.94118708643</v>
      </c>
      <c r="I33" s="511">
        <f t="shared" si="6"/>
        <v>0</v>
      </c>
      <c r="J33" s="511"/>
      <c r="K33" s="525"/>
      <c r="L33" s="514">
        <f t="shared" si="19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1591979.1987413238</v>
      </c>
      <c r="E34" s="522">
        <f t="shared" si="15"/>
        <v>62767.595238095237</v>
      </c>
      <c r="F34" s="523">
        <f t="shared" si="16"/>
        <v>1529211.6035032286</v>
      </c>
      <c r="G34" s="524">
        <f t="shared" si="17"/>
        <v>229467.23384593381</v>
      </c>
      <c r="H34" s="491">
        <f t="shared" si="18"/>
        <v>229467.23384593381</v>
      </c>
      <c r="I34" s="511">
        <f t="shared" si="6"/>
        <v>0</v>
      </c>
      <c r="J34" s="511"/>
      <c r="K34" s="525"/>
      <c r="L34" s="514">
        <f t="shared" si="19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1529211.6035032286</v>
      </c>
      <c r="E35" s="522">
        <f t="shared" si="15"/>
        <v>62767.595238095237</v>
      </c>
      <c r="F35" s="523">
        <f t="shared" si="16"/>
        <v>1466444.0082651335</v>
      </c>
      <c r="G35" s="524">
        <f t="shared" si="17"/>
        <v>222762.52650478116</v>
      </c>
      <c r="H35" s="491">
        <f t="shared" si="18"/>
        <v>222762.52650478116</v>
      </c>
      <c r="I35" s="511">
        <f t="shared" si="6"/>
        <v>0</v>
      </c>
      <c r="J35" s="511"/>
      <c r="K35" s="525"/>
      <c r="L35" s="514">
        <f t="shared" si="19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1466444.0082651335</v>
      </c>
      <c r="E36" s="522">
        <f t="shared" si="15"/>
        <v>62767.595238095237</v>
      </c>
      <c r="F36" s="523">
        <f t="shared" si="16"/>
        <v>1403676.4130270383</v>
      </c>
      <c r="G36" s="524">
        <f t="shared" si="17"/>
        <v>216057.81916362853</v>
      </c>
      <c r="H36" s="491">
        <f t="shared" si="18"/>
        <v>216057.81916362853</v>
      </c>
      <c r="I36" s="511">
        <f t="shared" si="6"/>
        <v>0</v>
      </c>
      <c r="J36" s="511"/>
      <c r="K36" s="525"/>
      <c r="L36" s="514">
        <f t="shared" si="19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1403676.4130270383</v>
      </c>
      <c r="E37" s="522">
        <f t="shared" si="15"/>
        <v>62767.595238095237</v>
      </c>
      <c r="F37" s="523">
        <f t="shared" si="16"/>
        <v>1340908.8177889432</v>
      </c>
      <c r="G37" s="524">
        <f t="shared" si="17"/>
        <v>209353.11182247591</v>
      </c>
      <c r="H37" s="491">
        <f t="shared" si="18"/>
        <v>209353.11182247591</v>
      </c>
      <c r="I37" s="511">
        <f t="shared" si="6"/>
        <v>0</v>
      </c>
      <c r="J37" s="511"/>
      <c r="K37" s="525"/>
      <c r="L37" s="514">
        <f t="shared" si="19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1340908.8177889432</v>
      </c>
      <c r="E38" s="522">
        <f t="shared" si="15"/>
        <v>62767.595238095237</v>
      </c>
      <c r="F38" s="523">
        <f t="shared" si="16"/>
        <v>1278141.222550848</v>
      </c>
      <c r="G38" s="524">
        <f t="shared" si="17"/>
        <v>202648.40448132329</v>
      </c>
      <c r="H38" s="491">
        <f t="shared" si="18"/>
        <v>202648.40448132329</v>
      </c>
      <c r="I38" s="511">
        <f t="shared" si="6"/>
        <v>0</v>
      </c>
      <c r="J38" s="511"/>
      <c r="K38" s="525"/>
      <c r="L38" s="514">
        <f t="shared" si="19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1278141.222550848</v>
      </c>
      <c r="E39" s="522">
        <f t="shared" si="15"/>
        <v>62767.595238095237</v>
      </c>
      <c r="F39" s="523">
        <f t="shared" si="16"/>
        <v>1215373.6273127529</v>
      </c>
      <c r="G39" s="524">
        <f t="shared" si="17"/>
        <v>195943.69714017067</v>
      </c>
      <c r="H39" s="491">
        <f t="shared" si="18"/>
        <v>195943.69714017067</v>
      </c>
      <c r="I39" s="511">
        <f t="shared" si="6"/>
        <v>0</v>
      </c>
      <c r="J39" s="511"/>
      <c r="K39" s="525"/>
      <c r="L39" s="514">
        <f t="shared" si="19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1215373.6273127529</v>
      </c>
      <c r="E40" s="522">
        <f t="shared" si="15"/>
        <v>62767.595238095237</v>
      </c>
      <c r="F40" s="523">
        <f t="shared" si="16"/>
        <v>1152606.0320746577</v>
      </c>
      <c r="G40" s="524">
        <f t="shared" si="17"/>
        <v>189238.98979901805</v>
      </c>
      <c r="H40" s="491">
        <f t="shared" si="18"/>
        <v>189238.98979901805</v>
      </c>
      <c r="I40" s="511">
        <f t="shared" si="6"/>
        <v>0</v>
      </c>
      <c r="J40" s="511"/>
      <c r="K40" s="525"/>
      <c r="L40" s="514">
        <f t="shared" si="19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1152606.0320746577</v>
      </c>
      <c r="E41" s="522">
        <f t="shared" si="15"/>
        <v>62767.595238095237</v>
      </c>
      <c r="F41" s="523">
        <f t="shared" si="16"/>
        <v>1089838.4368365626</v>
      </c>
      <c r="G41" s="524">
        <f t="shared" si="17"/>
        <v>182534.28245786543</v>
      </c>
      <c r="H41" s="491">
        <f t="shared" si="18"/>
        <v>182534.28245786543</v>
      </c>
      <c r="I41" s="511">
        <f t="shared" si="6"/>
        <v>0</v>
      </c>
      <c r="J41" s="511"/>
      <c r="K41" s="525"/>
      <c r="L41" s="514">
        <f t="shared" si="19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1089838.4368365626</v>
      </c>
      <c r="E42" s="522">
        <f t="shared" si="15"/>
        <v>62767.595238095237</v>
      </c>
      <c r="F42" s="523">
        <f t="shared" si="16"/>
        <v>1027070.8415984673</v>
      </c>
      <c r="G42" s="524">
        <f t="shared" si="17"/>
        <v>175829.5751167128</v>
      </c>
      <c r="H42" s="491">
        <f t="shared" si="18"/>
        <v>175829.5751167128</v>
      </c>
      <c r="I42" s="511">
        <f t="shared" si="6"/>
        <v>0</v>
      </c>
      <c r="J42" s="511"/>
      <c r="K42" s="525"/>
      <c r="L42" s="514">
        <f t="shared" si="19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1027070.8415984673</v>
      </c>
      <c r="E43" s="522">
        <f t="shared" si="15"/>
        <v>62767.595238095237</v>
      </c>
      <c r="F43" s="523">
        <f t="shared" si="16"/>
        <v>964303.24636037205</v>
      </c>
      <c r="G43" s="524">
        <f t="shared" si="17"/>
        <v>169124.86777556015</v>
      </c>
      <c r="H43" s="491">
        <f t="shared" si="18"/>
        <v>169124.86777556015</v>
      </c>
      <c r="I43" s="511">
        <f t="shared" si="6"/>
        <v>0</v>
      </c>
      <c r="J43" s="511"/>
      <c r="K43" s="525"/>
      <c r="L43" s="514">
        <f t="shared" si="19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964303.24636037205</v>
      </c>
      <c r="E44" s="522">
        <f t="shared" si="15"/>
        <v>62767.595238095237</v>
      </c>
      <c r="F44" s="523">
        <f t="shared" si="16"/>
        <v>901535.65112227679</v>
      </c>
      <c r="G44" s="524">
        <f t="shared" si="17"/>
        <v>162420.16043440753</v>
      </c>
      <c r="H44" s="491">
        <f t="shared" si="18"/>
        <v>162420.16043440753</v>
      </c>
      <c r="I44" s="511">
        <f t="shared" si="6"/>
        <v>0</v>
      </c>
      <c r="J44" s="511"/>
      <c r="K44" s="525"/>
      <c r="L44" s="514">
        <f t="shared" si="19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901535.65112227679</v>
      </c>
      <c r="E45" s="522">
        <f t="shared" si="15"/>
        <v>62767.595238095237</v>
      </c>
      <c r="F45" s="523">
        <f t="shared" si="16"/>
        <v>838768.05588418152</v>
      </c>
      <c r="G45" s="524">
        <f t="shared" si="17"/>
        <v>155715.45309325488</v>
      </c>
      <c r="H45" s="491">
        <f t="shared" si="18"/>
        <v>155715.45309325488</v>
      </c>
      <c r="I45" s="511">
        <f t="shared" si="6"/>
        <v>0</v>
      </c>
      <c r="J45" s="511"/>
      <c r="K45" s="525"/>
      <c r="L45" s="514">
        <f t="shared" si="19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838768.05588418152</v>
      </c>
      <c r="E46" s="522">
        <f t="shared" si="15"/>
        <v>62767.595238095237</v>
      </c>
      <c r="F46" s="523">
        <f t="shared" si="16"/>
        <v>776000.46064608626</v>
      </c>
      <c r="G46" s="524">
        <f t="shared" si="17"/>
        <v>149010.74575210226</v>
      </c>
      <c r="H46" s="491">
        <f t="shared" si="18"/>
        <v>149010.74575210226</v>
      </c>
      <c r="I46" s="511">
        <f t="shared" si="6"/>
        <v>0</v>
      </c>
      <c r="J46" s="511"/>
      <c r="K46" s="525"/>
      <c r="L46" s="514">
        <f t="shared" si="19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776000.46064608626</v>
      </c>
      <c r="E47" s="522">
        <f t="shared" si="15"/>
        <v>62767.595238095237</v>
      </c>
      <c r="F47" s="523">
        <f t="shared" si="16"/>
        <v>713232.86540799099</v>
      </c>
      <c r="G47" s="524">
        <f t="shared" si="17"/>
        <v>142306.03841094961</v>
      </c>
      <c r="H47" s="491">
        <f t="shared" si="18"/>
        <v>142306.03841094961</v>
      </c>
      <c r="I47" s="511">
        <f t="shared" si="6"/>
        <v>0</v>
      </c>
      <c r="J47" s="511"/>
      <c r="K47" s="525"/>
      <c r="L47" s="514">
        <f t="shared" si="19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713232.86540799099</v>
      </c>
      <c r="E48" s="522">
        <f t="shared" si="15"/>
        <v>62767.595238095237</v>
      </c>
      <c r="F48" s="523">
        <f t="shared" si="16"/>
        <v>650465.27016989572</v>
      </c>
      <c r="G48" s="524">
        <f t="shared" si="17"/>
        <v>135601.33106979699</v>
      </c>
      <c r="H48" s="491">
        <f t="shared" si="18"/>
        <v>135601.33106979699</v>
      </c>
      <c r="I48" s="511">
        <f t="shared" si="6"/>
        <v>0</v>
      </c>
      <c r="J48" s="511"/>
      <c r="K48" s="525"/>
      <c r="L48" s="514">
        <f t="shared" si="19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650465.27016989572</v>
      </c>
      <c r="E49" s="522">
        <f t="shared" si="15"/>
        <v>62767.595238095237</v>
      </c>
      <c r="F49" s="523">
        <f t="shared" si="16"/>
        <v>587697.67493180046</v>
      </c>
      <c r="G49" s="524">
        <f t="shared" si="17"/>
        <v>128896.62372864434</v>
      </c>
      <c r="H49" s="491">
        <f t="shared" si="18"/>
        <v>128896.62372864434</v>
      </c>
      <c r="I49" s="511">
        <f t="shared" si="6"/>
        <v>0</v>
      </c>
      <c r="J49" s="511"/>
      <c r="K49" s="525"/>
      <c r="L49" s="514">
        <f t="shared" si="19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587697.67493180046</v>
      </c>
      <c r="E50" s="522">
        <f t="shared" si="15"/>
        <v>62767.595238095237</v>
      </c>
      <c r="F50" s="523">
        <f t="shared" si="16"/>
        <v>524930.07969370519</v>
      </c>
      <c r="G50" s="524">
        <f t="shared" si="17"/>
        <v>122191.91638749171</v>
      </c>
      <c r="H50" s="491">
        <f t="shared" si="18"/>
        <v>122191.91638749171</v>
      </c>
      <c r="I50" s="511">
        <f t="shared" si="6"/>
        <v>0</v>
      </c>
      <c r="J50" s="511"/>
      <c r="K50" s="525"/>
      <c r="L50" s="514">
        <f t="shared" si="19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524930.07969370519</v>
      </c>
      <c r="E51" s="522">
        <f t="shared" si="15"/>
        <v>62767.595238095237</v>
      </c>
      <c r="F51" s="523">
        <f t="shared" si="16"/>
        <v>462162.48445560993</v>
      </c>
      <c r="G51" s="524">
        <f t="shared" si="17"/>
        <v>115487.20904633906</v>
      </c>
      <c r="H51" s="491">
        <f t="shared" si="18"/>
        <v>115487.20904633906</v>
      </c>
      <c r="I51" s="511">
        <f t="shared" si="6"/>
        <v>0</v>
      </c>
      <c r="J51" s="511"/>
      <c r="K51" s="525"/>
      <c r="L51" s="514">
        <f t="shared" si="19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462162.48445560993</v>
      </c>
      <c r="E52" s="522">
        <f t="shared" si="15"/>
        <v>62767.595238095237</v>
      </c>
      <c r="F52" s="523">
        <f t="shared" si="16"/>
        <v>399394.88921751466</v>
      </c>
      <c r="G52" s="524">
        <f t="shared" si="17"/>
        <v>108782.50170518643</v>
      </c>
      <c r="H52" s="491">
        <f t="shared" si="18"/>
        <v>108782.50170518643</v>
      </c>
      <c r="I52" s="511">
        <f t="shared" si="6"/>
        <v>0</v>
      </c>
      <c r="J52" s="511"/>
      <c r="K52" s="525"/>
      <c r="L52" s="514">
        <f t="shared" si="19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399394.88921751466</v>
      </c>
      <c r="E53" s="522">
        <f t="shared" si="15"/>
        <v>62767.595238095237</v>
      </c>
      <c r="F53" s="523">
        <f t="shared" si="16"/>
        <v>336627.2939794194</v>
      </c>
      <c r="G53" s="524">
        <f t="shared" ref="G53:G72" si="20">+I$12*((D53+F53)/2)+E53</f>
        <v>102077.79436403379</v>
      </c>
      <c r="H53" s="491">
        <f t="shared" ref="H53:H72" si="21">+I$13*((D53+F53)/2)+E53</f>
        <v>102077.79436403379</v>
      </c>
      <c r="I53" s="511">
        <f t="shared" si="6"/>
        <v>0</v>
      </c>
      <c r="J53" s="511"/>
      <c r="K53" s="525"/>
      <c r="L53" s="514">
        <f t="shared" si="19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336627.2939794194</v>
      </c>
      <c r="E54" s="522">
        <f t="shared" si="15"/>
        <v>62767.595238095237</v>
      </c>
      <c r="F54" s="523">
        <f t="shared" si="16"/>
        <v>273859.69874132413</v>
      </c>
      <c r="G54" s="524">
        <f t="shared" si="20"/>
        <v>95373.087022881155</v>
      </c>
      <c r="H54" s="491">
        <f t="shared" si="21"/>
        <v>95373.087022881155</v>
      </c>
      <c r="I54" s="511">
        <f t="shared" si="6"/>
        <v>0</v>
      </c>
      <c r="J54" s="511"/>
      <c r="K54" s="525"/>
      <c r="L54" s="514">
        <f t="shared" si="19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273859.69874132413</v>
      </c>
      <c r="E55" s="522">
        <f t="shared" si="15"/>
        <v>62767.595238095237</v>
      </c>
      <c r="F55" s="523">
        <f t="shared" si="16"/>
        <v>211092.10350322889</v>
      </c>
      <c r="G55" s="524">
        <f t="shared" si="20"/>
        <v>88668.379681728518</v>
      </c>
      <c r="H55" s="491">
        <f t="shared" si="21"/>
        <v>88668.379681728518</v>
      </c>
      <c r="I55" s="511">
        <f t="shared" si="6"/>
        <v>0</v>
      </c>
      <c r="J55" s="511"/>
      <c r="K55" s="525"/>
      <c r="L55" s="514">
        <f t="shared" si="19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211092.10350322889</v>
      </c>
      <c r="E56" s="522">
        <f t="shared" si="15"/>
        <v>62767.595238095237</v>
      </c>
      <c r="F56" s="523">
        <f t="shared" si="16"/>
        <v>148324.50826513366</v>
      </c>
      <c r="G56" s="524">
        <f t="shared" si="20"/>
        <v>81963.672340575882</v>
      </c>
      <c r="H56" s="491">
        <f t="shared" si="21"/>
        <v>81963.672340575882</v>
      </c>
      <c r="I56" s="511">
        <f t="shared" si="6"/>
        <v>0</v>
      </c>
      <c r="J56" s="511"/>
      <c r="K56" s="525"/>
      <c r="L56" s="514">
        <f t="shared" si="19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148324.50826513366</v>
      </c>
      <c r="E57" s="522">
        <f t="shared" si="15"/>
        <v>62767.595238095237</v>
      </c>
      <c r="F57" s="523">
        <f t="shared" si="16"/>
        <v>85556.913027038419</v>
      </c>
      <c r="G57" s="524">
        <f t="shared" si="20"/>
        <v>75258.964999423246</v>
      </c>
      <c r="H57" s="491">
        <f t="shared" si="21"/>
        <v>75258.964999423246</v>
      </c>
      <c r="I57" s="511">
        <f t="shared" si="6"/>
        <v>0</v>
      </c>
      <c r="J57" s="511"/>
      <c r="K57" s="525"/>
      <c r="L57" s="514">
        <f t="shared" si="19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85556.913027038419</v>
      </c>
      <c r="E58" s="522">
        <f t="shared" si="15"/>
        <v>62767.595238095237</v>
      </c>
      <c r="F58" s="523">
        <f t="shared" si="16"/>
        <v>22789.317788943183</v>
      </c>
      <c r="G58" s="524">
        <f t="shared" si="20"/>
        <v>68554.25765827061</v>
      </c>
      <c r="H58" s="491">
        <f t="shared" si="21"/>
        <v>68554.25765827061</v>
      </c>
      <c r="I58" s="511">
        <f t="shared" si="6"/>
        <v>0</v>
      </c>
      <c r="J58" s="511"/>
      <c r="K58" s="525"/>
      <c r="L58" s="514">
        <f t="shared" si="19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22789.317788943183</v>
      </c>
      <c r="E59" s="522">
        <f t="shared" si="15"/>
        <v>22789.317788943183</v>
      </c>
      <c r="F59" s="523">
        <f t="shared" si="16"/>
        <v>0</v>
      </c>
      <c r="G59" s="524">
        <f t="shared" si="20"/>
        <v>24006.472163742714</v>
      </c>
      <c r="H59" s="491">
        <f t="shared" si="21"/>
        <v>24006.472163742714</v>
      </c>
      <c r="I59" s="511">
        <f t="shared" si="6"/>
        <v>0</v>
      </c>
      <c r="J59" s="511"/>
      <c r="K59" s="525"/>
      <c r="L59" s="514">
        <f t="shared" si="19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15"/>
        <v>0</v>
      </c>
      <c r="F60" s="523">
        <f t="shared" si="16"/>
        <v>0</v>
      </c>
      <c r="G60" s="524">
        <f t="shared" si="20"/>
        <v>0</v>
      </c>
      <c r="H60" s="491">
        <f t="shared" si="21"/>
        <v>0</v>
      </c>
      <c r="I60" s="511">
        <f t="shared" si="6"/>
        <v>0</v>
      </c>
      <c r="J60" s="511"/>
      <c r="K60" s="525"/>
      <c r="L60" s="514">
        <f t="shared" si="19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5"/>
        <v>0</v>
      </c>
      <c r="F61" s="523">
        <f t="shared" si="16"/>
        <v>0</v>
      </c>
      <c r="G61" s="524">
        <f t="shared" si="20"/>
        <v>0</v>
      </c>
      <c r="H61" s="491">
        <f t="shared" si="21"/>
        <v>0</v>
      </c>
      <c r="I61" s="511">
        <f t="shared" si="6"/>
        <v>0</v>
      </c>
      <c r="J61" s="511"/>
      <c r="K61" s="525"/>
      <c r="L61" s="514">
        <f t="shared" si="19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5"/>
        <v>0</v>
      </c>
      <c r="F62" s="523">
        <f t="shared" si="16"/>
        <v>0</v>
      </c>
      <c r="G62" s="524">
        <f t="shared" si="20"/>
        <v>0</v>
      </c>
      <c r="H62" s="491">
        <f t="shared" si="21"/>
        <v>0</v>
      </c>
      <c r="I62" s="511">
        <f t="shared" si="6"/>
        <v>0</v>
      </c>
      <c r="J62" s="511"/>
      <c r="K62" s="525"/>
      <c r="L62" s="514">
        <f t="shared" si="19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5"/>
        <v>0</v>
      </c>
      <c r="F63" s="523">
        <f t="shared" si="16"/>
        <v>0</v>
      </c>
      <c r="G63" s="524">
        <f t="shared" si="20"/>
        <v>0</v>
      </c>
      <c r="H63" s="491">
        <f t="shared" si="21"/>
        <v>0</v>
      </c>
      <c r="I63" s="511">
        <f t="shared" si="6"/>
        <v>0</v>
      </c>
      <c r="J63" s="511"/>
      <c r="K63" s="525"/>
      <c r="L63" s="514">
        <f t="shared" si="19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5"/>
        <v>0</v>
      </c>
      <c r="F64" s="523">
        <f t="shared" si="16"/>
        <v>0</v>
      </c>
      <c r="G64" s="524">
        <f t="shared" si="20"/>
        <v>0</v>
      </c>
      <c r="H64" s="491">
        <f t="shared" si="21"/>
        <v>0</v>
      </c>
      <c r="I64" s="511">
        <f t="shared" si="6"/>
        <v>0</v>
      </c>
      <c r="J64" s="511"/>
      <c r="K64" s="525"/>
      <c r="L64" s="514">
        <f t="shared" si="19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5"/>
        <v>0</v>
      </c>
      <c r="F65" s="523">
        <f t="shared" si="16"/>
        <v>0</v>
      </c>
      <c r="G65" s="524">
        <f t="shared" si="20"/>
        <v>0</v>
      </c>
      <c r="H65" s="491">
        <f t="shared" si="21"/>
        <v>0</v>
      </c>
      <c r="I65" s="511">
        <f t="shared" si="6"/>
        <v>0</v>
      </c>
      <c r="J65" s="511"/>
      <c r="K65" s="525"/>
      <c r="L65" s="514">
        <f t="shared" si="19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5"/>
        <v>0</v>
      </c>
      <c r="F66" s="523">
        <f t="shared" si="16"/>
        <v>0</v>
      </c>
      <c r="G66" s="524">
        <f t="shared" si="20"/>
        <v>0</v>
      </c>
      <c r="H66" s="491">
        <f t="shared" si="21"/>
        <v>0</v>
      </c>
      <c r="I66" s="511">
        <f t="shared" si="6"/>
        <v>0</v>
      </c>
      <c r="J66" s="511"/>
      <c r="K66" s="525"/>
      <c r="L66" s="514">
        <f t="shared" si="19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5"/>
        <v>0</v>
      </c>
      <c r="F67" s="523">
        <f t="shared" si="16"/>
        <v>0</v>
      </c>
      <c r="G67" s="524">
        <f t="shared" si="20"/>
        <v>0</v>
      </c>
      <c r="H67" s="491">
        <f t="shared" si="21"/>
        <v>0</v>
      </c>
      <c r="I67" s="511">
        <f t="shared" si="6"/>
        <v>0</v>
      </c>
      <c r="J67" s="511"/>
      <c r="K67" s="525"/>
      <c r="L67" s="514">
        <f t="shared" si="19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5"/>
        <v>0</v>
      </c>
      <c r="F68" s="523">
        <f t="shared" si="16"/>
        <v>0</v>
      </c>
      <c r="G68" s="524">
        <f t="shared" si="20"/>
        <v>0</v>
      </c>
      <c r="H68" s="491">
        <f t="shared" si="21"/>
        <v>0</v>
      </c>
      <c r="I68" s="511">
        <f t="shared" si="6"/>
        <v>0</v>
      </c>
      <c r="J68" s="511"/>
      <c r="K68" s="525"/>
      <c r="L68" s="514">
        <f t="shared" si="19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5"/>
        <v>0</v>
      </c>
      <c r="F69" s="523">
        <f t="shared" si="16"/>
        <v>0</v>
      </c>
      <c r="G69" s="524">
        <f t="shared" si="20"/>
        <v>0</v>
      </c>
      <c r="H69" s="491">
        <f t="shared" si="21"/>
        <v>0</v>
      </c>
      <c r="I69" s="511">
        <f t="shared" si="6"/>
        <v>0</v>
      </c>
      <c r="J69" s="511"/>
      <c r="K69" s="525"/>
      <c r="L69" s="514">
        <f t="shared" si="19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5"/>
        <v>0</v>
      </c>
      <c r="F70" s="523">
        <f t="shared" si="16"/>
        <v>0</v>
      </c>
      <c r="G70" s="524">
        <f t="shared" si="20"/>
        <v>0</v>
      </c>
      <c r="H70" s="491">
        <f t="shared" si="21"/>
        <v>0</v>
      </c>
      <c r="I70" s="511">
        <f t="shared" si="6"/>
        <v>0</v>
      </c>
      <c r="J70" s="511"/>
      <c r="K70" s="525"/>
      <c r="L70" s="514">
        <f t="shared" si="19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5"/>
        <v>0</v>
      </c>
      <c r="F71" s="523">
        <f t="shared" si="16"/>
        <v>0</v>
      </c>
      <c r="G71" s="524">
        <f t="shared" si="20"/>
        <v>0</v>
      </c>
      <c r="H71" s="491">
        <f t="shared" si="21"/>
        <v>0</v>
      </c>
      <c r="I71" s="511">
        <f t="shared" si="6"/>
        <v>0</v>
      </c>
      <c r="J71" s="511"/>
      <c r="K71" s="525"/>
      <c r="L71" s="514">
        <f t="shared" si="19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15"/>
        <v>0</v>
      </c>
      <c r="F72" s="523">
        <f t="shared" si="16"/>
        <v>0</v>
      </c>
      <c r="G72" s="524">
        <f t="shared" si="20"/>
        <v>0</v>
      </c>
      <c r="H72" s="491">
        <f t="shared" si="21"/>
        <v>0</v>
      </c>
      <c r="I72" s="511">
        <f t="shared" si="6"/>
        <v>0</v>
      </c>
      <c r="J72" s="511"/>
      <c r="K72" s="532"/>
      <c r="L72" s="533">
        <f t="shared" si="19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2636238.9999999995</v>
      </c>
      <c r="F73" s="375"/>
      <c r="G73" s="375">
        <f>SUM(G17:G72)</f>
        <v>9227507.2534851115</v>
      </c>
      <c r="H73" s="375">
        <f>SUM(H17:H72)</f>
        <v>9227507.2534851115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38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288314.59098884225</v>
      </c>
      <c r="N87" s="546">
        <f>IF(J92&lt;D11,0,VLOOKUP(J92,C17:O72,11))</f>
        <v>288314.59098884225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299406.92594418232</v>
      </c>
      <c r="N88" s="550">
        <f>IF(J92&lt;D11,0,VLOOKUP(J92,C99:P154,7))</f>
        <v>299406.92594418232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Eastex Switching Station - Whitney 138 kV Station - Rebuild 2.5 miles of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11092.334955340077</v>
      </c>
      <c r="N89" s="555">
        <f>+N88-N87</f>
        <v>11092.334955340077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TP2010064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483">
        <f>D10</f>
        <v>2636239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36" t="s">
        <v>373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62767.595238095237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 t="str">
        <f>IF(D93= "","-",D93)</f>
        <v>2013</v>
      </c>
      <c r="D99" s="629">
        <v>0</v>
      </c>
      <c r="E99" s="630">
        <v>31383.797619047618</v>
      </c>
      <c r="F99" s="631">
        <v>2604855.2023809524</v>
      </c>
      <c r="G99" s="632">
        <v>1302427.6011904762</v>
      </c>
      <c r="H99" s="633">
        <v>207591.44491891743</v>
      </c>
      <c r="I99" s="634">
        <v>207591.44491891743</v>
      </c>
      <c r="J99" s="613">
        <v>0</v>
      </c>
      <c r="K99" s="514"/>
      <c r="L99" s="518">
        <f t="shared" ref="L99:L104" si="22">H99</f>
        <v>207591.44491891743</v>
      </c>
      <c r="M99" s="519">
        <f t="shared" ref="M99:M104" si="23">IF(L99&lt;&gt;0,+H99-L99,0)</f>
        <v>0</v>
      </c>
      <c r="N99" s="518">
        <f t="shared" ref="N99:N104" si="24">I99</f>
        <v>207591.44491891743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2604855.2023809524</v>
      </c>
      <c r="E100" s="630">
        <v>62767.595238095237</v>
      </c>
      <c r="F100" s="631">
        <v>2542087.6071428573</v>
      </c>
      <c r="G100" s="631">
        <v>2573471.4047619049</v>
      </c>
      <c r="H100" s="633">
        <v>412562.73217828164</v>
      </c>
      <c r="I100" s="634">
        <v>412562.73217828164</v>
      </c>
      <c r="J100" s="514">
        <v>0</v>
      </c>
      <c r="K100" s="514"/>
      <c r="L100" s="518">
        <f t="shared" si="22"/>
        <v>412562.73217828164</v>
      </c>
      <c r="M100" s="519">
        <f t="shared" si="23"/>
        <v>0</v>
      </c>
      <c r="N100" s="518">
        <f t="shared" si="24"/>
        <v>412562.73217828164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25">IF(D101=F100,"","IU")</f>
        <v/>
      </c>
      <c r="C101" s="507">
        <f>IF(D93="","-",+C100+1)</f>
        <v>2015</v>
      </c>
      <c r="D101" s="629">
        <v>2542087.6071428573</v>
      </c>
      <c r="E101" s="630">
        <v>62767.595238095237</v>
      </c>
      <c r="F101" s="631">
        <v>2479320.0119047621</v>
      </c>
      <c r="G101" s="631">
        <v>2510703.8095238097</v>
      </c>
      <c r="H101" s="633">
        <v>393600.21889551368</v>
      </c>
      <c r="I101" s="634">
        <v>393600.21889551368</v>
      </c>
      <c r="J101" s="514">
        <f>+I101-H101</f>
        <v>0</v>
      </c>
      <c r="K101" s="514"/>
      <c r="L101" s="518">
        <f t="shared" si="22"/>
        <v>393600.21889551368</v>
      </c>
      <c r="M101" s="519">
        <f t="shared" si="23"/>
        <v>0</v>
      </c>
      <c r="N101" s="518">
        <f t="shared" si="24"/>
        <v>393600.21889551368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25"/>
        <v/>
      </c>
      <c r="C102" s="507">
        <f>IF(D93="","-",+C101+1)</f>
        <v>2016</v>
      </c>
      <c r="D102" s="629">
        <v>2479320.0119047621</v>
      </c>
      <c r="E102" s="630">
        <v>61307.883720930229</v>
      </c>
      <c r="F102" s="631">
        <v>2418012.1281838319</v>
      </c>
      <c r="G102" s="631">
        <v>2448666.0700442968</v>
      </c>
      <c r="H102" s="633">
        <v>372166.01263516292</v>
      </c>
      <c r="I102" s="634">
        <v>372166.01263516292</v>
      </c>
      <c r="J102" s="514">
        <f t="shared" ref="J102:J154" si="26">+I102-H102</f>
        <v>0</v>
      </c>
      <c r="K102" s="514"/>
      <c r="L102" s="518">
        <f t="shared" si="22"/>
        <v>372166.01263516292</v>
      </c>
      <c r="M102" s="519">
        <f t="shared" si="23"/>
        <v>0</v>
      </c>
      <c r="N102" s="518">
        <f t="shared" si="24"/>
        <v>372166.01263516292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25"/>
        <v/>
      </c>
      <c r="C103" s="507">
        <f>IF(D93="","-",+C102+1)</f>
        <v>2017</v>
      </c>
      <c r="D103" s="629">
        <v>2418012.1281838319</v>
      </c>
      <c r="E103" s="630">
        <v>62767.595238095237</v>
      </c>
      <c r="F103" s="631">
        <v>2355244.5329457368</v>
      </c>
      <c r="G103" s="631">
        <v>2386628.3305647844</v>
      </c>
      <c r="H103" s="633">
        <v>352674.81750168814</v>
      </c>
      <c r="I103" s="634">
        <v>352674.81750168814</v>
      </c>
      <c r="J103" s="514">
        <f t="shared" si="26"/>
        <v>0</v>
      </c>
      <c r="K103" s="514"/>
      <c r="L103" s="518">
        <f t="shared" si="22"/>
        <v>352674.81750168814</v>
      </c>
      <c r="M103" s="519">
        <f t="shared" si="23"/>
        <v>0</v>
      </c>
      <c r="N103" s="518">
        <f t="shared" si="24"/>
        <v>352674.81750168814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5"/>
        <v/>
      </c>
      <c r="C104" s="507">
        <f>IF(D93="","-",+C103+1)</f>
        <v>2018</v>
      </c>
      <c r="D104" s="629">
        <v>2355244.5329457368</v>
      </c>
      <c r="E104" s="630">
        <v>62767.595238095237</v>
      </c>
      <c r="F104" s="631">
        <v>2292476.9377076416</v>
      </c>
      <c r="G104" s="631">
        <v>2323860.7353266892</v>
      </c>
      <c r="H104" s="633">
        <v>308177.94569514133</v>
      </c>
      <c r="I104" s="634">
        <v>308177.94569514133</v>
      </c>
      <c r="J104" s="514">
        <f t="shared" si="26"/>
        <v>0</v>
      </c>
      <c r="K104" s="514"/>
      <c r="L104" s="518">
        <f t="shared" si="22"/>
        <v>308177.94569514133</v>
      </c>
      <c r="M104" s="519">
        <f t="shared" si="23"/>
        <v>0</v>
      </c>
      <c r="N104" s="518">
        <f t="shared" si="24"/>
        <v>308177.94569514133</v>
      </c>
      <c r="O104" s="514">
        <f t="shared" ref="O104:O130" si="27">IF(N104&lt;&gt;0,+I104-N104,0)</f>
        <v>0</v>
      </c>
      <c r="P104" s="514">
        <f t="shared" ref="P104:P130" si="28">+O104-M104</f>
        <v>0</v>
      </c>
      <c r="Q104" s="269"/>
    </row>
    <row r="105" spans="1:17" ht="12.5">
      <c r="B105" s="195" t="str">
        <f t="shared" si="25"/>
        <v/>
      </c>
      <c r="C105" s="507">
        <f>IF(D93="","-",+C104+1)</f>
        <v>2019</v>
      </c>
      <c r="D105" s="629">
        <v>2292476.9377076416</v>
      </c>
      <c r="E105" s="630">
        <v>61307.883720930229</v>
      </c>
      <c r="F105" s="631">
        <v>2231169.0539867114</v>
      </c>
      <c r="G105" s="631">
        <v>2261822.9958471768</v>
      </c>
      <c r="H105" s="633">
        <v>303414.65337781532</v>
      </c>
      <c r="I105" s="634">
        <v>303414.65337781532</v>
      </c>
      <c r="J105" s="514">
        <f t="shared" si="26"/>
        <v>0</v>
      </c>
      <c r="K105" s="514"/>
      <c r="L105" s="518">
        <f t="shared" ref="L105" si="29">H105</f>
        <v>303414.65337781532</v>
      </c>
      <c r="M105" s="519">
        <f t="shared" ref="M105" si="30">IF(L105&lt;&gt;0,+H105-L105,0)</f>
        <v>0</v>
      </c>
      <c r="N105" s="518">
        <f t="shared" ref="N105" si="31">I105</f>
        <v>303414.65337781532</v>
      </c>
      <c r="O105" s="514">
        <f t="shared" si="27"/>
        <v>0</v>
      </c>
      <c r="P105" s="514">
        <f t="shared" si="28"/>
        <v>0</v>
      </c>
      <c r="Q105" s="269"/>
    </row>
    <row r="106" spans="1:17" ht="12.5">
      <c r="B106" s="195" t="str">
        <f t="shared" si="25"/>
        <v/>
      </c>
      <c r="C106" s="507">
        <f>IF(D93="","-",+C105+1)</f>
        <v>2020</v>
      </c>
      <c r="D106" s="374">
        <f>IF(F105+SUM(E$99:E105)=D$92,F105,D$92-SUM(E$99:E105))</f>
        <v>2231169.0539867114</v>
      </c>
      <c r="E106" s="522">
        <f t="shared" ref="E106:E154" si="32">IF(+$J$96&lt;F105,$J$96,D106)</f>
        <v>62767.595238095237</v>
      </c>
      <c r="F106" s="523">
        <f t="shared" ref="F106:F154" si="33">+D106-E106</f>
        <v>2168401.4587486163</v>
      </c>
      <c r="G106" s="523">
        <f t="shared" ref="G106:G154" si="34">+(F106+D106)/2</f>
        <v>2199785.2563676639</v>
      </c>
      <c r="H106" s="526">
        <f t="shared" ref="H106:H154" si="35">+J$94*G106+E106</f>
        <v>299406.92594418232</v>
      </c>
      <c r="I106" s="577">
        <f t="shared" ref="I106:I154" si="36">+J$95*G106+E106</f>
        <v>299406.92594418232</v>
      </c>
      <c r="J106" s="514">
        <f t="shared" si="26"/>
        <v>0</v>
      </c>
      <c r="K106" s="514"/>
      <c r="L106" s="525"/>
      <c r="M106" s="514">
        <f t="shared" ref="M106:M130" si="37">IF(L106&lt;&gt;0,+H106-L106,0)</f>
        <v>0</v>
      </c>
      <c r="N106" s="525"/>
      <c r="O106" s="514">
        <f t="shared" si="27"/>
        <v>0</v>
      </c>
      <c r="P106" s="514">
        <f t="shared" si="28"/>
        <v>0</v>
      </c>
      <c r="Q106" s="269"/>
    </row>
    <row r="107" spans="1:17" ht="12.5">
      <c r="B107" s="195" t="str">
        <f t="shared" si="25"/>
        <v/>
      </c>
      <c r="C107" s="507">
        <f>IF(D93="","-",+C106+1)</f>
        <v>2021</v>
      </c>
      <c r="D107" s="374">
        <f>IF(F106+SUM(E$99:E106)=D$92,F106,D$92-SUM(E$99:E106))</f>
        <v>2168401.4587486163</v>
      </c>
      <c r="E107" s="522">
        <f t="shared" si="32"/>
        <v>62767.595238095237</v>
      </c>
      <c r="F107" s="523">
        <f t="shared" si="33"/>
        <v>2105633.8635105211</v>
      </c>
      <c r="G107" s="523">
        <f t="shared" si="34"/>
        <v>2137017.6611295687</v>
      </c>
      <c r="H107" s="526">
        <f t="shared" si="35"/>
        <v>292654.77516756533</v>
      </c>
      <c r="I107" s="577">
        <f t="shared" si="36"/>
        <v>292654.77516756533</v>
      </c>
      <c r="J107" s="514">
        <f t="shared" si="26"/>
        <v>0</v>
      </c>
      <c r="K107" s="514"/>
      <c r="L107" s="525"/>
      <c r="M107" s="514">
        <f t="shared" si="37"/>
        <v>0</v>
      </c>
      <c r="N107" s="525"/>
      <c r="O107" s="514">
        <f t="shared" si="27"/>
        <v>0</v>
      </c>
      <c r="P107" s="514">
        <f t="shared" si="28"/>
        <v>0</v>
      </c>
      <c r="Q107" s="269"/>
    </row>
    <row r="108" spans="1:17" ht="12.5">
      <c r="B108" s="195" t="str">
        <f t="shared" si="25"/>
        <v/>
      </c>
      <c r="C108" s="507">
        <f>IF(D93="","-",+C107+1)</f>
        <v>2022</v>
      </c>
      <c r="D108" s="374">
        <f>IF(F107+SUM(E$99:E107)=D$92,F107,D$92-SUM(E$99:E107))</f>
        <v>2105633.8635105211</v>
      </c>
      <c r="E108" s="522">
        <f t="shared" si="32"/>
        <v>62767.595238095237</v>
      </c>
      <c r="F108" s="523">
        <f t="shared" si="33"/>
        <v>2042866.268272426</v>
      </c>
      <c r="G108" s="523">
        <f t="shared" si="34"/>
        <v>2074250.0658914736</v>
      </c>
      <c r="H108" s="526">
        <f t="shared" si="35"/>
        <v>285902.62439094845</v>
      </c>
      <c r="I108" s="577">
        <f t="shared" si="36"/>
        <v>285902.62439094845</v>
      </c>
      <c r="J108" s="514">
        <f t="shared" si="26"/>
        <v>0</v>
      </c>
      <c r="K108" s="514"/>
      <c r="L108" s="525"/>
      <c r="M108" s="514">
        <f t="shared" si="37"/>
        <v>0</v>
      </c>
      <c r="N108" s="525"/>
      <c r="O108" s="514">
        <f t="shared" si="27"/>
        <v>0</v>
      </c>
      <c r="P108" s="514">
        <f t="shared" si="28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2023</v>
      </c>
      <c r="D109" s="374">
        <f>IF(F108+SUM(E$99:E108)=D$92,F108,D$92-SUM(E$99:E108))</f>
        <v>2042866.268272426</v>
      </c>
      <c r="E109" s="522">
        <f t="shared" si="32"/>
        <v>62767.595238095237</v>
      </c>
      <c r="F109" s="523">
        <f t="shared" si="33"/>
        <v>1980098.6730343308</v>
      </c>
      <c r="G109" s="523">
        <f t="shared" si="34"/>
        <v>2011482.4706533784</v>
      </c>
      <c r="H109" s="526">
        <f t="shared" si="35"/>
        <v>279150.47361433145</v>
      </c>
      <c r="I109" s="577">
        <f t="shared" si="36"/>
        <v>279150.47361433145</v>
      </c>
      <c r="J109" s="514">
        <f t="shared" si="26"/>
        <v>0</v>
      </c>
      <c r="K109" s="514"/>
      <c r="L109" s="525"/>
      <c r="M109" s="514">
        <f t="shared" si="37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2024</v>
      </c>
      <c r="D110" s="374">
        <f>IF(F109+SUM(E$99:E109)=D$92,F109,D$92-SUM(E$99:E109))</f>
        <v>1980098.6730343308</v>
      </c>
      <c r="E110" s="522">
        <f t="shared" si="32"/>
        <v>62767.595238095237</v>
      </c>
      <c r="F110" s="523">
        <f t="shared" si="33"/>
        <v>1917331.0777962357</v>
      </c>
      <c r="G110" s="523">
        <f t="shared" si="34"/>
        <v>1948714.8754152833</v>
      </c>
      <c r="H110" s="526">
        <f t="shared" si="35"/>
        <v>272398.32283771457</v>
      </c>
      <c r="I110" s="577">
        <f t="shared" si="36"/>
        <v>272398.32283771457</v>
      </c>
      <c r="J110" s="514">
        <f t="shared" si="26"/>
        <v>0</v>
      </c>
      <c r="K110" s="514"/>
      <c r="L110" s="525"/>
      <c r="M110" s="514">
        <f t="shared" si="37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2025</v>
      </c>
      <c r="D111" s="374">
        <f>IF(F110+SUM(E$99:E110)=D$92,F110,D$92-SUM(E$99:E110))</f>
        <v>1917331.0777962357</v>
      </c>
      <c r="E111" s="522">
        <f t="shared" si="32"/>
        <v>62767.595238095237</v>
      </c>
      <c r="F111" s="523">
        <f t="shared" si="33"/>
        <v>1854563.4825581405</v>
      </c>
      <c r="G111" s="523">
        <f t="shared" si="34"/>
        <v>1885947.2801771881</v>
      </c>
      <c r="H111" s="526">
        <f t="shared" si="35"/>
        <v>265646.17206109758</v>
      </c>
      <c r="I111" s="577">
        <f t="shared" si="36"/>
        <v>265646.17206109758</v>
      </c>
      <c r="J111" s="514">
        <f t="shared" si="26"/>
        <v>0</v>
      </c>
      <c r="K111" s="514"/>
      <c r="L111" s="525"/>
      <c r="M111" s="514">
        <f t="shared" si="37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2026</v>
      </c>
      <c r="D112" s="374">
        <f>IF(F111+SUM(E$99:E111)=D$92,F111,D$92-SUM(E$99:E111))</f>
        <v>1854563.4825581405</v>
      </c>
      <c r="E112" s="522">
        <f t="shared" si="32"/>
        <v>62767.595238095237</v>
      </c>
      <c r="F112" s="523">
        <f t="shared" si="33"/>
        <v>1791795.8873200454</v>
      </c>
      <c r="G112" s="523">
        <f t="shared" si="34"/>
        <v>1823179.684939093</v>
      </c>
      <c r="H112" s="526">
        <f t="shared" si="35"/>
        <v>258894.02128448067</v>
      </c>
      <c r="I112" s="577">
        <f t="shared" si="36"/>
        <v>258894.02128448067</v>
      </c>
      <c r="J112" s="514">
        <f t="shared" si="26"/>
        <v>0</v>
      </c>
      <c r="K112" s="514"/>
      <c r="L112" s="525"/>
      <c r="M112" s="514">
        <f t="shared" si="37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2027</v>
      </c>
      <c r="D113" s="374">
        <f>IF(F112+SUM(E$99:E112)=D$92,F112,D$92-SUM(E$99:E112))</f>
        <v>1791795.8873200454</v>
      </c>
      <c r="E113" s="522">
        <f t="shared" si="32"/>
        <v>62767.595238095237</v>
      </c>
      <c r="F113" s="523">
        <f t="shared" si="33"/>
        <v>1729028.2920819502</v>
      </c>
      <c r="G113" s="523">
        <f t="shared" si="34"/>
        <v>1760412.0897009978</v>
      </c>
      <c r="H113" s="526">
        <f t="shared" si="35"/>
        <v>252141.87050786373</v>
      </c>
      <c r="I113" s="577">
        <f t="shared" si="36"/>
        <v>252141.87050786373</v>
      </c>
      <c r="J113" s="514">
        <f t="shared" si="26"/>
        <v>0</v>
      </c>
      <c r="K113" s="514"/>
      <c r="L113" s="525"/>
      <c r="M113" s="514">
        <f t="shared" si="37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2028</v>
      </c>
      <c r="D114" s="374">
        <f>IF(F113+SUM(E$99:E113)=D$92,F113,D$92-SUM(E$99:E113))</f>
        <v>1729028.2920819502</v>
      </c>
      <c r="E114" s="522">
        <f t="shared" si="32"/>
        <v>62767.595238095237</v>
      </c>
      <c r="F114" s="523">
        <f t="shared" si="33"/>
        <v>1666260.6968438551</v>
      </c>
      <c r="G114" s="523">
        <f t="shared" si="34"/>
        <v>1697644.4944629027</v>
      </c>
      <c r="H114" s="526">
        <f t="shared" si="35"/>
        <v>245389.71973124679</v>
      </c>
      <c r="I114" s="577">
        <f t="shared" si="36"/>
        <v>245389.71973124679</v>
      </c>
      <c r="J114" s="514">
        <f t="shared" si="26"/>
        <v>0</v>
      </c>
      <c r="K114" s="514"/>
      <c r="L114" s="525"/>
      <c r="M114" s="514">
        <f t="shared" si="37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2029</v>
      </c>
      <c r="D115" s="374">
        <f>IF(F114+SUM(E$99:E114)=D$92,F114,D$92-SUM(E$99:E114))</f>
        <v>1666260.6968438551</v>
      </c>
      <c r="E115" s="522">
        <f t="shared" si="32"/>
        <v>62767.595238095237</v>
      </c>
      <c r="F115" s="523">
        <f t="shared" si="33"/>
        <v>1603493.1016057599</v>
      </c>
      <c r="G115" s="523">
        <f t="shared" si="34"/>
        <v>1634876.8992248075</v>
      </c>
      <c r="H115" s="526">
        <f t="shared" si="35"/>
        <v>238637.56895462985</v>
      </c>
      <c r="I115" s="577">
        <f t="shared" si="36"/>
        <v>238637.56895462985</v>
      </c>
      <c r="J115" s="514">
        <f t="shared" si="26"/>
        <v>0</v>
      </c>
      <c r="K115" s="514"/>
      <c r="L115" s="525"/>
      <c r="M115" s="514">
        <f t="shared" si="37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2030</v>
      </c>
      <c r="D116" s="374">
        <f>IF(F115+SUM(E$99:E115)=D$92,F115,D$92-SUM(E$99:E115))</f>
        <v>1603493.1016057599</v>
      </c>
      <c r="E116" s="522">
        <f t="shared" si="32"/>
        <v>62767.595238095237</v>
      </c>
      <c r="F116" s="523">
        <f t="shared" si="33"/>
        <v>1540725.5063676648</v>
      </c>
      <c r="G116" s="523">
        <f t="shared" si="34"/>
        <v>1572109.3039867124</v>
      </c>
      <c r="H116" s="526">
        <f t="shared" si="35"/>
        <v>231885.41817801291</v>
      </c>
      <c r="I116" s="577">
        <f t="shared" si="36"/>
        <v>231885.41817801291</v>
      </c>
      <c r="J116" s="514">
        <f t="shared" si="26"/>
        <v>0</v>
      </c>
      <c r="K116" s="514"/>
      <c r="L116" s="525"/>
      <c r="M116" s="514">
        <f t="shared" si="37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2031</v>
      </c>
      <c r="D117" s="374">
        <f>IF(F116+SUM(E$99:E116)=D$92,F116,D$92-SUM(E$99:E116))</f>
        <v>1540725.5063676648</v>
      </c>
      <c r="E117" s="522">
        <f t="shared" si="32"/>
        <v>62767.595238095237</v>
      </c>
      <c r="F117" s="523">
        <f t="shared" si="33"/>
        <v>1477957.9111295696</v>
      </c>
      <c r="G117" s="523">
        <f t="shared" si="34"/>
        <v>1509341.7087486172</v>
      </c>
      <c r="H117" s="526">
        <f t="shared" si="35"/>
        <v>225133.26740139598</v>
      </c>
      <c r="I117" s="577">
        <f t="shared" si="36"/>
        <v>225133.26740139598</v>
      </c>
      <c r="J117" s="514">
        <f t="shared" si="26"/>
        <v>0</v>
      </c>
      <c r="K117" s="514"/>
      <c r="L117" s="525"/>
      <c r="M117" s="514">
        <f t="shared" si="37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2032</v>
      </c>
      <c r="D118" s="374">
        <f>IF(F117+SUM(E$99:E117)=D$92,F117,D$92-SUM(E$99:E117))</f>
        <v>1477957.9111295696</v>
      </c>
      <c r="E118" s="522">
        <f t="shared" si="32"/>
        <v>62767.595238095237</v>
      </c>
      <c r="F118" s="523">
        <f t="shared" si="33"/>
        <v>1415190.3158914745</v>
      </c>
      <c r="G118" s="523">
        <f t="shared" si="34"/>
        <v>1446574.1135105221</v>
      </c>
      <c r="H118" s="526">
        <f t="shared" si="35"/>
        <v>218381.11662477904</v>
      </c>
      <c r="I118" s="577">
        <f t="shared" si="36"/>
        <v>218381.11662477904</v>
      </c>
      <c r="J118" s="514">
        <f t="shared" si="26"/>
        <v>0</v>
      </c>
      <c r="K118" s="514"/>
      <c r="L118" s="525"/>
      <c r="M118" s="514">
        <f t="shared" si="37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2033</v>
      </c>
      <c r="D119" s="374">
        <f>IF(F118+SUM(E$99:E118)=D$92,F118,D$92-SUM(E$99:E118))</f>
        <v>1415190.3158914745</v>
      </c>
      <c r="E119" s="522">
        <f t="shared" si="32"/>
        <v>62767.595238095237</v>
      </c>
      <c r="F119" s="523">
        <f t="shared" si="33"/>
        <v>1352422.7206533793</v>
      </c>
      <c r="G119" s="523">
        <f t="shared" si="34"/>
        <v>1383806.5182724269</v>
      </c>
      <c r="H119" s="526">
        <f t="shared" si="35"/>
        <v>211628.9658481621</v>
      </c>
      <c r="I119" s="577">
        <f t="shared" si="36"/>
        <v>211628.9658481621</v>
      </c>
      <c r="J119" s="514">
        <f t="shared" si="26"/>
        <v>0</v>
      </c>
      <c r="K119" s="514"/>
      <c r="L119" s="525"/>
      <c r="M119" s="514">
        <f t="shared" si="37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2034</v>
      </c>
      <c r="D120" s="374">
        <f>IF(F119+SUM(E$99:E119)=D$92,F119,D$92-SUM(E$99:E119))</f>
        <v>1352422.7206533793</v>
      </c>
      <c r="E120" s="522">
        <f t="shared" si="32"/>
        <v>62767.595238095237</v>
      </c>
      <c r="F120" s="523">
        <f t="shared" si="33"/>
        <v>1289655.1254152842</v>
      </c>
      <c r="G120" s="523">
        <f t="shared" si="34"/>
        <v>1321038.9230343318</v>
      </c>
      <c r="H120" s="526">
        <f t="shared" si="35"/>
        <v>204876.81507154516</v>
      </c>
      <c r="I120" s="577">
        <f t="shared" si="36"/>
        <v>204876.81507154516</v>
      </c>
      <c r="J120" s="514">
        <f t="shared" si="26"/>
        <v>0</v>
      </c>
      <c r="K120" s="514"/>
      <c r="L120" s="525"/>
      <c r="M120" s="514">
        <f t="shared" si="37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2035</v>
      </c>
      <c r="D121" s="374">
        <f>IF(F120+SUM(E$99:E120)=D$92,F120,D$92-SUM(E$99:E120))</f>
        <v>1289655.1254152842</v>
      </c>
      <c r="E121" s="522">
        <f t="shared" si="32"/>
        <v>62767.595238095237</v>
      </c>
      <c r="F121" s="523">
        <f t="shared" si="33"/>
        <v>1226887.530177189</v>
      </c>
      <c r="G121" s="523">
        <f t="shared" si="34"/>
        <v>1258271.3277962366</v>
      </c>
      <c r="H121" s="526">
        <f t="shared" si="35"/>
        <v>198124.66429492822</v>
      </c>
      <c r="I121" s="577">
        <f t="shared" si="36"/>
        <v>198124.66429492822</v>
      </c>
      <c r="J121" s="514">
        <f t="shared" si="26"/>
        <v>0</v>
      </c>
      <c r="K121" s="514"/>
      <c r="L121" s="525"/>
      <c r="M121" s="514">
        <f t="shared" si="37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2036</v>
      </c>
      <c r="D122" s="374">
        <f>IF(F121+SUM(E$99:E121)=D$92,F121,D$92-SUM(E$99:E121))</f>
        <v>1226887.530177189</v>
      </c>
      <c r="E122" s="522">
        <f t="shared" si="32"/>
        <v>62767.595238095237</v>
      </c>
      <c r="F122" s="523">
        <f t="shared" si="33"/>
        <v>1164119.9349390939</v>
      </c>
      <c r="G122" s="523">
        <f t="shared" si="34"/>
        <v>1195503.7325581415</v>
      </c>
      <c r="H122" s="526">
        <f t="shared" si="35"/>
        <v>191372.51351831126</v>
      </c>
      <c r="I122" s="577">
        <f t="shared" si="36"/>
        <v>191372.51351831126</v>
      </c>
      <c r="J122" s="514">
        <f t="shared" si="26"/>
        <v>0</v>
      </c>
      <c r="K122" s="514"/>
      <c r="L122" s="525"/>
      <c r="M122" s="514">
        <f t="shared" si="37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2037</v>
      </c>
      <c r="D123" s="374">
        <f>IF(F122+SUM(E$99:E122)=D$92,F122,D$92-SUM(E$99:E122))</f>
        <v>1164119.9349390939</v>
      </c>
      <c r="E123" s="522">
        <f t="shared" si="32"/>
        <v>62767.595238095237</v>
      </c>
      <c r="F123" s="523">
        <f t="shared" si="33"/>
        <v>1101352.3397009987</v>
      </c>
      <c r="G123" s="523">
        <f t="shared" si="34"/>
        <v>1132736.1373200463</v>
      </c>
      <c r="H123" s="526">
        <f t="shared" si="35"/>
        <v>184620.36274169432</v>
      </c>
      <c r="I123" s="577">
        <f t="shared" si="36"/>
        <v>184620.36274169432</v>
      </c>
      <c r="J123" s="514">
        <f t="shared" si="26"/>
        <v>0</v>
      </c>
      <c r="K123" s="514"/>
      <c r="L123" s="525"/>
      <c r="M123" s="514">
        <f t="shared" si="37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2038</v>
      </c>
      <c r="D124" s="374">
        <f>IF(F123+SUM(E$99:E123)=D$92,F123,D$92-SUM(E$99:E123))</f>
        <v>1101352.3397009987</v>
      </c>
      <c r="E124" s="522">
        <f t="shared" si="32"/>
        <v>62767.595238095237</v>
      </c>
      <c r="F124" s="523">
        <f t="shared" si="33"/>
        <v>1038584.7444629035</v>
      </c>
      <c r="G124" s="523">
        <f t="shared" si="34"/>
        <v>1069968.5420819512</v>
      </c>
      <c r="H124" s="526">
        <f t="shared" si="35"/>
        <v>177868.21196507738</v>
      </c>
      <c r="I124" s="577">
        <f t="shared" si="36"/>
        <v>177868.21196507738</v>
      </c>
      <c r="J124" s="514">
        <f t="shared" si="26"/>
        <v>0</v>
      </c>
      <c r="K124" s="514"/>
      <c r="L124" s="525"/>
      <c r="M124" s="514">
        <f t="shared" si="37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2039</v>
      </c>
      <c r="D125" s="374">
        <f>IF(F124+SUM(E$99:E124)=D$92,F124,D$92-SUM(E$99:E124))</f>
        <v>1038584.7444629035</v>
      </c>
      <c r="E125" s="522">
        <f t="shared" si="32"/>
        <v>62767.595238095237</v>
      </c>
      <c r="F125" s="523">
        <f t="shared" si="33"/>
        <v>975817.14922480821</v>
      </c>
      <c r="G125" s="523">
        <f t="shared" si="34"/>
        <v>1007200.9468438558</v>
      </c>
      <c r="H125" s="526">
        <f t="shared" si="35"/>
        <v>171116.06118846044</v>
      </c>
      <c r="I125" s="577">
        <f t="shared" si="36"/>
        <v>171116.06118846044</v>
      </c>
      <c r="J125" s="514">
        <f t="shared" si="26"/>
        <v>0</v>
      </c>
      <c r="K125" s="514"/>
      <c r="L125" s="525"/>
      <c r="M125" s="514">
        <f t="shared" si="37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2040</v>
      </c>
      <c r="D126" s="374">
        <f>IF(F125+SUM(E$99:E125)=D$92,F125,D$92-SUM(E$99:E125))</f>
        <v>975817.14922480821</v>
      </c>
      <c r="E126" s="522">
        <f t="shared" si="32"/>
        <v>62767.595238095237</v>
      </c>
      <c r="F126" s="523">
        <f t="shared" si="33"/>
        <v>913049.55398671294</v>
      </c>
      <c r="G126" s="523">
        <f t="shared" si="34"/>
        <v>944433.35160576063</v>
      </c>
      <c r="H126" s="526">
        <f t="shared" si="35"/>
        <v>164363.91041184351</v>
      </c>
      <c r="I126" s="577">
        <f t="shared" si="36"/>
        <v>164363.91041184351</v>
      </c>
      <c r="J126" s="514">
        <f t="shared" si="26"/>
        <v>0</v>
      </c>
      <c r="K126" s="514"/>
      <c r="L126" s="525"/>
      <c r="M126" s="514">
        <f t="shared" si="37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2041</v>
      </c>
      <c r="D127" s="374">
        <f>IF(F126+SUM(E$99:E126)=D$92,F126,D$92-SUM(E$99:E126))</f>
        <v>913049.55398671294</v>
      </c>
      <c r="E127" s="522">
        <f t="shared" si="32"/>
        <v>62767.595238095237</v>
      </c>
      <c r="F127" s="523">
        <f t="shared" si="33"/>
        <v>850281.95874861768</v>
      </c>
      <c r="G127" s="523">
        <f t="shared" si="34"/>
        <v>881665.75636766525</v>
      </c>
      <c r="H127" s="526">
        <f t="shared" si="35"/>
        <v>157611.75963522654</v>
      </c>
      <c r="I127" s="577">
        <f t="shared" si="36"/>
        <v>157611.75963522654</v>
      </c>
      <c r="J127" s="514">
        <f t="shared" si="26"/>
        <v>0</v>
      </c>
      <c r="K127" s="514"/>
      <c r="L127" s="525"/>
      <c r="M127" s="514">
        <f t="shared" si="37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2042</v>
      </c>
      <c r="D128" s="374">
        <f>IF(F127+SUM(E$99:E127)=D$92,F127,D$92-SUM(E$99:E127))</f>
        <v>850281.95874861768</v>
      </c>
      <c r="E128" s="522">
        <f t="shared" si="32"/>
        <v>62767.595238095237</v>
      </c>
      <c r="F128" s="523">
        <f t="shared" si="33"/>
        <v>787514.36351052241</v>
      </c>
      <c r="G128" s="523">
        <f t="shared" si="34"/>
        <v>818898.1611295701</v>
      </c>
      <c r="H128" s="526">
        <f t="shared" si="35"/>
        <v>150859.6088586096</v>
      </c>
      <c r="I128" s="577">
        <f t="shared" si="36"/>
        <v>150859.6088586096</v>
      </c>
      <c r="J128" s="514">
        <f t="shared" si="26"/>
        <v>0</v>
      </c>
      <c r="K128" s="514"/>
      <c r="L128" s="525"/>
      <c r="M128" s="514">
        <f t="shared" si="37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2043</v>
      </c>
      <c r="D129" s="374">
        <f>IF(F128+SUM(E$99:E128)=D$92,F128,D$92-SUM(E$99:E128))</f>
        <v>787514.36351052241</v>
      </c>
      <c r="E129" s="522">
        <f t="shared" si="32"/>
        <v>62767.595238095237</v>
      </c>
      <c r="F129" s="523">
        <f t="shared" si="33"/>
        <v>724746.76827242714</v>
      </c>
      <c r="G129" s="523">
        <f t="shared" si="34"/>
        <v>756130.56589147472</v>
      </c>
      <c r="H129" s="526">
        <f t="shared" si="35"/>
        <v>144107.45808199263</v>
      </c>
      <c r="I129" s="577">
        <f t="shared" si="36"/>
        <v>144107.45808199263</v>
      </c>
      <c r="J129" s="514">
        <f t="shared" si="26"/>
        <v>0</v>
      </c>
      <c r="K129" s="514"/>
      <c r="L129" s="525"/>
      <c r="M129" s="514">
        <f t="shared" si="37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2044</v>
      </c>
      <c r="D130" s="374">
        <f>IF(F129+SUM(E$99:E129)=D$92,F129,D$92-SUM(E$99:E129))</f>
        <v>724746.76827242714</v>
      </c>
      <c r="E130" s="522">
        <f t="shared" si="32"/>
        <v>62767.595238095237</v>
      </c>
      <c r="F130" s="523">
        <f t="shared" si="33"/>
        <v>661979.17303433188</v>
      </c>
      <c r="G130" s="523">
        <f t="shared" si="34"/>
        <v>693362.97065337957</v>
      </c>
      <c r="H130" s="526">
        <f t="shared" si="35"/>
        <v>137355.3073053757</v>
      </c>
      <c r="I130" s="577">
        <f t="shared" si="36"/>
        <v>137355.3073053757</v>
      </c>
      <c r="J130" s="514">
        <f t="shared" si="26"/>
        <v>0</v>
      </c>
      <c r="K130" s="514"/>
      <c r="L130" s="525"/>
      <c r="M130" s="514">
        <f t="shared" si="37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2045</v>
      </c>
      <c r="D131" s="374">
        <f>IF(F130+SUM(E$99:E130)=D$92,F130,D$92-SUM(E$99:E130))</f>
        <v>661979.17303433188</v>
      </c>
      <c r="E131" s="522">
        <f t="shared" si="32"/>
        <v>62767.595238095237</v>
      </c>
      <c r="F131" s="523">
        <f t="shared" si="33"/>
        <v>599211.57779623661</v>
      </c>
      <c r="G131" s="523">
        <f t="shared" si="34"/>
        <v>630595.37541528419</v>
      </c>
      <c r="H131" s="526">
        <f t="shared" si="35"/>
        <v>130603.15652875873</v>
      </c>
      <c r="I131" s="577">
        <f t="shared" si="36"/>
        <v>130603.15652875873</v>
      </c>
      <c r="J131" s="514">
        <f t="shared" si="26"/>
        <v>0</v>
      </c>
      <c r="K131" s="514"/>
      <c r="L131" s="525"/>
      <c r="M131" s="514">
        <f t="shared" ref="M131:M154" si="38">IF(L541&lt;&gt;0,+H541-L541,0)</f>
        <v>0</v>
      </c>
      <c r="N131" s="525"/>
      <c r="O131" s="514">
        <f t="shared" ref="O131:O154" si="39">IF(N541&lt;&gt;0,+I541-N541,0)</f>
        <v>0</v>
      </c>
      <c r="P131" s="514">
        <f t="shared" ref="P131:P154" si="40">+O541-M541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2046</v>
      </c>
      <c r="D132" s="374">
        <f>IF(F131+SUM(E$99:E131)=D$92,F131,D$92-SUM(E$99:E131))</f>
        <v>599211.57779623661</v>
      </c>
      <c r="E132" s="522">
        <f t="shared" si="32"/>
        <v>62767.595238095237</v>
      </c>
      <c r="F132" s="523">
        <f t="shared" si="33"/>
        <v>536443.98255814135</v>
      </c>
      <c r="G132" s="523">
        <f t="shared" si="34"/>
        <v>567827.78017718904</v>
      </c>
      <c r="H132" s="526">
        <f t="shared" si="35"/>
        <v>123851.00575214179</v>
      </c>
      <c r="I132" s="577">
        <f t="shared" si="36"/>
        <v>123851.00575214179</v>
      </c>
      <c r="J132" s="514">
        <f t="shared" si="26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2047</v>
      </c>
      <c r="D133" s="374">
        <f>IF(F132+SUM(E$99:E132)=D$92,F132,D$92-SUM(E$99:E132))</f>
        <v>536443.98255814135</v>
      </c>
      <c r="E133" s="522">
        <f t="shared" si="32"/>
        <v>62767.595238095237</v>
      </c>
      <c r="F133" s="523">
        <f t="shared" si="33"/>
        <v>473676.38732004608</v>
      </c>
      <c r="G133" s="523">
        <f t="shared" si="34"/>
        <v>505060.18493909371</v>
      </c>
      <c r="H133" s="526">
        <f t="shared" si="35"/>
        <v>117098.85497552482</v>
      </c>
      <c r="I133" s="577">
        <f t="shared" si="36"/>
        <v>117098.85497552482</v>
      </c>
      <c r="J133" s="514">
        <f t="shared" si="26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2048</v>
      </c>
      <c r="D134" s="374">
        <f>IF(F133+SUM(E$99:E133)=D$92,F133,D$92-SUM(E$99:E133))</f>
        <v>473676.38732004608</v>
      </c>
      <c r="E134" s="522">
        <f t="shared" si="32"/>
        <v>62767.595238095237</v>
      </c>
      <c r="F134" s="523">
        <f t="shared" si="33"/>
        <v>410908.79208195081</v>
      </c>
      <c r="G134" s="523">
        <f t="shared" si="34"/>
        <v>442292.58970099845</v>
      </c>
      <c r="H134" s="526">
        <f t="shared" si="35"/>
        <v>110346.70419890789</v>
      </c>
      <c r="I134" s="577">
        <f t="shared" si="36"/>
        <v>110346.70419890789</v>
      </c>
      <c r="J134" s="514">
        <f t="shared" si="26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2049</v>
      </c>
      <c r="D135" s="374">
        <f>IF(F134+SUM(E$99:E134)=D$92,F134,D$92-SUM(E$99:E134))</f>
        <v>410908.79208195081</v>
      </c>
      <c r="E135" s="522">
        <f t="shared" si="32"/>
        <v>62767.595238095237</v>
      </c>
      <c r="F135" s="523">
        <f t="shared" si="33"/>
        <v>348141.19684385555</v>
      </c>
      <c r="G135" s="523">
        <f t="shared" si="34"/>
        <v>379524.99446290318</v>
      </c>
      <c r="H135" s="526">
        <f t="shared" si="35"/>
        <v>103594.55342229092</v>
      </c>
      <c r="I135" s="577">
        <f t="shared" si="36"/>
        <v>103594.55342229092</v>
      </c>
      <c r="J135" s="514">
        <f t="shared" si="26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2050</v>
      </c>
      <c r="D136" s="374">
        <f>IF(F135+SUM(E$99:E135)=D$92,F135,D$92-SUM(E$99:E135))</f>
        <v>348141.19684385555</v>
      </c>
      <c r="E136" s="522">
        <f t="shared" si="32"/>
        <v>62767.595238095237</v>
      </c>
      <c r="F136" s="523">
        <f t="shared" si="33"/>
        <v>285373.60160576028</v>
      </c>
      <c r="G136" s="523">
        <f t="shared" si="34"/>
        <v>316757.39922480792</v>
      </c>
      <c r="H136" s="526">
        <f t="shared" si="35"/>
        <v>96842.402645673981</v>
      </c>
      <c r="I136" s="577">
        <f t="shared" si="36"/>
        <v>96842.402645673981</v>
      </c>
      <c r="J136" s="514">
        <f t="shared" si="26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2051</v>
      </c>
      <c r="D137" s="374">
        <f>IF(F136+SUM(E$99:E136)=D$92,F136,D$92-SUM(E$99:E136))</f>
        <v>285373.60160576028</v>
      </c>
      <c r="E137" s="522">
        <f t="shared" si="32"/>
        <v>62767.595238095237</v>
      </c>
      <c r="F137" s="523">
        <f t="shared" si="33"/>
        <v>222606.00636766505</v>
      </c>
      <c r="G137" s="523">
        <f t="shared" si="34"/>
        <v>253989.80398671265</v>
      </c>
      <c r="H137" s="526">
        <f t="shared" si="35"/>
        <v>90090.251869057029</v>
      </c>
      <c r="I137" s="577">
        <f t="shared" si="36"/>
        <v>90090.251869057029</v>
      </c>
      <c r="J137" s="514">
        <f t="shared" si="26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2052</v>
      </c>
      <c r="D138" s="374">
        <f>IF(F137+SUM(E$99:E137)=D$92,F137,D$92-SUM(E$99:E137))</f>
        <v>222606.00636766505</v>
      </c>
      <c r="E138" s="522">
        <f t="shared" si="32"/>
        <v>62767.595238095237</v>
      </c>
      <c r="F138" s="523">
        <f t="shared" si="33"/>
        <v>159838.41112956981</v>
      </c>
      <c r="G138" s="523">
        <f t="shared" si="34"/>
        <v>191222.20874861744</v>
      </c>
      <c r="H138" s="526">
        <f t="shared" si="35"/>
        <v>83338.101092440076</v>
      </c>
      <c r="I138" s="577">
        <f t="shared" si="36"/>
        <v>83338.101092440076</v>
      </c>
      <c r="J138" s="514">
        <f t="shared" si="26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2053</v>
      </c>
      <c r="D139" s="374">
        <f>IF(F138+SUM(E$99:E138)=D$92,F138,D$92-SUM(E$99:E138))</f>
        <v>159838.41112956981</v>
      </c>
      <c r="E139" s="522">
        <f t="shared" si="32"/>
        <v>62767.595238095237</v>
      </c>
      <c r="F139" s="523">
        <f t="shared" si="33"/>
        <v>97070.815891474573</v>
      </c>
      <c r="G139" s="523">
        <f t="shared" si="34"/>
        <v>128454.61351052219</v>
      </c>
      <c r="H139" s="526">
        <f t="shared" si="35"/>
        <v>76585.950315823124</v>
      </c>
      <c r="I139" s="577">
        <f t="shared" si="36"/>
        <v>76585.950315823124</v>
      </c>
      <c r="J139" s="514">
        <f t="shared" si="26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2054</v>
      </c>
      <c r="D140" s="374">
        <f>IF(F139+SUM(E$99:E139)=D$92,F139,D$92-SUM(E$99:E139))</f>
        <v>97070.815891474573</v>
      </c>
      <c r="E140" s="522">
        <f t="shared" si="32"/>
        <v>62767.595238095237</v>
      </c>
      <c r="F140" s="523">
        <f t="shared" si="33"/>
        <v>34303.220653379336</v>
      </c>
      <c r="G140" s="523">
        <f t="shared" si="34"/>
        <v>65687.018272426954</v>
      </c>
      <c r="H140" s="526">
        <f t="shared" si="35"/>
        <v>69833.799539206186</v>
      </c>
      <c r="I140" s="577">
        <f t="shared" si="36"/>
        <v>69833.799539206186</v>
      </c>
      <c r="J140" s="514">
        <f t="shared" si="26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2055</v>
      </c>
      <c r="D141" s="374">
        <f>IF(F140+SUM(E$99:E140)=D$92,F140,D$92-SUM(E$99:E140))</f>
        <v>34303.220653379336</v>
      </c>
      <c r="E141" s="522">
        <f t="shared" si="32"/>
        <v>34303.220653379336</v>
      </c>
      <c r="F141" s="523">
        <f t="shared" si="33"/>
        <v>0</v>
      </c>
      <c r="G141" s="523">
        <f t="shared" si="34"/>
        <v>17151.610326689668</v>
      </c>
      <c r="H141" s="526">
        <f t="shared" si="35"/>
        <v>36148.285109780569</v>
      </c>
      <c r="I141" s="577">
        <f t="shared" si="36"/>
        <v>36148.285109780569</v>
      </c>
      <c r="J141" s="514">
        <f t="shared" si="26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2"/>
        <v>0</v>
      </c>
      <c r="F142" s="523">
        <f t="shared" si="33"/>
        <v>0</v>
      </c>
      <c r="G142" s="523">
        <f t="shared" si="34"/>
        <v>0</v>
      </c>
      <c r="H142" s="526">
        <f t="shared" si="35"/>
        <v>0</v>
      </c>
      <c r="I142" s="577">
        <f t="shared" si="36"/>
        <v>0</v>
      </c>
      <c r="J142" s="514">
        <f t="shared" si="26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2"/>
        <v>0</v>
      </c>
      <c r="F143" s="523">
        <f t="shared" si="33"/>
        <v>0</v>
      </c>
      <c r="G143" s="523">
        <f t="shared" si="34"/>
        <v>0</v>
      </c>
      <c r="H143" s="526">
        <f t="shared" si="35"/>
        <v>0</v>
      </c>
      <c r="I143" s="577">
        <f t="shared" si="36"/>
        <v>0</v>
      </c>
      <c r="J143" s="514">
        <f t="shared" si="26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2"/>
        <v>0</v>
      </c>
      <c r="F144" s="523">
        <f t="shared" si="33"/>
        <v>0</v>
      </c>
      <c r="G144" s="523">
        <f t="shared" si="34"/>
        <v>0</v>
      </c>
      <c r="H144" s="526">
        <f t="shared" si="35"/>
        <v>0</v>
      </c>
      <c r="I144" s="577">
        <f t="shared" si="36"/>
        <v>0</v>
      </c>
      <c r="J144" s="514">
        <f t="shared" si="26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2"/>
        <v>0</v>
      </c>
      <c r="F145" s="523">
        <f t="shared" si="33"/>
        <v>0</v>
      </c>
      <c r="G145" s="523">
        <f t="shared" si="34"/>
        <v>0</v>
      </c>
      <c r="H145" s="526">
        <f t="shared" si="35"/>
        <v>0</v>
      </c>
      <c r="I145" s="577">
        <f t="shared" si="36"/>
        <v>0</v>
      </c>
      <c r="J145" s="514">
        <f t="shared" si="26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2"/>
        <v>0</v>
      </c>
      <c r="F146" s="523">
        <f t="shared" si="33"/>
        <v>0</v>
      </c>
      <c r="G146" s="523">
        <f t="shared" si="34"/>
        <v>0</v>
      </c>
      <c r="H146" s="526">
        <f t="shared" si="35"/>
        <v>0</v>
      </c>
      <c r="I146" s="577">
        <f t="shared" si="36"/>
        <v>0</v>
      </c>
      <c r="J146" s="514">
        <f t="shared" si="26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2"/>
        <v>0</v>
      </c>
      <c r="F147" s="523">
        <f t="shared" si="33"/>
        <v>0</v>
      </c>
      <c r="G147" s="523">
        <f t="shared" si="34"/>
        <v>0</v>
      </c>
      <c r="H147" s="526">
        <f t="shared" si="35"/>
        <v>0</v>
      </c>
      <c r="I147" s="577">
        <f t="shared" si="36"/>
        <v>0</v>
      </c>
      <c r="J147" s="514">
        <f t="shared" si="26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2"/>
        <v>0</v>
      </c>
      <c r="F148" s="523">
        <f t="shared" si="33"/>
        <v>0</v>
      </c>
      <c r="G148" s="523">
        <f t="shared" si="34"/>
        <v>0</v>
      </c>
      <c r="H148" s="526">
        <f t="shared" si="35"/>
        <v>0</v>
      </c>
      <c r="I148" s="577">
        <f t="shared" si="36"/>
        <v>0</v>
      </c>
      <c r="J148" s="514">
        <f t="shared" si="26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2"/>
        <v>0</v>
      </c>
      <c r="F149" s="523">
        <f t="shared" si="33"/>
        <v>0</v>
      </c>
      <c r="G149" s="523">
        <f t="shared" si="34"/>
        <v>0</v>
      </c>
      <c r="H149" s="526">
        <f t="shared" si="35"/>
        <v>0</v>
      </c>
      <c r="I149" s="577">
        <f t="shared" si="36"/>
        <v>0</v>
      </c>
      <c r="J149" s="514">
        <f t="shared" si="26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2"/>
        <v>0</v>
      </c>
      <c r="F150" s="523">
        <f t="shared" si="33"/>
        <v>0</v>
      </c>
      <c r="G150" s="523">
        <f t="shared" si="34"/>
        <v>0</v>
      </c>
      <c r="H150" s="526">
        <f t="shared" si="35"/>
        <v>0</v>
      </c>
      <c r="I150" s="577">
        <f t="shared" si="36"/>
        <v>0</v>
      </c>
      <c r="J150" s="514">
        <f t="shared" si="26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2"/>
        <v>0</v>
      </c>
      <c r="F151" s="523">
        <f t="shared" si="33"/>
        <v>0</v>
      </c>
      <c r="G151" s="523">
        <f t="shared" si="34"/>
        <v>0</v>
      </c>
      <c r="H151" s="526">
        <f t="shared" si="35"/>
        <v>0</v>
      </c>
      <c r="I151" s="577">
        <f t="shared" si="36"/>
        <v>0</v>
      </c>
      <c r="J151" s="514">
        <f t="shared" si="26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2"/>
        <v>0</v>
      </c>
      <c r="F152" s="523">
        <f t="shared" si="33"/>
        <v>0</v>
      </c>
      <c r="G152" s="523">
        <f t="shared" si="34"/>
        <v>0</v>
      </c>
      <c r="H152" s="526">
        <f t="shared" si="35"/>
        <v>0</v>
      </c>
      <c r="I152" s="577">
        <f t="shared" si="36"/>
        <v>0</v>
      </c>
      <c r="J152" s="514">
        <f t="shared" si="26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2"/>
        <v>0</v>
      </c>
      <c r="F153" s="523">
        <f t="shared" si="33"/>
        <v>0</v>
      </c>
      <c r="G153" s="523">
        <f t="shared" si="34"/>
        <v>0</v>
      </c>
      <c r="H153" s="526">
        <f t="shared" si="35"/>
        <v>0</v>
      </c>
      <c r="I153" s="577">
        <f t="shared" si="36"/>
        <v>0</v>
      </c>
      <c r="J153" s="514">
        <f t="shared" si="26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2"/>
        <v>0</v>
      </c>
      <c r="F154" s="523">
        <f t="shared" si="33"/>
        <v>0</v>
      </c>
      <c r="G154" s="523">
        <f t="shared" si="34"/>
        <v>0</v>
      </c>
      <c r="H154" s="526">
        <f t="shared" si="35"/>
        <v>0</v>
      </c>
      <c r="I154" s="577">
        <f t="shared" si="36"/>
        <v>0</v>
      </c>
      <c r="J154" s="514">
        <f t="shared" si="26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  <c r="Q154" s="269"/>
    </row>
    <row r="155" spans="2:17" ht="12.5">
      <c r="C155" s="374" t="s">
        <v>78</v>
      </c>
      <c r="D155" s="375"/>
      <c r="E155" s="375">
        <f>SUM(E99:E154)</f>
        <v>2636239</v>
      </c>
      <c r="F155" s="375"/>
      <c r="G155" s="375"/>
      <c r="H155" s="375">
        <f>SUM(H99:H154)</f>
        <v>8848048.8062716015</v>
      </c>
      <c r="I155" s="375">
        <f>SUM(I99:I154)</f>
        <v>8848048.8062716015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4" priority="1" stopIfTrue="1" operator="equal">
      <formula>$I$10</formula>
    </cfRule>
  </conditionalFormatting>
  <conditionalFormatting sqref="C99:C154">
    <cfRule type="cellIs" dxfId="8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P162"/>
  <sheetViews>
    <sheetView view="pageBreakPreview" topLeftCell="A67" zoomScale="80" zoomScaleNormal="100" zoomScaleSheetLayoutView="80" workbookViewId="0">
      <selection activeCell="D99" sqref="D99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39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469507.82183995802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469507.82183995802</v>
      </c>
      <c r="O6" s="269"/>
      <c r="P6" s="269"/>
    </row>
    <row r="7" spans="1:16" ht="13.5" thickBot="1">
      <c r="C7" s="467" t="s">
        <v>48</v>
      </c>
      <c r="D7" s="624" t="s">
        <v>330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311</v>
      </c>
      <c r="E9" s="637" t="s">
        <v>329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4316668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2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102777.80952380953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9">
        <v>4316127</v>
      </c>
      <c r="E17" s="638">
        <v>85637.440476190473</v>
      </c>
      <c r="F17" s="629">
        <v>4230489.5595238097</v>
      </c>
      <c r="G17" s="638">
        <v>656374.9370978435</v>
      </c>
      <c r="H17" s="639">
        <v>656374.9370978435</v>
      </c>
      <c r="I17" s="616">
        <v>0</v>
      </c>
      <c r="J17" s="511"/>
      <c r="K17" s="512">
        <f t="shared" ref="K17:K22" si="0">G17</f>
        <v>656374.9370978435</v>
      </c>
      <c r="L17" s="597">
        <f t="shared" ref="L17:L22" si="1">IF(K17&lt;&gt;0,+G17-K17,0)</f>
        <v>0</v>
      </c>
      <c r="M17" s="512">
        <f t="shared" ref="M17:M22" si="2">H17</f>
        <v>656374.9370978435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31">
        <v>4230489.5595238097</v>
      </c>
      <c r="E18" s="630">
        <v>102764.92857142857</v>
      </c>
      <c r="F18" s="631">
        <v>4127724.6309523811</v>
      </c>
      <c r="G18" s="630">
        <v>659638.3564492357</v>
      </c>
      <c r="H18" s="639">
        <v>659638.3564492357</v>
      </c>
      <c r="I18" s="616">
        <v>0</v>
      </c>
      <c r="J18" s="511"/>
      <c r="K18" s="518">
        <f t="shared" si="0"/>
        <v>659638.3564492357</v>
      </c>
      <c r="L18" s="519">
        <f t="shared" si="1"/>
        <v>0</v>
      </c>
      <c r="M18" s="518">
        <f t="shared" si="2"/>
        <v>659638.3564492357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31">
        <v>4127724.6309523811</v>
      </c>
      <c r="E19" s="630">
        <v>102777.80952380953</v>
      </c>
      <c r="F19" s="631">
        <v>4024946.8214285714</v>
      </c>
      <c r="G19" s="630">
        <v>632882.6295754665</v>
      </c>
      <c r="H19" s="639">
        <v>632882.6295754665</v>
      </c>
      <c r="I19" s="511">
        <v>0</v>
      </c>
      <c r="J19" s="511"/>
      <c r="K19" s="518">
        <f t="shared" si="0"/>
        <v>632882.6295754665</v>
      </c>
      <c r="L19" s="519">
        <f t="shared" si="1"/>
        <v>0</v>
      </c>
      <c r="M19" s="518">
        <f t="shared" si="2"/>
        <v>632882.6295754665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31">
        <v>4025487.8214285714</v>
      </c>
      <c r="E20" s="630">
        <v>102777.80952380953</v>
      </c>
      <c r="F20" s="631">
        <v>3922710.0119047617</v>
      </c>
      <c r="G20" s="630">
        <v>613043.82987884199</v>
      </c>
      <c r="H20" s="639">
        <v>613043.82987884199</v>
      </c>
      <c r="I20" s="511">
        <f>H20-G20</f>
        <v>0</v>
      </c>
      <c r="J20" s="511"/>
      <c r="K20" s="518">
        <f t="shared" si="0"/>
        <v>613043.82987884199</v>
      </c>
      <c r="L20" s="519">
        <f t="shared" si="1"/>
        <v>0</v>
      </c>
      <c r="M20" s="518">
        <f t="shared" si="2"/>
        <v>613043.82987884199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31">
        <v>3922710.0119047617</v>
      </c>
      <c r="E21" s="630">
        <v>100387.62790697675</v>
      </c>
      <c r="F21" s="631">
        <v>3822322.3839977849</v>
      </c>
      <c r="G21" s="630">
        <v>580163.47114176606</v>
      </c>
      <c r="H21" s="639">
        <v>580163.47114176606</v>
      </c>
      <c r="I21" s="511">
        <f t="shared" ref="I21:I72" si="6">H21-G21</f>
        <v>0</v>
      </c>
      <c r="J21" s="511"/>
      <c r="K21" s="518">
        <f t="shared" si="0"/>
        <v>580163.47114176606</v>
      </c>
      <c r="L21" s="519">
        <f t="shared" si="1"/>
        <v>0</v>
      </c>
      <c r="M21" s="518">
        <f t="shared" si="2"/>
        <v>580163.47114176606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31">
        <v>3822322.3839977849</v>
      </c>
      <c r="E22" s="630">
        <v>105284.58536585367</v>
      </c>
      <c r="F22" s="631">
        <v>3717037.7986319312</v>
      </c>
      <c r="G22" s="630">
        <v>584388.67981931404</v>
      </c>
      <c r="H22" s="639">
        <v>584388.67981931404</v>
      </c>
      <c r="I22" s="511">
        <f t="shared" si="6"/>
        <v>0</v>
      </c>
      <c r="J22" s="511"/>
      <c r="K22" s="518">
        <f t="shared" si="0"/>
        <v>584388.67981931404</v>
      </c>
      <c r="L22" s="519">
        <f t="shared" si="1"/>
        <v>0</v>
      </c>
      <c r="M22" s="518">
        <f t="shared" si="2"/>
        <v>584388.67981931404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31">
        <v>3717037.7986319312</v>
      </c>
      <c r="E23" s="630">
        <v>105284.58536585367</v>
      </c>
      <c r="F23" s="631">
        <v>3611753.2132660775</v>
      </c>
      <c r="G23" s="630">
        <v>571007.63031120552</v>
      </c>
      <c r="H23" s="639">
        <v>571007.63031120552</v>
      </c>
      <c r="I23" s="511">
        <f t="shared" si="6"/>
        <v>0</v>
      </c>
      <c r="J23" s="511"/>
      <c r="K23" s="518">
        <f t="shared" ref="K23" si="7">G23</f>
        <v>571007.63031120552</v>
      </c>
      <c r="L23" s="519">
        <f t="shared" ref="L23" si="8">IF(K23&lt;&gt;0,+G23-K23,0)</f>
        <v>0</v>
      </c>
      <c r="M23" s="518">
        <f t="shared" ref="M23" si="9">H23</f>
        <v>571007.63031120552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31">
        <v>3611753.2132660775</v>
      </c>
      <c r="E24" s="630">
        <v>105284.58536585367</v>
      </c>
      <c r="F24" s="631">
        <v>3506468.6279002237</v>
      </c>
      <c r="G24" s="630">
        <v>469507.82183995802</v>
      </c>
      <c r="H24" s="639">
        <v>469507.82183995802</v>
      </c>
      <c r="I24" s="511">
        <f t="shared" si="6"/>
        <v>0</v>
      </c>
      <c r="J24" s="511"/>
      <c r="K24" s="518">
        <f t="shared" ref="K24" si="12">G24</f>
        <v>469507.82183995802</v>
      </c>
      <c r="L24" s="519">
        <f t="shared" ref="L24" si="13">IF(K24&lt;&gt;0,+G24-K24,0)</f>
        <v>0</v>
      </c>
      <c r="M24" s="518">
        <f t="shared" ref="M24" si="14">H24</f>
        <v>469507.82183995802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/>
      </c>
      <c r="C25" s="507">
        <f>IF(D11="","-",+C24+1)</f>
        <v>2021</v>
      </c>
      <c r="D25" s="523">
        <f>IF(F24+SUM(E$17:E24)=D$10,F24,D$10-SUM(E$17:E24))</f>
        <v>3506468.6279002237</v>
      </c>
      <c r="E25" s="522">
        <f t="shared" ref="E25:E72" si="15">IF(+$I$14&lt;F24,$I$14,D25)</f>
        <v>102777.80952380953</v>
      </c>
      <c r="F25" s="523">
        <f t="shared" ref="F25:F72" si="16">+D25-E25</f>
        <v>3403690.818376414</v>
      </c>
      <c r="G25" s="524">
        <f t="shared" ref="G25:G52" si="17">+I$12*((D25+F25)/2)+E25</f>
        <v>471842.42473043915</v>
      </c>
      <c r="H25" s="491">
        <f t="shared" ref="H25:H52" si="18">+I$13*((D25+F25)/2)+E25</f>
        <v>471842.42473043915</v>
      </c>
      <c r="I25" s="511">
        <f t="shared" si="6"/>
        <v>0</v>
      </c>
      <c r="J25" s="511"/>
      <c r="K25" s="525"/>
      <c r="L25" s="514">
        <f t="shared" ref="L25:L72" si="19">IF(K25&lt;&gt;0,+G25-K25,0)</f>
        <v>0</v>
      </c>
      <c r="M25" s="525"/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/>
      </c>
      <c r="C26" s="507">
        <f>IF(D11="","-",+C25+1)</f>
        <v>2022</v>
      </c>
      <c r="D26" s="523">
        <f>IF(F25+SUM(E$17:E25)=D$10,F25,D$10-SUM(E$17:E25))</f>
        <v>3403690.818376414</v>
      </c>
      <c r="E26" s="522">
        <f t="shared" si="15"/>
        <v>102777.80952380953</v>
      </c>
      <c r="F26" s="523">
        <f t="shared" si="16"/>
        <v>3300913.0088526043</v>
      </c>
      <c r="G26" s="524">
        <f t="shared" si="17"/>
        <v>460863.90736956301</v>
      </c>
      <c r="H26" s="491">
        <f t="shared" si="18"/>
        <v>460863.90736956301</v>
      </c>
      <c r="I26" s="511">
        <f t="shared" si="6"/>
        <v>0</v>
      </c>
      <c r="J26" s="511"/>
      <c r="K26" s="525"/>
      <c r="L26" s="514">
        <f t="shared" si="19"/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3300913.0088526043</v>
      </c>
      <c r="E27" s="522">
        <f t="shared" si="15"/>
        <v>102777.80952380953</v>
      </c>
      <c r="F27" s="523">
        <f t="shared" si="16"/>
        <v>3198135.1993287946</v>
      </c>
      <c r="G27" s="524">
        <f t="shared" si="17"/>
        <v>449885.39000868687</v>
      </c>
      <c r="H27" s="491">
        <f t="shared" si="18"/>
        <v>449885.39000868687</v>
      </c>
      <c r="I27" s="511">
        <f t="shared" si="6"/>
        <v>0</v>
      </c>
      <c r="J27" s="511"/>
      <c r="K27" s="525"/>
      <c r="L27" s="514">
        <f t="shared" si="19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3198135.1993287946</v>
      </c>
      <c r="E28" s="522">
        <f t="shared" si="15"/>
        <v>102777.80952380953</v>
      </c>
      <c r="F28" s="523">
        <f t="shared" si="16"/>
        <v>3095357.3898049849</v>
      </c>
      <c r="G28" s="524">
        <f t="shared" si="17"/>
        <v>438906.87264781079</v>
      </c>
      <c r="H28" s="491">
        <f t="shared" si="18"/>
        <v>438906.87264781079</v>
      </c>
      <c r="I28" s="511">
        <f t="shared" si="6"/>
        <v>0</v>
      </c>
      <c r="J28" s="511"/>
      <c r="K28" s="525"/>
      <c r="L28" s="514">
        <f t="shared" si="19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3095357.3898049849</v>
      </c>
      <c r="E29" s="522">
        <f t="shared" si="15"/>
        <v>102777.80952380953</v>
      </c>
      <c r="F29" s="523">
        <f t="shared" si="16"/>
        <v>2992579.5802811752</v>
      </c>
      <c r="G29" s="524">
        <f t="shared" si="17"/>
        <v>427928.35528693465</v>
      </c>
      <c r="H29" s="491">
        <f t="shared" si="18"/>
        <v>427928.35528693465</v>
      </c>
      <c r="I29" s="511">
        <f t="shared" si="6"/>
        <v>0</v>
      </c>
      <c r="J29" s="511"/>
      <c r="K29" s="525"/>
      <c r="L29" s="514">
        <f t="shared" si="19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2992579.5802811752</v>
      </c>
      <c r="E30" s="522">
        <f t="shared" si="15"/>
        <v>102777.80952380953</v>
      </c>
      <c r="F30" s="523">
        <f t="shared" si="16"/>
        <v>2889801.7707573655</v>
      </c>
      <c r="G30" s="524">
        <f t="shared" si="17"/>
        <v>416949.83792605851</v>
      </c>
      <c r="H30" s="491">
        <f t="shared" si="18"/>
        <v>416949.83792605851</v>
      </c>
      <c r="I30" s="511">
        <f t="shared" si="6"/>
        <v>0</v>
      </c>
      <c r="J30" s="511"/>
      <c r="K30" s="525"/>
      <c r="L30" s="514">
        <f t="shared" si="19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2889801.7707573655</v>
      </c>
      <c r="E31" s="522">
        <f t="shared" si="15"/>
        <v>102777.80952380953</v>
      </c>
      <c r="F31" s="523">
        <f t="shared" si="16"/>
        <v>2787023.9612335558</v>
      </c>
      <c r="G31" s="524">
        <f t="shared" si="17"/>
        <v>405971.32056518242</v>
      </c>
      <c r="H31" s="491">
        <f t="shared" si="18"/>
        <v>405971.32056518242</v>
      </c>
      <c r="I31" s="511">
        <f t="shared" si="6"/>
        <v>0</v>
      </c>
      <c r="J31" s="511"/>
      <c r="K31" s="525"/>
      <c r="L31" s="514">
        <f t="shared" si="19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2787023.9612335558</v>
      </c>
      <c r="E32" s="522">
        <f t="shared" si="15"/>
        <v>102777.80952380953</v>
      </c>
      <c r="F32" s="523">
        <f t="shared" si="16"/>
        <v>2684246.1517097461</v>
      </c>
      <c r="G32" s="524">
        <f t="shared" si="17"/>
        <v>394992.80320430628</v>
      </c>
      <c r="H32" s="491">
        <f t="shared" si="18"/>
        <v>394992.80320430628</v>
      </c>
      <c r="I32" s="511">
        <f t="shared" si="6"/>
        <v>0</v>
      </c>
      <c r="J32" s="511"/>
      <c r="K32" s="525"/>
      <c r="L32" s="514">
        <f t="shared" si="19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2684246.1517097461</v>
      </c>
      <c r="E33" s="522">
        <f t="shared" si="15"/>
        <v>102777.80952380953</v>
      </c>
      <c r="F33" s="523">
        <f t="shared" si="16"/>
        <v>2581468.3421859364</v>
      </c>
      <c r="G33" s="524">
        <f t="shared" si="17"/>
        <v>384014.28584343015</v>
      </c>
      <c r="H33" s="491">
        <f t="shared" si="18"/>
        <v>384014.28584343015</v>
      </c>
      <c r="I33" s="511">
        <f t="shared" si="6"/>
        <v>0</v>
      </c>
      <c r="J33" s="511"/>
      <c r="K33" s="525"/>
      <c r="L33" s="514">
        <f t="shared" si="19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2581468.3421859364</v>
      </c>
      <c r="E34" s="522">
        <f t="shared" si="15"/>
        <v>102777.80952380953</v>
      </c>
      <c r="F34" s="523">
        <f t="shared" si="16"/>
        <v>2478690.5326621267</v>
      </c>
      <c r="G34" s="524">
        <f t="shared" si="17"/>
        <v>373035.76848255406</v>
      </c>
      <c r="H34" s="491">
        <f t="shared" si="18"/>
        <v>373035.76848255406</v>
      </c>
      <c r="I34" s="511">
        <f t="shared" si="6"/>
        <v>0</v>
      </c>
      <c r="J34" s="511"/>
      <c r="K34" s="525"/>
      <c r="L34" s="514">
        <f t="shared" si="19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2478690.5326621267</v>
      </c>
      <c r="E35" s="522">
        <f t="shared" si="15"/>
        <v>102777.80952380953</v>
      </c>
      <c r="F35" s="523">
        <f t="shared" si="16"/>
        <v>2375912.723138317</v>
      </c>
      <c r="G35" s="524">
        <f t="shared" si="17"/>
        <v>362057.25112167792</v>
      </c>
      <c r="H35" s="491">
        <f t="shared" si="18"/>
        <v>362057.25112167792</v>
      </c>
      <c r="I35" s="511">
        <f t="shared" si="6"/>
        <v>0</v>
      </c>
      <c r="J35" s="511"/>
      <c r="K35" s="525"/>
      <c r="L35" s="514">
        <f t="shared" si="19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2375912.723138317</v>
      </c>
      <c r="E36" s="522">
        <f t="shared" si="15"/>
        <v>102777.80952380953</v>
      </c>
      <c r="F36" s="523">
        <f t="shared" si="16"/>
        <v>2273134.9136145073</v>
      </c>
      <c r="G36" s="524">
        <f t="shared" si="17"/>
        <v>351078.73376080178</v>
      </c>
      <c r="H36" s="491">
        <f t="shared" si="18"/>
        <v>351078.73376080178</v>
      </c>
      <c r="I36" s="511">
        <f t="shared" si="6"/>
        <v>0</v>
      </c>
      <c r="J36" s="511"/>
      <c r="K36" s="525"/>
      <c r="L36" s="514">
        <f t="shared" si="19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2273134.9136145073</v>
      </c>
      <c r="E37" s="522">
        <f t="shared" si="15"/>
        <v>102777.80952380953</v>
      </c>
      <c r="F37" s="523">
        <f t="shared" si="16"/>
        <v>2170357.1040906976</v>
      </c>
      <c r="G37" s="524">
        <f t="shared" si="17"/>
        <v>340100.21639992564</v>
      </c>
      <c r="H37" s="491">
        <f t="shared" si="18"/>
        <v>340100.21639992564</v>
      </c>
      <c r="I37" s="511">
        <f t="shared" si="6"/>
        <v>0</v>
      </c>
      <c r="J37" s="511"/>
      <c r="K37" s="525"/>
      <c r="L37" s="514">
        <f t="shared" si="19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2170357.1040906976</v>
      </c>
      <c r="E38" s="522">
        <f t="shared" si="15"/>
        <v>102777.80952380953</v>
      </c>
      <c r="F38" s="523">
        <f t="shared" si="16"/>
        <v>2067579.2945668881</v>
      </c>
      <c r="G38" s="524">
        <f t="shared" si="17"/>
        <v>329121.69903904956</v>
      </c>
      <c r="H38" s="491">
        <f t="shared" si="18"/>
        <v>329121.69903904956</v>
      </c>
      <c r="I38" s="511">
        <f t="shared" si="6"/>
        <v>0</v>
      </c>
      <c r="J38" s="511"/>
      <c r="K38" s="525"/>
      <c r="L38" s="514">
        <f t="shared" si="19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2067579.2945668881</v>
      </c>
      <c r="E39" s="522">
        <f t="shared" si="15"/>
        <v>102777.80952380953</v>
      </c>
      <c r="F39" s="523">
        <f t="shared" si="16"/>
        <v>1964801.4850430787</v>
      </c>
      <c r="G39" s="524">
        <f t="shared" si="17"/>
        <v>318143.18167817348</v>
      </c>
      <c r="H39" s="491">
        <f t="shared" si="18"/>
        <v>318143.18167817348</v>
      </c>
      <c r="I39" s="511">
        <f t="shared" si="6"/>
        <v>0</v>
      </c>
      <c r="J39" s="511"/>
      <c r="K39" s="525"/>
      <c r="L39" s="514">
        <f t="shared" si="19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1964801.4850430787</v>
      </c>
      <c r="E40" s="522">
        <f t="shared" si="15"/>
        <v>102777.80952380953</v>
      </c>
      <c r="F40" s="523">
        <f t="shared" si="16"/>
        <v>1862023.6755192692</v>
      </c>
      <c r="G40" s="524">
        <f t="shared" si="17"/>
        <v>307164.66431729734</v>
      </c>
      <c r="H40" s="491">
        <f t="shared" si="18"/>
        <v>307164.66431729734</v>
      </c>
      <c r="I40" s="511">
        <f t="shared" si="6"/>
        <v>0</v>
      </c>
      <c r="J40" s="511"/>
      <c r="K40" s="525"/>
      <c r="L40" s="514">
        <f t="shared" si="19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1862023.6755192692</v>
      </c>
      <c r="E41" s="522">
        <f t="shared" si="15"/>
        <v>102777.80952380953</v>
      </c>
      <c r="F41" s="523">
        <f t="shared" si="16"/>
        <v>1759245.8659954597</v>
      </c>
      <c r="G41" s="524">
        <f t="shared" si="17"/>
        <v>296186.14695642132</v>
      </c>
      <c r="H41" s="491">
        <f t="shared" si="18"/>
        <v>296186.14695642132</v>
      </c>
      <c r="I41" s="511">
        <f t="shared" si="6"/>
        <v>0</v>
      </c>
      <c r="J41" s="511"/>
      <c r="K41" s="525"/>
      <c r="L41" s="514">
        <f t="shared" si="19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1759245.8659954597</v>
      </c>
      <c r="E42" s="522">
        <f t="shared" si="15"/>
        <v>102777.80952380953</v>
      </c>
      <c r="F42" s="523">
        <f t="shared" si="16"/>
        <v>1656468.0564716503</v>
      </c>
      <c r="G42" s="524">
        <f t="shared" si="17"/>
        <v>285207.62959554512</v>
      </c>
      <c r="H42" s="491">
        <f t="shared" si="18"/>
        <v>285207.62959554512</v>
      </c>
      <c r="I42" s="511">
        <f t="shared" si="6"/>
        <v>0</v>
      </c>
      <c r="J42" s="511"/>
      <c r="K42" s="525"/>
      <c r="L42" s="514">
        <f t="shared" si="19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1656468.0564716503</v>
      </c>
      <c r="E43" s="522">
        <f t="shared" si="15"/>
        <v>102777.80952380953</v>
      </c>
      <c r="F43" s="523">
        <f t="shared" si="16"/>
        <v>1553690.2469478408</v>
      </c>
      <c r="G43" s="524">
        <f t="shared" si="17"/>
        <v>274229.1122346691</v>
      </c>
      <c r="H43" s="491">
        <f t="shared" si="18"/>
        <v>274229.1122346691</v>
      </c>
      <c r="I43" s="511">
        <f t="shared" si="6"/>
        <v>0</v>
      </c>
      <c r="J43" s="511"/>
      <c r="K43" s="525"/>
      <c r="L43" s="514">
        <f t="shared" si="19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1553690.2469478408</v>
      </c>
      <c r="E44" s="522">
        <f t="shared" si="15"/>
        <v>102777.80952380953</v>
      </c>
      <c r="F44" s="523">
        <f t="shared" si="16"/>
        <v>1450912.4374240313</v>
      </c>
      <c r="G44" s="524">
        <f t="shared" si="17"/>
        <v>263250.59487379296</v>
      </c>
      <c r="H44" s="491">
        <f t="shared" si="18"/>
        <v>263250.59487379296</v>
      </c>
      <c r="I44" s="511">
        <f t="shared" si="6"/>
        <v>0</v>
      </c>
      <c r="J44" s="511"/>
      <c r="K44" s="525"/>
      <c r="L44" s="514">
        <f t="shared" si="19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1450912.4374240313</v>
      </c>
      <c r="E45" s="522">
        <f t="shared" si="15"/>
        <v>102777.80952380953</v>
      </c>
      <c r="F45" s="523">
        <f t="shared" si="16"/>
        <v>1348134.6279002219</v>
      </c>
      <c r="G45" s="524">
        <f t="shared" si="17"/>
        <v>252272.07751291688</v>
      </c>
      <c r="H45" s="491">
        <f t="shared" si="18"/>
        <v>252272.07751291688</v>
      </c>
      <c r="I45" s="511">
        <f t="shared" si="6"/>
        <v>0</v>
      </c>
      <c r="J45" s="511"/>
      <c r="K45" s="525"/>
      <c r="L45" s="514">
        <f t="shared" si="19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1348134.6279002219</v>
      </c>
      <c r="E46" s="522">
        <f t="shared" si="15"/>
        <v>102777.80952380953</v>
      </c>
      <c r="F46" s="523">
        <f t="shared" si="16"/>
        <v>1245356.8183764124</v>
      </c>
      <c r="G46" s="524">
        <f t="shared" si="17"/>
        <v>241293.56015204077</v>
      </c>
      <c r="H46" s="491">
        <f t="shared" si="18"/>
        <v>241293.56015204077</v>
      </c>
      <c r="I46" s="511">
        <f t="shared" si="6"/>
        <v>0</v>
      </c>
      <c r="J46" s="511"/>
      <c r="K46" s="525"/>
      <c r="L46" s="514">
        <f t="shared" si="19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1245356.8183764124</v>
      </c>
      <c r="E47" s="522">
        <f t="shared" si="15"/>
        <v>102777.80952380953</v>
      </c>
      <c r="F47" s="523">
        <f t="shared" si="16"/>
        <v>1142579.0088526029</v>
      </c>
      <c r="G47" s="524">
        <f t="shared" si="17"/>
        <v>230315.04279116471</v>
      </c>
      <c r="H47" s="491">
        <f t="shared" si="18"/>
        <v>230315.04279116471</v>
      </c>
      <c r="I47" s="511">
        <f t="shared" si="6"/>
        <v>0</v>
      </c>
      <c r="J47" s="511"/>
      <c r="K47" s="525"/>
      <c r="L47" s="514">
        <f t="shared" si="19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1142579.0088526029</v>
      </c>
      <c r="E48" s="522">
        <f t="shared" si="15"/>
        <v>102777.80952380953</v>
      </c>
      <c r="F48" s="523">
        <f t="shared" si="16"/>
        <v>1039801.1993287934</v>
      </c>
      <c r="G48" s="524">
        <f t="shared" si="17"/>
        <v>219336.52543028857</v>
      </c>
      <c r="H48" s="491">
        <f t="shared" si="18"/>
        <v>219336.52543028857</v>
      </c>
      <c r="I48" s="511">
        <f t="shared" si="6"/>
        <v>0</v>
      </c>
      <c r="J48" s="511"/>
      <c r="K48" s="525"/>
      <c r="L48" s="514">
        <f t="shared" si="19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1039801.1993287934</v>
      </c>
      <c r="E49" s="522">
        <f t="shared" si="15"/>
        <v>102777.80952380953</v>
      </c>
      <c r="F49" s="523">
        <f t="shared" si="16"/>
        <v>937023.38980498398</v>
      </c>
      <c r="G49" s="524">
        <f t="shared" si="17"/>
        <v>208358.00806941249</v>
      </c>
      <c r="H49" s="491">
        <f t="shared" si="18"/>
        <v>208358.00806941249</v>
      </c>
      <c r="I49" s="511">
        <f t="shared" si="6"/>
        <v>0</v>
      </c>
      <c r="J49" s="511"/>
      <c r="K49" s="525"/>
      <c r="L49" s="514">
        <f t="shared" si="19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937023.38980498398</v>
      </c>
      <c r="E50" s="522">
        <f t="shared" si="15"/>
        <v>102777.80952380953</v>
      </c>
      <c r="F50" s="523">
        <f t="shared" si="16"/>
        <v>834245.58028117451</v>
      </c>
      <c r="G50" s="524">
        <f t="shared" si="17"/>
        <v>197379.49070853641</v>
      </c>
      <c r="H50" s="491">
        <f t="shared" si="18"/>
        <v>197379.49070853641</v>
      </c>
      <c r="I50" s="511">
        <f t="shared" si="6"/>
        <v>0</v>
      </c>
      <c r="J50" s="511"/>
      <c r="K50" s="525"/>
      <c r="L50" s="514">
        <f t="shared" si="19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834245.58028117451</v>
      </c>
      <c r="E51" s="522">
        <f t="shared" si="15"/>
        <v>102777.80952380953</v>
      </c>
      <c r="F51" s="523">
        <f t="shared" si="16"/>
        <v>731467.77075736504</v>
      </c>
      <c r="G51" s="524">
        <f t="shared" si="17"/>
        <v>186400.9733476603</v>
      </c>
      <c r="H51" s="491">
        <f t="shared" si="18"/>
        <v>186400.9733476603</v>
      </c>
      <c r="I51" s="511">
        <f t="shared" si="6"/>
        <v>0</v>
      </c>
      <c r="J51" s="511"/>
      <c r="K51" s="525"/>
      <c r="L51" s="514">
        <f t="shared" si="19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731467.77075736504</v>
      </c>
      <c r="E52" s="522">
        <f t="shared" si="15"/>
        <v>102777.80952380953</v>
      </c>
      <c r="F52" s="523">
        <f t="shared" si="16"/>
        <v>628689.96123355557</v>
      </c>
      <c r="G52" s="524">
        <f t="shared" si="17"/>
        <v>175422.45598678419</v>
      </c>
      <c r="H52" s="491">
        <f t="shared" si="18"/>
        <v>175422.45598678419</v>
      </c>
      <c r="I52" s="511">
        <f t="shared" si="6"/>
        <v>0</v>
      </c>
      <c r="J52" s="511"/>
      <c r="K52" s="525"/>
      <c r="L52" s="514">
        <f t="shared" si="19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628689.96123355557</v>
      </c>
      <c r="E53" s="522">
        <f t="shared" si="15"/>
        <v>102777.80952380953</v>
      </c>
      <c r="F53" s="523">
        <f t="shared" si="16"/>
        <v>525912.1517097461</v>
      </c>
      <c r="G53" s="524">
        <f t="shared" ref="G53:G72" si="20">+I$12*((D53+F53)/2)+E53</f>
        <v>164443.93862590811</v>
      </c>
      <c r="H53" s="491">
        <f t="shared" ref="H53:H72" si="21">+I$13*((D53+F53)/2)+E53</f>
        <v>164443.93862590811</v>
      </c>
      <c r="I53" s="511">
        <f t="shared" si="6"/>
        <v>0</v>
      </c>
      <c r="J53" s="511"/>
      <c r="K53" s="525"/>
      <c r="L53" s="514">
        <f t="shared" si="19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525912.1517097461</v>
      </c>
      <c r="E54" s="522">
        <f t="shared" si="15"/>
        <v>102777.80952380953</v>
      </c>
      <c r="F54" s="523">
        <f t="shared" si="16"/>
        <v>423134.34218593658</v>
      </c>
      <c r="G54" s="524">
        <f t="shared" si="20"/>
        <v>153465.421265032</v>
      </c>
      <c r="H54" s="491">
        <f t="shared" si="21"/>
        <v>153465.421265032</v>
      </c>
      <c r="I54" s="511">
        <f t="shared" si="6"/>
        <v>0</v>
      </c>
      <c r="J54" s="511"/>
      <c r="K54" s="525"/>
      <c r="L54" s="514">
        <f t="shared" si="19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423134.34218593658</v>
      </c>
      <c r="E55" s="522">
        <f t="shared" si="15"/>
        <v>102777.80952380953</v>
      </c>
      <c r="F55" s="523">
        <f t="shared" si="16"/>
        <v>320356.53266212705</v>
      </c>
      <c r="G55" s="524">
        <f t="shared" si="20"/>
        <v>142486.90390415589</v>
      </c>
      <c r="H55" s="491">
        <f t="shared" si="21"/>
        <v>142486.90390415589</v>
      </c>
      <c r="I55" s="511">
        <f t="shared" si="6"/>
        <v>0</v>
      </c>
      <c r="J55" s="511"/>
      <c r="K55" s="525"/>
      <c r="L55" s="514">
        <f t="shared" si="19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320356.53266212705</v>
      </c>
      <c r="E56" s="522">
        <f t="shared" si="15"/>
        <v>102777.80952380953</v>
      </c>
      <c r="F56" s="523">
        <f t="shared" si="16"/>
        <v>217578.72313831752</v>
      </c>
      <c r="G56" s="524">
        <f t="shared" si="20"/>
        <v>131508.3865432798</v>
      </c>
      <c r="H56" s="491">
        <f t="shared" si="21"/>
        <v>131508.3865432798</v>
      </c>
      <c r="I56" s="511">
        <f t="shared" si="6"/>
        <v>0</v>
      </c>
      <c r="J56" s="511"/>
      <c r="K56" s="525"/>
      <c r="L56" s="514">
        <f t="shared" si="19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217578.72313831752</v>
      </c>
      <c r="E57" s="522">
        <f t="shared" si="15"/>
        <v>102777.80952380953</v>
      </c>
      <c r="F57" s="523">
        <f t="shared" si="16"/>
        <v>114800.913614508</v>
      </c>
      <c r="G57" s="524">
        <f t="shared" si="20"/>
        <v>120529.86918240369</v>
      </c>
      <c r="H57" s="491">
        <f t="shared" si="21"/>
        <v>120529.86918240369</v>
      </c>
      <c r="I57" s="511">
        <f t="shared" si="6"/>
        <v>0</v>
      </c>
      <c r="J57" s="511"/>
      <c r="K57" s="525"/>
      <c r="L57" s="514">
        <f t="shared" si="19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114800.913614508</v>
      </c>
      <c r="E58" s="522">
        <f t="shared" si="15"/>
        <v>102777.80952380953</v>
      </c>
      <c r="F58" s="523">
        <f t="shared" si="16"/>
        <v>12023.104090698471</v>
      </c>
      <c r="G58" s="524">
        <f t="shared" si="20"/>
        <v>109551.35182152758</v>
      </c>
      <c r="H58" s="491">
        <f t="shared" si="21"/>
        <v>109551.35182152758</v>
      </c>
      <c r="I58" s="511">
        <f t="shared" si="6"/>
        <v>0</v>
      </c>
      <c r="J58" s="511"/>
      <c r="K58" s="525"/>
      <c r="L58" s="514">
        <f t="shared" si="19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12023.104090698471</v>
      </c>
      <c r="E59" s="522">
        <f t="shared" si="15"/>
        <v>12023.104090698471</v>
      </c>
      <c r="F59" s="523">
        <f t="shared" si="16"/>
        <v>0</v>
      </c>
      <c r="G59" s="524">
        <f t="shared" si="20"/>
        <v>12665.245899338475</v>
      </c>
      <c r="H59" s="491">
        <f t="shared" si="21"/>
        <v>12665.245899338475</v>
      </c>
      <c r="I59" s="511">
        <f t="shared" si="6"/>
        <v>0</v>
      </c>
      <c r="J59" s="511"/>
      <c r="K59" s="525"/>
      <c r="L59" s="514">
        <f t="shared" si="19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15"/>
        <v>0</v>
      </c>
      <c r="F60" s="523">
        <f t="shared" si="16"/>
        <v>0</v>
      </c>
      <c r="G60" s="524">
        <f t="shared" si="20"/>
        <v>0</v>
      </c>
      <c r="H60" s="491">
        <f t="shared" si="21"/>
        <v>0</v>
      </c>
      <c r="I60" s="511">
        <f t="shared" si="6"/>
        <v>0</v>
      </c>
      <c r="J60" s="511"/>
      <c r="K60" s="525"/>
      <c r="L60" s="514">
        <f t="shared" si="19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5"/>
        <v>0</v>
      </c>
      <c r="F61" s="523">
        <f t="shared" si="16"/>
        <v>0</v>
      </c>
      <c r="G61" s="524">
        <f t="shared" si="20"/>
        <v>0</v>
      </c>
      <c r="H61" s="491">
        <f t="shared" si="21"/>
        <v>0</v>
      </c>
      <c r="I61" s="511">
        <f t="shared" si="6"/>
        <v>0</v>
      </c>
      <c r="J61" s="511"/>
      <c r="K61" s="525"/>
      <c r="L61" s="514">
        <f t="shared" si="19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5"/>
        <v>0</v>
      </c>
      <c r="F62" s="523">
        <f t="shared" si="16"/>
        <v>0</v>
      </c>
      <c r="G62" s="524">
        <f t="shared" si="20"/>
        <v>0</v>
      </c>
      <c r="H62" s="491">
        <f t="shared" si="21"/>
        <v>0</v>
      </c>
      <c r="I62" s="511">
        <f t="shared" si="6"/>
        <v>0</v>
      </c>
      <c r="J62" s="511"/>
      <c r="K62" s="525"/>
      <c r="L62" s="514">
        <f t="shared" si="19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5"/>
        <v>0</v>
      </c>
      <c r="F63" s="523">
        <f t="shared" si="16"/>
        <v>0</v>
      </c>
      <c r="G63" s="524">
        <f t="shared" si="20"/>
        <v>0</v>
      </c>
      <c r="H63" s="491">
        <f t="shared" si="21"/>
        <v>0</v>
      </c>
      <c r="I63" s="511">
        <f t="shared" si="6"/>
        <v>0</v>
      </c>
      <c r="J63" s="511"/>
      <c r="K63" s="525"/>
      <c r="L63" s="514">
        <f t="shared" si="19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5"/>
        <v>0</v>
      </c>
      <c r="F64" s="523">
        <f t="shared" si="16"/>
        <v>0</v>
      </c>
      <c r="G64" s="524">
        <f t="shared" si="20"/>
        <v>0</v>
      </c>
      <c r="H64" s="491">
        <f t="shared" si="21"/>
        <v>0</v>
      </c>
      <c r="I64" s="511">
        <f t="shared" si="6"/>
        <v>0</v>
      </c>
      <c r="J64" s="511"/>
      <c r="K64" s="525"/>
      <c r="L64" s="514">
        <f t="shared" si="19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5"/>
        <v>0</v>
      </c>
      <c r="F65" s="523">
        <f t="shared" si="16"/>
        <v>0</v>
      </c>
      <c r="G65" s="524">
        <f t="shared" si="20"/>
        <v>0</v>
      </c>
      <c r="H65" s="491">
        <f t="shared" si="21"/>
        <v>0</v>
      </c>
      <c r="I65" s="511">
        <f t="shared" si="6"/>
        <v>0</v>
      </c>
      <c r="J65" s="511"/>
      <c r="K65" s="525"/>
      <c r="L65" s="514">
        <f t="shared" si="19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5"/>
        <v>0</v>
      </c>
      <c r="F66" s="523">
        <f t="shared" si="16"/>
        <v>0</v>
      </c>
      <c r="G66" s="524">
        <f t="shared" si="20"/>
        <v>0</v>
      </c>
      <c r="H66" s="491">
        <f t="shared" si="21"/>
        <v>0</v>
      </c>
      <c r="I66" s="511">
        <f t="shared" si="6"/>
        <v>0</v>
      </c>
      <c r="J66" s="511"/>
      <c r="K66" s="525"/>
      <c r="L66" s="514">
        <f t="shared" si="19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5"/>
        <v>0</v>
      </c>
      <c r="F67" s="523">
        <f t="shared" si="16"/>
        <v>0</v>
      </c>
      <c r="G67" s="524">
        <f t="shared" si="20"/>
        <v>0</v>
      </c>
      <c r="H67" s="491">
        <f t="shared" si="21"/>
        <v>0</v>
      </c>
      <c r="I67" s="511">
        <f t="shared" si="6"/>
        <v>0</v>
      </c>
      <c r="J67" s="511"/>
      <c r="K67" s="525"/>
      <c r="L67" s="514">
        <f t="shared" si="19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5"/>
        <v>0</v>
      </c>
      <c r="F68" s="523">
        <f t="shared" si="16"/>
        <v>0</v>
      </c>
      <c r="G68" s="524">
        <f t="shared" si="20"/>
        <v>0</v>
      </c>
      <c r="H68" s="491">
        <f t="shared" si="21"/>
        <v>0</v>
      </c>
      <c r="I68" s="511">
        <f t="shared" si="6"/>
        <v>0</v>
      </c>
      <c r="J68" s="511"/>
      <c r="K68" s="525"/>
      <c r="L68" s="514">
        <f t="shared" si="19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5"/>
        <v>0</v>
      </c>
      <c r="F69" s="523">
        <f t="shared" si="16"/>
        <v>0</v>
      </c>
      <c r="G69" s="524">
        <f t="shared" si="20"/>
        <v>0</v>
      </c>
      <c r="H69" s="491">
        <f t="shared" si="21"/>
        <v>0</v>
      </c>
      <c r="I69" s="511">
        <f t="shared" si="6"/>
        <v>0</v>
      </c>
      <c r="J69" s="511"/>
      <c r="K69" s="525"/>
      <c r="L69" s="514">
        <f t="shared" si="19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5"/>
        <v>0</v>
      </c>
      <c r="F70" s="523">
        <f t="shared" si="16"/>
        <v>0</v>
      </c>
      <c r="G70" s="524">
        <f t="shared" si="20"/>
        <v>0</v>
      </c>
      <c r="H70" s="491">
        <f t="shared" si="21"/>
        <v>0</v>
      </c>
      <c r="I70" s="511">
        <f t="shared" si="6"/>
        <v>0</v>
      </c>
      <c r="J70" s="511"/>
      <c r="K70" s="525"/>
      <c r="L70" s="514">
        <f t="shared" si="19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5"/>
        <v>0</v>
      </c>
      <c r="F71" s="523">
        <f t="shared" si="16"/>
        <v>0</v>
      </c>
      <c r="G71" s="524">
        <f t="shared" si="20"/>
        <v>0</v>
      </c>
      <c r="H71" s="491">
        <f t="shared" si="21"/>
        <v>0</v>
      </c>
      <c r="I71" s="511">
        <f t="shared" si="6"/>
        <v>0</v>
      </c>
      <c r="J71" s="511"/>
      <c r="K71" s="525"/>
      <c r="L71" s="514">
        <f t="shared" si="19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15"/>
        <v>0</v>
      </c>
      <c r="F72" s="523">
        <f t="shared" si="16"/>
        <v>0</v>
      </c>
      <c r="G72" s="524">
        <f t="shared" si="20"/>
        <v>0</v>
      </c>
      <c r="H72" s="491">
        <f t="shared" si="21"/>
        <v>0</v>
      </c>
      <c r="I72" s="511">
        <f t="shared" si="6"/>
        <v>0</v>
      </c>
      <c r="J72" s="511"/>
      <c r="K72" s="532"/>
      <c r="L72" s="533">
        <f t="shared" si="19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4316668.0000000009</v>
      </c>
      <c r="F73" s="375"/>
      <c r="G73" s="375">
        <f>SUM(G17:G72)</f>
        <v>14663366.8033964</v>
      </c>
      <c r="H73" s="375">
        <f>SUM(H17:H72)</f>
        <v>14663366.8033964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39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469507.82183995802</v>
      </c>
      <c r="N87" s="546">
        <f>IF(J92&lt;D11,0,VLOOKUP(J92,C17:O72,11))</f>
        <v>469507.82183995802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486574.90560102114</v>
      </c>
      <c r="N88" s="550">
        <f>IF(J92&lt;D11,0,VLOOKUP(J92,C99:P154,7))</f>
        <v>486574.90560102114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Ashdown West - Craig Junction 138KV Rebuild (tie w/PSO)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17067.083761063113</v>
      </c>
      <c r="N89" s="555">
        <f>+N88-N87</f>
        <v>17067.083761063113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TP2009092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4316668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2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102777.80952380953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2013</v>
      </c>
      <c r="D99" s="629">
        <v>0</v>
      </c>
      <c r="E99" s="630">
        <v>85637.440476190473</v>
      </c>
      <c r="F99" s="631">
        <v>4230489.5595238097</v>
      </c>
      <c r="G99" s="632">
        <v>2115244.7797619049</v>
      </c>
      <c r="H99" s="633">
        <v>371812.50753135112</v>
      </c>
      <c r="I99" s="634">
        <v>371812.50753135112</v>
      </c>
      <c r="J99" s="613">
        <v>0</v>
      </c>
      <c r="K99" s="514"/>
      <c r="L99" s="518">
        <f t="shared" ref="L99:L104" si="22">H99</f>
        <v>371812.50753135112</v>
      </c>
      <c r="M99" s="519">
        <f t="shared" ref="M99:M104" si="23">IF(L99&lt;&gt;0,+H99-L99,0)</f>
        <v>0</v>
      </c>
      <c r="N99" s="518">
        <f t="shared" ref="N99:N104" si="24">I99</f>
        <v>371812.50753135112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2014</v>
      </c>
      <c r="D100" s="629">
        <v>4230489.5595238097</v>
      </c>
      <c r="E100" s="630">
        <v>102777.80952380953</v>
      </c>
      <c r="F100" s="631">
        <v>4127711.75</v>
      </c>
      <c r="G100" s="631">
        <v>4179100.6547619049</v>
      </c>
      <c r="H100" s="633">
        <v>670815.62922303798</v>
      </c>
      <c r="I100" s="634">
        <v>670815.62922303798</v>
      </c>
      <c r="J100" s="514">
        <f>+I100-H100</f>
        <v>0</v>
      </c>
      <c r="K100" s="514"/>
      <c r="L100" s="518">
        <f t="shared" si="22"/>
        <v>670815.62922303798</v>
      </c>
      <c r="M100" s="519">
        <f t="shared" si="23"/>
        <v>0</v>
      </c>
      <c r="N100" s="518">
        <f t="shared" si="24"/>
        <v>670815.62922303798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5">IF(D101=F100,"","IU")</f>
        <v>IU</v>
      </c>
      <c r="C101" s="507">
        <f>IF(D93="","-",+C100+1)</f>
        <v>2015</v>
      </c>
      <c r="D101" s="629">
        <v>4128252.75</v>
      </c>
      <c r="E101" s="630">
        <v>102777.80952380953</v>
      </c>
      <c r="F101" s="631">
        <v>4025474.9404761903</v>
      </c>
      <c r="G101" s="631">
        <v>4076863.8452380951</v>
      </c>
      <c r="H101" s="633">
        <v>639981.58365995577</v>
      </c>
      <c r="I101" s="634">
        <v>639981.58365995577</v>
      </c>
      <c r="J101" s="514">
        <f>+I101-H101</f>
        <v>0</v>
      </c>
      <c r="K101" s="514"/>
      <c r="L101" s="518">
        <f t="shared" si="22"/>
        <v>639981.58365995577</v>
      </c>
      <c r="M101" s="519">
        <f t="shared" si="23"/>
        <v>0</v>
      </c>
      <c r="N101" s="518">
        <f t="shared" si="24"/>
        <v>639981.58365995577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5"/>
        <v/>
      </c>
      <c r="C102" s="507">
        <f>IF(D93="","-",+C101+1)</f>
        <v>2016</v>
      </c>
      <c r="D102" s="629">
        <v>4025474.9404761903</v>
      </c>
      <c r="E102" s="630">
        <v>100387.62790697675</v>
      </c>
      <c r="F102" s="631">
        <v>3925087.3125692136</v>
      </c>
      <c r="G102" s="631">
        <v>3975281.1265227022</v>
      </c>
      <c r="H102" s="633">
        <v>605049.52036198007</v>
      </c>
      <c r="I102" s="634">
        <v>605049.52036198007</v>
      </c>
      <c r="J102" s="514">
        <f t="shared" ref="J102:J154" si="26">+I102-H102</f>
        <v>0</v>
      </c>
      <c r="K102" s="514"/>
      <c r="L102" s="518">
        <f t="shared" si="22"/>
        <v>605049.52036198007</v>
      </c>
      <c r="M102" s="519">
        <f t="shared" si="23"/>
        <v>0</v>
      </c>
      <c r="N102" s="518">
        <f t="shared" si="24"/>
        <v>605049.52036198007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25"/>
        <v/>
      </c>
      <c r="C103" s="507">
        <f>IF(D93="","-",+C102+1)</f>
        <v>2017</v>
      </c>
      <c r="D103" s="629">
        <v>3925087.3125692136</v>
      </c>
      <c r="E103" s="630">
        <v>102777.80952380953</v>
      </c>
      <c r="F103" s="631">
        <v>3822309.5030454039</v>
      </c>
      <c r="G103" s="631">
        <v>3873698.4078073087</v>
      </c>
      <c r="H103" s="633">
        <v>573321.60174828372</v>
      </c>
      <c r="I103" s="634">
        <v>573321.60174828372</v>
      </c>
      <c r="J103" s="514">
        <f t="shared" si="26"/>
        <v>0</v>
      </c>
      <c r="K103" s="514"/>
      <c r="L103" s="518">
        <f t="shared" si="22"/>
        <v>573321.60174828372</v>
      </c>
      <c r="M103" s="519">
        <f t="shared" si="23"/>
        <v>0</v>
      </c>
      <c r="N103" s="518">
        <f t="shared" si="24"/>
        <v>573321.60174828372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25"/>
        <v/>
      </c>
      <c r="C104" s="507">
        <f>IF(D93="","-",+C103+1)</f>
        <v>2018</v>
      </c>
      <c r="D104" s="629">
        <v>3822309.5030454039</v>
      </c>
      <c r="E104" s="630">
        <v>102777.80952380953</v>
      </c>
      <c r="F104" s="631">
        <v>3719531.6935215942</v>
      </c>
      <c r="G104" s="631">
        <v>3770920.598283499</v>
      </c>
      <c r="H104" s="633">
        <v>501004.31746485061</v>
      </c>
      <c r="I104" s="634">
        <v>501004.31746485061</v>
      </c>
      <c r="J104" s="514">
        <f t="shared" si="26"/>
        <v>0</v>
      </c>
      <c r="K104" s="514"/>
      <c r="L104" s="518">
        <f t="shared" si="22"/>
        <v>501004.31746485061</v>
      </c>
      <c r="M104" s="519">
        <f t="shared" si="23"/>
        <v>0</v>
      </c>
      <c r="N104" s="518">
        <f t="shared" si="24"/>
        <v>501004.31746485061</v>
      </c>
      <c r="O104" s="514">
        <f t="shared" ref="O104:O130" si="27">IF(N104&lt;&gt;0,+I104-N104,0)</f>
        <v>0</v>
      </c>
      <c r="P104" s="514">
        <f t="shared" ref="P104:P130" si="28">+O104-M104</f>
        <v>0</v>
      </c>
    </row>
    <row r="105" spans="1:16" ht="12.5">
      <c r="B105" s="195" t="str">
        <f t="shared" si="25"/>
        <v/>
      </c>
      <c r="C105" s="507">
        <f>IF(D93="","-",+C104+1)</f>
        <v>2019</v>
      </c>
      <c r="D105" s="629">
        <v>3719531.6935215942</v>
      </c>
      <c r="E105" s="630">
        <v>100387.62790697675</v>
      </c>
      <c r="F105" s="631">
        <v>3619144.0656146174</v>
      </c>
      <c r="G105" s="631">
        <v>3669337.8795681056</v>
      </c>
      <c r="H105" s="633">
        <v>493155.55998343643</v>
      </c>
      <c r="I105" s="634">
        <v>493155.55998343643</v>
      </c>
      <c r="J105" s="514">
        <f t="shared" si="26"/>
        <v>0</v>
      </c>
      <c r="K105" s="514"/>
      <c r="L105" s="518">
        <f t="shared" ref="L105" si="29">H105</f>
        <v>493155.55998343643</v>
      </c>
      <c r="M105" s="519">
        <f t="shared" ref="M105" si="30">IF(L105&lt;&gt;0,+H105-L105,0)</f>
        <v>0</v>
      </c>
      <c r="N105" s="518">
        <f t="shared" ref="N105" si="31">I105</f>
        <v>493155.55998343643</v>
      </c>
      <c r="O105" s="514">
        <f t="shared" si="27"/>
        <v>0</v>
      </c>
      <c r="P105" s="514">
        <f t="shared" si="28"/>
        <v>0</v>
      </c>
    </row>
    <row r="106" spans="1:16" ht="12.5">
      <c r="B106" s="195" t="str">
        <f t="shared" si="25"/>
        <v/>
      </c>
      <c r="C106" s="507">
        <f>IF(D93="","-",+C105+1)</f>
        <v>2020</v>
      </c>
      <c r="D106" s="374">
        <f>IF(F105+SUM(E$99:E105)=D$92,F105,D$92-SUM(E$99:E105))</f>
        <v>3619144.0656146174</v>
      </c>
      <c r="E106" s="522">
        <f t="shared" ref="E106:E154" si="32">IF(+$J$96&lt;F105,$J$96,D106)</f>
        <v>102777.80952380953</v>
      </c>
      <c r="F106" s="523">
        <f t="shared" ref="F106:F154" si="33">+D106-E106</f>
        <v>3516366.2560908077</v>
      </c>
      <c r="G106" s="523">
        <f t="shared" ref="G106:G154" si="34">+(F106+D106)/2</f>
        <v>3567755.1608527126</v>
      </c>
      <c r="H106" s="526">
        <f t="shared" ref="H106:H154" si="35">+J$94*G106+E106</f>
        <v>486574.90560102114</v>
      </c>
      <c r="I106" s="577">
        <f t="shared" ref="I106:I154" si="36">+J$95*G106+E106</f>
        <v>486574.90560102114</v>
      </c>
      <c r="J106" s="514">
        <f t="shared" si="26"/>
        <v>0</v>
      </c>
      <c r="K106" s="514"/>
      <c r="L106" s="525"/>
      <c r="M106" s="514">
        <f t="shared" ref="M106:M130" si="37">IF(L106&lt;&gt;0,+H106-L106,0)</f>
        <v>0</v>
      </c>
      <c r="N106" s="525"/>
      <c r="O106" s="514">
        <f t="shared" si="27"/>
        <v>0</v>
      </c>
      <c r="P106" s="514">
        <f t="shared" si="28"/>
        <v>0</v>
      </c>
    </row>
    <row r="107" spans="1:16" ht="12.5">
      <c r="B107" s="195" t="str">
        <f t="shared" si="25"/>
        <v/>
      </c>
      <c r="C107" s="507">
        <f>IF(D93="","-",+C106+1)</f>
        <v>2021</v>
      </c>
      <c r="D107" s="374">
        <f>IF(F106+SUM(E$99:E106)=D$92,F106,D$92-SUM(E$99:E106))</f>
        <v>3516366.2560908077</v>
      </c>
      <c r="E107" s="522">
        <f t="shared" si="32"/>
        <v>102777.80952380953</v>
      </c>
      <c r="F107" s="523">
        <f t="shared" si="33"/>
        <v>3413588.446566998</v>
      </c>
      <c r="G107" s="523">
        <f t="shared" si="34"/>
        <v>3464977.3513289029</v>
      </c>
      <c r="H107" s="526">
        <f t="shared" si="35"/>
        <v>475518.70273451414</v>
      </c>
      <c r="I107" s="577">
        <f t="shared" si="36"/>
        <v>475518.70273451414</v>
      </c>
      <c r="J107" s="514">
        <f t="shared" si="26"/>
        <v>0</v>
      </c>
      <c r="K107" s="514"/>
      <c r="L107" s="525"/>
      <c r="M107" s="514">
        <f t="shared" si="37"/>
        <v>0</v>
      </c>
      <c r="N107" s="525"/>
      <c r="O107" s="514">
        <f t="shared" si="27"/>
        <v>0</v>
      </c>
      <c r="P107" s="514">
        <f t="shared" si="28"/>
        <v>0</v>
      </c>
    </row>
    <row r="108" spans="1:16" ht="12.5">
      <c r="B108" s="195" t="str">
        <f t="shared" si="25"/>
        <v/>
      </c>
      <c r="C108" s="507">
        <f>IF(D93="","-",+C107+1)</f>
        <v>2022</v>
      </c>
      <c r="D108" s="374">
        <f>IF(F107+SUM(E$99:E107)=D$92,F107,D$92-SUM(E$99:E107))</f>
        <v>3413588.446566998</v>
      </c>
      <c r="E108" s="522">
        <f t="shared" si="32"/>
        <v>102777.80952380953</v>
      </c>
      <c r="F108" s="523">
        <f t="shared" si="33"/>
        <v>3310810.6370431883</v>
      </c>
      <c r="G108" s="523">
        <f t="shared" si="34"/>
        <v>3362199.5418050932</v>
      </c>
      <c r="H108" s="526">
        <f t="shared" si="35"/>
        <v>464462.49986800714</v>
      </c>
      <c r="I108" s="577">
        <f t="shared" si="36"/>
        <v>464462.49986800714</v>
      </c>
      <c r="J108" s="514">
        <f t="shared" si="26"/>
        <v>0</v>
      </c>
      <c r="K108" s="514"/>
      <c r="L108" s="525"/>
      <c r="M108" s="514">
        <f t="shared" si="37"/>
        <v>0</v>
      </c>
      <c r="N108" s="525"/>
      <c r="O108" s="514">
        <f t="shared" si="27"/>
        <v>0</v>
      </c>
      <c r="P108" s="514">
        <f t="shared" si="28"/>
        <v>0</v>
      </c>
    </row>
    <row r="109" spans="1:16" ht="12.5">
      <c r="B109" s="195" t="str">
        <f t="shared" si="25"/>
        <v/>
      </c>
      <c r="C109" s="507">
        <f>IF(D93="","-",+C108+1)</f>
        <v>2023</v>
      </c>
      <c r="D109" s="374">
        <f>IF(F108+SUM(E$99:E108)=D$92,F108,D$92-SUM(E$99:E108))</f>
        <v>3310810.6370431883</v>
      </c>
      <c r="E109" s="522">
        <f t="shared" si="32"/>
        <v>102777.80952380953</v>
      </c>
      <c r="F109" s="523">
        <f t="shared" si="33"/>
        <v>3208032.8275193786</v>
      </c>
      <c r="G109" s="523">
        <f t="shared" si="34"/>
        <v>3259421.7322812835</v>
      </c>
      <c r="H109" s="526">
        <f t="shared" si="35"/>
        <v>453406.29700150015</v>
      </c>
      <c r="I109" s="577">
        <f t="shared" si="36"/>
        <v>453406.29700150015</v>
      </c>
      <c r="J109" s="514">
        <f t="shared" si="26"/>
        <v>0</v>
      </c>
      <c r="K109" s="514"/>
      <c r="L109" s="525"/>
      <c r="M109" s="514">
        <f t="shared" si="37"/>
        <v>0</v>
      </c>
      <c r="N109" s="525"/>
      <c r="O109" s="514">
        <f t="shared" si="27"/>
        <v>0</v>
      </c>
      <c r="P109" s="514">
        <f t="shared" si="28"/>
        <v>0</v>
      </c>
    </row>
    <row r="110" spans="1:16" ht="12.5">
      <c r="B110" s="195" t="str">
        <f t="shared" si="25"/>
        <v/>
      </c>
      <c r="C110" s="507">
        <f>IF(D93="","-",+C109+1)</f>
        <v>2024</v>
      </c>
      <c r="D110" s="374">
        <f>IF(F109+SUM(E$99:E109)=D$92,F109,D$92-SUM(E$99:E109))</f>
        <v>3208032.8275193786</v>
      </c>
      <c r="E110" s="522">
        <f t="shared" si="32"/>
        <v>102777.80952380953</v>
      </c>
      <c r="F110" s="523">
        <f t="shared" si="33"/>
        <v>3105255.0179955689</v>
      </c>
      <c r="G110" s="523">
        <f t="shared" si="34"/>
        <v>3156643.9227574738</v>
      </c>
      <c r="H110" s="526">
        <f t="shared" si="35"/>
        <v>442350.09413499309</v>
      </c>
      <c r="I110" s="577">
        <f t="shared" si="36"/>
        <v>442350.09413499309</v>
      </c>
      <c r="J110" s="514">
        <f t="shared" si="26"/>
        <v>0</v>
      </c>
      <c r="K110" s="514"/>
      <c r="L110" s="525"/>
      <c r="M110" s="514">
        <f t="shared" si="37"/>
        <v>0</v>
      </c>
      <c r="N110" s="525"/>
      <c r="O110" s="514">
        <f t="shared" si="27"/>
        <v>0</v>
      </c>
      <c r="P110" s="514">
        <f t="shared" si="28"/>
        <v>0</v>
      </c>
    </row>
    <row r="111" spans="1:16" ht="12.5">
      <c r="B111" s="195" t="str">
        <f t="shared" si="25"/>
        <v/>
      </c>
      <c r="C111" s="507">
        <f>IF(D93="","-",+C110+1)</f>
        <v>2025</v>
      </c>
      <c r="D111" s="374">
        <f>IF(F110+SUM(E$99:E110)=D$92,F110,D$92-SUM(E$99:E110))</f>
        <v>3105255.0179955689</v>
      </c>
      <c r="E111" s="522">
        <f t="shared" si="32"/>
        <v>102777.80952380953</v>
      </c>
      <c r="F111" s="523">
        <f t="shared" si="33"/>
        <v>3002477.2084717592</v>
      </c>
      <c r="G111" s="523">
        <f t="shared" si="34"/>
        <v>3053866.1132336641</v>
      </c>
      <c r="H111" s="526">
        <f t="shared" si="35"/>
        <v>431293.8912684861</v>
      </c>
      <c r="I111" s="577">
        <f t="shared" si="36"/>
        <v>431293.8912684861</v>
      </c>
      <c r="J111" s="514">
        <f t="shared" si="26"/>
        <v>0</v>
      </c>
      <c r="K111" s="514"/>
      <c r="L111" s="525"/>
      <c r="M111" s="514">
        <f t="shared" si="37"/>
        <v>0</v>
      </c>
      <c r="N111" s="525"/>
      <c r="O111" s="514">
        <f t="shared" si="27"/>
        <v>0</v>
      </c>
      <c r="P111" s="514">
        <f t="shared" si="28"/>
        <v>0</v>
      </c>
    </row>
    <row r="112" spans="1:16" ht="12.5">
      <c r="B112" s="195" t="str">
        <f t="shared" si="25"/>
        <v/>
      </c>
      <c r="C112" s="507">
        <f>IF(D93="","-",+C111+1)</f>
        <v>2026</v>
      </c>
      <c r="D112" s="374">
        <f>IF(F111+SUM(E$99:E111)=D$92,F111,D$92-SUM(E$99:E111))</f>
        <v>3002477.2084717592</v>
      </c>
      <c r="E112" s="522">
        <f t="shared" si="32"/>
        <v>102777.80952380953</v>
      </c>
      <c r="F112" s="523">
        <f t="shared" si="33"/>
        <v>2899699.3989479495</v>
      </c>
      <c r="G112" s="523">
        <f t="shared" si="34"/>
        <v>2951088.3037098544</v>
      </c>
      <c r="H112" s="526">
        <f t="shared" si="35"/>
        <v>420237.6884019791</v>
      </c>
      <c r="I112" s="577">
        <f t="shared" si="36"/>
        <v>420237.6884019791</v>
      </c>
      <c r="J112" s="514">
        <f t="shared" si="26"/>
        <v>0</v>
      </c>
      <c r="K112" s="514"/>
      <c r="L112" s="525"/>
      <c r="M112" s="514">
        <f t="shared" si="37"/>
        <v>0</v>
      </c>
      <c r="N112" s="525"/>
      <c r="O112" s="514">
        <f t="shared" si="27"/>
        <v>0</v>
      </c>
      <c r="P112" s="514">
        <f t="shared" si="28"/>
        <v>0</v>
      </c>
    </row>
    <row r="113" spans="2:16" ht="12.5">
      <c r="B113" s="195" t="str">
        <f t="shared" si="25"/>
        <v/>
      </c>
      <c r="C113" s="507">
        <f>IF(D93="","-",+C112+1)</f>
        <v>2027</v>
      </c>
      <c r="D113" s="374">
        <f>IF(F112+SUM(E$99:E112)=D$92,F112,D$92-SUM(E$99:E112))</f>
        <v>2899699.3989479495</v>
      </c>
      <c r="E113" s="522">
        <f t="shared" si="32"/>
        <v>102777.80952380953</v>
      </c>
      <c r="F113" s="523">
        <f t="shared" si="33"/>
        <v>2796921.5894241398</v>
      </c>
      <c r="G113" s="523">
        <f t="shared" si="34"/>
        <v>2848310.4941860447</v>
      </c>
      <c r="H113" s="526">
        <f t="shared" si="35"/>
        <v>409181.48553547205</v>
      </c>
      <c r="I113" s="577">
        <f t="shared" si="36"/>
        <v>409181.48553547205</v>
      </c>
      <c r="J113" s="514">
        <f t="shared" si="26"/>
        <v>0</v>
      </c>
      <c r="K113" s="514"/>
      <c r="L113" s="525"/>
      <c r="M113" s="514">
        <f t="shared" si="37"/>
        <v>0</v>
      </c>
      <c r="N113" s="525"/>
      <c r="O113" s="514">
        <f t="shared" si="27"/>
        <v>0</v>
      </c>
      <c r="P113" s="514">
        <f t="shared" si="28"/>
        <v>0</v>
      </c>
    </row>
    <row r="114" spans="2:16" ht="12.5">
      <c r="B114" s="195" t="str">
        <f t="shared" si="25"/>
        <v/>
      </c>
      <c r="C114" s="507">
        <f>IF(D93="","-",+C113+1)</f>
        <v>2028</v>
      </c>
      <c r="D114" s="374">
        <f>IF(F113+SUM(E$99:E113)=D$92,F113,D$92-SUM(E$99:E113))</f>
        <v>2796921.5894241398</v>
      </c>
      <c r="E114" s="522">
        <f t="shared" si="32"/>
        <v>102777.80952380953</v>
      </c>
      <c r="F114" s="523">
        <f t="shared" si="33"/>
        <v>2694143.7799003301</v>
      </c>
      <c r="G114" s="523">
        <f t="shared" si="34"/>
        <v>2745532.684662235</v>
      </c>
      <c r="H114" s="526">
        <f t="shared" si="35"/>
        <v>398125.28266896505</v>
      </c>
      <c r="I114" s="577">
        <f t="shared" si="36"/>
        <v>398125.28266896505</v>
      </c>
      <c r="J114" s="514">
        <f t="shared" si="26"/>
        <v>0</v>
      </c>
      <c r="K114" s="514"/>
      <c r="L114" s="525"/>
      <c r="M114" s="514">
        <f t="shared" si="37"/>
        <v>0</v>
      </c>
      <c r="N114" s="525"/>
      <c r="O114" s="514">
        <f t="shared" si="27"/>
        <v>0</v>
      </c>
      <c r="P114" s="514">
        <f t="shared" si="28"/>
        <v>0</v>
      </c>
    </row>
    <row r="115" spans="2:16" ht="12.5">
      <c r="B115" s="195" t="str">
        <f t="shared" si="25"/>
        <v/>
      </c>
      <c r="C115" s="507">
        <f>IF(D93="","-",+C114+1)</f>
        <v>2029</v>
      </c>
      <c r="D115" s="374">
        <f>IF(F114+SUM(E$99:E114)=D$92,F114,D$92-SUM(E$99:E114))</f>
        <v>2694143.7799003301</v>
      </c>
      <c r="E115" s="522">
        <f t="shared" si="32"/>
        <v>102777.80952380953</v>
      </c>
      <c r="F115" s="523">
        <f t="shared" si="33"/>
        <v>2591365.9703765204</v>
      </c>
      <c r="G115" s="523">
        <f t="shared" si="34"/>
        <v>2642754.8751384253</v>
      </c>
      <c r="H115" s="526">
        <f t="shared" si="35"/>
        <v>387069.07980245806</v>
      </c>
      <c r="I115" s="577">
        <f t="shared" si="36"/>
        <v>387069.07980245806</v>
      </c>
      <c r="J115" s="514">
        <f t="shared" si="26"/>
        <v>0</v>
      </c>
      <c r="K115" s="514"/>
      <c r="L115" s="525"/>
      <c r="M115" s="514">
        <f t="shared" si="37"/>
        <v>0</v>
      </c>
      <c r="N115" s="525"/>
      <c r="O115" s="514">
        <f t="shared" si="27"/>
        <v>0</v>
      </c>
      <c r="P115" s="514">
        <f t="shared" si="28"/>
        <v>0</v>
      </c>
    </row>
    <row r="116" spans="2:16" ht="12.5">
      <c r="B116" s="195" t="str">
        <f t="shared" si="25"/>
        <v/>
      </c>
      <c r="C116" s="507">
        <f>IF(D93="","-",+C115+1)</f>
        <v>2030</v>
      </c>
      <c r="D116" s="374">
        <f>IF(F115+SUM(E$99:E115)=D$92,F115,D$92-SUM(E$99:E115))</f>
        <v>2591365.9703765204</v>
      </c>
      <c r="E116" s="522">
        <f t="shared" si="32"/>
        <v>102777.80952380953</v>
      </c>
      <c r="F116" s="523">
        <f t="shared" si="33"/>
        <v>2488588.1608527107</v>
      </c>
      <c r="G116" s="523">
        <f t="shared" si="34"/>
        <v>2539977.0656146156</v>
      </c>
      <c r="H116" s="526">
        <f t="shared" si="35"/>
        <v>376012.876935951</v>
      </c>
      <c r="I116" s="577">
        <f t="shared" si="36"/>
        <v>376012.876935951</v>
      </c>
      <c r="J116" s="514">
        <f t="shared" si="26"/>
        <v>0</v>
      </c>
      <c r="K116" s="514"/>
      <c r="L116" s="525"/>
      <c r="M116" s="514">
        <f t="shared" si="37"/>
        <v>0</v>
      </c>
      <c r="N116" s="525"/>
      <c r="O116" s="514">
        <f t="shared" si="27"/>
        <v>0</v>
      </c>
      <c r="P116" s="514">
        <f t="shared" si="28"/>
        <v>0</v>
      </c>
    </row>
    <row r="117" spans="2:16" ht="12.5">
      <c r="B117" s="195" t="str">
        <f t="shared" si="25"/>
        <v/>
      </c>
      <c r="C117" s="507">
        <f>IF(D93="","-",+C116+1)</f>
        <v>2031</v>
      </c>
      <c r="D117" s="374">
        <f>IF(F116+SUM(E$99:E116)=D$92,F116,D$92-SUM(E$99:E116))</f>
        <v>2488588.1608527107</v>
      </c>
      <c r="E117" s="522">
        <f t="shared" si="32"/>
        <v>102777.80952380953</v>
      </c>
      <c r="F117" s="523">
        <f t="shared" si="33"/>
        <v>2385810.351328901</v>
      </c>
      <c r="G117" s="523">
        <f t="shared" si="34"/>
        <v>2437199.2560908059</v>
      </c>
      <c r="H117" s="526">
        <f t="shared" si="35"/>
        <v>364956.67406944401</v>
      </c>
      <c r="I117" s="577">
        <f t="shared" si="36"/>
        <v>364956.67406944401</v>
      </c>
      <c r="J117" s="514">
        <f t="shared" si="26"/>
        <v>0</v>
      </c>
      <c r="K117" s="514"/>
      <c r="L117" s="525"/>
      <c r="M117" s="514">
        <f t="shared" si="37"/>
        <v>0</v>
      </c>
      <c r="N117" s="525"/>
      <c r="O117" s="514">
        <f t="shared" si="27"/>
        <v>0</v>
      </c>
      <c r="P117" s="514">
        <f t="shared" si="28"/>
        <v>0</v>
      </c>
    </row>
    <row r="118" spans="2:16" ht="12.5">
      <c r="B118" s="195" t="str">
        <f t="shared" si="25"/>
        <v/>
      </c>
      <c r="C118" s="507">
        <f>IF(D93="","-",+C117+1)</f>
        <v>2032</v>
      </c>
      <c r="D118" s="374">
        <f>IF(F117+SUM(E$99:E117)=D$92,F117,D$92-SUM(E$99:E117))</f>
        <v>2385810.351328901</v>
      </c>
      <c r="E118" s="522">
        <f t="shared" si="32"/>
        <v>102777.80952380953</v>
      </c>
      <c r="F118" s="523">
        <f t="shared" si="33"/>
        <v>2283032.5418050913</v>
      </c>
      <c r="G118" s="523">
        <f t="shared" si="34"/>
        <v>2334421.4465669962</v>
      </c>
      <c r="H118" s="526">
        <f t="shared" si="35"/>
        <v>353900.47120293701</v>
      </c>
      <c r="I118" s="577">
        <f t="shared" si="36"/>
        <v>353900.47120293701</v>
      </c>
      <c r="J118" s="514">
        <f t="shared" si="26"/>
        <v>0</v>
      </c>
      <c r="K118" s="514"/>
      <c r="L118" s="525"/>
      <c r="M118" s="514">
        <f t="shared" si="37"/>
        <v>0</v>
      </c>
      <c r="N118" s="525"/>
      <c r="O118" s="514">
        <f t="shared" si="27"/>
        <v>0</v>
      </c>
      <c r="P118" s="514">
        <f t="shared" si="28"/>
        <v>0</v>
      </c>
    </row>
    <row r="119" spans="2:16" ht="12.5">
      <c r="B119" s="195" t="str">
        <f t="shared" si="25"/>
        <v/>
      </c>
      <c r="C119" s="507">
        <f>IF(D93="","-",+C118+1)</f>
        <v>2033</v>
      </c>
      <c r="D119" s="374">
        <f>IF(F118+SUM(E$99:E118)=D$92,F118,D$92-SUM(E$99:E118))</f>
        <v>2283032.5418050913</v>
      </c>
      <c r="E119" s="522">
        <f t="shared" si="32"/>
        <v>102777.80952380953</v>
      </c>
      <c r="F119" s="523">
        <f t="shared" si="33"/>
        <v>2180254.7322812816</v>
      </c>
      <c r="G119" s="523">
        <f t="shared" si="34"/>
        <v>2231643.6370431865</v>
      </c>
      <c r="H119" s="526">
        <f t="shared" si="35"/>
        <v>342844.26833642996</v>
      </c>
      <c r="I119" s="577">
        <f t="shared" si="36"/>
        <v>342844.26833642996</v>
      </c>
      <c r="J119" s="514">
        <f t="shared" si="26"/>
        <v>0</v>
      </c>
      <c r="K119" s="514"/>
      <c r="L119" s="525"/>
      <c r="M119" s="514">
        <f t="shared" si="37"/>
        <v>0</v>
      </c>
      <c r="N119" s="525"/>
      <c r="O119" s="514">
        <f t="shared" si="27"/>
        <v>0</v>
      </c>
      <c r="P119" s="514">
        <f t="shared" si="28"/>
        <v>0</v>
      </c>
    </row>
    <row r="120" spans="2:16" ht="12.5">
      <c r="B120" s="195" t="str">
        <f t="shared" si="25"/>
        <v/>
      </c>
      <c r="C120" s="507">
        <f>IF(D93="","-",+C119+1)</f>
        <v>2034</v>
      </c>
      <c r="D120" s="374">
        <f>IF(F119+SUM(E$99:E119)=D$92,F119,D$92-SUM(E$99:E119))</f>
        <v>2180254.7322812816</v>
      </c>
      <c r="E120" s="522">
        <f t="shared" si="32"/>
        <v>102777.80952380953</v>
      </c>
      <c r="F120" s="523">
        <f t="shared" si="33"/>
        <v>2077476.9227574721</v>
      </c>
      <c r="G120" s="523">
        <f t="shared" si="34"/>
        <v>2128865.8275193768</v>
      </c>
      <c r="H120" s="526">
        <f t="shared" si="35"/>
        <v>331788.06546992296</v>
      </c>
      <c r="I120" s="577">
        <f t="shared" si="36"/>
        <v>331788.06546992296</v>
      </c>
      <c r="J120" s="514">
        <f t="shared" si="26"/>
        <v>0</v>
      </c>
      <c r="K120" s="514"/>
      <c r="L120" s="525"/>
      <c r="M120" s="514">
        <f t="shared" si="37"/>
        <v>0</v>
      </c>
      <c r="N120" s="525"/>
      <c r="O120" s="514">
        <f t="shared" si="27"/>
        <v>0</v>
      </c>
      <c r="P120" s="514">
        <f t="shared" si="28"/>
        <v>0</v>
      </c>
    </row>
    <row r="121" spans="2:16" ht="12.5">
      <c r="B121" s="195" t="str">
        <f t="shared" si="25"/>
        <v/>
      </c>
      <c r="C121" s="507">
        <f>IF(D93="","-",+C120+1)</f>
        <v>2035</v>
      </c>
      <c r="D121" s="374">
        <f>IF(F120+SUM(E$99:E120)=D$92,F120,D$92-SUM(E$99:E120))</f>
        <v>2077476.9227574721</v>
      </c>
      <c r="E121" s="522">
        <f t="shared" si="32"/>
        <v>102777.80952380953</v>
      </c>
      <c r="F121" s="523">
        <f t="shared" si="33"/>
        <v>1974699.1132336627</v>
      </c>
      <c r="G121" s="523">
        <f t="shared" si="34"/>
        <v>2026088.0179955675</v>
      </c>
      <c r="H121" s="526">
        <f t="shared" si="35"/>
        <v>320731.86260341603</v>
      </c>
      <c r="I121" s="577">
        <f t="shared" si="36"/>
        <v>320731.86260341603</v>
      </c>
      <c r="J121" s="514">
        <f t="shared" si="26"/>
        <v>0</v>
      </c>
      <c r="K121" s="514"/>
      <c r="L121" s="525"/>
      <c r="M121" s="514">
        <f t="shared" si="37"/>
        <v>0</v>
      </c>
      <c r="N121" s="525"/>
      <c r="O121" s="514">
        <f t="shared" si="27"/>
        <v>0</v>
      </c>
      <c r="P121" s="514">
        <f t="shared" si="28"/>
        <v>0</v>
      </c>
    </row>
    <row r="122" spans="2:16" ht="12.5">
      <c r="B122" s="195" t="str">
        <f t="shared" si="25"/>
        <v/>
      </c>
      <c r="C122" s="507">
        <f>IF(D93="","-",+C121+1)</f>
        <v>2036</v>
      </c>
      <c r="D122" s="374">
        <f>IF(F121+SUM(E$99:E121)=D$92,F121,D$92-SUM(E$99:E121))</f>
        <v>1974699.1132336627</v>
      </c>
      <c r="E122" s="522">
        <f t="shared" si="32"/>
        <v>102777.80952380953</v>
      </c>
      <c r="F122" s="523">
        <f t="shared" si="33"/>
        <v>1871921.3037098532</v>
      </c>
      <c r="G122" s="523">
        <f t="shared" si="34"/>
        <v>1923310.2084717578</v>
      </c>
      <c r="H122" s="526">
        <f t="shared" si="35"/>
        <v>309675.65973690897</v>
      </c>
      <c r="I122" s="577">
        <f t="shared" si="36"/>
        <v>309675.65973690897</v>
      </c>
      <c r="J122" s="514">
        <f t="shared" si="26"/>
        <v>0</v>
      </c>
      <c r="K122" s="514"/>
      <c r="L122" s="525"/>
      <c r="M122" s="514">
        <f t="shared" si="37"/>
        <v>0</v>
      </c>
      <c r="N122" s="525"/>
      <c r="O122" s="514">
        <f t="shared" si="27"/>
        <v>0</v>
      </c>
      <c r="P122" s="514">
        <f t="shared" si="28"/>
        <v>0</v>
      </c>
    </row>
    <row r="123" spans="2:16" ht="12.5">
      <c r="B123" s="195" t="str">
        <f t="shared" si="25"/>
        <v/>
      </c>
      <c r="C123" s="507">
        <f>IF(D93="","-",+C122+1)</f>
        <v>2037</v>
      </c>
      <c r="D123" s="374">
        <f>IF(F122+SUM(E$99:E122)=D$92,F122,D$92-SUM(E$99:E122))</f>
        <v>1871921.3037098532</v>
      </c>
      <c r="E123" s="522">
        <f t="shared" si="32"/>
        <v>102777.80952380953</v>
      </c>
      <c r="F123" s="523">
        <f t="shared" si="33"/>
        <v>1769143.4941860437</v>
      </c>
      <c r="G123" s="523">
        <f t="shared" si="34"/>
        <v>1820532.3989479486</v>
      </c>
      <c r="H123" s="526">
        <f t="shared" si="35"/>
        <v>298619.45687040203</v>
      </c>
      <c r="I123" s="577">
        <f t="shared" si="36"/>
        <v>298619.45687040203</v>
      </c>
      <c r="J123" s="514">
        <f t="shared" si="26"/>
        <v>0</v>
      </c>
      <c r="K123" s="514"/>
      <c r="L123" s="525"/>
      <c r="M123" s="514">
        <f t="shared" si="37"/>
        <v>0</v>
      </c>
      <c r="N123" s="525"/>
      <c r="O123" s="514">
        <f t="shared" si="27"/>
        <v>0</v>
      </c>
      <c r="P123" s="514">
        <f t="shared" si="28"/>
        <v>0</v>
      </c>
    </row>
    <row r="124" spans="2:16" ht="12.5">
      <c r="B124" s="195" t="str">
        <f t="shared" si="25"/>
        <v/>
      </c>
      <c r="C124" s="507">
        <f>IF(D93="","-",+C123+1)</f>
        <v>2038</v>
      </c>
      <c r="D124" s="374">
        <f>IF(F123+SUM(E$99:E123)=D$92,F123,D$92-SUM(E$99:E123))</f>
        <v>1769143.4941860437</v>
      </c>
      <c r="E124" s="522">
        <f t="shared" si="32"/>
        <v>102777.80952380953</v>
      </c>
      <c r="F124" s="523">
        <f t="shared" si="33"/>
        <v>1666365.6846622343</v>
      </c>
      <c r="G124" s="523">
        <f t="shared" si="34"/>
        <v>1717754.5894241389</v>
      </c>
      <c r="H124" s="526">
        <f t="shared" si="35"/>
        <v>287563.25400389504</v>
      </c>
      <c r="I124" s="577">
        <f t="shared" si="36"/>
        <v>287563.25400389504</v>
      </c>
      <c r="J124" s="514">
        <f t="shared" si="26"/>
        <v>0</v>
      </c>
      <c r="K124" s="514"/>
      <c r="L124" s="525"/>
      <c r="M124" s="514">
        <f t="shared" si="37"/>
        <v>0</v>
      </c>
      <c r="N124" s="525"/>
      <c r="O124" s="514">
        <f t="shared" si="27"/>
        <v>0</v>
      </c>
      <c r="P124" s="514">
        <f t="shared" si="28"/>
        <v>0</v>
      </c>
    </row>
    <row r="125" spans="2:16" ht="12.5">
      <c r="B125" s="195" t="str">
        <f t="shared" si="25"/>
        <v/>
      </c>
      <c r="C125" s="507">
        <f>IF(D93="","-",+C124+1)</f>
        <v>2039</v>
      </c>
      <c r="D125" s="374">
        <f>IF(F124+SUM(E$99:E124)=D$92,F124,D$92-SUM(E$99:E124))</f>
        <v>1666365.6846622343</v>
      </c>
      <c r="E125" s="522">
        <f t="shared" si="32"/>
        <v>102777.80952380953</v>
      </c>
      <c r="F125" s="523">
        <f t="shared" si="33"/>
        <v>1563587.8751384248</v>
      </c>
      <c r="G125" s="523">
        <f t="shared" si="34"/>
        <v>1614976.7799003297</v>
      </c>
      <c r="H125" s="526">
        <f t="shared" si="35"/>
        <v>276507.0511373881</v>
      </c>
      <c r="I125" s="577">
        <f t="shared" si="36"/>
        <v>276507.0511373881</v>
      </c>
      <c r="J125" s="514">
        <f t="shared" si="26"/>
        <v>0</v>
      </c>
      <c r="K125" s="514"/>
      <c r="L125" s="525"/>
      <c r="M125" s="514">
        <f t="shared" si="37"/>
        <v>0</v>
      </c>
      <c r="N125" s="525"/>
      <c r="O125" s="514">
        <f t="shared" si="27"/>
        <v>0</v>
      </c>
      <c r="P125" s="514">
        <f t="shared" si="28"/>
        <v>0</v>
      </c>
    </row>
    <row r="126" spans="2:16" ht="12.5">
      <c r="B126" s="195" t="str">
        <f t="shared" si="25"/>
        <v/>
      </c>
      <c r="C126" s="507">
        <f>IF(D93="","-",+C125+1)</f>
        <v>2040</v>
      </c>
      <c r="D126" s="374">
        <f>IF(F125+SUM(E$99:E125)=D$92,F125,D$92-SUM(E$99:E125))</f>
        <v>1563587.8751384248</v>
      </c>
      <c r="E126" s="522">
        <f t="shared" si="32"/>
        <v>102777.80952380953</v>
      </c>
      <c r="F126" s="523">
        <f t="shared" si="33"/>
        <v>1460810.0656146153</v>
      </c>
      <c r="G126" s="523">
        <f t="shared" si="34"/>
        <v>1512198.97037652</v>
      </c>
      <c r="H126" s="526">
        <f t="shared" si="35"/>
        <v>265450.84827088105</v>
      </c>
      <c r="I126" s="577">
        <f t="shared" si="36"/>
        <v>265450.84827088105</v>
      </c>
      <c r="J126" s="514">
        <f t="shared" si="26"/>
        <v>0</v>
      </c>
      <c r="K126" s="514"/>
      <c r="L126" s="525"/>
      <c r="M126" s="514">
        <f t="shared" si="37"/>
        <v>0</v>
      </c>
      <c r="N126" s="525"/>
      <c r="O126" s="514">
        <f t="shared" si="27"/>
        <v>0</v>
      </c>
      <c r="P126" s="514">
        <f t="shared" si="28"/>
        <v>0</v>
      </c>
    </row>
    <row r="127" spans="2:16" ht="12.5">
      <c r="B127" s="195" t="str">
        <f t="shared" si="25"/>
        <v/>
      </c>
      <c r="C127" s="507">
        <f>IF(D93="","-",+C126+1)</f>
        <v>2041</v>
      </c>
      <c r="D127" s="374">
        <f>IF(F126+SUM(E$99:E126)=D$92,F126,D$92-SUM(E$99:E126))</f>
        <v>1460810.0656146153</v>
      </c>
      <c r="E127" s="522">
        <f t="shared" si="32"/>
        <v>102777.80952380953</v>
      </c>
      <c r="F127" s="523">
        <f t="shared" si="33"/>
        <v>1358032.2560908059</v>
      </c>
      <c r="G127" s="523">
        <f t="shared" si="34"/>
        <v>1409421.1608527107</v>
      </c>
      <c r="H127" s="526">
        <f t="shared" si="35"/>
        <v>254394.64540437408</v>
      </c>
      <c r="I127" s="577">
        <f t="shared" si="36"/>
        <v>254394.64540437408</v>
      </c>
      <c r="J127" s="514">
        <f t="shared" si="26"/>
        <v>0</v>
      </c>
      <c r="K127" s="514"/>
      <c r="L127" s="525"/>
      <c r="M127" s="514">
        <f t="shared" si="37"/>
        <v>0</v>
      </c>
      <c r="N127" s="525"/>
      <c r="O127" s="514">
        <f t="shared" si="27"/>
        <v>0</v>
      </c>
      <c r="P127" s="514">
        <f t="shared" si="28"/>
        <v>0</v>
      </c>
    </row>
    <row r="128" spans="2:16" ht="12.5">
      <c r="B128" s="195" t="str">
        <f t="shared" si="25"/>
        <v/>
      </c>
      <c r="C128" s="507">
        <f>IF(D93="","-",+C127+1)</f>
        <v>2042</v>
      </c>
      <c r="D128" s="374">
        <f>IF(F127+SUM(E$99:E127)=D$92,F127,D$92-SUM(E$99:E127))</f>
        <v>1358032.2560908059</v>
      </c>
      <c r="E128" s="522">
        <f t="shared" si="32"/>
        <v>102777.80952380953</v>
      </c>
      <c r="F128" s="523">
        <f t="shared" si="33"/>
        <v>1255254.4465669964</v>
      </c>
      <c r="G128" s="523">
        <f t="shared" si="34"/>
        <v>1306643.351328901</v>
      </c>
      <c r="H128" s="526">
        <f t="shared" si="35"/>
        <v>243338.44253786709</v>
      </c>
      <c r="I128" s="577">
        <f t="shared" si="36"/>
        <v>243338.44253786709</v>
      </c>
      <c r="J128" s="514">
        <f t="shared" si="26"/>
        <v>0</v>
      </c>
      <c r="K128" s="514"/>
      <c r="L128" s="525"/>
      <c r="M128" s="514">
        <f t="shared" si="37"/>
        <v>0</v>
      </c>
      <c r="N128" s="525"/>
      <c r="O128" s="514">
        <f t="shared" si="27"/>
        <v>0</v>
      </c>
      <c r="P128" s="514">
        <f t="shared" si="28"/>
        <v>0</v>
      </c>
    </row>
    <row r="129" spans="2:16" ht="12.5">
      <c r="B129" s="195" t="str">
        <f t="shared" si="25"/>
        <v/>
      </c>
      <c r="C129" s="507">
        <f>IF(D93="","-",+C128+1)</f>
        <v>2043</v>
      </c>
      <c r="D129" s="374">
        <f>IF(F128+SUM(E$99:E128)=D$92,F128,D$92-SUM(E$99:E128))</f>
        <v>1255254.4465669964</v>
      </c>
      <c r="E129" s="522">
        <f t="shared" si="32"/>
        <v>102777.80952380953</v>
      </c>
      <c r="F129" s="523">
        <f t="shared" si="33"/>
        <v>1152476.6370431869</v>
      </c>
      <c r="G129" s="523">
        <f t="shared" si="34"/>
        <v>1203865.5418050918</v>
      </c>
      <c r="H129" s="526">
        <f t="shared" si="35"/>
        <v>232282.23967136012</v>
      </c>
      <c r="I129" s="577">
        <f t="shared" si="36"/>
        <v>232282.23967136012</v>
      </c>
      <c r="J129" s="514">
        <f t="shared" si="26"/>
        <v>0</v>
      </c>
      <c r="K129" s="514"/>
      <c r="L129" s="525"/>
      <c r="M129" s="514">
        <f t="shared" si="37"/>
        <v>0</v>
      </c>
      <c r="N129" s="525"/>
      <c r="O129" s="514">
        <f t="shared" si="27"/>
        <v>0</v>
      </c>
      <c r="P129" s="514">
        <f t="shared" si="28"/>
        <v>0</v>
      </c>
    </row>
    <row r="130" spans="2:16" ht="12.5">
      <c r="B130" s="195" t="str">
        <f t="shared" si="25"/>
        <v/>
      </c>
      <c r="C130" s="507">
        <f>IF(D93="","-",+C129+1)</f>
        <v>2044</v>
      </c>
      <c r="D130" s="374">
        <f>IF(F129+SUM(E$99:E129)=D$92,F129,D$92-SUM(E$99:E129))</f>
        <v>1152476.6370431869</v>
      </c>
      <c r="E130" s="522">
        <f t="shared" si="32"/>
        <v>102777.80952380953</v>
      </c>
      <c r="F130" s="523">
        <f t="shared" si="33"/>
        <v>1049698.8275193775</v>
      </c>
      <c r="G130" s="523">
        <f t="shared" si="34"/>
        <v>1101087.7322812821</v>
      </c>
      <c r="H130" s="526">
        <f t="shared" si="35"/>
        <v>221226.03680485312</v>
      </c>
      <c r="I130" s="577">
        <f t="shared" si="36"/>
        <v>221226.03680485312</v>
      </c>
      <c r="J130" s="514">
        <f t="shared" si="26"/>
        <v>0</v>
      </c>
      <c r="K130" s="514"/>
      <c r="L130" s="525"/>
      <c r="M130" s="514">
        <f t="shared" si="37"/>
        <v>0</v>
      </c>
      <c r="N130" s="525"/>
      <c r="O130" s="514">
        <f t="shared" si="27"/>
        <v>0</v>
      </c>
      <c r="P130" s="514">
        <f t="shared" si="28"/>
        <v>0</v>
      </c>
    </row>
    <row r="131" spans="2:16" ht="12.5">
      <c r="B131" s="195" t="str">
        <f t="shared" si="25"/>
        <v/>
      </c>
      <c r="C131" s="507">
        <f>IF(D93="","-",+C130+1)</f>
        <v>2045</v>
      </c>
      <c r="D131" s="374">
        <f>IF(F130+SUM(E$99:E130)=D$92,F130,D$92-SUM(E$99:E130))</f>
        <v>1049698.8275193775</v>
      </c>
      <c r="E131" s="522">
        <f t="shared" si="32"/>
        <v>102777.80952380953</v>
      </c>
      <c r="F131" s="523">
        <f t="shared" si="33"/>
        <v>946921.01799556799</v>
      </c>
      <c r="G131" s="523">
        <f t="shared" si="34"/>
        <v>998309.92275747273</v>
      </c>
      <c r="H131" s="526">
        <f t="shared" si="35"/>
        <v>210169.83393834613</v>
      </c>
      <c r="I131" s="577">
        <f t="shared" si="36"/>
        <v>210169.83393834613</v>
      </c>
      <c r="J131" s="514">
        <f t="shared" si="26"/>
        <v>0</v>
      </c>
      <c r="K131" s="514"/>
      <c r="L131" s="525"/>
      <c r="M131" s="514">
        <f t="shared" ref="M131:M154" si="38">IF(L541&lt;&gt;0,+H541-L541,0)</f>
        <v>0</v>
      </c>
      <c r="N131" s="525"/>
      <c r="O131" s="514">
        <f t="shared" ref="O131:O154" si="39">IF(N541&lt;&gt;0,+I541-N541,0)</f>
        <v>0</v>
      </c>
      <c r="P131" s="514">
        <f t="shared" ref="P131:P154" si="40">+O541-M541</f>
        <v>0</v>
      </c>
    </row>
    <row r="132" spans="2:16" ht="12.5">
      <c r="B132" s="195" t="str">
        <f t="shared" si="25"/>
        <v/>
      </c>
      <c r="C132" s="507">
        <f>IF(D93="","-",+C131+1)</f>
        <v>2046</v>
      </c>
      <c r="D132" s="374">
        <f>IF(F131+SUM(E$99:E131)=D$92,F131,D$92-SUM(E$99:E131))</f>
        <v>946921.01799556799</v>
      </c>
      <c r="E132" s="522">
        <f t="shared" si="32"/>
        <v>102777.80952380953</v>
      </c>
      <c r="F132" s="523">
        <f t="shared" si="33"/>
        <v>844143.20847175852</v>
      </c>
      <c r="G132" s="523">
        <f t="shared" si="34"/>
        <v>895532.11323366326</v>
      </c>
      <c r="H132" s="526">
        <f t="shared" si="35"/>
        <v>199113.63107183913</v>
      </c>
      <c r="I132" s="577">
        <f t="shared" si="36"/>
        <v>199113.63107183913</v>
      </c>
      <c r="J132" s="514">
        <f t="shared" si="26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</row>
    <row r="133" spans="2:16" ht="12.5">
      <c r="B133" s="195" t="str">
        <f t="shared" si="25"/>
        <v/>
      </c>
      <c r="C133" s="507">
        <f>IF(D93="","-",+C132+1)</f>
        <v>2047</v>
      </c>
      <c r="D133" s="374">
        <f>IF(F132+SUM(E$99:E132)=D$92,F132,D$92-SUM(E$99:E132))</f>
        <v>844143.20847175852</v>
      </c>
      <c r="E133" s="522">
        <f t="shared" si="32"/>
        <v>102777.80952380953</v>
      </c>
      <c r="F133" s="523">
        <f t="shared" si="33"/>
        <v>741365.39894794906</v>
      </c>
      <c r="G133" s="523">
        <f t="shared" si="34"/>
        <v>792754.30370985379</v>
      </c>
      <c r="H133" s="526">
        <f t="shared" si="35"/>
        <v>188057.42820533214</v>
      </c>
      <c r="I133" s="577">
        <f t="shared" si="36"/>
        <v>188057.42820533214</v>
      </c>
      <c r="J133" s="514">
        <f t="shared" si="26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</row>
    <row r="134" spans="2:16" ht="12.5">
      <c r="B134" s="195" t="str">
        <f t="shared" si="25"/>
        <v/>
      </c>
      <c r="C134" s="507">
        <f>IF(D93="","-",+C133+1)</f>
        <v>2048</v>
      </c>
      <c r="D134" s="374">
        <f>IF(F133+SUM(E$99:E133)=D$92,F133,D$92-SUM(E$99:E133))</f>
        <v>741365.39894794906</v>
      </c>
      <c r="E134" s="522">
        <f t="shared" si="32"/>
        <v>102777.80952380953</v>
      </c>
      <c r="F134" s="523">
        <f t="shared" si="33"/>
        <v>638587.58942413959</v>
      </c>
      <c r="G134" s="523">
        <f t="shared" si="34"/>
        <v>689976.49418604432</v>
      </c>
      <c r="H134" s="526">
        <f t="shared" si="35"/>
        <v>177001.22533882517</v>
      </c>
      <c r="I134" s="577">
        <f t="shared" si="36"/>
        <v>177001.22533882517</v>
      </c>
      <c r="J134" s="514">
        <f t="shared" si="26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</row>
    <row r="135" spans="2:16" ht="12.5">
      <c r="B135" s="195" t="str">
        <f t="shared" si="25"/>
        <v/>
      </c>
      <c r="C135" s="507">
        <f>IF(D93="","-",+C134+1)</f>
        <v>2049</v>
      </c>
      <c r="D135" s="374">
        <f>IF(F134+SUM(E$99:E134)=D$92,F134,D$92-SUM(E$99:E134))</f>
        <v>638587.58942413959</v>
      </c>
      <c r="E135" s="522">
        <f t="shared" si="32"/>
        <v>102777.80952380953</v>
      </c>
      <c r="F135" s="523">
        <f t="shared" si="33"/>
        <v>535809.77990033012</v>
      </c>
      <c r="G135" s="523">
        <f t="shared" si="34"/>
        <v>587198.68466223485</v>
      </c>
      <c r="H135" s="526">
        <f t="shared" si="35"/>
        <v>165945.02247231817</v>
      </c>
      <c r="I135" s="577">
        <f t="shared" si="36"/>
        <v>165945.02247231817</v>
      </c>
      <c r="J135" s="514">
        <f t="shared" si="26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</row>
    <row r="136" spans="2:16" ht="12.5">
      <c r="B136" s="195" t="str">
        <f t="shared" si="25"/>
        <v/>
      </c>
      <c r="C136" s="507">
        <f>IF(D93="","-",+C135+1)</f>
        <v>2050</v>
      </c>
      <c r="D136" s="374">
        <f>IF(F135+SUM(E$99:E135)=D$92,F135,D$92-SUM(E$99:E135))</f>
        <v>535809.77990033012</v>
      </c>
      <c r="E136" s="522">
        <f t="shared" si="32"/>
        <v>102777.80952380953</v>
      </c>
      <c r="F136" s="523">
        <f t="shared" si="33"/>
        <v>433031.97037652059</v>
      </c>
      <c r="G136" s="523">
        <f t="shared" si="34"/>
        <v>484420.87513842538</v>
      </c>
      <c r="H136" s="526">
        <f t="shared" si="35"/>
        <v>154888.81960581121</v>
      </c>
      <c r="I136" s="577">
        <f t="shared" si="36"/>
        <v>154888.81960581121</v>
      </c>
      <c r="J136" s="514">
        <f t="shared" si="26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</row>
    <row r="137" spans="2:16" ht="12.5">
      <c r="B137" s="195" t="str">
        <f t="shared" si="25"/>
        <v/>
      </c>
      <c r="C137" s="507">
        <f>IF(D93="","-",+C136+1)</f>
        <v>2051</v>
      </c>
      <c r="D137" s="374">
        <f>IF(F136+SUM(E$99:E136)=D$92,F136,D$92-SUM(E$99:E136))</f>
        <v>433031.97037652059</v>
      </c>
      <c r="E137" s="522">
        <f t="shared" si="32"/>
        <v>102777.80952380953</v>
      </c>
      <c r="F137" s="523">
        <f t="shared" si="33"/>
        <v>330254.16085271107</v>
      </c>
      <c r="G137" s="523">
        <f t="shared" si="34"/>
        <v>381643.0656146158</v>
      </c>
      <c r="H137" s="526">
        <f t="shared" si="35"/>
        <v>143832.61673930421</v>
      </c>
      <c r="I137" s="577">
        <f t="shared" si="36"/>
        <v>143832.61673930421</v>
      </c>
      <c r="J137" s="514">
        <f t="shared" si="26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</row>
    <row r="138" spans="2:16" ht="12.5">
      <c r="B138" s="195" t="str">
        <f t="shared" si="25"/>
        <v/>
      </c>
      <c r="C138" s="507">
        <f>IF(D93="","-",+C137+1)</f>
        <v>2052</v>
      </c>
      <c r="D138" s="374">
        <f>IF(F137+SUM(E$99:E137)=D$92,F137,D$92-SUM(E$99:E137))</f>
        <v>330254.16085271107</v>
      </c>
      <c r="E138" s="522">
        <f t="shared" si="32"/>
        <v>102777.80952380953</v>
      </c>
      <c r="F138" s="523">
        <f t="shared" si="33"/>
        <v>227476.35132890154</v>
      </c>
      <c r="G138" s="523">
        <f t="shared" si="34"/>
        <v>278865.25609080633</v>
      </c>
      <c r="H138" s="526">
        <f t="shared" si="35"/>
        <v>132776.41387279722</v>
      </c>
      <c r="I138" s="577">
        <f t="shared" si="36"/>
        <v>132776.41387279722</v>
      </c>
      <c r="J138" s="514">
        <f t="shared" si="26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</row>
    <row r="139" spans="2:16" ht="12.5">
      <c r="B139" s="195" t="str">
        <f t="shared" si="25"/>
        <v/>
      </c>
      <c r="C139" s="507">
        <f>IF(D93="","-",+C138+1)</f>
        <v>2053</v>
      </c>
      <c r="D139" s="374">
        <f>IF(F138+SUM(E$99:E138)=D$92,F138,D$92-SUM(E$99:E138))</f>
        <v>227476.35132890154</v>
      </c>
      <c r="E139" s="522">
        <f t="shared" si="32"/>
        <v>102777.80952380953</v>
      </c>
      <c r="F139" s="523">
        <f t="shared" si="33"/>
        <v>124698.54180509201</v>
      </c>
      <c r="G139" s="523">
        <f t="shared" si="34"/>
        <v>176087.44656699678</v>
      </c>
      <c r="H139" s="526">
        <f t="shared" si="35"/>
        <v>121720.21100629021</v>
      </c>
      <c r="I139" s="577">
        <f t="shared" si="36"/>
        <v>121720.21100629021</v>
      </c>
      <c r="J139" s="514">
        <f t="shared" si="26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</row>
    <row r="140" spans="2:16" ht="12.5">
      <c r="B140" s="195" t="str">
        <f t="shared" si="25"/>
        <v/>
      </c>
      <c r="C140" s="507">
        <f>IF(D93="","-",+C139+1)</f>
        <v>2054</v>
      </c>
      <c r="D140" s="374">
        <f>IF(F139+SUM(E$99:E139)=D$92,F139,D$92-SUM(E$99:E139))</f>
        <v>124698.54180509201</v>
      </c>
      <c r="E140" s="522">
        <f t="shared" si="32"/>
        <v>102777.80952380953</v>
      </c>
      <c r="F140" s="523">
        <f t="shared" si="33"/>
        <v>21920.732281282486</v>
      </c>
      <c r="G140" s="523">
        <f t="shared" si="34"/>
        <v>73309.637043187249</v>
      </c>
      <c r="H140" s="526">
        <f t="shared" si="35"/>
        <v>110664.00813978321</v>
      </c>
      <c r="I140" s="577">
        <f t="shared" si="36"/>
        <v>110664.00813978321</v>
      </c>
      <c r="J140" s="514">
        <f t="shared" si="26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</row>
    <row r="141" spans="2:16" ht="12.5">
      <c r="B141" s="195" t="str">
        <f t="shared" si="25"/>
        <v/>
      </c>
      <c r="C141" s="507">
        <f>IF(D93="","-",+C140+1)</f>
        <v>2055</v>
      </c>
      <c r="D141" s="374">
        <f>IF(F140+SUM(E$99:E140)=D$92,F140,D$92-SUM(E$99:E140))</f>
        <v>21920.732281282486</v>
      </c>
      <c r="E141" s="522">
        <f t="shared" si="32"/>
        <v>21920.732281282486</v>
      </c>
      <c r="F141" s="523">
        <f t="shared" si="33"/>
        <v>0</v>
      </c>
      <c r="G141" s="523">
        <f t="shared" si="34"/>
        <v>10960.366140641243</v>
      </c>
      <c r="H141" s="526">
        <f t="shared" si="35"/>
        <v>23099.780872642583</v>
      </c>
      <c r="I141" s="577">
        <f t="shared" si="36"/>
        <v>23099.780872642583</v>
      </c>
      <c r="J141" s="514">
        <f t="shared" si="26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</row>
    <row r="142" spans="2:16" ht="12.5">
      <c r="B142" s="195" t="str">
        <f t="shared" si="25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2"/>
        <v>0</v>
      </c>
      <c r="F142" s="523">
        <f t="shared" si="33"/>
        <v>0</v>
      </c>
      <c r="G142" s="523">
        <f t="shared" si="34"/>
        <v>0</v>
      </c>
      <c r="H142" s="526">
        <f t="shared" si="35"/>
        <v>0</v>
      </c>
      <c r="I142" s="577">
        <f t="shared" si="36"/>
        <v>0</v>
      </c>
      <c r="J142" s="514">
        <f t="shared" si="26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</row>
    <row r="143" spans="2:16" ht="12.5">
      <c r="B143" s="195" t="str">
        <f t="shared" si="25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2"/>
        <v>0</v>
      </c>
      <c r="F143" s="523">
        <f t="shared" si="33"/>
        <v>0</v>
      </c>
      <c r="G143" s="523">
        <f t="shared" si="34"/>
        <v>0</v>
      </c>
      <c r="H143" s="526">
        <f t="shared" si="35"/>
        <v>0</v>
      </c>
      <c r="I143" s="577">
        <f t="shared" si="36"/>
        <v>0</v>
      </c>
      <c r="J143" s="514">
        <f t="shared" si="26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</row>
    <row r="144" spans="2:16" ht="12.5">
      <c r="B144" s="195" t="str">
        <f t="shared" si="25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2"/>
        <v>0</v>
      </c>
      <c r="F144" s="523">
        <f t="shared" si="33"/>
        <v>0</v>
      </c>
      <c r="G144" s="523">
        <f t="shared" si="34"/>
        <v>0</v>
      </c>
      <c r="H144" s="526">
        <f t="shared" si="35"/>
        <v>0</v>
      </c>
      <c r="I144" s="577">
        <f t="shared" si="36"/>
        <v>0</v>
      </c>
      <c r="J144" s="514">
        <f t="shared" si="26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</row>
    <row r="145" spans="2:16" ht="12.5">
      <c r="B145" s="195" t="str">
        <f t="shared" si="25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2"/>
        <v>0</v>
      </c>
      <c r="F145" s="523">
        <f t="shared" si="33"/>
        <v>0</v>
      </c>
      <c r="G145" s="523">
        <f t="shared" si="34"/>
        <v>0</v>
      </c>
      <c r="H145" s="526">
        <f t="shared" si="35"/>
        <v>0</v>
      </c>
      <c r="I145" s="577">
        <f t="shared" si="36"/>
        <v>0</v>
      </c>
      <c r="J145" s="514">
        <f t="shared" si="26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</row>
    <row r="146" spans="2:16" ht="12.5">
      <c r="B146" s="195" t="str">
        <f t="shared" si="25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2"/>
        <v>0</v>
      </c>
      <c r="F146" s="523">
        <f t="shared" si="33"/>
        <v>0</v>
      </c>
      <c r="G146" s="523">
        <f t="shared" si="34"/>
        <v>0</v>
      </c>
      <c r="H146" s="526">
        <f t="shared" si="35"/>
        <v>0</v>
      </c>
      <c r="I146" s="577">
        <f t="shared" si="36"/>
        <v>0</v>
      </c>
      <c r="J146" s="514">
        <f t="shared" si="26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</row>
    <row r="147" spans="2:16" ht="12.5">
      <c r="B147" s="195" t="str">
        <f t="shared" si="25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2"/>
        <v>0</v>
      </c>
      <c r="F147" s="523">
        <f t="shared" si="33"/>
        <v>0</v>
      </c>
      <c r="G147" s="523">
        <f t="shared" si="34"/>
        <v>0</v>
      </c>
      <c r="H147" s="526">
        <f t="shared" si="35"/>
        <v>0</v>
      </c>
      <c r="I147" s="577">
        <f t="shared" si="36"/>
        <v>0</v>
      </c>
      <c r="J147" s="514">
        <f t="shared" si="26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</row>
    <row r="148" spans="2:16" ht="12.5">
      <c r="B148" s="195" t="str">
        <f t="shared" si="25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2"/>
        <v>0</v>
      </c>
      <c r="F148" s="523">
        <f t="shared" si="33"/>
        <v>0</v>
      </c>
      <c r="G148" s="523">
        <f t="shared" si="34"/>
        <v>0</v>
      </c>
      <c r="H148" s="526">
        <f t="shared" si="35"/>
        <v>0</v>
      </c>
      <c r="I148" s="577">
        <f t="shared" si="36"/>
        <v>0</v>
      </c>
      <c r="J148" s="514">
        <f t="shared" si="26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</row>
    <row r="149" spans="2:16" ht="12.5">
      <c r="B149" s="195" t="str">
        <f t="shared" si="25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2"/>
        <v>0</v>
      </c>
      <c r="F149" s="523">
        <f t="shared" si="33"/>
        <v>0</v>
      </c>
      <c r="G149" s="523">
        <f t="shared" si="34"/>
        <v>0</v>
      </c>
      <c r="H149" s="526">
        <f t="shared" si="35"/>
        <v>0</v>
      </c>
      <c r="I149" s="577">
        <f t="shared" si="36"/>
        <v>0</v>
      </c>
      <c r="J149" s="514">
        <f t="shared" si="26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</row>
    <row r="150" spans="2:16" ht="12.5">
      <c r="B150" s="195" t="str">
        <f t="shared" si="25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2"/>
        <v>0</v>
      </c>
      <c r="F150" s="523">
        <f t="shared" si="33"/>
        <v>0</v>
      </c>
      <c r="G150" s="523">
        <f t="shared" si="34"/>
        <v>0</v>
      </c>
      <c r="H150" s="526">
        <f t="shared" si="35"/>
        <v>0</v>
      </c>
      <c r="I150" s="577">
        <f t="shared" si="36"/>
        <v>0</v>
      </c>
      <c r="J150" s="514">
        <f t="shared" si="26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</row>
    <row r="151" spans="2:16" ht="12.5">
      <c r="B151" s="195" t="str">
        <f t="shared" si="25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2"/>
        <v>0</v>
      </c>
      <c r="F151" s="523">
        <f t="shared" si="33"/>
        <v>0</v>
      </c>
      <c r="G151" s="523">
        <f t="shared" si="34"/>
        <v>0</v>
      </c>
      <c r="H151" s="526">
        <f t="shared" si="35"/>
        <v>0</v>
      </c>
      <c r="I151" s="577">
        <f t="shared" si="36"/>
        <v>0</v>
      </c>
      <c r="J151" s="514">
        <f t="shared" si="26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</row>
    <row r="152" spans="2:16" ht="12.5">
      <c r="B152" s="195" t="str">
        <f t="shared" si="25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2"/>
        <v>0</v>
      </c>
      <c r="F152" s="523">
        <f t="shared" si="33"/>
        <v>0</v>
      </c>
      <c r="G152" s="523">
        <f t="shared" si="34"/>
        <v>0</v>
      </c>
      <c r="H152" s="526">
        <f t="shared" si="35"/>
        <v>0</v>
      </c>
      <c r="I152" s="577">
        <f t="shared" si="36"/>
        <v>0</v>
      </c>
      <c r="J152" s="514">
        <f t="shared" si="26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</row>
    <row r="153" spans="2:16" ht="12.5">
      <c r="B153" s="195" t="str">
        <f t="shared" si="25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2"/>
        <v>0</v>
      </c>
      <c r="F153" s="523">
        <f t="shared" si="33"/>
        <v>0</v>
      </c>
      <c r="G153" s="523">
        <f t="shared" si="34"/>
        <v>0</v>
      </c>
      <c r="H153" s="526">
        <f t="shared" si="35"/>
        <v>0</v>
      </c>
      <c r="I153" s="577">
        <f t="shared" si="36"/>
        <v>0</v>
      </c>
      <c r="J153" s="514">
        <f t="shared" si="26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</row>
    <row r="154" spans="2:16" ht="13" thickBot="1">
      <c r="B154" s="195" t="str">
        <f t="shared" si="25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2"/>
        <v>0</v>
      </c>
      <c r="F154" s="523">
        <f t="shared" si="33"/>
        <v>0</v>
      </c>
      <c r="G154" s="523">
        <f t="shared" si="34"/>
        <v>0</v>
      </c>
      <c r="H154" s="526">
        <f t="shared" si="35"/>
        <v>0</v>
      </c>
      <c r="I154" s="577">
        <f t="shared" si="36"/>
        <v>0</v>
      </c>
      <c r="J154" s="514">
        <f t="shared" si="26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</row>
    <row r="155" spans="2:16" ht="12.5">
      <c r="C155" s="374" t="s">
        <v>78</v>
      </c>
      <c r="D155" s="375"/>
      <c r="E155" s="375">
        <f>SUM(E99:E154)</f>
        <v>4316668.0000000009</v>
      </c>
      <c r="F155" s="375"/>
      <c r="G155" s="375"/>
      <c r="H155" s="375">
        <f>SUM(H99:H154)</f>
        <v>14329921.491309613</v>
      </c>
      <c r="I155" s="375">
        <f>SUM(I99:I154)</f>
        <v>14329921.491309613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82" priority="1" stopIfTrue="1" operator="equal">
      <formula>$I$10</formula>
    </cfRule>
  </conditionalFormatting>
  <conditionalFormatting sqref="C99:C154">
    <cfRule type="cellIs" dxfId="8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P162"/>
  <sheetViews>
    <sheetView view="pageBreakPreview" topLeftCell="A82" zoomScale="80" zoomScaleNormal="100" zoomScaleSheetLayoutView="80" workbookViewId="0">
      <selection activeCell="D106" sqref="D106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40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1075714.8431861391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1075714.8431861391</v>
      </c>
      <c r="O6" s="269"/>
      <c r="P6" s="269"/>
    </row>
    <row r="7" spans="1:16" ht="13.5" thickBot="1">
      <c r="C7" s="467" t="s">
        <v>48</v>
      </c>
      <c r="D7" s="624" t="s">
        <v>313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312</v>
      </c>
      <c r="E9" s="637" t="s">
        <v>328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9637037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229453.26190476189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9550200</v>
      </c>
      <c r="E17" s="638">
        <v>151590.47619047618</v>
      </c>
      <c r="F17" s="629">
        <v>9398609.5238095243</v>
      </c>
      <c r="G17" s="638">
        <v>1419561.6638908591</v>
      </c>
      <c r="H17" s="639">
        <v>1419561.6638908591</v>
      </c>
      <c r="I17" s="616">
        <v>0</v>
      </c>
      <c r="J17" s="511"/>
      <c r="K17" s="512">
        <f t="shared" ref="K17:K22" si="0">G17</f>
        <v>1419561.6638908591</v>
      </c>
      <c r="L17" s="597">
        <f t="shared" ref="L17:L22" si="1">IF(K17&lt;&gt;0,+G17-K17,0)</f>
        <v>0</v>
      </c>
      <c r="M17" s="512">
        <f t="shared" ref="M17:M22" si="2">H17</f>
        <v>1419561.6638908591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9398609.5238095243</v>
      </c>
      <c r="E18" s="630">
        <v>229453.26190476189</v>
      </c>
      <c r="F18" s="629">
        <v>9169156.2619047631</v>
      </c>
      <c r="G18" s="630">
        <v>1437075.1624886242</v>
      </c>
      <c r="H18" s="639">
        <v>1437075.1624886242</v>
      </c>
      <c r="I18" s="511">
        <v>0</v>
      </c>
      <c r="J18" s="511"/>
      <c r="K18" s="518">
        <f t="shared" si="0"/>
        <v>1437075.1624886242</v>
      </c>
      <c r="L18" s="519">
        <f t="shared" si="1"/>
        <v>0</v>
      </c>
      <c r="M18" s="518">
        <f t="shared" si="2"/>
        <v>1437075.1624886242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9255993.2619047612</v>
      </c>
      <c r="E19" s="630">
        <v>229453.26190476189</v>
      </c>
      <c r="F19" s="629">
        <v>9026540</v>
      </c>
      <c r="G19" s="630">
        <v>1403625.3596120297</v>
      </c>
      <c r="H19" s="639">
        <v>1403625.3596120297</v>
      </c>
      <c r="I19" s="511">
        <f>H19-G19</f>
        <v>0</v>
      </c>
      <c r="J19" s="511"/>
      <c r="K19" s="518">
        <f t="shared" si="0"/>
        <v>1403625.3596120297</v>
      </c>
      <c r="L19" s="519">
        <f t="shared" si="1"/>
        <v>0</v>
      </c>
      <c r="M19" s="518">
        <f t="shared" si="2"/>
        <v>1403625.3596120297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/>
      </c>
      <c r="C20" s="507">
        <f>IF(D11="","-",+C19+1)</f>
        <v>2017</v>
      </c>
      <c r="D20" s="629">
        <v>9026540</v>
      </c>
      <c r="E20" s="630">
        <v>224117.13953488372</v>
      </c>
      <c r="F20" s="629">
        <v>8802422.8604651168</v>
      </c>
      <c r="G20" s="630">
        <v>1328554.8298028773</v>
      </c>
      <c r="H20" s="639">
        <v>1328554.8298028773</v>
      </c>
      <c r="I20" s="511">
        <f t="shared" ref="I20:I72" si="4">H20-G20</f>
        <v>0</v>
      </c>
      <c r="J20" s="511"/>
      <c r="K20" s="518">
        <f t="shared" si="0"/>
        <v>1328554.8298028773</v>
      </c>
      <c r="L20" s="519">
        <f t="shared" si="1"/>
        <v>0</v>
      </c>
      <c r="M20" s="518">
        <f t="shared" si="2"/>
        <v>1328554.8298028773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8802422.8604651168</v>
      </c>
      <c r="E21" s="630">
        <v>235049.68292682926</v>
      </c>
      <c r="F21" s="629">
        <v>8567373.1775382869</v>
      </c>
      <c r="G21" s="630">
        <v>1338848.9709356753</v>
      </c>
      <c r="H21" s="639">
        <v>1338848.9709356753</v>
      </c>
      <c r="I21" s="511">
        <f t="shared" si="4"/>
        <v>0</v>
      </c>
      <c r="J21" s="511"/>
      <c r="K21" s="518">
        <f t="shared" si="0"/>
        <v>1338848.9709356753</v>
      </c>
      <c r="L21" s="519">
        <f t="shared" si="1"/>
        <v>0</v>
      </c>
      <c r="M21" s="518">
        <f t="shared" si="2"/>
        <v>1338848.9709356753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/>
      </c>
      <c r="C22" s="507">
        <f>IF(D11="","-",+C21+1)</f>
        <v>2019</v>
      </c>
      <c r="D22" s="629">
        <v>8567373.1775382869</v>
      </c>
      <c r="E22" s="630">
        <v>235049.68292682926</v>
      </c>
      <c r="F22" s="629">
        <v>8332323.4946114579</v>
      </c>
      <c r="G22" s="630">
        <v>1308975.5432807168</v>
      </c>
      <c r="H22" s="639">
        <v>1308975.5432807168</v>
      </c>
      <c r="I22" s="511">
        <f t="shared" si="4"/>
        <v>0</v>
      </c>
      <c r="J22" s="511"/>
      <c r="K22" s="518">
        <f t="shared" si="0"/>
        <v>1308975.5432807168</v>
      </c>
      <c r="L22" s="519">
        <f t="shared" si="1"/>
        <v>0</v>
      </c>
      <c r="M22" s="518">
        <f t="shared" si="2"/>
        <v>1308975.5432807168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/>
      </c>
      <c r="C23" s="507">
        <f>IF(D11="","-",+C22+1)</f>
        <v>2020</v>
      </c>
      <c r="D23" s="629">
        <v>8332323.4946114579</v>
      </c>
      <c r="E23" s="630">
        <v>235049.68292682926</v>
      </c>
      <c r="F23" s="629">
        <v>8097273.8116846289</v>
      </c>
      <c r="G23" s="630">
        <v>1075714.8431861391</v>
      </c>
      <c r="H23" s="639">
        <v>1075714.8431861391</v>
      </c>
      <c r="I23" s="511">
        <f t="shared" si="4"/>
        <v>0</v>
      </c>
      <c r="J23" s="511"/>
      <c r="K23" s="518">
        <f t="shared" ref="K23" si="7">G23</f>
        <v>1075714.8431861391</v>
      </c>
      <c r="L23" s="519">
        <f t="shared" ref="L23" si="8">IF(K23&lt;&gt;0,+G23-K23,0)</f>
        <v>0</v>
      </c>
      <c r="M23" s="518">
        <f t="shared" ref="M23" si="9">H23</f>
        <v>1075714.8431861391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/>
      </c>
      <c r="C24" s="507">
        <f>IF(D11="","-",+C23+1)</f>
        <v>2021</v>
      </c>
      <c r="D24" s="523">
        <f>IF(F23+SUM(E$17:E23)=D$10,F23,D$10-SUM(E$17:E23))</f>
        <v>8097273.8116846289</v>
      </c>
      <c r="E24" s="522">
        <f t="shared" ref="E24:E72" si="10">IF(+$I$14&lt;F23,$I$14,D24)</f>
        <v>229453.26190476189</v>
      </c>
      <c r="F24" s="523">
        <f t="shared" ref="F24:F72" si="11">+D24-E24</f>
        <v>7867820.5497798668</v>
      </c>
      <c r="G24" s="524">
        <f t="shared" ref="G24:G51" si="12">+I$12*((D24+F24)/2)+E24</f>
        <v>1082132.7771981843</v>
      </c>
      <c r="H24" s="491">
        <f t="shared" ref="H24:H51" si="13">+I$13*((D24+F24)/2)+E24</f>
        <v>1082132.7771981843</v>
      </c>
      <c r="I24" s="511">
        <f t="shared" si="4"/>
        <v>0</v>
      </c>
      <c r="J24" s="511"/>
      <c r="K24" s="525"/>
      <c r="L24" s="514">
        <f t="shared" ref="L24:L72" si="14">IF(K24&lt;&gt;0,+G24-K24,0)</f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/>
      </c>
      <c r="C25" s="507">
        <f>IF(D11="","-",+C24+1)</f>
        <v>2022</v>
      </c>
      <c r="D25" s="523">
        <f>IF(F24+SUM(E$17:E24)=D$10,F24,D$10-SUM(E$17:E24))</f>
        <v>7867820.5497798668</v>
      </c>
      <c r="E25" s="522">
        <f t="shared" si="10"/>
        <v>229453.26190476189</v>
      </c>
      <c r="F25" s="523">
        <f t="shared" si="11"/>
        <v>7638367.2878751047</v>
      </c>
      <c r="G25" s="524">
        <f t="shared" si="12"/>
        <v>1057623.0446887796</v>
      </c>
      <c r="H25" s="491">
        <f t="shared" si="13"/>
        <v>1057623.0446887796</v>
      </c>
      <c r="I25" s="511">
        <f t="shared" si="4"/>
        <v>0</v>
      </c>
      <c r="J25" s="511"/>
      <c r="K25" s="525"/>
      <c r="L25" s="514">
        <f t="shared" si="1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/>
      </c>
      <c r="C26" s="507">
        <f>IF(D11="","-",+C25+1)</f>
        <v>2023</v>
      </c>
      <c r="D26" s="523">
        <f>IF(F25+SUM(E$17:E25)=D$10,F25,D$10-SUM(E$17:E25))</f>
        <v>7638367.2878751047</v>
      </c>
      <c r="E26" s="522">
        <f t="shared" si="10"/>
        <v>229453.26190476189</v>
      </c>
      <c r="F26" s="523">
        <f t="shared" si="11"/>
        <v>7408914.0259703426</v>
      </c>
      <c r="G26" s="524">
        <f t="shared" si="12"/>
        <v>1033113.3121793754</v>
      </c>
      <c r="H26" s="491">
        <f t="shared" si="13"/>
        <v>1033113.3121793754</v>
      </c>
      <c r="I26" s="511">
        <f t="shared" si="4"/>
        <v>0</v>
      </c>
      <c r="J26" s="511"/>
      <c r="K26" s="525"/>
      <c r="L26" s="514">
        <f t="shared" si="1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7408914.0259703426</v>
      </c>
      <c r="E27" s="522">
        <f t="shared" si="10"/>
        <v>229453.26190476189</v>
      </c>
      <c r="F27" s="523">
        <f t="shared" si="11"/>
        <v>7179460.7640655804</v>
      </c>
      <c r="G27" s="524">
        <f t="shared" si="12"/>
        <v>1008603.579669971</v>
      </c>
      <c r="H27" s="491">
        <f t="shared" si="13"/>
        <v>1008603.579669971</v>
      </c>
      <c r="I27" s="511">
        <f t="shared" si="4"/>
        <v>0</v>
      </c>
      <c r="J27" s="511"/>
      <c r="K27" s="525"/>
      <c r="L27" s="514">
        <f t="shared" si="1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7179460.7640655804</v>
      </c>
      <c r="E28" s="522">
        <f t="shared" si="10"/>
        <v>229453.26190476189</v>
      </c>
      <c r="F28" s="523">
        <f t="shared" si="11"/>
        <v>6950007.5021608183</v>
      </c>
      <c r="G28" s="524">
        <f t="shared" si="12"/>
        <v>984093.84716056671</v>
      </c>
      <c r="H28" s="491">
        <f t="shared" si="13"/>
        <v>984093.84716056671</v>
      </c>
      <c r="I28" s="511">
        <f t="shared" si="4"/>
        <v>0</v>
      </c>
      <c r="J28" s="511"/>
      <c r="K28" s="525"/>
      <c r="L28" s="514">
        <f t="shared" si="1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6950007.5021608183</v>
      </c>
      <c r="E29" s="522">
        <f t="shared" si="10"/>
        <v>229453.26190476189</v>
      </c>
      <c r="F29" s="523">
        <f t="shared" si="11"/>
        <v>6720554.2402560562</v>
      </c>
      <c r="G29" s="524">
        <f t="shared" si="12"/>
        <v>959584.11465116229</v>
      </c>
      <c r="H29" s="491">
        <f t="shared" si="13"/>
        <v>959584.11465116229</v>
      </c>
      <c r="I29" s="511">
        <f t="shared" si="4"/>
        <v>0</v>
      </c>
      <c r="J29" s="511"/>
      <c r="K29" s="525"/>
      <c r="L29" s="514">
        <f t="shared" si="1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6720554.2402560562</v>
      </c>
      <c r="E30" s="522">
        <f t="shared" si="10"/>
        <v>229453.26190476189</v>
      </c>
      <c r="F30" s="523">
        <f t="shared" si="11"/>
        <v>6491100.9783512941</v>
      </c>
      <c r="G30" s="524">
        <f t="shared" si="12"/>
        <v>935074.38214175799</v>
      </c>
      <c r="H30" s="491">
        <f t="shared" si="13"/>
        <v>935074.38214175799</v>
      </c>
      <c r="I30" s="511">
        <f t="shared" si="4"/>
        <v>0</v>
      </c>
      <c r="J30" s="511"/>
      <c r="K30" s="525"/>
      <c r="L30" s="514">
        <f t="shared" si="1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6491100.9783512941</v>
      </c>
      <c r="E31" s="522">
        <f t="shared" si="10"/>
        <v>229453.26190476189</v>
      </c>
      <c r="F31" s="523">
        <f t="shared" si="11"/>
        <v>6261647.7164465319</v>
      </c>
      <c r="G31" s="524">
        <f t="shared" si="12"/>
        <v>910564.64963235357</v>
      </c>
      <c r="H31" s="491">
        <f t="shared" si="13"/>
        <v>910564.64963235357</v>
      </c>
      <c r="I31" s="511">
        <f t="shared" si="4"/>
        <v>0</v>
      </c>
      <c r="J31" s="511"/>
      <c r="K31" s="525"/>
      <c r="L31" s="514">
        <f t="shared" si="1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6261647.7164465319</v>
      </c>
      <c r="E32" s="522">
        <f t="shared" si="10"/>
        <v>229453.26190476189</v>
      </c>
      <c r="F32" s="523">
        <f t="shared" si="11"/>
        <v>6032194.4545417698</v>
      </c>
      <c r="G32" s="524">
        <f t="shared" si="12"/>
        <v>886054.91712294938</v>
      </c>
      <c r="H32" s="491">
        <f t="shared" si="13"/>
        <v>886054.91712294938</v>
      </c>
      <c r="I32" s="511">
        <f t="shared" si="4"/>
        <v>0</v>
      </c>
      <c r="J32" s="511"/>
      <c r="K32" s="525"/>
      <c r="L32" s="514">
        <f t="shared" si="1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6032194.4545417698</v>
      </c>
      <c r="E33" s="522">
        <f t="shared" si="10"/>
        <v>229453.26190476189</v>
      </c>
      <c r="F33" s="523">
        <f t="shared" si="11"/>
        <v>5802741.1926370077</v>
      </c>
      <c r="G33" s="524">
        <f t="shared" si="12"/>
        <v>861545.18461354484</v>
      </c>
      <c r="H33" s="491">
        <f t="shared" si="13"/>
        <v>861545.18461354484</v>
      </c>
      <c r="I33" s="511">
        <f t="shared" si="4"/>
        <v>0</v>
      </c>
      <c r="J33" s="511"/>
      <c r="K33" s="525"/>
      <c r="L33" s="514">
        <f t="shared" si="1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5802741.1926370077</v>
      </c>
      <c r="E34" s="522">
        <f t="shared" si="10"/>
        <v>229453.26190476189</v>
      </c>
      <c r="F34" s="523">
        <f t="shared" si="11"/>
        <v>5573287.9307322456</v>
      </c>
      <c r="G34" s="524">
        <f t="shared" si="12"/>
        <v>837035.45210414066</v>
      </c>
      <c r="H34" s="491">
        <f t="shared" si="13"/>
        <v>837035.45210414066</v>
      </c>
      <c r="I34" s="511">
        <f t="shared" si="4"/>
        <v>0</v>
      </c>
      <c r="J34" s="511"/>
      <c r="K34" s="525"/>
      <c r="L34" s="514">
        <f t="shared" si="1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5573287.9307322456</v>
      </c>
      <c r="E35" s="522">
        <f t="shared" si="10"/>
        <v>229453.26190476189</v>
      </c>
      <c r="F35" s="523">
        <f t="shared" si="11"/>
        <v>5343834.6688274834</v>
      </c>
      <c r="G35" s="524">
        <f t="shared" si="12"/>
        <v>812525.71959473612</v>
      </c>
      <c r="H35" s="491">
        <f t="shared" si="13"/>
        <v>812525.71959473612</v>
      </c>
      <c r="I35" s="511">
        <f t="shared" si="4"/>
        <v>0</v>
      </c>
      <c r="J35" s="511"/>
      <c r="K35" s="525"/>
      <c r="L35" s="514">
        <f t="shared" si="1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5343834.6688274834</v>
      </c>
      <c r="E36" s="522">
        <f t="shared" si="10"/>
        <v>229453.26190476189</v>
      </c>
      <c r="F36" s="523">
        <f t="shared" si="11"/>
        <v>5114381.4069227213</v>
      </c>
      <c r="G36" s="524">
        <f t="shared" si="12"/>
        <v>788015.98708533193</v>
      </c>
      <c r="H36" s="491">
        <f t="shared" si="13"/>
        <v>788015.98708533193</v>
      </c>
      <c r="I36" s="511">
        <f t="shared" si="4"/>
        <v>0</v>
      </c>
      <c r="J36" s="511"/>
      <c r="K36" s="525"/>
      <c r="L36" s="514">
        <f t="shared" si="1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5114381.4069227213</v>
      </c>
      <c r="E37" s="522">
        <f t="shared" si="10"/>
        <v>229453.26190476189</v>
      </c>
      <c r="F37" s="523">
        <f t="shared" si="11"/>
        <v>4884928.1450179592</v>
      </c>
      <c r="G37" s="524">
        <f t="shared" si="12"/>
        <v>763506.25457592751</v>
      </c>
      <c r="H37" s="491">
        <f t="shared" si="13"/>
        <v>763506.25457592751</v>
      </c>
      <c r="I37" s="511">
        <f t="shared" si="4"/>
        <v>0</v>
      </c>
      <c r="J37" s="511"/>
      <c r="K37" s="525"/>
      <c r="L37" s="514">
        <f t="shared" si="1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4884928.1450179592</v>
      </c>
      <c r="E38" s="522">
        <f t="shared" si="10"/>
        <v>229453.26190476189</v>
      </c>
      <c r="F38" s="523">
        <f t="shared" si="11"/>
        <v>4655474.8831131971</v>
      </c>
      <c r="G38" s="524">
        <f t="shared" si="12"/>
        <v>738996.5220665232</v>
      </c>
      <c r="H38" s="491">
        <f t="shared" si="13"/>
        <v>738996.5220665232</v>
      </c>
      <c r="I38" s="511">
        <f t="shared" si="4"/>
        <v>0</v>
      </c>
      <c r="J38" s="511"/>
      <c r="K38" s="525"/>
      <c r="L38" s="514">
        <f t="shared" si="1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4655474.8831131971</v>
      </c>
      <c r="E39" s="522">
        <f t="shared" si="10"/>
        <v>229453.26190476189</v>
      </c>
      <c r="F39" s="523">
        <f t="shared" si="11"/>
        <v>4426021.6212084349</v>
      </c>
      <c r="G39" s="524">
        <f t="shared" si="12"/>
        <v>714486.78955711878</v>
      </c>
      <c r="H39" s="491">
        <f t="shared" si="13"/>
        <v>714486.78955711878</v>
      </c>
      <c r="I39" s="511">
        <f t="shared" si="4"/>
        <v>0</v>
      </c>
      <c r="J39" s="511"/>
      <c r="K39" s="525"/>
      <c r="L39" s="514">
        <f t="shared" si="1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4426021.6212084349</v>
      </c>
      <c r="E40" s="522">
        <f t="shared" si="10"/>
        <v>229453.26190476189</v>
      </c>
      <c r="F40" s="523">
        <f t="shared" si="11"/>
        <v>4196568.3593036728</v>
      </c>
      <c r="G40" s="524">
        <f t="shared" si="12"/>
        <v>689977.05704771448</v>
      </c>
      <c r="H40" s="491">
        <f t="shared" si="13"/>
        <v>689977.05704771448</v>
      </c>
      <c r="I40" s="511">
        <f t="shared" si="4"/>
        <v>0</v>
      </c>
      <c r="J40" s="511"/>
      <c r="K40" s="525"/>
      <c r="L40" s="514">
        <f t="shared" si="1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4196568.3593036728</v>
      </c>
      <c r="E41" s="522">
        <f t="shared" si="10"/>
        <v>229453.26190476189</v>
      </c>
      <c r="F41" s="523">
        <f t="shared" si="11"/>
        <v>3967115.0973989107</v>
      </c>
      <c r="G41" s="524">
        <f t="shared" si="12"/>
        <v>665467.32453831006</v>
      </c>
      <c r="H41" s="491">
        <f t="shared" si="13"/>
        <v>665467.32453831006</v>
      </c>
      <c r="I41" s="511">
        <f t="shared" si="4"/>
        <v>0</v>
      </c>
      <c r="J41" s="511"/>
      <c r="K41" s="525"/>
      <c r="L41" s="514">
        <f t="shared" si="1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3967115.0973989107</v>
      </c>
      <c r="E42" s="522">
        <f t="shared" si="10"/>
        <v>229453.26190476189</v>
      </c>
      <c r="F42" s="523">
        <f t="shared" si="11"/>
        <v>3737661.8354941485</v>
      </c>
      <c r="G42" s="524">
        <f t="shared" si="12"/>
        <v>640957.59202890575</v>
      </c>
      <c r="H42" s="491">
        <f t="shared" si="13"/>
        <v>640957.59202890575</v>
      </c>
      <c r="I42" s="511">
        <f t="shared" si="4"/>
        <v>0</v>
      </c>
      <c r="J42" s="511"/>
      <c r="K42" s="525"/>
      <c r="L42" s="514">
        <f t="shared" si="1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3737661.8354941485</v>
      </c>
      <c r="E43" s="522">
        <f t="shared" si="10"/>
        <v>229453.26190476189</v>
      </c>
      <c r="F43" s="523">
        <f t="shared" si="11"/>
        <v>3508208.5735893864</v>
      </c>
      <c r="G43" s="524">
        <f t="shared" si="12"/>
        <v>616447.85951950145</v>
      </c>
      <c r="H43" s="491">
        <f t="shared" si="13"/>
        <v>616447.85951950145</v>
      </c>
      <c r="I43" s="511">
        <f t="shared" si="4"/>
        <v>0</v>
      </c>
      <c r="J43" s="511"/>
      <c r="K43" s="525"/>
      <c r="L43" s="514">
        <f t="shared" si="1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3508208.5735893864</v>
      </c>
      <c r="E44" s="522">
        <f t="shared" si="10"/>
        <v>229453.26190476189</v>
      </c>
      <c r="F44" s="523">
        <f t="shared" si="11"/>
        <v>3278755.3116846243</v>
      </c>
      <c r="G44" s="524">
        <f t="shared" si="12"/>
        <v>591938.12701009703</v>
      </c>
      <c r="H44" s="491">
        <f t="shared" si="13"/>
        <v>591938.12701009703</v>
      </c>
      <c r="I44" s="511">
        <f t="shared" si="4"/>
        <v>0</v>
      </c>
      <c r="J44" s="511"/>
      <c r="K44" s="525"/>
      <c r="L44" s="514">
        <f t="shared" si="1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3278755.3116846243</v>
      </c>
      <c r="E45" s="522">
        <f t="shared" si="10"/>
        <v>229453.26190476189</v>
      </c>
      <c r="F45" s="523">
        <f t="shared" si="11"/>
        <v>3049302.0497798622</v>
      </c>
      <c r="G45" s="524">
        <f t="shared" si="12"/>
        <v>567428.39450069272</v>
      </c>
      <c r="H45" s="491">
        <f t="shared" si="13"/>
        <v>567428.39450069272</v>
      </c>
      <c r="I45" s="511">
        <f t="shared" si="4"/>
        <v>0</v>
      </c>
      <c r="J45" s="511"/>
      <c r="K45" s="525"/>
      <c r="L45" s="514">
        <f t="shared" si="1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3049302.0497798622</v>
      </c>
      <c r="E46" s="522">
        <f t="shared" si="10"/>
        <v>229453.26190476189</v>
      </c>
      <c r="F46" s="523">
        <f t="shared" si="11"/>
        <v>2819848.7878751</v>
      </c>
      <c r="G46" s="524">
        <f t="shared" si="12"/>
        <v>542918.66199128842</v>
      </c>
      <c r="H46" s="491">
        <f t="shared" si="13"/>
        <v>542918.66199128842</v>
      </c>
      <c r="I46" s="511">
        <f t="shared" si="4"/>
        <v>0</v>
      </c>
      <c r="J46" s="511"/>
      <c r="K46" s="525"/>
      <c r="L46" s="514">
        <f t="shared" si="1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2819848.7878751</v>
      </c>
      <c r="E47" s="522">
        <f t="shared" si="10"/>
        <v>229453.26190476189</v>
      </c>
      <c r="F47" s="523">
        <f t="shared" si="11"/>
        <v>2590395.5259703379</v>
      </c>
      <c r="G47" s="524">
        <f t="shared" si="12"/>
        <v>518408.929481884</v>
      </c>
      <c r="H47" s="491">
        <f t="shared" si="13"/>
        <v>518408.929481884</v>
      </c>
      <c r="I47" s="511">
        <f t="shared" si="4"/>
        <v>0</v>
      </c>
      <c r="J47" s="511"/>
      <c r="K47" s="525"/>
      <c r="L47" s="514">
        <f t="shared" si="1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2590395.5259703379</v>
      </c>
      <c r="E48" s="522">
        <f t="shared" si="10"/>
        <v>229453.26190476189</v>
      </c>
      <c r="F48" s="523">
        <f t="shared" si="11"/>
        <v>2360942.2640655758</v>
      </c>
      <c r="G48" s="524">
        <f t="shared" si="12"/>
        <v>493899.19697247964</v>
      </c>
      <c r="H48" s="491">
        <f t="shared" si="13"/>
        <v>493899.19697247964</v>
      </c>
      <c r="I48" s="511">
        <f t="shared" si="4"/>
        <v>0</v>
      </c>
      <c r="J48" s="511"/>
      <c r="K48" s="525"/>
      <c r="L48" s="514">
        <f t="shared" si="1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2360942.2640655758</v>
      </c>
      <c r="E49" s="522">
        <f t="shared" si="10"/>
        <v>229453.26190476189</v>
      </c>
      <c r="F49" s="523">
        <f t="shared" si="11"/>
        <v>2131489.0021608137</v>
      </c>
      <c r="G49" s="524">
        <f t="shared" si="12"/>
        <v>469389.46446307527</v>
      </c>
      <c r="H49" s="491">
        <f t="shared" si="13"/>
        <v>469389.46446307527</v>
      </c>
      <c r="I49" s="511">
        <f t="shared" si="4"/>
        <v>0</v>
      </c>
      <c r="J49" s="511"/>
      <c r="K49" s="525"/>
      <c r="L49" s="514">
        <f t="shared" si="14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2131489.0021608137</v>
      </c>
      <c r="E50" s="522">
        <f t="shared" si="10"/>
        <v>229453.26190476189</v>
      </c>
      <c r="F50" s="523">
        <f t="shared" si="11"/>
        <v>1902035.7402560518</v>
      </c>
      <c r="G50" s="524">
        <f t="shared" si="12"/>
        <v>444879.73195367097</v>
      </c>
      <c r="H50" s="491">
        <f t="shared" si="13"/>
        <v>444879.73195367097</v>
      </c>
      <c r="I50" s="511">
        <f t="shared" si="4"/>
        <v>0</v>
      </c>
      <c r="J50" s="511"/>
      <c r="K50" s="525"/>
      <c r="L50" s="514">
        <f t="shared" si="14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1902035.7402560518</v>
      </c>
      <c r="E51" s="522">
        <f t="shared" si="10"/>
        <v>229453.26190476189</v>
      </c>
      <c r="F51" s="523">
        <f t="shared" si="11"/>
        <v>1672582.4783512899</v>
      </c>
      <c r="G51" s="524">
        <f t="shared" si="12"/>
        <v>420369.99944426666</v>
      </c>
      <c r="H51" s="491">
        <f t="shared" si="13"/>
        <v>420369.99944426666</v>
      </c>
      <c r="I51" s="511">
        <f t="shared" si="4"/>
        <v>0</v>
      </c>
      <c r="J51" s="511"/>
      <c r="K51" s="525"/>
      <c r="L51" s="514">
        <f t="shared" si="14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1672582.4783512899</v>
      </c>
      <c r="E52" s="522">
        <f t="shared" si="10"/>
        <v>229453.26190476189</v>
      </c>
      <c r="F52" s="523">
        <f t="shared" si="11"/>
        <v>1443129.216446528</v>
      </c>
      <c r="G52" s="524">
        <f t="shared" ref="G52:G72" si="15">+I$12*((D52+F52)/2)+E52</f>
        <v>395860.2669348623</v>
      </c>
      <c r="H52" s="491">
        <f t="shared" ref="H52:H72" si="16">+I$13*((D52+F52)/2)+E52</f>
        <v>395860.2669348623</v>
      </c>
      <c r="I52" s="511">
        <f t="shared" si="4"/>
        <v>0</v>
      </c>
      <c r="J52" s="511"/>
      <c r="K52" s="525"/>
      <c r="L52" s="514">
        <f t="shared" si="14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1443129.216446528</v>
      </c>
      <c r="E53" s="522">
        <f t="shared" si="10"/>
        <v>229453.26190476189</v>
      </c>
      <c r="F53" s="523">
        <f t="shared" si="11"/>
        <v>1213675.9545417661</v>
      </c>
      <c r="G53" s="524">
        <f t="shared" si="15"/>
        <v>371350.534425458</v>
      </c>
      <c r="H53" s="491">
        <f t="shared" si="16"/>
        <v>371350.534425458</v>
      </c>
      <c r="I53" s="511">
        <f t="shared" si="4"/>
        <v>0</v>
      </c>
      <c r="J53" s="511"/>
      <c r="K53" s="525"/>
      <c r="L53" s="514">
        <f t="shared" si="14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1213675.9545417661</v>
      </c>
      <c r="E54" s="522">
        <f t="shared" si="10"/>
        <v>229453.26190476189</v>
      </c>
      <c r="F54" s="523">
        <f t="shared" si="11"/>
        <v>984222.69263700419</v>
      </c>
      <c r="G54" s="524">
        <f t="shared" si="15"/>
        <v>346840.80191605364</v>
      </c>
      <c r="H54" s="491">
        <f t="shared" si="16"/>
        <v>346840.80191605364</v>
      </c>
      <c r="I54" s="511">
        <f t="shared" si="4"/>
        <v>0</v>
      </c>
      <c r="J54" s="511"/>
      <c r="K54" s="525"/>
      <c r="L54" s="514">
        <f t="shared" si="14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984222.69263700419</v>
      </c>
      <c r="E55" s="522">
        <f t="shared" si="10"/>
        <v>229453.26190476189</v>
      </c>
      <c r="F55" s="523">
        <f t="shared" si="11"/>
        <v>754769.4307322423</v>
      </c>
      <c r="G55" s="524">
        <f t="shared" si="15"/>
        <v>322331.06940664933</v>
      </c>
      <c r="H55" s="491">
        <f t="shared" si="16"/>
        <v>322331.06940664933</v>
      </c>
      <c r="I55" s="511">
        <f t="shared" si="4"/>
        <v>0</v>
      </c>
      <c r="J55" s="511"/>
      <c r="K55" s="525"/>
      <c r="L55" s="514">
        <f t="shared" si="14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754769.4307322423</v>
      </c>
      <c r="E56" s="522">
        <f t="shared" si="10"/>
        <v>229453.26190476189</v>
      </c>
      <c r="F56" s="523">
        <f t="shared" si="11"/>
        <v>525316.1688274804</v>
      </c>
      <c r="G56" s="524">
        <f t="shared" si="15"/>
        <v>297821.33689724503</v>
      </c>
      <c r="H56" s="491">
        <f t="shared" si="16"/>
        <v>297821.33689724503</v>
      </c>
      <c r="I56" s="511">
        <f t="shared" si="4"/>
        <v>0</v>
      </c>
      <c r="J56" s="511"/>
      <c r="K56" s="525"/>
      <c r="L56" s="514">
        <f t="shared" si="14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525316.1688274804</v>
      </c>
      <c r="E57" s="522">
        <f t="shared" si="10"/>
        <v>229453.26190476189</v>
      </c>
      <c r="F57" s="523">
        <f t="shared" si="11"/>
        <v>295862.90692271851</v>
      </c>
      <c r="G57" s="524">
        <f t="shared" si="15"/>
        <v>273311.60438784072</v>
      </c>
      <c r="H57" s="491">
        <f t="shared" si="16"/>
        <v>273311.60438784072</v>
      </c>
      <c r="I57" s="511">
        <f t="shared" si="4"/>
        <v>0</v>
      </c>
      <c r="J57" s="511"/>
      <c r="K57" s="525"/>
      <c r="L57" s="514">
        <f t="shared" si="14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295862.90692271851</v>
      </c>
      <c r="E58" s="522">
        <f t="shared" si="10"/>
        <v>229453.26190476189</v>
      </c>
      <c r="F58" s="523">
        <f t="shared" si="11"/>
        <v>66409.645017956616</v>
      </c>
      <c r="G58" s="524">
        <f t="shared" si="15"/>
        <v>248801.87187843636</v>
      </c>
      <c r="H58" s="491">
        <f t="shared" si="16"/>
        <v>248801.87187843636</v>
      </c>
      <c r="I58" s="511">
        <f t="shared" si="4"/>
        <v>0</v>
      </c>
      <c r="J58" s="511"/>
      <c r="K58" s="525"/>
      <c r="L58" s="514">
        <f t="shared" si="14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66409.645017956616</v>
      </c>
      <c r="E59" s="522">
        <f t="shared" si="10"/>
        <v>66409.645017956616</v>
      </c>
      <c r="F59" s="523">
        <f t="shared" si="11"/>
        <v>0</v>
      </c>
      <c r="G59" s="524">
        <f t="shared" si="15"/>
        <v>69956.516877442773</v>
      </c>
      <c r="H59" s="491">
        <f t="shared" si="16"/>
        <v>69956.516877442773</v>
      </c>
      <c r="I59" s="511">
        <f t="shared" si="4"/>
        <v>0</v>
      </c>
      <c r="J59" s="511"/>
      <c r="K59" s="525"/>
      <c r="L59" s="514">
        <f t="shared" si="14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0"/>
        <v>0</v>
      </c>
      <c r="F60" s="523">
        <f t="shared" si="11"/>
        <v>0</v>
      </c>
      <c r="G60" s="524">
        <f t="shared" si="15"/>
        <v>0</v>
      </c>
      <c r="H60" s="491">
        <f t="shared" si="16"/>
        <v>0</v>
      </c>
      <c r="I60" s="511">
        <f t="shared" si="4"/>
        <v>0</v>
      </c>
      <c r="J60" s="511"/>
      <c r="K60" s="525"/>
      <c r="L60" s="514">
        <f t="shared" si="14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0"/>
        <v>0</v>
      </c>
      <c r="F61" s="523">
        <f t="shared" si="11"/>
        <v>0</v>
      </c>
      <c r="G61" s="524">
        <f t="shared" si="15"/>
        <v>0</v>
      </c>
      <c r="H61" s="491">
        <f t="shared" si="16"/>
        <v>0</v>
      </c>
      <c r="I61" s="511">
        <f t="shared" si="4"/>
        <v>0</v>
      </c>
      <c r="J61" s="511"/>
      <c r="K61" s="525"/>
      <c r="L61" s="514">
        <f t="shared" si="14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0"/>
        <v>0</v>
      </c>
      <c r="F62" s="523">
        <f t="shared" si="11"/>
        <v>0</v>
      </c>
      <c r="G62" s="524">
        <f t="shared" si="15"/>
        <v>0</v>
      </c>
      <c r="H62" s="491">
        <f t="shared" si="16"/>
        <v>0</v>
      </c>
      <c r="I62" s="511">
        <f t="shared" si="4"/>
        <v>0</v>
      </c>
      <c r="J62" s="511"/>
      <c r="K62" s="525"/>
      <c r="L62" s="514">
        <f t="shared" si="14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0"/>
        <v>0</v>
      </c>
      <c r="F63" s="523">
        <f t="shared" si="11"/>
        <v>0</v>
      </c>
      <c r="G63" s="524">
        <f t="shared" si="15"/>
        <v>0</v>
      </c>
      <c r="H63" s="491">
        <f t="shared" si="16"/>
        <v>0</v>
      </c>
      <c r="I63" s="511">
        <f t="shared" si="4"/>
        <v>0</v>
      </c>
      <c r="J63" s="511"/>
      <c r="K63" s="525"/>
      <c r="L63" s="514">
        <f t="shared" si="14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0"/>
        <v>0</v>
      </c>
      <c r="F64" s="523">
        <f t="shared" si="11"/>
        <v>0</v>
      </c>
      <c r="G64" s="524">
        <f t="shared" si="15"/>
        <v>0</v>
      </c>
      <c r="H64" s="491">
        <f t="shared" si="16"/>
        <v>0</v>
      </c>
      <c r="I64" s="511">
        <f t="shared" si="4"/>
        <v>0</v>
      </c>
      <c r="J64" s="511"/>
      <c r="K64" s="525"/>
      <c r="L64" s="514">
        <f t="shared" si="14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0"/>
        <v>0</v>
      </c>
      <c r="F65" s="523">
        <f t="shared" si="11"/>
        <v>0</v>
      </c>
      <c r="G65" s="524">
        <f t="shared" si="15"/>
        <v>0</v>
      </c>
      <c r="H65" s="491">
        <f t="shared" si="16"/>
        <v>0</v>
      </c>
      <c r="I65" s="511">
        <f t="shared" si="4"/>
        <v>0</v>
      </c>
      <c r="J65" s="511"/>
      <c r="K65" s="525"/>
      <c r="L65" s="514">
        <f t="shared" si="14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0"/>
        <v>0</v>
      </c>
      <c r="F66" s="523">
        <f t="shared" si="11"/>
        <v>0</v>
      </c>
      <c r="G66" s="524">
        <f t="shared" si="15"/>
        <v>0</v>
      </c>
      <c r="H66" s="491">
        <f t="shared" si="16"/>
        <v>0</v>
      </c>
      <c r="I66" s="511">
        <f t="shared" si="4"/>
        <v>0</v>
      </c>
      <c r="J66" s="511"/>
      <c r="K66" s="525"/>
      <c r="L66" s="514">
        <f t="shared" si="14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0"/>
        <v>0</v>
      </c>
      <c r="F67" s="523">
        <f t="shared" si="11"/>
        <v>0</v>
      </c>
      <c r="G67" s="524">
        <f t="shared" si="15"/>
        <v>0</v>
      </c>
      <c r="H67" s="491">
        <f t="shared" si="16"/>
        <v>0</v>
      </c>
      <c r="I67" s="511">
        <f t="shared" si="4"/>
        <v>0</v>
      </c>
      <c r="J67" s="511"/>
      <c r="K67" s="525"/>
      <c r="L67" s="514">
        <f t="shared" si="14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0"/>
        <v>0</v>
      </c>
      <c r="F68" s="523">
        <f t="shared" si="11"/>
        <v>0</v>
      </c>
      <c r="G68" s="524">
        <f t="shared" si="15"/>
        <v>0</v>
      </c>
      <c r="H68" s="491">
        <f t="shared" si="16"/>
        <v>0</v>
      </c>
      <c r="I68" s="511">
        <f t="shared" si="4"/>
        <v>0</v>
      </c>
      <c r="J68" s="511"/>
      <c r="K68" s="525"/>
      <c r="L68" s="514">
        <f t="shared" si="14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0"/>
        <v>0</v>
      </c>
      <c r="F69" s="523">
        <f t="shared" si="11"/>
        <v>0</v>
      </c>
      <c r="G69" s="524">
        <f t="shared" si="15"/>
        <v>0</v>
      </c>
      <c r="H69" s="491">
        <f t="shared" si="16"/>
        <v>0</v>
      </c>
      <c r="I69" s="511">
        <f t="shared" si="4"/>
        <v>0</v>
      </c>
      <c r="J69" s="511"/>
      <c r="K69" s="525"/>
      <c r="L69" s="514">
        <f t="shared" si="14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0"/>
        <v>0</v>
      </c>
      <c r="F70" s="523">
        <f t="shared" si="11"/>
        <v>0</v>
      </c>
      <c r="G70" s="524">
        <f t="shared" si="15"/>
        <v>0</v>
      </c>
      <c r="H70" s="491">
        <f t="shared" si="16"/>
        <v>0</v>
      </c>
      <c r="I70" s="511">
        <f t="shared" si="4"/>
        <v>0</v>
      </c>
      <c r="J70" s="511"/>
      <c r="K70" s="525"/>
      <c r="L70" s="514">
        <f t="shared" si="14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0"/>
        <v>0</v>
      </c>
      <c r="F71" s="523">
        <f t="shared" si="11"/>
        <v>0</v>
      </c>
      <c r="G71" s="524">
        <f t="shared" si="15"/>
        <v>0</v>
      </c>
      <c r="H71" s="491">
        <f t="shared" si="16"/>
        <v>0</v>
      </c>
      <c r="I71" s="511">
        <f t="shared" si="4"/>
        <v>0</v>
      </c>
      <c r="J71" s="511"/>
      <c r="K71" s="525"/>
      <c r="L71" s="514">
        <f t="shared" si="14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0"/>
        <v>0</v>
      </c>
      <c r="F72" s="523">
        <f t="shared" si="11"/>
        <v>0</v>
      </c>
      <c r="G72" s="524">
        <f t="shared" si="15"/>
        <v>0</v>
      </c>
      <c r="H72" s="491">
        <f t="shared" si="16"/>
        <v>0</v>
      </c>
      <c r="I72" s="511">
        <f t="shared" si="4"/>
        <v>0</v>
      </c>
      <c r="J72" s="511"/>
      <c r="K72" s="532"/>
      <c r="L72" s="533">
        <f t="shared" si="14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9637036.9999999963</v>
      </c>
      <c r="F73" s="375"/>
      <c r="G73" s="375">
        <f>SUM(G17:G72)</f>
        <v>32673669.248915207</v>
      </c>
      <c r="H73" s="375">
        <f>SUM(H17:H72)</f>
        <v>32673669.248915207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40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1075714.8431861391</v>
      </c>
      <c r="N87" s="546">
        <f>IF(J92&lt;D11,0,VLOOKUP(J92,C17:O72,11))</f>
        <v>1075714.8431861391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1115081.4585097209</v>
      </c>
      <c r="N88" s="550">
        <f>IF(J92&lt;D11,0,VLOOKUP(J92,C99:P154,7))</f>
        <v>1115081.4585097209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 xml:space="preserve">Rock Hill to Carthage 69 kV Rebuild 11.4 Miles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39366.615323581733</v>
      </c>
      <c r="N89" s="555">
        <f>+N88-N87</f>
        <v>39366.615323581733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TP20100102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f>IF(D11=I10,0,D10)</f>
        <v>9637037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229453.26190476189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152968.84126984127</v>
      </c>
      <c r="F99" s="631">
        <v>9484068.1587301586</v>
      </c>
      <c r="G99" s="632">
        <v>4742034.0793650793</v>
      </c>
      <c r="H99" s="633">
        <v>797522.51965819846</v>
      </c>
      <c r="I99" s="634">
        <v>797522.51965819846</v>
      </c>
      <c r="J99" s="640">
        <v>0</v>
      </c>
      <c r="K99" s="514"/>
      <c r="L99" s="518">
        <f t="shared" ref="L99:L104" si="17">H99</f>
        <v>797522.51965819846</v>
      </c>
      <c r="M99" s="519">
        <f t="shared" ref="M99:M104" si="18">IF(L99&lt;&gt;0,+H99-L99,0)</f>
        <v>0</v>
      </c>
      <c r="N99" s="518">
        <f t="shared" ref="N99:N104" si="19">I99</f>
        <v>797522.51965819846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2015</v>
      </c>
      <c r="D100" s="629">
        <v>9484068.1587301586</v>
      </c>
      <c r="E100" s="630">
        <v>229453.26190476189</v>
      </c>
      <c r="F100" s="631">
        <v>9254614.8968253974</v>
      </c>
      <c r="G100" s="631">
        <v>9369341.527777778</v>
      </c>
      <c r="H100" s="633">
        <v>1464040.8814475967</v>
      </c>
      <c r="I100" s="634">
        <v>1464040.8814475967</v>
      </c>
      <c r="J100" s="514">
        <f>+I100-H100</f>
        <v>0</v>
      </c>
      <c r="K100" s="514"/>
      <c r="L100" s="518">
        <f t="shared" si="17"/>
        <v>1464040.8814475967</v>
      </c>
      <c r="M100" s="519">
        <f t="shared" si="18"/>
        <v>0</v>
      </c>
      <c r="N100" s="518">
        <f t="shared" si="19"/>
        <v>1464040.8814475967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0">IF(D101=F100,"","IU")</f>
        <v/>
      </c>
      <c r="C101" s="507">
        <f>IF(D93="","-",+C100+1)</f>
        <v>2016</v>
      </c>
      <c r="D101" s="629">
        <v>9254614.8968253974</v>
      </c>
      <c r="E101" s="630">
        <v>224117.13953488372</v>
      </c>
      <c r="F101" s="631">
        <v>9030497.7572905142</v>
      </c>
      <c r="G101" s="631">
        <v>9142556.3270579558</v>
      </c>
      <c r="H101" s="633">
        <v>1384764.5581805804</v>
      </c>
      <c r="I101" s="634">
        <v>1384764.5581805804</v>
      </c>
      <c r="J101" s="514">
        <f t="shared" ref="J101:J154" si="21">+I101-H101</f>
        <v>0</v>
      </c>
      <c r="K101" s="514"/>
      <c r="L101" s="518">
        <f t="shared" si="17"/>
        <v>1384764.5581805804</v>
      </c>
      <c r="M101" s="519">
        <f t="shared" si="18"/>
        <v>0</v>
      </c>
      <c r="N101" s="518">
        <f t="shared" si="19"/>
        <v>1384764.5581805804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0"/>
        <v/>
      </c>
      <c r="C102" s="507">
        <f>IF(D93="","-",+C101+1)</f>
        <v>2017</v>
      </c>
      <c r="D102" s="629">
        <v>9030497.7572905142</v>
      </c>
      <c r="E102" s="630">
        <v>229453.26190476189</v>
      </c>
      <c r="F102" s="631">
        <v>8801044.495385753</v>
      </c>
      <c r="G102" s="631">
        <v>8915771.1263381336</v>
      </c>
      <c r="H102" s="633">
        <v>1312464.9769978134</v>
      </c>
      <c r="I102" s="634">
        <v>1312464.9769978134</v>
      </c>
      <c r="J102" s="514">
        <f t="shared" si="21"/>
        <v>0</v>
      </c>
      <c r="K102" s="514"/>
      <c r="L102" s="518">
        <f t="shared" si="17"/>
        <v>1312464.9769978134</v>
      </c>
      <c r="M102" s="519">
        <f t="shared" si="18"/>
        <v>0</v>
      </c>
      <c r="N102" s="518">
        <f t="shared" si="19"/>
        <v>1312464.9769978134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20"/>
        <v/>
      </c>
      <c r="C103" s="507">
        <f>IF(D93="","-",+C102+1)</f>
        <v>2018</v>
      </c>
      <c r="D103" s="629">
        <v>8801044.495385753</v>
      </c>
      <c r="E103" s="630">
        <v>229453.26190476189</v>
      </c>
      <c r="F103" s="631">
        <v>8571591.2334809918</v>
      </c>
      <c r="G103" s="631">
        <v>8686317.8644333724</v>
      </c>
      <c r="H103" s="633">
        <v>1146768.2622772851</v>
      </c>
      <c r="I103" s="634">
        <v>1146768.2622772851</v>
      </c>
      <c r="J103" s="514">
        <f t="shared" si="21"/>
        <v>0</v>
      </c>
      <c r="K103" s="514"/>
      <c r="L103" s="518">
        <f t="shared" si="17"/>
        <v>1146768.2622772851</v>
      </c>
      <c r="M103" s="519">
        <f t="shared" si="18"/>
        <v>0</v>
      </c>
      <c r="N103" s="518">
        <f t="shared" si="19"/>
        <v>1146768.2622772851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20"/>
        <v/>
      </c>
      <c r="C104" s="507">
        <f>IF(D93="","-",+C103+1)</f>
        <v>2019</v>
      </c>
      <c r="D104" s="629">
        <v>8571591.2334809918</v>
      </c>
      <c r="E104" s="630">
        <v>224117.13953488372</v>
      </c>
      <c r="F104" s="631">
        <v>8347474.0939461077</v>
      </c>
      <c r="G104" s="631">
        <v>8459532.6637135502</v>
      </c>
      <c r="H104" s="633">
        <v>1129630.139349205</v>
      </c>
      <c r="I104" s="634">
        <v>1129630.139349205</v>
      </c>
      <c r="J104" s="514">
        <f t="shared" si="21"/>
        <v>0</v>
      </c>
      <c r="K104" s="514"/>
      <c r="L104" s="518">
        <f t="shared" si="17"/>
        <v>1129630.139349205</v>
      </c>
      <c r="M104" s="519">
        <f t="shared" si="18"/>
        <v>0</v>
      </c>
      <c r="N104" s="518">
        <f t="shared" si="19"/>
        <v>1129630.139349205</v>
      </c>
      <c r="O104" s="514">
        <f t="shared" ref="O104:O130" si="22">IF(N104&lt;&gt;0,+I104-N104,0)</f>
        <v>0</v>
      </c>
      <c r="P104" s="514">
        <f t="shared" ref="P104:P130" si="23">+O104-M104</f>
        <v>0</v>
      </c>
    </row>
    <row r="105" spans="1:16" ht="12.5">
      <c r="B105" s="195" t="str">
        <f t="shared" si="20"/>
        <v/>
      </c>
      <c r="C105" s="507">
        <f>IF(D93="","-",+C104+1)</f>
        <v>2020</v>
      </c>
      <c r="D105" s="374">
        <f>IF(F104+SUM(E$99:E104)=D$92,F104,D$92-SUM(E$99:E104))</f>
        <v>8347474.0939461077</v>
      </c>
      <c r="E105" s="522">
        <f t="shared" ref="E105:E154" si="24">IF(+$J$96&lt;F104,$J$96,D105)</f>
        <v>229453.26190476189</v>
      </c>
      <c r="F105" s="523">
        <f t="shared" ref="F105:F154" si="25">+D105-E105</f>
        <v>8118020.8320413455</v>
      </c>
      <c r="G105" s="523">
        <f t="shared" ref="G105:G154" si="26">+(F105+D105)/2</f>
        <v>8232747.4629937261</v>
      </c>
      <c r="H105" s="526">
        <f t="shared" ref="H105:H154" si="27">+J$94*G105+E105</f>
        <v>1115081.4585097209</v>
      </c>
      <c r="I105" s="577">
        <f t="shared" ref="I105:I154" si="28">+J$95*G105+E105</f>
        <v>1115081.4585097209</v>
      </c>
      <c r="J105" s="514">
        <f t="shared" si="21"/>
        <v>0</v>
      </c>
      <c r="K105" s="514"/>
      <c r="L105" s="525"/>
      <c r="M105" s="514">
        <f t="shared" ref="M105:M130" si="29">IF(L105&lt;&gt;0,+H105-L105,0)</f>
        <v>0</v>
      </c>
      <c r="N105" s="525"/>
      <c r="O105" s="514">
        <f t="shared" si="22"/>
        <v>0</v>
      </c>
      <c r="P105" s="514">
        <f t="shared" si="23"/>
        <v>0</v>
      </c>
    </row>
    <row r="106" spans="1:16" ht="12.5">
      <c r="B106" s="195" t="str">
        <f t="shared" si="20"/>
        <v/>
      </c>
      <c r="C106" s="507">
        <f>IF(D93="","-",+C105+1)</f>
        <v>2021</v>
      </c>
      <c r="D106" s="374">
        <f>IF(F105+SUM(E$99:E105)=D$92,F105,D$92-SUM(E$99:E105))</f>
        <v>8118020.8320413455</v>
      </c>
      <c r="E106" s="522">
        <f t="shared" si="24"/>
        <v>229453.26190476189</v>
      </c>
      <c r="F106" s="523">
        <f t="shared" si="25"/>
        <v>7888567.5701365834</v>
      </c>
      <c r="G106" s="523">
        <f t="shared" si="26"/>
        <v>8003294.2010889649</v>
      </c>
      <c r="H106" s="526">
        <f t="shared" si="27"/>
        <v>1090398.2917468303</v>
      </c>
      <c r="I106" s="577">
        <f t="shared" si="28"/>
        <v>1090398.2917468303</v>
      </c>
      <c r="J106" s="514">
        <f t="shared" si="21"/>
        <v>0</v>
      </c>
      <c r="K106" s="514"/>
      <c r="L106" s="525"/>
      <c r="M106" s="514">
        <f t="shared" si="29"/>
        <v>0</v>
      </c>
      <c r="N106" s="525"/>
      <c r="O106" s="514">
        <f t="shared" si="22"/>
        <v>0</v>
      </c>
      <c r="P106" s="514">
        <f t="shared" si="23"/>
        <v>0</v>
      </c>
    </row>
    <row r="107" spans="1:16" ht="12.5">
      <c r="B107" s="195" t="str">
        <f t="shared" si="20"/>
        <v/>
      </c>
      <c r="C107" s="507">
        <f>IF(D93="","-",+C106+1)</f>
        <v>2022</v>
      </c>
      <c r="D107" s="374">
        <f>IF(F106+SUM(E$99:E106)=D$92,F106,D$92-SUM(E$99:E106))</f>
        <v>7888567.5701365834</v>
      </c>
      <c r="E107" s="522">
        <f t="shared" si="24"/>
        <v>229453.26190476189</v>
      </c>
      <c r="F107" s="523">
        <f t="shared" si="25"/>
        <v>7659114.3082318213</v>
      </c>
      <c r="G107" s="523">
        <f t="shared" si="26"/>
        <v>7773840.9391842019</v>
      </c>
      <c r="H107" s="526">
        <f t="shared" si="27"/>
        <v>1065715.1249839393</v>
      </c>
      <c r="I107" s="577">
        <f t="shared" si="28"/>
        <v>1065715.1249839393</v>
      </c>
      <c r="J107" s="514">
        <f t="shared" si="21"/>
        <v>0</v>
      </c>
      <c r="K107" s="514"/>
      <c r="L107" s="525"/>
      <c r="M107" s="514">
        <f t="shared" si="29"/>
        <v>0</v>
      </c>
      <c r="N107" s="525"/>
      <c r="O107" s="514">
        <f t="shared" si="22"/>
        <v>0</v>
      </c>
      <c r="P107" s="514">
        <f t="shared" si="23"/>
        <v>0</v>
      </c>
    </row>
    <row r="108" spans="1:16" ht="12.5">
      <c r="B108" s="195" t="str">
        <f t="shared" si="20"/>
        <v/>
      </c>
      <c r="C108" s="507">
        <f>IF(D93="","-",+C107+1)</f>
        <v>2023</v>
      </c>
      <c r="D108" s="374">
        <f>IF(F107+SUM(E$99:E107)=D$92,F107,D$92-SUM(E$99:E107))</f>
        <v>7659114.3082318213</v>
      </c>
      <c r="E108" s="522">
        <f t="shared" si="24"/>
        <v>229453.26190476189</v>
      </c>
      <c r="F108" s="523">
        <f t="shared" si="25"/>
        <v>7429661.0463270592</v>
      </c>
      <c r="G108" s="523">
        <f t="shared" si="26"/>
        <v>7544387.6772794407</v>
      </c>
      <c r="H108" s="526">
        <f t="shared" si="27"/>
        <v>1041031.9582210488</v>
      </c>
      <c r="I108" s="577">
        <f t="shared" si="28"/>
        <v>1041031.9582210488</v>
      </c>
      <c r="J108" s="514">
        <f t="shared" si="21"/>
        <v>0</v>
      </c>
      <c r="K108" s="514"/>
      <c r="L108" s="525"/>
      <c r="M108" s="514">
        <f t="shared" si="29"/>
        <v>0</v>
      </c>
      <c r="N108" s="525"/>
      <c r="O108" s="514">
        <f t="shared" si="22"/>
        <v>0</v>
      </c>
      <c r="P108" s="514">
        <f t="shared" si="23"/>
        <v>0</v>
      </c>
    </row>
    <row r="109" spans="1:16" ht="12.5">
      <c r="B109" s="195" t="str">
        <f t="shared" si="20"/>
        <v/>
      </c>
      <c r="C109" s="507">
        <f>IF(D93="","-",+C108+1)</f>
        <v>2024</v>
      </c>
      <c r="D109" s="374">
        <f>IF(F108+SUM(E$99:E108)=D$92,F108,D$92-SUM(E$99:E108))</f>
        <v>7429661.0463270592</v>
      </c>
      <c r="E109" s="522">
        <f t="shared" si="24"/>
        <v>229453.26190476189</v>
      </c>
      <c r="F109" s="523">
        <f t="shared" si="25"/>
        <v>7200207.784422297</v>
      </c>
      <c r="G109" s="523">
        <f t="shared" si="26"/>
        <v>7314934.4153746776</v>
      </c>
      <c r="H109" s="526">
        <f t="shared" si="27"/>
        <v>1016348.7914581579</v>
      </c>
      <c r="I109" s="577">
        <f t="shared" si="28"/>
        <v>1016348.7914581579</v>
      </c>
      <c r="J109" s="514">
        <f t="shared" si="21"/>
        <v>0</v>
      </c>
      <c r="K109" s="514"/>
      <c r="L109" s="525"/>
      <c r="M109" s="514">
        <f t="shared" si="29"/>
        <v>0</v>
      </c>
      <c r="N109" s="525"/>
      <c r="O109" s="514">
        <f t="shared" si="22"/>
        <v>0</v>
      </c>
      <c r="P109" s="514">
        <f t="shared" si="23"/>
        <v>0</v>
      </c>
    </row>
    <row r="110" spans="1:16" ht="12.5">
      <c r="B110" s="195" t="str">
        <f t="shared" si="20"/>
        <v/>
      </c>
      <c r="C110" s="507">
        <f>IF(D93="","-",+C109+1)</f>
        <v>2025</v>
      </c>
      <c r="D110" s="374">
        <f>IF(F109+SUM(E$99:E109)=D$92,F109,D$92-SUM(E$99:E109))</f>
        <v>7200207.784422297</v>
      </c>
      <c r="E110" s="522">
        <f t="shared" si="24"/>
        <v>229453.26190476189</v>
      </c>
      <c r="F110" s="523">
        <f t="shared" si="25"/>
        <v>6970754.5225175349</v>
      </c>
      <c r="G110" s="523">
        <f t="shared" si="26"/>
        <v>7085481.1534699164</v>
      </c>
      <c r="H110" s="526">
        <f t="shared" si="27"/>
        <v>991665.6246952673</v>
      </c>
      <c r="I110" s="577">
        <f t="shared" si="28"/>
        <v>991665.6246952673</v>
      </c>
      <c r="J110" s="514">
        <f t="shared" si="21"/>
        <v>0</v>
      </c>
      <c r="K110" s="514"/>
      <c r="L110" s="525"/>
      <c r="M110" s="514">
        <f t="shared" si="29"/>
        <v>0</v>
      </c>
      <c r="N110" s="525"/>
      <c r="O110" s="514">
        <f t="shared" si="22"/>
        <v>0</v>
      </c>
      <c r="P110" s="514">
        <f t="shared" si="23"/>
        <v>0</v>
      </c>
    </row>
    <row r="111" spans="1:16" ht="12.5">
      <c r="B111" s="195" t="str">
        <f t="shared" si="20"/>
        <v/>
      </c>
      <c r="C111" s="507">
        <f>IF(D93="","-",+C110+1)</f>
        <v>2026</v>
      </c>
      <c r="D111" s="374">
        <f>IF(F110+SUM(E$99:E110)=D$92,F110,D$92-SUM(E$99:E110))</f>
        <v>6970754.5225175349</v>
      </c>
      <c r="E111" s="522">
        <f t="shared" si="24"/>
        <v>229453.26190476189</v>
      </c>
      <c r="F111" s="523">
        <f t="shared" si="25"/>
        <v>6741301.2606127728</v>
      </c>
      <c r="G111" s="523">
        <f t="shared" si="26"/>
        <v>6856027.8915651534</v>
      </c>
      <c r="H111" s="526">
        <f t="shared" si="27"/>
        <v>966982.45793237654</v>
      </c>
      <c r="I111" s="577">
        <f t="shared" si="28"/>
        <v>966982.45793237654</v>
      </c>
      <c r="J111" s="514">
        <f t="shared" si="21"/>
        <v>0</v>
      </c>
      <c r="K111" s="514"/>
      <c r="L111" s="525"/>
      <c r="M111" s="514">
        <f t="shared" si="29"/>
        <v>0</v>
      </c>
      <c r="N111" s="525"/>
      <c r="O111" s="514">
        <f t="shared" si="22"/>
        <v>0</v>
      </c>
      <c r="P111" s="514">
        <f t="shared" si="23"/>
        <v>0</v>
      </c>
    </row>
    <row r="112" spans="1:16" ht="12.5">
      <c r="B112" s="195" t="str">
        <f t="shared" si="20"/>
        <v/>
      </c>
      <c r="C112" s="507">
        <f>IF(D93="","-",+C111+1)</f>
        <v>2027</v>
      </c>
      <c r="D112" s="374">
        <f>IF(F111+SUM(E$99:E111)=D$92,F111,D$92-SUM(E$99:E111))</f>
        <v>6741301.2606127728</v>
      </c>
      <c r="E112" s="522">
        <f t="shared" si="24"/>
        <v>229453.26190476189</v>
      </c>
      <c r="F112" s="523">
        <f t="shared" si="25"/>
        <v>6511847.9987080107</v>
      </c>
      <c r="G112" s="523">
        <f t="shared" si="26"/>
        <v>6626574.6296603922</v>
      </c>
      <c r="H112" s="526">
        <f t="shared" si="27"/>
        <v>942299.29116948589</v>
      </c>
      <c r="I112" s="577">
        <f t="shared" si="28"/>
        <v>942299.29116948589</v>
      </c>
      <c r="J112" s="514">
        <f t="shared" si="21"/>
        <v>0</v>
      </c>
      <c r="K112" s="514"/>
      <c r="L112" s="525"/>
      <c r="M112" s="514">
        <f t="shared" si="29"/>
        <v>0</v>
      </c>
      <c r="N112" s="525"/>
      <c r="O112" s="514">
        <f t="shared" si="22"/>
        <v>0</v>
      </c>
      <c r="P112" s="514">
        <f t="shared" si="23"/>
        <v>0</v>
      </c>
    </row>
    <row r="113" spans="2:16" ht="12.5">
      <c r="B113" s="195" t="str">
        <f t="shared" si="20"/>
        <v/>
      </c>
      <c r="C113" s="507">
        <f>IF(D93="","-",+C112+1)</f>
        <v>2028</v>
      </c>
      <c r="D113" s="374">
        <f>IF(F112+SUM(E$99:E112)=D$92,F112,D$92-SUM(E$99:E112))</f>
        <v>6511847.9987080107</v>
      </c>
      <c r="E113" s="522">
        <f t="shared" si="24"/>
        <v>229453.26190476189</v>
      </c>
      <c r="F113" s="523">
        <f t="shared" si="25"/>
        <v>6282394.7368032485</v>
      </c>
      <c r="G113" s="523">
        <f t="shared" si="26"/>
        <v>6397121.3677556291</v>
      </c>
      <c r="H113" s="526">
        <f t="shared" si="27"/>
        <v>917616.12440659502</v>
      </c>
      <c r="I113" s="577">
        <f t="shared" si="28"/>
        <v>917616.12440659502</v>
      </c>
      <c r="J113" s="514">
        <f t="shared" si="21"/>
        <v>0</v>
      </c>
      <c r="K113" s="514"/>
      <c r="L113" s="525"/>
      <c r="M113" s="514">
        <f t="shared" si="29"/>
        <v>0</v>
      </c>
      <c r="N113" s="525"/>
      <c r="O113" s="514">
        <f t="shared" si="22"/>
        <v>0</v>
      </c>
      <c r="P113" s="514">
        <f t="shared" si="23"/>
        <v>0</v>
      </c>
    </row>
    <row r="114" spans="2:16" ht="12.5">
      <c r="B114" s="195" t="str">
        <f t="shared" si="20"/>
        <v/>
      </c>
      <c r="C114" s="507">
        <f>IF(D93="","-",+C113+1)</f>
        <v>2029</v>
      </c>
      <c r="D114" s="374">
        <f>IF(F113+SUM(E$99:E113)=D$92,F113,D$92-SUM(E$99:E113))</f>
        <v>6282394.7368032485</v>
      </c>
      <c r="E114" s="522">
        <f t="shared" si="24"/>
        <v>229453.26190476189</v>
      </c>
      <c r="F114" s="523">
        <f t="shared" si="25"/>
        <v>6052941.4748984864</v>
      </c>
      <c r="G114" s="523">
        <f t="shared" si="26"/>
        <v>6167668.1058508679</v>
      </c>
      <c r="H114" s="526">
        <f t="shared" si="27"/>
        <v>892932.95764370437</v>
      </c>
      <c r="I114" s="577">
        <f t="shared" si="28"/>
        <v>892932.95764370437</v>
      </c>
      <c r="J114" s="514">
        <f t="shared" si="21"/>
        <v>0</v>
      </c>
      <c r="K114" s="514"/>
      <c r="L114" s="525"/>
      <c r="M114" s="514">
        <f t="shared" si="29"/>
        <v>0</v>
      </c>
      <c r="N114" s="525"/>
      <c r="O114" s="514">
        <f t="shared" si="22"/>
        <v>0</v>
      </c>
      <c r="P114" s="514">
        <f t="shared" si="23"/>
        <v>0</v>
      </c>
    </row>
    <row r="115" spans="2:16" ht="12.5">
      <c r="B115" s="195" t="str">
        <f t="shared" si="20"/>
        <v/>
      </c>
      <c r="C115" s="507">
        <f>IF(D93="","-",+C114+1)</f>
        <v>2030</v>
      </c>
      <c r="D115" s="374">
        <f>IF(F114+SUM(E$99:E114)=D$92,F114,D$92-SUM(E$99:E114))</f>
        <v>6052941.4748984864</v>
      </c>
      <c r="E115" s="522">
        <f t="shared" si="24"/>
        <v>229453.26190476189</v>
      </c>
      <c r="F115" s="523">
        <f t="shared" si="25"/>
        <v>5823488.2129937243</v>
      </c>
      <c r="G115" s="523">
        <f t="shared" si="26"/>
        <v>5938214.8439461049</v>
      </c>
      <c r="H115" s="526">
        <f t="shared" si="27"/>
        <v>868249.7908808135</v>
      </c>
      <c r="I115" s="577">
        <f t="shared" si="28"/>
        <v>868249.7908808135</v>
      </c>
      <c r="J115" s="514">
        <f t="shared" si="21"/>
        <v>0</v>
      </c>
      <c r="K115" s="514"/>
      <c r="L115" s="525"/>
      <c r="M115" s="514">
        <f t="shared" si="29"/>
        <v>0</v>
      </c>
      <c r="N115" s="525"/>
      <c r="O115" s="514">
        <f t="shared" si="22"/>
        <v>0</v>
      </c>
      <c r="P115" s="514">
        <f t="shared" si="23"/>
        <v>0</v>
      </c>
    </row>
    <row r="116" spans="2:16" ht="12.5">
      <c r="B116" s="195" t="str">
        <f t="shared" si="20"/>
        <v/>
      </c>
      <c r="C116" s="507">
        <f>IF(D93="","-",+C115+1)</f>
        <v>2031</v>
      </c>
      <c r="D116" s="374">
        <f>IF(F115+SUM(E$99:E115)=D$92,F115,D$92-SUM(E$99:E115))</f>
        <v>5823488.2129937243</v>
      </c>
      <c r="E116" s="522">
        <f t="shared" si="24"/>
        <v>229453.26190476189</v>
      </c>
      <c r="F116" s="523">
        <f t="shared" si="25"/>
        <v>5594034.9510889621</v>
      </c>
      <c r="G116" s="523">
        <f t="shared" si="26"/>
        <v>5708761.5820413437</v>
      </c>
      <c r="H116" s="526">
        <f t="shared" si="27"/>
        <v>843566.62411792285</v>
      </c>
      <c r="I116" s="577">
        <f t="shared" si="28"/>
        <v>843566.62411792285</v>
      </c>
      <c r="J116" s="514">
        <f t="shared" si="21"/>
        <v>0</v>
      </c>
      <c r="K116" s="514"/>
      <c r="L116" s="525"/>
      <c r="M116" s="514">
        <f t="shared" si="29"/>
        <v>0</v>
      </c>
      <c r="N116" s="525"/>
      <c r="O116" s="514">
        <f t="shared" si="22"/>
        <v>0</v>
      </c>
      <c r="P116" s="514">
        <f t="shared" si="23"/>
        <v>0</v>
      </c>
    </row>
    <row r="117" spans="2:16" ht="12.5">
      <c r="B117" s="195" t="str">
        <f t="shared" si="20"/>
        <v/>
      </c>
      <c r="C117" s="507">
        <f>IF(D93="","-",+C116+1)</f>
        <v>2032</v>
      </c>
      <c r="D117" s="374">
        <f>IF(F116+SUM(E$99:E116)=D$92,F116,D$92-SUM(E$99:E116))</f>
        <v>5594034.9510889621</v>
      </c>
      <c r="E117" s="522">
        <f t="shared" si="24"/>
        <v>229453.26190476189</v>
      </c>
      <c r="F117" s="523">
        <f t="shared" si="25"/>
        <v>5364581.6891842</v>
      </c>
      <c r="G117" s="523">
        <f t="shared" si="26"/>
        <v>5479308.3201365806</v>
      </c>
      <c r="H117" s="526">
        <f t="shared" si="27"/>
        <v>818883.45735503198</v>
      </c>
      <c r="I117" s="577">
        <f t="shared" si="28"/>
        <v>818883.45735503198</v>
      </c>
      <c r="J117" s="514">
        <f t="shared" si="21"/>
        <v>0</v>
      </c>
      <c r="K117" s="514"/>
      <c r="L117" s="525"/>
      <c r="M117" s="514">
        <f t="shared" si="29"/>
        <v>0</v>
      </c>
      <c r="N117" s="525"/>
      <c r="O117" s="514">
        <f t="shared" si="22"/>
        <v>0</v>
      </c>
      <c r="P117" s="514">
        <f t="shared" si="23"/>
        <v>0</v>
      </c>
    </row>
    <row r="118" spans="2:16" ht="12.5">
      <c r="B118" s="195" t="str">
        <f t="shared" si="20"/>
        <v/>
      </c>
      <c r="C118" s="507">
        <f>IF(D93="","-",+C117+1)</f>
        <v>2033</v>
      </c>
      <c r="D118" s="374">
        <f>IF(F117+SUM(E$99:E117)=D$92,F117,D$92-SUM(E$99:E117))</f>
        <v>5364581.6891842</v>
      </c>
      <c r="E118" s="522">
        <f t="shared" si="24"/>
        <v>229453.26190476189</v>
      </c>
      <c r="F118" s="523">
        <f t="shared" si="25"/>
        <v>5135128.4272794379</v>
      </c>
      <c r="G118" s="523">
        <f t="shared" si="26"/>
        <v>5249855.0582318194</v>
      </c>
      <c r="H118" s="526">
        <f t="shared" si="27"/>
        <v>794200.29059214133</v>
      </c>
      <c r="I118" s="577">
        <f t="shared" si="28"/>
        <v>794200.29059214133</v>
      </c>
      <c r="J118" s="514">
        <f t="shared" si="21"/>
        <v>0</v>
      </c>
      <c r="K118" s="514"/>
      <c r="L118" s="525"/>
      <c r="M118" s="514">
        <f t="shared" si="29"/>
        <v>0</v>
      </c>
      <c r="N118" s="525"/>
      <c r="O118" s="514">
        <f t="shared" si="22"/>
        <v>0</v>
      </c>
      <c r="P118" s="514">
        <f t="shared" si="23"/>
        <v>0</v>
      </c>
    </row>
    <row r="119" spans="2:16" ht="12.5">
      <c r="B119" s="195" t="str">
        <f t="shared" si="20"/>
        <v/>
      </c>
      <c r="C119" s="507">
        <f>IF(D93="","-",+C118+1)</f>
        <v>2034</v>
      </c>
      <c r="D119" s="374">
        <f>IF(F118+SUM(E$99:E118)=D$92,F118,D$92-SUM(E$99:E118))</f>
        <v>5135128.4272794379</v>
      </c>
      <c r="E119" s="522">
        <f t="shared" si="24"/>
        <v>229453.26190476189</v>
      </c>
      <c r="F119" s="523">
        <f t="shared" si="25"/>
        <v>4905675.1653746758</v>
      </c>
      <c r="G119" s="523">
        <f t="shared" si="26"/>
        <v>5020401.7963270564</v>
      </c>
      <c r="H119" s="526">
        <f t="shared" si="27"/>
        <v>769517.12382925057</v>
      </c>
      <c r="I119" s="577">
        <f t="shared" si="28"/>
        <v>769517.12382925057</v>
      </c>
      <c r="J119" s="514">
        <f t="shared" si="21"/>
        <v>0</v>
      </c>
      <c r="K119" s="514"/>
      <c r="L119" s="525"/>
      <c r="M119" s="514">
        <f t="shared" si="29"/>
        <v>0</v>
      </c>
      <c r="N119" s="525"/>
      <c r="O119" s="514">
        <f t="shared" si="22"/>
        <v>0</v>
      </c>
      <c r="P119" s="514">
        <f t="shared" si="23"/>
        <v>0</v>
      </c>
    </row>
    <row r="120" spans="2:16" ht="12.5">
      <c r="B120" s="195" t="str">
        <f t="shared" si="20"/>
        <v/>
      </c>
      <c r="C120" s="507">
        <f>IF(D93="","-",+C119+1)</f>
        <v>2035</v>
      </c>
      <c r="D120" s="374">
        <f>IF(F119+SUM(E$99:E119)=D$92,F119,D$92-SUM(E$99:E119))</f>
        <v>4905675.1653746758</v>
      </c>
      <c r="E120" s="522">
        <f t="shared" si="24"/>
        <v>229453.26190476189</v>
      </c>
      <c r="F120" s="523">
        <f t="shared" si="25"/>
        <v>4676221.9034699136</v>
      </c>
      <c r="G120" s="523">
        <f t="shared" si="26"/>
        <v>4790948.5344222952</v>
      </c>
      <c r="H120" s="526">
        <f t="shared" si="27"/>
        <v>744833.95706635993</v>
      </c>
      <c r="I120" s="577">
        <f t="shared" si="28"/>
        <v>744833.95706635993</v>
      </c>
      <c r="J120" s="514">
        <f t="shared" si="21"/>
        <v>0</v>
      </c>
      <c r="K120" s="514"/>
      <c r="L120" s="525"/>
      <c r="M120" s="514">
        <f t="shared" si="29"/>
        <v>0</v>
      </c>
      <c r="N120" s="525"/>
      <c r="O120" s="514">
        <f t="shared" si="22"/>
        <v>0</v>
      </c>
      <c r="P120" s="514">
        <f t="shared" si="23"/>
        <v>0</v>
      </c>
    </row>
    <row r="121" spans="2:16" ht="12.5">
      <c r="B121" s="195" t="str">
        <f t="shared" si="20"/>
        <v/>
      </c>
      <c r="C121" s="507">
        <f>IF(D93="","-",+C120+1)</f>
        <v>2036</v>
      </c>
      <c r="D121" s="374">
        <f>IF(F120+SUM(E$99:E120)=D$92,F120,D$92-SUM(E$99:E120))</f>
        <v>4676221.9034699136</v>
      </c>
      <c r="E121" s="522">
        <f t="shared" si="24"/>
        <v>229453.26190476189</v>
      </c>
      <c r="F121" s="523">
        <f t="shared" si="25"/>
        <v>4446768.6415651515</v>
      </c>
      <c r="G121" s="523">
        <f t="shared" si="26"/>
        <v>4561495.2725175321</v>
      </c>
      <c r="H121" s="526">
        <f t="shared" si="27"/>
        <v>720150.79030346905</v>
      </c>
      <c r="I121" s="577">
        <f t="shared" si="28"/>
        <v>720150.79030346905</v>
      </c>
      <c r="J121" s="514">
        <f t="shared" si="21"/>
        <v>0</v>
      </c>
      <c r="K121" s="514"/>
      <c r="L121" s="525"/>
      <c r="M121" s="514">
        <f t="shared" si="29"/>
        <v>0</v>
      </c>
      <c r="N121" s="525"/>
      <c r="O121" s="514">
        <f t="shared" si="22"/>
        <v>0</v>
      </c>
      <c r="P121" s="514">
        <f t="shared" si="23"/>
        <v>0</v>
      </c>
    </row>
    <row r="122" spans="2:16" ht="12.5">
      <c r="B122" s="195" t="str">
        <f t="shared" si="20"/>
        <v/>
      </c>
      <c r="C122" s="507">
        <f>IF(D93="","-",+C121+1)</f>
        <v>2037</v>
      </c>
      <c r="D122" s="374">
        <f>IF(F121+SUM(E$99:E121)=D$92,F121,D$92-SUM(E$99:E121))</f>
        <v>4446768.6415651515</v>
      </c>
      <c r="E122" s="522">
        <f t="shared" si="24"/>
        <v>229453.26190476189</v>
      </c>
      <c r="F122" s="523">
        <f t="shared" si="25"/>
        <v>4217315.3796603894</v>
      </c>
      <c r="G122" s="523">
        <f t="shared" si="26"/>
        <v>4332042.0106127709</v>
      </c>
      <c r="H122" s="526">
        <f t="shared" si="27"/>
        <v>695467.62354057841</v>
      </c>
      <c r="I122" s="577">
        <f t="shared" si="28"/>
        <v>695467.62354057841</v>
      </c>
      <c r="J122" s="514">
        <f t="shared" si="21"/>
        <v>0</v>
      </c>
      <c r="K122" s="514"/>
      <c r="L122" s="525"/>
      <c r="M122" s="514">
        <f t="shared" si="29"/>
        <v>0</v>
      </c>
      <c r="N122" s="525"/>
      <c r="O122" s="514">
        <f t="shared" si="22"/>
        <v>0</v>
      </c>
      <c r="P122" s="514">
        <f t="shared" si="23"/>
        <v>0</v>
      </c>
    </row>
    <row r="123" spans="2:16" ht="12.5">
      <c r="B123" s="195" t="str">
        <f t="shared" si="20"/>
        <v/>
      </c>
      <c r="C123" s="507">
        <f>IF(D93="","-",+C122+1)</f>
        <v>2038</v>
      </c>
      <c r="D123" s="374">
        <f>IF(F122+SUM(E$99:E122)=D$92,F122,D$92-SUM(E$99:E122))</f>
        <v>4217315.3796603894</v>
      </c>
      <c r="E123" s="522">
        <f t="shared" si="24"/>
        <v>229453.26190476189</v>
      </c>
      <c r="F123" s="523">
        <f t="shared" si="25"/>
        <v>3987862.1177556273</v>
      </c>
      <c r="G123" s="523">
        <f t="shared" si="26"/>
        <v>4102588.7487080083</v>
      </c>
      <c r="H123" s="526">
        <f t="shared" si="27"/>
        <v>670784.45677768765</v>
      </c>
      <c r="I123" s="577">
        <f t="shared" si="28"/>
        <v>670784.45677768765</v>
      </c>
      <c r="J123" s="514">
        <f t="shared" si="21"/>
        <v>0</v>
      </c>
      <c r="K123" s="514"/>
      <c r="L123" s="525"/>
      <c r="M123" s="514">
        <f t="shared" si="29"/>
        <v>0</v>
      </c>
      <c r="N123" s="525"/>
      <c r="O123" s="514">
        <f t="shared" si="22"/>
        <v>0</v>
      </c>
      <c r="P123" s="514">
        <f t="shared" si="23"/>
        <v>0</v>
      </c>
    </row>
    <row r="124" spans="2:16" ht="12.5">
      <c r="B124" s="195" t="str">
        <f t="shared" si="20"/>
        <v/>
      </c>
      <c r="C124" s="507">
        <f>IF(D93="","-",+C123+1)</f>
        <v>2039</v>
      </c>
      <c r="D124" s="374">
        <f>IF(F123+SUM(E$99:E123)=D$92,F123,D$92-SUM(E$99:E123))</f>
        <v>3987862.1177556273</v>
      </c>
      <c r="E124" s="522">
        <f t="shared" si="24"/>
        <v>229453.26190476189</v>
      </c>
      <c r="F124" s="523">
        <f t="shared" si="25"/>
        <v>3758408.8558508651</v>
      </c>
      <c r="G124" s="523">
        <f t="shared" si="26"/>
        <v>3873135.4868032462</v>
      </c>
      <c r="H124" s="526">
        <f t="shared" si="27"/>
        <v>646101.29001479689</v>
      </c>
      <c r="I124" s="577">
        <f t="shared" si="28"/>
        <v>646101.29001479689</v>
      </c>
      <c r="J124" s="514">
        <f t="shared" si="21"/>
        <v>0</v>
      </c>
      <c r="K124" s="514"/>
      <c r="L124" s="525"/>
      <c r="M124" s="514">
        <f t="shared" si="29"/>
        <v>0</v>
      </c>
      <c r="N124" s="525"/>
      <c r="O124" s="514">
        <f t="shared" si="22"/>
        <v>0</v>
      </c>
      <c r="P124" s="514">
        <f t="shared" si="23"/>
        <v>0</v>
      </c>
    </row>
    <row r="125" spans="2:16" ht="12.5">
      <c r="B125" s="195" t="str">
        <f t="shared" si="20"/>
        <v/>
      </c>
      <c r="C125" s="507">
        <f>IF(D93="","-",+C124+1)</f>
        <v>2040</v>
      </c>
      <c r="D125" s="374">
        <f>IF(F124+SUM(E$99:E124)=D$92,F124,D$92-SUM(E$99:E124))</f>
        <v>3758408.8558508651</v>
      </c>
      <c r="E125" s="522">
        <f t="shared" si="24"/>
        <v>229453.26190476189</v>
      </c>
      <c r="F125" s="523">
        <f t="shared" si="25"/>
        <v>3528955.593946103</v>
      </c>
      <c r="G125" s="523">
        <f t="shared" si="26"/>
        <v>3643682.2248984841</v>
      </c>
      <c r="H125" s="526">
        <f t="shared" si="27"/>
        <v>621418.12325190613</v>
      </c>
      <c r="I125" s="577">
        <f t="shared" si="28"/>
        <v>621418.12325190613</v>
      </c>
      <c r="J125" s="514">
        <f t="shared" si="21"/>
        <v>0</v>
      </c>
      <c r="K125" s="514"/>
      <c r="L125" s="525"/>
      <c r="M125" s="514">
        <f t="shared" si="29"/>
        <v>0</v>
      </c>
      <c r="N125" s="525"/>
      <c r="O125" s="514">
        <f t="shared" si="22"/>
        <v>0</v>
      </c>
      <c r="P125" s="514">
        <f t="shared" si="23"/>
        <v>0</v>
      </c>
    </row>
    <row r="126" spans="2:16" ht="12.5">
      <c r="B126" s="195" t="str">
        <f t="shared" si="20"/>
        <v/>
      </c>
      <c r="C126" s="507">
        <f>IF(D93="","-",+C125+1)</f>
        <v>2041</v>
      </c>
      <c r="D126" s="374">
        <f>IF(F125+SUM(E$99:E125)=D$92,F125,D$92-SUM(E$99:E125))</f>
        <v>3528955.593946103</v>
      </c>
      <c r="E126" s="522">
        <f t="shared" si="24"/>
        <v>229453.26190476189</v>
      </c>
      <c r="F126" s="523">
        <f t="shared" si="25"/>
        <v>3299502.3320413409</v>
      </c>
      <c r="G126" s="523">
        <f t="shared" si="26"/>
        <v>3414228.9629937219</v>
      </c>
      <c r="H126" s="526">
        <f t="shared" si="27"/>
        <v>596734.95648901537</v>
      </c>
      <c r="I126" s="577">
        <f t="shared" si="28"/>
        <v>596734.95648901537</v>
      </c>
      <c r="J126" s="514">
        <f t="shared" si="21"/>
        <v>0</v>
      </c>
      <c r="K126" s="514"/>
      <c r="L126" s="525"/>
      <c r="M126" s="514">
        <f t="shared" si="29"/>
        <v>0</v>
      </c>
      <c r="N126" s="525"/>
      <c r="O126" s="514">
        <f t="shared" si="22"/>
        <v>0</v>
      </c>
      <c r="P126" s="514">
        <f t="shared" si="23"/>
        <v>0</v>
      </c>
    </row>
    <row r="127" spans="2:16" ht="12.5">
      <c r="B127" s="195" t="str">
        <f t="shared" si="20"/>
        <v/>
      </c>
      <c r="C127" s="507">
        <f>IF(D93="","-",+C126+1)</f>
        <v>2042</v>
      </c>
      <c r="D127" s="374">
        <f>IF(F126+SUM(E$99:E126)=D$92,F126,D$92-SUM(E$99:E126))</f>
        <v>3299502.3320413409</v>
      </c>
      <c r="E127" s="522">
        <f t="shared" si="24"/>
        <v>229453.26190476189</v>
      </c>
      <c r="F127" s="523">
        <f t="shared" si="25"/>
        <v>3070049.0701365788</v>
      </c>
      <c r="G127" s="523">
        <f t="shared" si="26"/>
        <v>3184775.7010889598</v>
      </c>
      <c r="H127" s="526">
        <f t="shared" si="27"/>
        <v>572051.78972612461</v>
      </c>
      <c r="I127" s="577">
        <f t="shared" si="28"/>
        <v>572051.78972612461</v>
      </c>
      <c r="J127" s="514">
        <f t="shared" si="21"/>
        <v>0</v>
      </c>
      <c r="K127" s="514"/>
      <c r="L127" s="525"/>
      <c r="M127" s="514">
        <f t="shared" si="29"/>
        <v>0</v>
      </c>
      <c r="N127" s="525"/>
      <c r="O127" s="514">
        <f t="shared" si="22"/>
        <v>0</v>
      </c>
      <c r="P127" s="514">
        <f t="shared" si="23"/>
        <v>0</v>
      </c>
    </row>
    <row r="128" spans="2:16" ht="12.5">
      <c r="B128" s="195" t="str">
        <f t="shared" si="20"/>
        <v/>
      </c>
      <c r="C128" s="507">
        <f>IF(D93="","-",+C127+1)</f>
        <v>2043</v>
      </c>
      <c r="D128" s="374">
        <f>IF(F127+SUM(E$99:E127)=D$92,F127,D$92-SUM(E$99:E127))</f>
        <v>3070049.0701365788</v>
      </c>
      <c r="E128" s="522">
        <f t="shared" si="24"/>
        <v>229453.26190476189</v>
      </c>
      <c r="F128" s="523">
        <f t="shared" si="25"/>
        <v>2840595.8082318166</v>
      </c>
      <c r="G128" s="523">
        <f t="shared" si="26"/>
        <v>2955322.4391841977</v>
      </c>
      <c r="H128" s="526">
        <f t="shared" si="27"/>
        <v>547368.62296323385</v>
      </c>
      <c r="I128" s="577">
        <f t="shared" si="28"/>
        <v>547368.62296323385</v>
      </c>
      <c r="J128" s="514">
        <f t="shared" si="21"/>
        <v>0</v>
      </c>
      <c r="K128" s="514"/>
      <c r="L128" s="525"/>
      <c r="M128" s="514">
        <f t="shared" si="29"/>
        <v>0</v>
      </c>
      <c r="N128" s="525"/>
      <c r="O128" s="514">
        <f t="shared" si="22"/>
        <v>0</v>
      </c>
      <c r="P128" s="514">
        <f t="shared" si="23"/>
        <v>0</v>
      </c>
    </row>
    <row r="129" spans="2:16" ht="12.5">
      <c r="B129" s="195" t="str">
        <f t="shared" si="20"/>
        <v/>
      </c>
      <c r="C129" s="507">
        <f>IF(D93="","-",+C128+1)</f>
        <v>2044</v>
      </c>
      <c r="D129" s="374">
        <f>IF(F128+SUM(E$99:E128)=D$92,F128,D$92-SUM(E$99:E128))</f>
        <v>2840595.8082318166</v>
      </c>
      <c r="E129" s="522">
        <f t="shared" si="24"/>
        <v>229453.26190476189</v>
      </c>
      <c r="F129" s="523">
        <f t="shared" si="25"/>
        <v>2611142.5463270545</v>
      </c>
      <c r="G129" s="523">
        <f t="shared" si="26"/>
        <v>2725869.1772794356</v>
      </c>
      <c r="H129" s="526">
        <f t="shared" si="27"/>
        <v>522685.45620034315</v>
      </c>
      <c r="I129" s="577">
        <f t="shared" si="28"/>
        <v>522685.45620034315</v>
      </c>
      <c r="J129" s="514">
        <f t="shared" si="21"/>
        <v>0</v>
      </c>
      <c r="K129" s="514"/>
      <c r="L129" s="525"/>
      <c r="M129" s="514">
        <f t="shared" si="29"/>
        <v>0</v>
      </c>
      <c r="N129" s="525"/>
      <c r="O129" s="514">
        <f t="shared" si="22"/>
        <v>0</v>
      </c>
      <c r="P129" s="514">
        <f t="shared" si="23"/>
        <v>0</v>
      </c>
    </row>
    <row r="130" spans="2:16" ht="12.5">
      <c r="B130" s="195" t="str">
        <f t="shared" si="20"/>
        <v/>
      </c>
      <c r="C130" s="507">
        <f>IF(D93="","-",+C129+1)</f>
        <v>2045</v>
      </c>
      <c r="D130" s="374">
        <f>IF(F129+SUM(E$99:E129)=D$92,F129,D$92-SUM(E$99:E129))</f>
        <v>2611142.5463270545</v>
      </c>
      <c r="E130" s="522">
        <f t="shared" si="24"/>
        <v>229453.26190476189</v>
      </c>
      <c r="F130" s="523">
        <f t="shared" si="25"/>
        <v>2381689.2844222924</v>
      </c>
      <c r="G130" s="523">
        <f t="shared" si="26"/>
        <v>2496415.9153746734</v>
      </c>
      <c r="H130" s="526">
        <f t="shared" si="27"/>
        <v>498002.28943745239</v>
      </c>
      <c r="I130" s="577">
        <f t="shared" si="28"/>
        <v>498002.28943745239</v>
      </c>
      <c r="J130" s="514">
        <f t="shared" si="21"/>
        <v>0</v>
      </c>
      <c r="K130" s="514"/>
      <c r="L130" s="525"/>
      <c r="M130" s="514">
        <f t="shared" si="29"/>
        <v>0</v>
      </c>
      <c r="N130" s="525"/>
      <c r="O130" s="514">
        <f t="shared" si="22"/>
        <v>0</v>
      </c>
      <c r="P130" s="514">
        <f t="shared" si="23"/>
        <v>0</v>
      </c>
    </row>
    <row r="131" spans="2:16" ht="12.5">
      <c r="B131" s="195" t="str">
        <f t="shared" si="20"/>
        <v/>
      </c>
      <c r="C131" s="507">
        <f>IF(D93="","-",+C130+1)</f>
        <v>2046</v>
      </c>
      <c r="D131" s="374">
        <f>IF(F130+SUM(E$99:E130)=D$92,F130,D$92-SUM(E$99:E130))</f>
        <v>2381689.2844222924</v>
      </c>
      <c r="E131" s="522">
        <f t="shared" si="24"/>
        <v>229453.26190476189</v>
      </c>
      <c r="F131" s="523">
        <f t="shared" si="25"/>
        <v>2152236.0225175302</v>
      </c>
      <c r="G131" s="523">
        <f t="shared" si="26"/>
        <v>2266962.6534699113</v>
      </c>
      <c r="H131" s="526">
        <f t="shared" si="27"/>
        <v>473319.12267456169</v>
      </c>
      <c r="I131" s="577">
        <f t="shared" si="28"/>
        <v>473319.12267456169</v>
      </c>
      <c r="J131" s="514">
        <f t="shared" si="21"/>
        <v>0</v>
      </c>
      <c r="K131" s="514"/>
      <c r="L131" s="525"/>
      <c r="M131" s="514">
        <f t="shared" ref="M131:M154" si="30">IF(L541&lt;&gt;0,+H541-L541,0)</f>
        <v>0</v>
      </c>
      <c r="N131" s="525"/>
      <c r="O131" s="514">
        <f t="shared" ref="O131:O154" si="31">IF(N541&lt;&gt;0,+I541-N541,0)</f>
        <v>0</v>
      </c>
      <c r="P131" s="514">
        <f t="shared" ref="P131:P154" si="32">+O541-M541</f>
        <v>0</v>
      </c>
    </row>
    <row r="132" spans="2:16" ht="12.5">
      <c r="B132" s="195" t="str">
        <f t="shared" si="20"/>
        <v/>
      </c>
      <c r="C132" s="507">
        <f>IF(D93="","-",+C131+1)</f>
        <v>2047</v>
      </c>
      <c r="D132" s="374">
        <f>IF(F131+SUM(E$99:E131)=D$92,F131,D$92-SUM(E$99:E131))</f>
        <v>2152236.0225175302</v>
      </c>
      <c r="E132" s="522">
        <f t="shared" si="24"/>
        <v>229453.26190476189</v>
      </c>
      <c r="F132" s="523">
        <f t="shared" si="25"/>
        <v>1922782.7606127684</v>
      </c>
      <c r="G132" s="523">
        <f t="shared" si="26"/>
        <v>2037509.3915651492</v>
      </c>
      <c r="H132" s="526">
        <f t="shared" si="27"/>
        <v>448635.95591167093</v>
      </c>
      <c r="I132" s="577">
        <f t="shared" si="28"/>
        <v>448635.95591167093</v>
      </c>
      <c r="J132" s="514">
        <f t="shared" si="21"/>
        <v>0</v>
      </c>
      <c r="K132" s="514"/>
      <c r="L132" s="525"/>
      <c r="M132" s="514">
        <f t="shared" si="30"/>
        <v>0</v>
      </c>
      <c r="N132" s="525"/>
      <c r="O132" s="514">
        <f t="shared" si="31"/>
        <v>0</v>
      </c>
      <c r="P132" s="514">
        <f t="shared" si="32"/>
        <v>0</v>
      </c>
    </row>
    <row r="133" spans="2:16" ht="12.5">
      <c r="B133" s="195" t="str">
        <f t="shared" si="20"/>
        <v/>
      </c>
      <c r="C133" s="507">
        <f>IF(D93="","-",+C132+1)</f>
        <v>2048</v>
      </c>
      <c r="D133" s="374">
        <f>IF(F132+SUM(E$99:E132)=D$92,F132,D$92-SUM(E$99:E132))</f>
        <v>1922782.7606127684</v>
      </c>
      <c r="E133" s="522">
        <f t="shared" si="24"/>
        <v>229453.26190476189</v>
      </c>
      <c r="F133" s="523">
        <f t="shared" si="25"/>
        <v>1693329.4987080065</v>
      </c>
      <c r="G133" s="523">
        <f t="shared" si="26"/>
        <v>1808056.1296603875</v>
      </c>
      <c r="H133" s="526">
        <f t="shared" si="27"/>
        <v>423952.78914878023</v>
      </c>
      <c r="I133" s="577">
        <f t="shared" si="28"/>
        <v>423952.78914878023</v>
      </c>
      <c r="J133" s="514">
        <f t="shared" si="21"/>
        <v>0</v>
      </c>
      <c r="K133" s="514"/>
      <c r="L133" s="525"/>
      <c r="M133" s="514">
        <f t="shared" si="30"/>
        <v>0</v>
      </c>
      <c r="N133" s="525"/>
      <c r="O133" s="514">
        <f t="shared" si="31"/>
        <v>0</v>
      </c>
      <c r="P133" s="514">
        <f t="shared" si="32"/>
        <v>0</v>
      </c>
    </row>
    <row r="134" spans="2:16" ht="12.5">
      <c r="B134" s="195" t="str">
        <f t="shared" si="20"/>
        <v/>
      </c>
      <c r="C134" s="507">
        <f>IF(D93="","-",+C133+1)</f>
        <v>2049</v>
      </c>
      <c r="D134" s="374">
        <f>IF(F133+SUM(E$99:E133)=D$92,F133,D$92-SUM(E$99:E133))</f>
        <v>1693329.4987080065</v>
      </c>
      <c r="E134" s="522">
        <f t="shared" si="24"/>
        <v>229453.26190476189</v>
      </c>
      <c r="F134" s="523">
        <f t="shared" si="25"/>
        <v>1463876.2368032446</v>
      </c>
      <c r="G134" s="523">
        <f t="shared" si="26"/>
        <v>1578602.8677556254</v>
      </c>
      <c r="H134" s="526">
        <f t="shared" si="27"/>
        <v>399269.62238588947</v>
      </c>
      <c r="I134" s="577">
        <f t="shared" si="28"/>
        <v>399269.62238588947</v>
      </c>
      <c r="J134" s="514">
        <f t="shared" si="21"/>
        <v>0</v>
      </c>
      <c r="K134" s="514"/>
      <c r="L134" s="525"/>
      <c r="M134" s="514">
        <f t="shared" si="30"/>
        <v>0</v>
      </c>
      <c r="N134" s="525"/>
      <c r="O134" s="514">
        <f t="shared" si="31"/>
        <v>0</v>
      </c>
      <c r="P134" s="514">
        <f t="shared" si="32"/>
        <v>0</v>
      </c>
    </row>
    <row r="135" spans="2:16" ht="12.5">
      <c r="B135" s="195" t="str">
        <f t="shared" si="20"/>
        <v/>
      </c>
      <c r="C135" s="507">
        <f>IF(D93="","-",+C134+1)</f>
        <v>2050</v>
      </c>
      <c r="D135" s="374">
        <f>IF(F134+SUM(E$99:E134)=D$92,F134,D$92-SUM(E$99:E134))</f>
        <v>1463876.2368032446</v>
      </c>
      <c r="E135" s="522">
        <f t="shared" si="24"/>
        <v>229453.26190476189</v>
      </c>
      <c r="F135" s="523">
        <f t="shared" si="25"/>
        <v>1234422.9748984827</v>
      </c>
      <c r="G135" s="523">
        <f t="shared" si="26"/>
        <v>1349149.6058508637</v>
      </c>
      <c r="H135" s="526">
        <f t="shared" si="27"/>
        <v>374586.45562299876</v>
      </c>
      <c r="I135" s="577">
        <f t="shared" si="28"/>
        <v>374586.45562299876</v>
      </c>
      <c r="J135" s="514">
        <f t="shared" si="21"/>
        <v>0</v>
      </c>
      <c r="K135" s="514"/>
      <c r="L135" s="525"/>
      <c r="M135" s="514">
        <f t="shared" si="30"/>
        <v>0</v>
      </c>
      <c r="N135" s="525"/>
      <c r="O135" s="514">
        <f t="shared" si="31"/>
        <v>0</v>
      </c>
      <c r="P135" s="514">
        <f t="shared" si="32"/>
        <v>0</v>
      </c>
    </row>
    <row r="136" spans="2:16" ht="12.5">
      <c r="B136" s="195" t="str">
        <f t="shared" si="20"/>
        <v/>
      </c>
      <c r="C136" s="507">
        <f>IF(D93="","-",+C135+1)</f>
        <v>2051</v>
      </c>
      <c r="D136" s="374">
        <f>IF(F135+SUM(E$99:E135)=D$92,F135,D$92-SUM(E$99:E135))</f>
        <v>1234422.9748984827</v>
      </c>
      <c r="E136" s="522">
        <f t="shared" si="24"/>
        <v>229453.26190476189</v>
      </c>
      <c r="F136" s="523">
        <f t="shared" si="25"/>
        <v>1004969.7129937208</v>
      </c>
      <c r="G136" s="523">
        <f t="shared" si="26"/>
        <v>1119696.3439461016</v>
      </c>
      <c r="H136" s="526">
        <f t="shared" si="27"/>
        <v>349903.28886010806</v>
      </c>
      <c r="I136" s="577">
        <f t="shared" si="28"/>
        <v>349903.28886010806</v>
      </c>
      <c r="J136" s="514">
        <f t="shared" si="21"/>
        <v>0</v>
      </c>
      <c r="K136" s="514"/>
      <c r="L136" s="525"/>
      <c r="M136" s="514">
        <f t="shared" si="30"/>
        <v>0</v>
      </c>
      <c r="N136" s="525"/>
      <c r="O136" s="514">
        <f t="shared" si="31"/>
        <v>0</v>
      </c>
      <c r="P136" s="514">
        <f t="shared" si="32"/>
        <v>0</v>
      </c>
    </row>
    <row r="137" spans="2:16" ht="12.5">
      <c r="B137" s="195" t="str">
        <f t="shared" si="20"/>
        <v/>
      </c>
      <c r="C137" s="507">
        <f>IF(D93="","-",+C136+1)</f>
        <v>2052</v>
      </c>
      <c r="D137" s="374">
        <f>IF(F136+SUM(E$99:E136)=D$92,F136,D$92-SUM(E$99:E136))</f>
        <v>1004969.7129937208</v>
      </c>
      <c r="E137" s="522">
        <f t="shared" si="24"/>
        <v>229453.26190476189</v>
      </c>
      <c r="F137" s="523">
        <f t="shared" si="25"/>
        <v>775516.45108895889</v>
      </c>
      <c r="G137" s="523">
        <f t="shared" si="26"/>
        <v>890243.08204133983</v>
      </c>
      <c r="H137" s="526">
        <f t="shared" si="27"/>
        <v>325220.12209721736</v>
      </c>
      <c r="I137" s="577">
        <f t="shared" si="28"/>
        <v>325220.12209721736</v>
      </c>
      <c r="J137" s="514">
        <f t="shared" si="21"/>
        <v>0</v>
      </c>
      <c r="K137" s="514"/>
      <c r="L137" s="525"/>
      <c r="M137" s="514">
        <f t="shared" si="30"/>
        <v>0</v>
      </c>
      <c r="N137" s="525"/>
      <c r="O137" s="514">
        <f t="shared" si="31"/>
        <v>0</v>
      </c>
      <c r="P137" s="514">
        <f t="shared" si="32"/>
        <v>0</v>
      </c>
    </row>
    <row r="138" spans="2:16" ht="12.5">
      <c r="B138" s="195" t="str">
        <f t="shared" si="20"/>
        <v/>
      </c>
      <c r="C138" s="507">
        <f>IF(D93="","-",+C137+1)</f>
        <v>2053</v>
      </c>
      <c r="D138" s="374">
        <f>IF(F137+SUM(E$99:E137)=D$92,F137,D$92-SUM(E$99:E137))</f>
        <v>775516.45108895889</v>
      </c>
      <c r="E138" s="522">
        <f t="shared" si="24"/>
        <v>229453.26190476189</v>
      </c>
      <c r="F138" s="523">
        <f t="shared" si="25"/>
        <v>546063.18918419699</v>
      </c>
      <c r="G138" s="523">
        <f t="shared" si="26"/>
        <v>660789.82013657794</v>
      </c>
      <c r="H138" s="526">
        <f t="shared" si="27"/>
        <v>300536.9553343266</v>
      </c>
      <c r="I138" s="577">
        <f t="shared" si="28"/>
        <v>300536.9553343266</v>
      </c>
      <c r="J138" s="514">
        <f t="shared" si="21"/>
        <v>0</v>
      </c>
      <c r="K138" s="514"/>
      <c r="L138" s="525"/>
      <c r="M138" s="514">
        <f t="shared" si="30"/>
        <v>0</v>
      </c>
      <c r="N138" s="525"/>
      <c r="O138" s="514">
        <f t="shared" si="31"/>
        <v>0</v>
      </c>
      <c r="P138" s="514">
        <f t="shared" si="32"/>
        <v>0</v>
      </c>
    </row>
    <row r="139" spans="2:16" ht="12.5">
      <c r="B139" s="195" t="str">
        <f t="shared" si="20"/>
        <v/>
      </c>
      <c r="C139" s="507">
        <f>IF(D93="","-",+C138+1)</f>
        <v>2054</v>
      </c>
      <c r="D139" s="374">
        <f>IF(F138+SUM(E$99:E138)=D$92,F138,D$92-SUM(E$99:E138))</f>
        <v>546063.18918419699</v>
      </c>
      <c r="E139" s="522">
        <f t="shared" si="24"/>
        <v>229453.26190476189</v>
      </c>
      <c r="F139" s="523">
        <f t="shared" si="25"/>
        <v>316609.9272794351</v>
      </c>
      <c r="G139" s="523">
        <f t="shared" si="26"/>
        <v>431336.55823181605</v>
      </c>
      <c r="H139" s="526">
        <f t="shared" si="27"/>
        <v>275853.7885714359</v>
      </c>
      <c r="I139" s="577">
        <f t="shared" si="28"/>
        <v>275853.7885714359</v>
      </c>
      <c r="J139" s="514">
        <f t="shared" si="21"/>
        <v>0</v>
      </c>
      <c r="K139" s="514"/>
      <c r="L139" s="525"/>
      <c r="M139" s="514">
        <f t="shared" si="30"/>
        <v>0</v>
      </c>
      <c r="N139" s="525"/>
      <c r="O139" s="514">
        <f t="shared" si="31"/>
        <v>0</v>
      </c>
      <c r="P139" s="514">
        <f t="shared" si="32"/>
        <v>0</v>
      </c>
    </row>
    <row r="140" spans="2:16" ht="12.5">
      <c r="B140" s="195" t="str">
        <f t="shared" si="20"/>
        <v/>
      </c>
      <c r="C140" s="507">
        <f>IF(D93="","-",+C139+1)</f>
        <v>2055</v>
      </c>
      <c r="D140" s="374">
        <f>IF(F139+SUM(E$99:E139)=D$92,F139,D$92-SUM(E$99:E139))</f>
        <v>316609.9272794351</v>
      </c>
      <c r="E140" s="522">
        <f t="shared" si="24"/>
        <v>229453.26190476189</v>
      </c>
      <c r="F140" s="523">
        <f t="shared" si="25"/>
        <v>87156.665374673204</v>
      </c>
      <c r="G140" s="523">
        <f t="shared" si="26"/>
        <v>201883.29632705415</v>
      </c>
      <c r="H140" s="526">
        <f t="shared" si="27"/>
        <v>251170.62180854517</v>
      </c>
      <c r="I140" s="577">
        <f t="shared" si="28"/>
        <v>251170.62180854517</v>
      </c>
      <c r="J140" s="514">
        <f t="shared" si="21"/>
        <v>0</v>
      </c>
      <c r="K140" s="514"/>
      <c r="L140" s="525"/>
      <c r="M140" s="514">
        <f t="shared" si="30"/>
        <v>0</v>
      </c>
      <c r="N140" s="525"/>
      <c r="O140" s="514">
        <f t="shared" si="31"/>
        <v>0</v>
      </c>
      <c r="P140" s="514">
        <f t="shared" si="32"/>
        <v>0</v>
      </c>
    </row>
    <row r="141" spans="2:16" ht="12.5">
      <c r="B141" s="195" t="str">
        <f t="shared" si="20"/>
        <v/>
      </c>
      <c r="C141" s="507">
        <f>IF(D93="","-",+C140+1)</f>
        <v>2056</v>
      </c>
      <c r="D141" s="374">
        <f>IF(F140+SUM(E$99:E140)=D$92,F140,D$92-SUM(E$99:E140))</f>
        <v>87156.665374673204</v>
      </c>
      <c r="E141" s="522">
        <f t="shared" si="24"/>
        <v>87156.665374673204</v>
      </c>
      <c r="F141" s="523">
        <f t="shared" si="25"/>
        <v>0</v>
      </c>
      <c r="G141" s="523">
        <f t="shared" si="26"/>
        <v>43578.332687336602</v>
      </c>
      <c r="H141" s="526">
        <f t="shared" si="27"/>
        <v>91844.553635842167</v>
      </c>
      <c r="I141" s="577">
        <f t="shared" si="28"/>
        <v>91844.553635842167</v>
      </c>
      <c r="J141" s="514">
        <f t="shared" si="21"/>
        <v>0</v>
      </c>
      <c r="K141" s="514"/>
      <c r="L141" s="525"/>
      <c r="M141" s="514">
        <f t="shared" si="30"/>
        <v>0</v>
      </c>
      <c r="N141" s="525"/>
      <c r="O141" s="514">
        <f t="shared" si="31"/>
        <v>0</v>
      </c>
      <c r="P141" s="514">
        <f t="shared" si="32"/>
        <v>0</v>
      </c>
    </row>
    <row r="142" spans="2:16" ht="12.5">
      <c r="B142" s="195" t="str">
        <f t="shared" si="20"/>
        <v/>
      </c>
      <c r="C142" s="507">
        <f>IF(D93="","-",+C141+1)</f>
        <v>2057</v>
      </c>
      <c r="D142" s="374">
        <f>IF(F141+SUM(E$99:E141)=D$92,F141,D$92-SUM(E$99:E141))</f>
        <v>0</v>
      </c>
      <c r="E142" s="522">
        <f t="shared" si="24"/>
        <v>0</v>
      </c>
      <c r="F142" s="523">
        <f t="shared" si="25"/>
        <v>0</v>
      </c>
      <c r="G142" s="523">
        <f t="shared" si="26"/>
        <v>0</v>
      </c>
      <c r="H142" s="526">
        <f t="shared" si="27"/>
        <v>0</v>
      </c>
      <c r="I142" s="577">
        <f t="shared" si="28"/>
        <v>0</v>
      </c>
      <c r="J142" s="514">
        <f t="shared" si="21"/>
        <v>0</v>
      </c>
      <c r="K142" s="514"/>
      <c r="L142" s="525"/>
      <c r="M142" s="514">
        <f t="shared" si="30"/>
        <v>0</v>
      </c>
      <c r="N142" s="525"/>
      <c r="O142" s="514">
        <f t="shared" si="31"/>
        <v>0</v>
      </c>
      <c r="P142" s="514">
        <f t="shared" si="32"/>
        <v>0</v>
      </c>
    </row>
    <row r="143" spans="2:16" ht="12.5">
      <c r="B143" s="195" t="str">
        <f t="shared" si="20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24"/>
        <v>0</v>
      </c>
      <c r="F143" s="523">
        <f t="shared" si="25"/>
        <v>0</v>
      </c>
      <c r="G143" s="523">
        <f t="shared" si="26"/>
        <v>0</v>
      </c>
      <c r="H143" s="526">
        <f t="shared" si="27"/>
        <v>0</v>
      </c>
      <c r="I143" s="577">
        <f t="shared" si="28"/>
        <v>0</v>
      </c>
      <c r="J143" s="514">
        <f t="shared" si="21"/>
        <v>0</v>
      </c>
      <c r="K143" s="514"/>
      <c r="L143" s="525"/>
      <c r="M143" s="514">
        <f t="shared" si="30"/>
        <v>0</v>
      </c>
      <c r="N143" s="525"/>
      <c r="O143" s="514">
        <f t="shared" si="31"/>
        <v>0</v>
      </c>
      <c r="P143" s="514">
        <f t="shared" si="32"/>
        <v>0</v>
      </c>
    </row>
    <row r="144" spans="2:16" ht="12.5">
      <c r="B144" s="195" t="str">
        <f t="shared" si="20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24"/>
        <v>0</v>
      </c>
      <c r="F144" s="523">
        <f t="shared" si="25"/>
        <v>0</v>
      </c>
      <c r="G144" s="523">
        <f t="shared" si="26"/>
        <v>0</v>
      </c>
      <c r="H144" s="526">
        <f t="shared" si="27"/>
        <v>0</v>
      </c>
      <c r="I144" s="577">
        <f t="shared" si="28"/>
        <v>0</v>
      </c>
      <c r="J144" s="514">
        <f t="shared" si="21"/>
        <v>0</v>
      </c>
      <c r="K144" s="514"/>
      <c r="L144" s="525"/>
      <c r="M144" s="514">
        <f t="shared" si="30"/>
        <v>0</v>
      </c>
      <c r="N144" s="525"/>
      <c r="O144" s="514">
        <f t="shared" si="31"/>
        <v>0</v>
      </c>
      <c r="P144" s="514">
        <f t="shared" si="32"/>
        <v>0</v>
      </c>
    </row>
    <row r="145" spans="2:16" ht="12.5">
      <c r="B145" s="195" t="str">
        <f t="shared" si="20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24"/>
        <v>0</v>
      </c>
      <c r="F145" s="523">
        <f t="shared" si="25"/>
        <v>0</v>
      </c>
      <c r="G145" s="523">
        <f t="shared" si="26"/>
        <v>0</v>
      </c>
      <c r="H145" s="526">
        <f t="shared" si="27"/>
        <v>0</v>
      </c>
      <c r="I145" s="577">
        <f t="shared" si="28"/>
        <v>0</v>
      </c>
      <c r="J145" s="514">
        <f t="shared" si="21"/>
        <v>0</v>
      </c>
      <c r="K145" s="514"/>
      <c r="L145" s="525"/>
      <c r="M145" s="514">
        <f t="shared" si="30"/>
        <v>0</v>
      </c>
      <c r="N145" s="525"/>
      <c r="O145" s="514">
        <f t="shared" si="31"/>
        <v>0</v>
      </c>
      <c r="P145" s="514">
        <f t="shared" si="32"/>
        <v>0</v>
      </c>
    </row>
    <row r="146" spans="2:16" ht="12.5">
      <c r="B146" s="195" t="str">
        <f t="shared" si="20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24"/>
        <v>0</v>
      </c>
      <c r="F146" s="523">
        <f t="shared" si="25"/>
        <v>0</v>
      </c>
      <c r="G146" s="523">
        <f t="shared" si="26"/>
        <v>0</v>
      </c>
      <c r="H146" s="526">
        <f t="shared" si="27"/>
        <v>0</v>
      </c>
      <c r="I146" s="577">
        <f t="shared" si="28"/>
        <v>0</v>
      </c>
      <c r="J146" s="514">
        <f t="shared" si="21"/>
        <v>0</v>
      </c>
      <c r="K146" s="514"/>
      <c r="L146" s="525"/>
      <c r="M146" s="514">
        <f t="shared" si="30"/>
        <v>0</v>
      </c>
      <c r="N146" s="525"/>
      <c r="O146" s="514">
        <f t="shared" si="31"/>
        <v>0</v>
      </c>
      <c r="P146" s="514">
        <f t="shared" si="32"/>
        <v>0</v>
      </c>
    </row>
    <row r="147" spans="2:16" ht="12.5">
      <c r="B147" s="195" t="str">
        <f t="shared" si="20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24"/>
        <v>0</v>
      </c>
      <c r="F147" s="523">
        <f t="shared" si="25"/>
        <v>0</v>
      </c>
      <c r="G147" s="523">
        <f t="shared" si="26"/>
        <v>0</v>
      </c>
      <c r="H147" s="526">
        <f t="shared" si="27"/>
        <v>0</v>
      </c>
      <c r="I147" s="577">
        <f t="shared" si="28"/>
        <v>0</v>
      </c>
      <c r="J147" s="514">
        <f t="shared" si="21"/>
        <v>0</v>
      </c>
      <c r="K147" s="514"/>
      <c r="L147" s="525"/>
      <c r="M147" s="514">
        <f t="shared" si="30"/>
        <v>0</v>
      </c>
      <c r="N147" s="525"/>
      <c r="O147" s="514">
        <f t="shared" si="31"/>
        <v>0</v>
      </c>
      <c r="P147" s="514">
        <f t="shared" si="32"/>
        <v>0</v>
      </c>
    </row>
    <row r="148" spans="2:16" ht="12.5">
      <c r="B148" s="195" t="str">
        <f t="shared" si="20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24"/>
        <v>0</v>
      </c>
      <c r="F148" s="523">
        <f t="shared" si="25"/>
        <v>0</v>
      </c>
      <c r="G148" s="523">
        <f t="shared" si="26"/>
        <v>0</v>
      </c>
      <c r="H148" s="526">
        <f t="shared" si="27"/>
        <v>0</v>
      </c>
      <c r="I148" s="577">
        <f t="shared" si="28"/>
        <v>0</v>
      </c>
      <c r="J148" s="514">
        <f t="shared" si="21"/>
        <v>0</v>
      </c>
      <c r="K148" s="514"/>
      <c r="L148" s="525"/>
      <c r="M148" s="514">
        <f t="shared" si="30"/>
        <v>0</v>
      </c>
      <c r="N148" s="525"/>
      <c r="O148" s="514">
        <f t="shared" si="31"/>
        <v>0</v>
      </c>
      <c r="P148" s="514">
        <f t="shared" si="32"/>
        <v>0</v>
      </c>
    </row>
    <row r="149" spans="2:16" ht="12.5">
      <c r="B149" s="195" t="str">
        <f t="shared" si="20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24"/>
        <v>0</v>
      </c>
      <c r="F149" s="523">
        <f t="shared" si="25"/>
        <v>0</v>
      </c>
      <c r="G149" s="523">
        <f t="shared" si="26"/>
        <v>0</v>
      </c>
      <c r="H149" s="526">
        <f t="shared" si="27"/>
        <v>0</v>
      </c>
      <c r="I149" s="577">
        <f t="shared" si="28"/>
        <v>0</v>
      </c>
      <c r="J149" s="514">
        <f t="shared" si="21"/>
        <v>0</v>
      </c>
      <c r="K149" s="514"/>
      <c r="L149" s="525"/>
      <c r="M149" s="514">
        <f t="shared" si="30"/>
        <v>0</v>
      </c>
      <c r="N149" s="525"/>
      <c r="O149" s="514">
        <f t="shared" si="31"/>
        <v>0</v>
      </c>
      <c r="P149" s="514">
        <f t="shared" si="32"/>
        <v>0</v>
      </c>
    </row>
    <row r="150" spans="2:16" ht="12.5">
      <c r="B150" s="195" t="str">
        <f t="shared" si="20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24"/>
        <v>0</v>
      </c>
      <c r="F150" s="523">
        <f t="shared" si="25"/>
        <v>0</v>
      </c>
      <c r="G150" s="523">
        <f t="shared" si="26"/>
        <v>0</v>
      </c>
      <c r="H150" s="526">
        <f t="shared" si="27"/>
        <v>0</v>
      </c>
      <c r="I150" s="577">
        <f t="shared" si="28"/>
        <v>0</v>
      </c>
      <c r="J150" s="514">
        <f t="shared" si="21"/>
        <v>0</v>
      </c>
      <c r="K150" s="514"/>
      <c r="L150" s="525"/>
      <c r="M150" s="514">
        <f t="shared" si="30"/>
        <v>0</v>
      </c>
      <c r="N150" s="525"/>
      <c r="O150" s="514">
        <f t="shared" si="31"/>
        <v>0</v>
      </c>
      <c r="P150" s="514">
        <f t="shared" si="32"/>
        <v>0</v>
      </c>
    </row>
    <row r="151" spans="2:16" ht="12.5">
      <c r="B151" s="195" t="str">
        <f t="shared" si="20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24"/>
        <v>0</v>
      </c>
      <c r="F151" s="523">
        <f t="shared" si="25"/>
        <v>0</v>
      </c>
      <c r="G151" s="523">
        <f t="shared" si="26"/>
        <v>0</v>
      </c>
      <c r="H151" s="526">
        <f t="shared" si="27"/>
        <v>0</v>
      </c>
      <c r="I151" s="577">
        <f t="shared" si="28"/>
        <v>0</v>
      </c>
      <c r="J151" s="514">
        <f t="shared" si="21"/>
        <v>0</v>
      </c>
      <c r="K151" s="514"/>
      <c r="L151" s="525"/>
      <c r="M151" s="514">
        <f t="shared" si="30"/>
        <v>0</v>
      </c>
      <c r="N151" s="525"/>
      <c r="O151" s="514">
        <f t="shared" si="31"/>
        <v>0</v>
      </c>
      <c r="P151" s="514">
        <f t="shared" si="32"/>
        <v>0</v>
      </c>
    </row>
    <row r="152" spans="2:16" ht="12.5">
      <c r="B152" s="195" t="str">
        <f t="shared" si="20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24"/>
        <v>0</v>
      </c>
      <c r="F152" s="523">
        <f t="shared" si="25"/>
        <v>0</v>
      </c>
      <c r="G152" s="523">
        <f t="shared" si="26"/>
        <v>0</v>
      </c>
      <c r="H152" s="526">
        <f t="shared" si="27"/>
        <v>0</v>
      </c>
      <c r="I152" s="577">
        <f t="shared" si="28"/>
        <v>0</v>
      </c>
      <c r="J152" s="514">
        <f t="shared" si="21"/>
        <v>0</v>
      </c>
      <c r="K152" s="514"/>
      <c r="L152" s="525"/>
      <c r="M152" s="514">
        <f t="shared" si="30"/>
        <v>0</v>
      </c>
      <c r="N152" s="525"/>
      <c r="O152" s="514">
        <f t="shared" si="31"/>
        <v>0</v>
      </c>
      <c r="P152" s="514">
        <f t="shared" si="32"/>
        <v>0</v>
      </c>
    </row>
    <row r="153" spans="2:16" ht="12.5">
      <c r="B153" s="195" t="str">
        <f t="shared" si="20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24"/>
        <v>0</v>
      </c>
      <c r="F153" s="523">
        <f t="shared" si="25"/>
        <v>0</v>
      </c>
      <c r="G153" s="523">
        <f t="shared" si="26"/>
        <v>0</v>
      </c>
      <c r="H153" s="526">
        <f t="shared" si="27"/>
        <v>0</v>
      </c>
      <c r="I153" s="577">
        <f t="shared" si="28"/>
        <v>0</v>
      </c>
      <c r="J153" s="514">
        <f t="shared" si="21"/>
        <v>0</v>
      </c>
      <c r="K153" s="514"/>
      <c r="L153" s="525"/>
      <c r="M153" s="514">
        <f t="shared" si="30"/>
        <v>0</v>
      </c>
      <c r="N153" s="525"/>
      <c r="O153" s="514">
        <f t="shared" si="31"/>
        <v>0</v>
      </c>
      <c r="P153" s="514">
        <f t="shared" si="32"/>
        <v>0</v>
      </c>
    </row>
    <row r="154" spans="2:16" ht="13" thickBot="1">
      <c r="B154" s="195" t="str">
        <f t="shared" si="20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24"/>
        <v>0</v>
      </c>
      <c r="F154" s="523">
        <f t="shared" si="25"/>
        <v>0</v>
      </c>
      <c r="G154" s="523">
        <f t="shared" si="26"/>
        <v>0</v>
      </c>
      <c r="H154" s="526">
        <f t="shared" si="27"/>
        <v>0</v>
      </c>
      <c r="I154" s="577">
        <f t="shared" si="28"/>
        <v>0</v>
      </c>
      <c r="J154" s="514">
        <f t="shared" si="21"/>
        <v>0</v>
      </c>
      <c r="K154" s="514"/>
      <c r="L154" s="532"/>
      <c r="M154" s="533">
        <f t="shared" si="30"/>
        <v>0</v>
      </c>
      <c r="N154" s="532"/>
      <c r="O154" s="533">
        <f t="shared" si="31"/>
        <v>0</v>
      </c>
      <c r="P154" s="533">
        <f t="shared" si="32"/>
        <v>0</v>
      </c>
    </row>
    <row r="155" spans="2:16" ht="12.5">
      <c r="C155" s="374" t="s">
        <v>78</v>
      </c>
      <c r="D155" s="375"/>
      <c r="E155" s="375">
        <f>SUM(E99:E154)</f>
        <v>9637036.9999999981</v>
      </c>
      <c r="F155" s="375"/>
      <c r="G155" s="375"/>
      <c r="H155" s="375">
        <f>SUM(H99:H154)</f>
        <v>31919573.337275315</v>
      </c>
      <c r="I155" s="375">
        <f>SUM(I99:I154)</f>
        <v>31919573.337275315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80" priority="1" stopIfTrue="1" operator="equal">
      <formula>$I$10</formula>
    </cfRule>
  </conditionalFormatting>
  <conditionalFormatting sqref="C99:C154">
    <cfRule type="cellIs" dxfId="7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P162"/>
  <sheetViews>
    <sheetView view="pageBreakPreview" topLeftCell="A73" zoomScale="81" zoomScaleNormal="100" zoomScaleSheetLayoutView="81" workbookViewId="0">
      <selection activeCell="E104" sqref="E10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41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551339.71950731217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551339.71950731217</v>
      </c>
      <c r="O6" s="269"/>
      <c r="P6" s="269"/>
    </row>
    <row r="7" spans="1:16" ht="13.5" thickBot="1">
      <c r="C7" s="467" t="s">
        <v>48</v>
      </c>
      <c r="D7" s="624" t="s">
        <v>315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314</v>
      </c>
      <c r="E9" s="637" t="s">
        <v>325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4866028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115857.80952380953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3846600</v>
      </c>
      <c r="E17" s="638">
        <v>0</v>
      </c>
      <c r="F17" s="629">
        <v>3846600</v>
      </c>
      <c r="G17" s="638">
        <v>518946.76103442931</v>
      </c>
      <c r="H17" s="639">
        <v>518946.76103442931</v>
      </c>
      <c r="I17" s="616">
        <v>0</v>
      </c>
      <c r="J17" s="511"/>
      <c r="K17" s="512">
        <f t="shared" ref="K17:K22" si="0">G17</f>
        <v>518946.76103442931</v>
      </c>
      <c r="L17" s="597">
        <f t="shared" ref="L17:L22" si="1">IF(K17&lt;&gt;0,+G17-K17,0)</f>
        <v>0</v>
      </c>
      <c r="M17" s="512">
        <f t="shared" ref="M17:M22" si="2">H17</f>
        <v>518946.76103442931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3846600</v>
      </c>
      <c r="E18" s="630">
        <v>114166.66666666667</v>
      </c>
      <c r="F18" s="629">
        <v>3732433.3333333335</v>
      </c>
      <c r="G18" s="630">
        <v>605746.05598620465</v>
      </c>
      <c r="H18" s="639">
        <v>605746.05598620465</v>
      </c>
      <c r="I18" s="511">
        <v>0</v>
      </c>
      <c r="J18" s="511"/>
      <c r="K18" s="518">
        <f t="shared" si="0"/>
        <v>605746.05598620465</v>
      </c>
      <c r="L18" s="519">
        <f t="shared" si="1"/>
        <v>0</v>
      </c>
      <c r="M18" s="518">
        <f t="shared" si="2"/>
        <v>605746.05598620465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4680833.333333333</v>
      </c>
      <c r="E19" s="630">
        <v>114166.66666666667</v>
      </c>
      <c r="F19" s="629">
        <v>4566666.666666666</v>
      </c>
      <c r="G19" s="630">
        <v>708198.5525863939</v>
      </c>
      <c r="H19" s="639">
        <v>708198.5525863939</v>
      </c>
      <c r="I19" s="511">
        <f>H19-G19</f>
        <v>0</v>
      </c>
      <c r="J19" s="511"/>
      <c r="K19" s="518">
        <f t="shared" si="0"/>
        <v>708198.5525863939</v>
      </c>
      <c r="L19" s="519">
        <f t="shared" si="1"/>
        <v>0</v>
      </c>
      <c r="M19" s="518">
        <f t="shared" si="2"/>
        <v>708198.5525863939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>IU</v>
      </c>
      <c r="C20" s="507">
        <f>IF(D11="","-",+C19+1)</f>
        <v>2017</v>
      </c>
      <c r="D20" s="629">
        <v>4637694.666666667</v>
      </c>
      <c r="E20" s="630">
        <v>113163.44186046511</v>
      </c>
      <c r="F20" s="629">
        <v>4524531.2248062016</v>
      </c>
      <c r="G20" s="630">
        <v>680729.13149070973</v>
      </c>
      <c r="H20" s="639">
        <v>680729.13149070973</v>
      </c>
      <c r="I20" s="511">
        <f t="shared" ref="I20:I72" si="4">H20-G20</f>
        <v>0</v>
      </c>
      <c r="J20" s="511"/>
      <c r="K20" s="518">
        <f t="shared" si="0"/>
        <v>680729.13149070973</v>
      </c>
      <c r="L20" s="519">
        <f t="shared" si="1"/>
        <v>0</v>
      </c>
      <c r="M20" s="518">
        <f t="shared" si="2"/>
        <v>680729.13149070973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4524531.2248062016</v>
      </c>
      <c r="E21" s="630">
        <v>118683.60975609756</v>
      </c>
      <c r="F21" s="629">
        <v>4405847.6150501044</v>
      </c>
      <c r="G21" s="630">
        <v>686182.83562586328</v>
      </c>
      <c r="H21" s="639">
        <v>686182.83562586328</v>
      </c>
      <c r="I21" s="511">
        <f t="shared" si="4"/>
        <v>0</v>
      </c>
      <c r="J21" s="511"/>
      <c r="K21" s="518">
        <f t="shared" si="0"/>
        <v>686182.83562586328</v>
      </c>
      <c r="L21" s="519">
        <f t="shared" si="1"/>
        <v>0</v>
      </c>
      <c r="M21" s="518">
        <f t="shared" si="2"/>
        <v>686182.83562586328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/>
      </c>
      <c r="C22" s="507">
        <f>IF(D11="","-",+C21+1)</f>
        <v>2019</v>
      </c>
      <c r="D22" s="629">
        <v>4405847.6150501044</v>
      </c>
      <c r="E22" s="630">
        <v>118683.60975609756</v>
      </c>
      <c r="F22" s="629">
        <v>4287164.0052940072</v>
      </c>
      <c r="G22" s="630">
        <v>671098.84918635897</v>
      </c>
      <c r="H22" s="639">
        <v>671098.84918635897</v>
      </c>
      <c r="I22" s="511">
        <f t="shared" si="4"/>
        <v>0</v>
      </c>
      <c r="J22" s="511"/>
      <c r="K22" s="518">
        <f t="shared" si="0"/>
        <v>671098.84918635897</v>
      </c>
      <c r="L22" s="519">
        <f t="shared" si="1"/>
        <v>0</v>
      </c>
      <c r="M22" s="518">
        <f t="shared" si="2"/>
        <v>671098.84918635897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/>
      </c>
      <c r="C23" s="507">
        <f>IF(D11="","-",+C22+1)</f>
        <v>2020</v>
      </c>
      <c r="D23" s="629">
        <v>4287164.0052940072</v>
      </c>
      <c r="E23" s="630">
        <v>118683.60975609756</v>
      </c>
      <c r="F23" s="629">
        <v>4168480.3955379096</v>
      </c>
      <c r="G23" s="630">
        <v>551339.71950731217</v>
      </c>
      <c r="H23" s="639">
        <v>551339.71950731217</v>
      </c>
      <c r="I23" s="511">
        <f t="shared" si="4"/>
        <v>0</v>
      </c>
      <c r="J23" s="511"/>
      <c r="K23" s="518">
        <f t="shared" ref="K23" si="7">G23</f>
        <v>551339.71950731217</v>
      </c>
      <c r="L23" s="519">
        <f t="shared" ref="L23" si="8">IF(K23&lt;&gt;0,+G23-K23,0)</f>
        <v>0</v>
      </c>
      <c r="M23" s="518">
        <f t="shared" ref="M23" si="9">H23</f>
        <v>551339.71950731217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/>
      </c>
      <c r="C24" s="507">
        <f>IF(D11="","-",+C23+1)</f>
        <v>2021</v>
      </c>
      <c r="D24" s="523">
        <f>IF(F23+SUM(E$17:E23)=D$10,F23,D$10-SUM(E$17:E23))</f>
        <v>4168480.3955379096</v>
      </c>
      <c r="E24" s="522">
        <f t="shared" ref="E24:E72" si="10">IF(+$I$14&lt;F23,$I$14,D24)</f>
        <v>115857.80952380953</v>
      </c>
      <c r="F24" s="523">
        <f t="shared" ref="F24:F72" si="11">+D24-E24</f>
        <v>4052622.5860140999</v>
      </c>
      <c r="G24" s="524">
        <f t="shared" ref="G24:G51" si="12">+I$12*((D24+F24)/2)+E24</f>
        <v>554938.590806711</v>
      </c>
      <c r="H24" s="491">
        <f t="shared" ref="H24:H51" si="13">+I$13*((D24+F24)/2)+E24</f>
        <v>554938.590806711</v>
      </c>
      <c r="I24" s="511">
        <f t="shared" si="4"/>
        <v>0</v>
      </c>
      <c r="J24" s="511"/>
      <c r="K24" s="525"/>
      <c r="L24" s="514">
        <f t="shared" ref="L24:L72" si="14">IF(K24&lt;&gt;0,+G24-K24,0)</f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/>
      </c>
      <c r="C25" s="507">
        <f>IF(D11="","-",+C24+1)</f>
        <v>2022</v>
      </c>
      <c r="D25" s="523">
        <f>IF(F24+SUM(E$17:E24)=D$10,F24,D$10-SUM(E$17:E24))</f>
        <v>4052622.5860140999</v>
      </c>
      <c r="E25" s="522">
        <f t="shared" si="10"/>
        <v>115857.80952380953</v>
      </c>
      <c r="F25" s="523">
        <f t="shared" si="11"/>
        <v>3936764.7764902902</v>
      </c>
      <c r="G25" s="524">
        <f t="shared" si="12"/>
        <v>542562.89434904745</v>
      </c>
      <c r="H25" s="491">
        <f t="shared" si="13"/>
        <v>542562.89434904745</v>
      </c>
      <c r="I25" s="511">
        <f t="shared" si="4"/>
        <v>0</v>
      </c>
      <c r="J25" s="511"/>
      <c r="K25" s="525"/>
      <c r="L25" s="514">
        <f t="shared" si="1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/>
      </c>
      <c r="C26" s="507">
        <f>IF(D11="","-",+C25+1)</f>
        <v>2023</v>
      </c>
      <c r="D26" s="523">
        <f>IF(F25+SUM(E$17:E25)=D$10,F25,D$10-SUM(E$17:E25))</f>
        <v>3936764.7764902902</v>
      </c>
      <c r="E26" s="522">
        <f t="shared" si="10"/>
        <v>115857.80952380953</v>
      </c>
      <c r="F26" s="523">
        <f t="shared" si="11"/>
        <v>3820906.9669664805</v>
      </c>
      <c r="G26" s="524">
        <f t="shared" si="12"/>
        <v>530187.19789138401</v>
      </c>
      <c r="H26" s="491">
        <f t="shared" si="13"/>
        <v>530187.19789138401</v>
      </c>
      <c r="I26" s="511">
        <f t="shared" si="4"/>
        <v>0</v>
      </c>
      <c r="J26" s="511"/>
      <c r="K26" s="525"/>
      <c r="L26" s="514">
        <f t="shared" si="1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3820906.9669664805</v>
      </c>
      <c r="E27" s="522">
        <f t="shared" si="10"/>
        <v>115857.80952380953</v>
      </c>
      <c r="F27" s="523">
        <f t="shared" si="11"/>
        <v>3705049.1574426708</v>
      </c>
      <c r="G27" s="524">
        <f t="shared" si="12"/>
        <v>517811.50143372052</v>
      </c>
      <c r="H27" s="491">
        <f t="shared" si="13"/>
        <v>517811.50143372052</v>
      </c>
      <c r="I27" s="511">
        <f t="shared" si="4"/>
        <v>0</v>
      </c>
      <c r="J27" s="511"/>
      <c r="K27" s="525"/>
      <c r="L27" s="514">
        <f t="shared" si="1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3705049.1574426708</v>
      </c>
      <c r="E28" s="522">
        <f t="shared" si="10"/>
        <v>115857.80952380953</v>
      </c>
      <c r="F28" s="523">
        <f t="shared" si="11"/>
        <v>3589191.3479188611</v>
      </c>
      <c r="G28" s="524">
        <f t="shared" si="12"/>
        <v>505435.80497605703</v>
      </c>
      <c r="H28" s="491">
        <f t="shared" si="13"/>
        <v>505435.80497605703</v>
      </c>
      <c r="I28" s="511">
        <f t="shared" si="4"/>
        <v>0</v>
      </c>
      <c r="J28" s="511"/>
      <c r="K28" s="525"/>
      <c r="L28" s="514">
        <f t="shared" si="1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3589191.3479188611</v>
      </c>
      <c r="E29" s="522">
        <f t="shared" si="10"/>
        <v>115857.80952380953</v>
      </c>
      <c r="F29" s="523">
        <f t="shared" si="11"/>
        <v>3473333.5383950514</v>
      </c>
      <c r="G29" s="524">
        <f t="shared" si="12"/>
        <v>493060.10851839359</v>
      </c>
      <c r="H29" s="491">
        <f t="shared" si="13"/>
        <v>493060.10851839359</v>
      </c>
      <c r="I29" s="511">
        <f t="shared" si="4"/>
        <v>0</v>
      </c>
      <c r="J29" s="511"/>
      <c r="K29" s="525"/>
      <c r="L29" s="514">
        <f t="shared" si="1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3473333.5383950514</v>
      </c>
      <c r="E30" s="522">
        <f t="shared" si="10"/>
        <v>115857.80952380953</v>
      </c>
      <c r="F30" s="523">
        <f t="shared" si="11"/>
        <v>3357475.7288712417</v>
      </c>
      <c r="G30" s="524">
        <f t="shared" si="12"/>
        <v>480684.4120607301</v>
      </c>
      <c r="H30" s="491">
        <f t="shared" si="13"/>
        <v>480684.4120607301</v>
      </c>
      <c r="I30" s="511">
        <f t="shared" si="4"/>
        <v>0</v>
      </c>
      <c r="J30" s="511"/>
      <c r="K30" s="525"/>
      <c r="L30" s="514">
        <f t="shared" si="1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3357475.7288712417</v>
      </c>
      <c r="E31" s="522">
        <f t="shared" si="10"/>
        <v>115857.80952380953</v>
      </c>
      <c r="F31" s="523">
        <f t="shared" si="11"/>
        <v>3241617.919347432</v>
      </c>
      <c r="G31" s="524">
        <f t="shared" si="12"/>
        <v>468308.71560306661</v>
      </c>
      <c r="H31" s="491">
        <f t="shared" si="13"/>
        <v>468308.71560306661</v>
      </c>
      <c r="I31" s="511">
        <f t="shared" si="4"/>
        <v>0</v>
      </c>
      <c r="J31" s="511"/>
      <c r="K31" s="525"/>
      <c r="L31" s="514">
        <f t="shared" si="1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3241617.919347432</v>
      </c>
      <c r="E32" s="522">
        <f t="shared" si="10"/>
        <v>115857.80952380953</v>
      </c>
      <c r="F32" s="523">
        <f t="shared" si="11"/>
        <v>3125760.1098236223</v>
      </c>
      <c r="G32" s="524">
        <f t="shared" si="12"/>
        <v>455933.01914540312</v>
      </c>
      <c r="H32" s="491">
        <f t="shared" si="13"/>
        <v>455933.01914540312</v>
      </c>
      <c r="I32" s="511">
        <f t="shared" si="4"/>
        <v>0</v>
      </c>
      <c r="J32" s="511"/>
      <c r="K32" s="525"/>
      <c r="L32" s="514">
        <f t="shared" si="1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3125760.1098236223</v>
      </c>
      <c r="E33" s="522">
        <f t="shared" si="10"/>
        <v>115857.80952380953</v>
      </c>
      <c r="F33" s="523">
        <f t="shared" si="11"/>
        <v>3009902.3002998126</v>
      </c>
      <c r="G33" s="524">
        <f t="shared" si="12"/>
        <v>443557.32268773962</v>
      </c>
      <c r="H33" s="491">
        <f t="shared" si="13"/>
        <v>443557.32268773962</v>
      </c>
      <c r="I33" s="511">
        <f t="shared" si="4"/>
        <v>0</v>
      </c>
      <c r="J33" s="511"/>
      <c r="K33" s="525"/>
      <c r="L33" s="514">
        <f t="shared" si="1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3009902.3002998126</v>
      </c>
      <c r="E34" s="522">
        <f t="shared" si="10"/>
        <v>115857.80952380953</v>
      </c>
      <c r="F34" s="523">
        <f t="shared" si="11"/>
        <v>2894044.4907760029</v>
      </c>
      <c r="G34" s="524">
        <f t="shared" si="12"/>
        <v>431181.62623007619</v>
      </c>
      <c r="H34" s="491">
        <f t="shared" si="13"/>
        <v>431181.62623007619</v>
      </c>
      <c r="I34" s="511">
        <f t="shared" si="4"/>
        <v>0</v>
      </c>
      <c r="J34" s="511"/>
      <c r="K34" s="525"/>
      <c r="L34" s="514">
        <f t="shared" si="1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2894044.4907760029</v>
      </c>
      <c r="E35" s="522">
        <f t="shared" si="10"/>
        <v>115857.80952380953</v>
      </c>
      <c r="F35" s="523">
        <f t="shared" si="11"/>
        <v>2778186.6812521932</v>
      </c>
      <c r="G35" s="524">
        <f t="shared" si="12"/>
        <v>418805.9297724127</v>
      </c>
      <c r="H35" s="491">
        <f t="shared" si="13"/>
        <v>418805.9297724127</v>
      </c>
      <c r="I35" s="511">
        <f t="shared" si="4"/>
        <v>0</v>
      </c>
      <c r="J35" s="511"/>
      <c r="K35" s="525"/>
      <c r="L35" s="514">
        <f t="shared" si="1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2778186.6812521932</v>
      </c>
      <c r="E36" s="522">
        <f t="shared" si="10"/>
        <v>115857.80952380953</v>
      </c>
      <c r="F36" s="523">
        <f t="shared" si="11"/>
        <v>2662328.8717283835</v>
      </c>
      <c r="G36" s="524">
        <f t="shared" si="12"/>
        <v>406430.2333147492</v>
      </c>
      <c r="H36" s="491">
        <f t="shared" si="13"/>
        <v>406430.2333147492</v>
      </c>
      <c r="I36" s="511">
        <f t="shared" si="4"/>
        <v>0</v>
      </c>
      <c r="J36" s="511"/>
      <c r="K36" s="525"/>
      <c r="L36" s="514">
        <f t="shared" si="1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2662328.8717283835</v>
      </c>
      <c r="E37" s="522">
        <f t="shared" si="10"/>
        <v>115857.80952380953</v>
      </c>
      <c r="F37" s="523">
        <f t="shared" si="11"/>
        <v>2546471.0622045738</v>
      </c>
      <c r="G37" s="524">
        <f t="shared" si="12"/>
        <v>394054.53685708571</v>
      </c>
      <c r="H37" s="491">
        <f t="shared" si="13"/>
        <v>394054.53685708571</v>
      </c>
      <c r="I37" s="511">
        <f t="shared" si="4"/>
        <v>0</v>
      </c>
      <c r="J37" s="511"/>
      <c r="K37" s="525"/>
      <c r="L37" s="514">
        <f t="shared" si="1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2546471.0622045738</v>
      </c>
      <c r="E38" s="522">
        <f t="shared" si="10"/>
        <v>115857.80952380953</v>
      </c>
      <c r="F38" s="523">
        <f t="shared" si="11"/>
        <v>2430613.2526807641</v>
      </c>
      <c r="G38" s="524">
        <f t="shared" si="12"/>
        <v>381678.84039942222</v>
      </c>
      <c r="H38" s="491">
        <f t="shared" si="13"/>
        <v>381678.84039942222</v>
      </c>
      <c r="I38" s="511">
        <f t="shared" si="4"/>
        <v>0</v>
      </c>
      <c r="J38" s="511"/>
      <c r="K38" s="525"/>
      <c r="L38" s="514">
        <f t="shared" si="1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2430613.2526807641</v>
      </c>
      <c r="E39" s="522">
        <f t="shared" si="10"/>
        <v>115857.80952380953</v>
      </c>
      <c r="F39" s="523">
        <f t="shared" si="11"/>
        <v>2314755.4431569544</v>
      </c>
      <c r="G39" s="524">
        <f t="shared" si="12"/>
        <v>369303.14394175878</v>
      </c>
      <c r="H39" s="491">
        <f t="shared" si="13"/>
        <v>369303.14394175878</v>
      </c>
      <c r="I39" s="511">
        <f t="shared" si="4"/>
        <v>0</v>
      </c>
      <c r="J39" s="511"/>
      <c r="K39" s="525"/>
      <c r="L39" s="514">
        <f t="shared" si="1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2314755.4431569544</v>
      </c>
      <c r="E40" s="522">
        <f t="shared" si="10"/>
        <v>115857.80952380953</v>
      </c>
      <c r="F40" s="523">
        <f t="shared" si="11"/>
        <v>2198897.6336331447</v>
      </c>
      <c r="G40" s="524">
        <f t="shared" si="12"/>
        <v>356927.44748409529</v>
      </c>
      <c r="H40" s="491">
        <f t="shared" si="13"/>
        <v>356927.44748409529</v>
      </c>
      <c r="I40" s="511">
        <f t="shared" si="4"/>
        <v>0</v>
      </c>
      <c r="J40" s="511"/>
      <c r="K40" s="525"/>
      <c r="L40" s="514">
        <f t="shared" si="1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2198897.6336331447</v>
      </c>
      <c r="E41" s="522">
        <f t="shared" si="10"/>
        <v>115857.80952380953</v>
      </c>
      <c r="F41" s="523">
        <f t="shared" si="11"/>
        <v>2083039.8241093352</v>
      </c>
      <c r="G41" s="524">
        <f t="shared" si="12"/>
        <v>344551.7510264318</v>
      </c>
      <c r="H41" s="491">
        <f t="shared" si="13"/>
        <v>344551.7510264318</v>
      </c>
      <c r="I41" s="511">
        <f t="shared" si="4"/>
        <v>0</v>
      </c>
      <c r="J41" s="511"/>
      <c r="K41" s="525"/>
      <c r="L41" s="514">
        <f t="shared" si="1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2083039.8241093352</v>
      </c>
      <c r="E42" s="522">
        <f t="shared" si="10"/>
        <v>115857.80952380953</v>
      </c>
      <c r="F42" s="523">
        <f t="shared" si="11"/>
        <v>1967182.0145855257</v>
      </c>
      <c r="G42" s="524">
        <f t="shared" si="12"/>
        <v>332176.05456876836</v>
      </c>
      <c r="H42" s="491">
        <f t="shared" si="13"/>
        <v>332176.05456876836</v>
      </c>
      <c r="I42" s="511">
        <f t="shared" si="4"/>
        <v>0</v>
      </c>
      <c r="J42" s="511"/>
      <c r="K42" s="525"/>
      <c r="L42" s="514">
        <f t="shared" si="1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1967182.0145855257</v>
      </c>
      <c r="E43" s="522">
        <f t="shared" si="10"/>
        <v>115857.80952380953</v>
      </c>
      <c r="F43" s="523">
        <f t="shared" si="11"/>
        <v>1851324.2050617163</v>
      </c>
      <c r="G43" s="524">
        <f t="shared" si="12"/>
        <v>319800.35811110487</v>
      </c>
      <c r="H43" s="491">
        <f t="shared" si="13"/>
        <v>319800.35811110487</v>
      </c>
      <c r="I43" s="511">
        <f t="shared" si="4"/>
        <v>0</v>
      </c>
      <c r="J43" s="511"/>
      <c r="K43" s="525"/>
      <c r="L43" s="514">
        <f t="shared" si="1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1851324.2050617163</v>
      </c>
      <c r="E44" s="522">
        <f t="shared" si="10"/>
        <v>115857.80952380953</v>
      </c>
      <c r="F44" s="523">
        <f t="shared" si="11"/>
        <v>1735466.3955379068</v>
      </c>
      <c r="G44" s="524">
        <f t="shared" si="12"/>
        <v>307424.66165344149</v>
      </c>
      <c r="H44" s="491">
        <f t="shared" si="13"/>
        <v>307424.66165344149</v>
      </c>
      <c r="I44" s="511">
        <f t="shared" si="4"/>
        <v>0</v>
      </c>
      <c r="J44" s="511"/>
      <c r="K44" s="525"/>
      <c r="L44" s="514">
        <f t="shared" si="1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1735466.3955379068</v>
      </c>
      <c r="E45" s="522">
        <f t="shared" si="10"/>
        <v>115857.80952380953</v>
      </c>
      <c r="F45" s="523">
        <f t="shared" si="11"/>
        <v>1619608.5860140973</v>
      </c>
      <c r="G45" s="524">
        <f t="shared" si="12"/>
        <v>295048.96519577794</v>
      </c>
      <c r="H45" s="491">
        <f t="shared" si="13"/>
        <v>295048.96519577794</v>
      </c>
      <c r="I45" s="511">
        <f t="shared" si="4"/>
        <v>0</v>
      </c>
      <c r="J45" s="511"/>
      <c r="K45" s="525"/>
      <c r="L45" s="514">
        <f t="shared" si="1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1619608.5860140973</v>
      </c>
      <c r="E46" s="522">
        <f t="shared" si="10"/>
        <v>115857.80952380953</v>
      </c>
      <c r="F46" s="523">
        <f t="shared" si="11"/>
        <v>1503750.7764902879</v>
      </c>
      <c r="G46" s="524">
        <f t="shared" si="12"/>
        <v>282673.26873811451</v>
      </c>
      <c r="H46" s="491">
        <f t="shared" si="13"/>
        <v>282673.26873811451</v>
      </c>
      <c r="I46" s="511">
        <f t="shared" si="4"/>
        <v>0</v>
      </c>
      <c r="J46" s="511"/>
      <c r="K46" s="525"/>
      <c r="L46" s="514">
        <f t="shared" si="1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1503750.7764902879</v>
      </c>
      <c r="E47" s="522">
        <f t="shared" si="10"/>
        <v>115857.80952380953</v>
      </c>
      <c r="F47" s="523">
        <f t="shared" si="11"/>
        <v>1387892.9669664784</v>
      </c>
      <c r="G47" s="524">
        <f t="shared" si="12"/>
        <v>270297.57228045107</v>
      </c>
      <c r="H47" s="491">
        <f t="shared" si="13"/>
        <v>270297.57228045107</v>
      </c>
      <c r="I47" s="511">
        <f t="shared" si="4"/>
        <v>0</v>
      </c>
      <c r="J47" s="511"/>
      <c r="K47" s="525"/>
      <c r="L47" s="514">
        <f t="shared" si="1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1387892.9669664784</v>
      </c>
      <c r="E48" s="522">
        <f t="shared" si="10"/>
        <v>115857.80952380953</v>
      </c>
      <c r="F48" s="523">
        <f t="shared" si="11"/>
        <v>1272035.1574426689</v>
      </c>
      <c r="G48" s="524">
        <f t="shared" si="12"/>
        <v>257921.87582278764</v>
      </c>
      <c r="H48" s="491">
        <f t="shared" si="13"/>
        <v>257921.87582278764</v>
      </c>
      <c r="I48" s="511">
        <f t="shared" si="4"/>
        <v>0</v>
      </c>
      <c r="J48" s="511"/>
      <c r="K48" s="525"/>
      <c r="L48" s="514">
        <f t="shared" si="1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1272035.1574426689</v>
      </c>
      <c r="E49" s="522">
        <f t="shared" si="10"/>
        <v>115857.80952380953</v>
      </c>
      <c r="F49" s="523">
        <f t="shared" si="11"/>
        <v>1156177.3479188595</v>
      </c>
      <c r="G49" s="524">
        <f t="shared" si="12"/>
        <v>245546.17936512415</v>
      </c>
      <c r="H49" s="491">
        <f t="shared" si="13"/>
        <v>245546.17936512415</v>
      </c>
      <c r="I49" s="511">
        <f t="shared" si="4"/>
        <v>0</v>
      </c>
      <c r="J49" s="511"/>
      <c r="K49" s="525"/>
      <c r="L49" s="514">
        <f t="shared" si="14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1156177.3479188595</v>
      </c>
      <c r="E50" s="522">
        <f t="shared" si="10"/>
        <v>115857.80952380953</v>
      </c>
      <c r="F50" s="523">
        <f t="shared" si="11"/>
        <v>1040319.53839505</v>
      </c>
      <c r="G50" s="524">
        <f t="shared" si="12"/>
        <v>233170.48290746071</v>
      </c>
      <c r="H50" s="491">
        <f t="shared" si="13"/>
        <v>233170.48290746071</v>
      </c>
      <c r="I50" s="511">
        <f t="shared" si="4"/>
        <v>0</v>
      </c>
      <c r="J50" s="511"/>
      <c r="K50" s="525"/>
      <c r="L50" s="514">
        <f t="shared" si="14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1040319.53839505</v>
      </c>
      <c r="E51" s="522">
        <f t="shared" si="10"/>
        <v>115857.80952380953</v>
      </c>
      <c r="F51" s="523">
        <f t="shared" si="11"/>
        <v>924461.72887124051</v>
      </c>
      <c r="G51" s="524">
        <f t="shared" si="12"/>
        <v>220794.78644979725</v>
      </c>
      <c r="H51" s="491">
        <f t="shared" si="13"/>
        <v>220794.78644979725</v>
      </c>
      <c r="I51" s="511">
        <f t="shared" si="4"/>
        <v>0</v>
      </c>
      <c r="J51" s="511"/>
      <c r="K51" s="525"/>
      <c r="L51" s="514">
        <f t="shared" si="14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924461.72887124051</v>
      </c>
      <c r="E52" s="522">
        <f t="shared" si="10"/>
        <v>115857.80952380953</v>
      </c>
      <c r="F52" s="523">
        <f t="shared" si="11"/>
        <v>808603.91934743105</v>
      </c>
      <c r="G52" s="524">
        <f t="shared" ref="G52:G72" si="15">+I$12*((D52+F52)/2)+E52</f>
        <v>208419.08999213378</v>
      </c>
      <c r="H52" s="491">
        <f t="shared" ref="H52:H72" si="16">+I$13*((D52+F52)/2)+E52</f>
        <v>208419.08999213378</v>
      </c>
      <c r="I52" s="511">
        <f t="shared" si="4"/>
        <v>0</v>
      </c>
      <c r="J52" s="511"/>
      <c r="K52" s="525"/>
      <c r="L52" s="514">
        <f t="shared" si="14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808603.91934743105</v>
      </c>
      <c r="E53" s="522">
        <f t="shared" si="10"/>
        <v>115857.80952380953</v>
      </c>
      <c r="F53" s="523">
        <f t="shared" si="11"/>
        <v>692746.10982362158</v>
      </c>
      <c r="G53" s="524">
        <f t="shared" si="15"/>
        <v>196043.39353447035</v>
      </c>
      <c r="H53" s="491">
        <f t="shared" si="16"/>
        <v>196043.39353447035</v>
      </c>
      <c r="I53" s="511">
        <f t="shared" si="4"/>
        <v>0</v>
      </c>
      <c r="J53" s="511"/>
      <c r="K53" s="525"/>
      <c r="L53" s="514">
        <f t="shared" si="14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692746.10982362158</v>
      </c>
      <c r="E54" s="522">
        <f t="shared" si="10"/>
        <v>115857.80952380953</v>
      </c>
      <c r="F54" s="523">
        <f t="shared" si="11"/>
        <v>576888.30029981211</v>
      </c>
      <c r="G54" s="524">
        <f t="shared" si="15"/>
        <v>183667.69707680686</v>
      </c>
      <c r="H54" s="491">
        <f t="shared" si="16"/>
        <v>183667.69707680686</v>
      </c>
      <c r="I54" s="511">
        <f t="shared" si="4"/>
        <v>0</v>
      </c>
      <c r="J54" s="511"/>
      <c r="K54" s="525"/>
      <c r="L54" s="514">
        <f t="shared" si="14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576888.30029981211</v>
      </c>
      <c r="E55" s="522">
        <f t="shared" si="10"/>
        <v>115857.80952380953</v>
      </c>
      <c r="F55" s="523">
        <f t="shared" si="11"/>
        <v>461030.49077600258</v>
      </c>
      <c r="G55" s="524">
        <f t="shared" si="15"/>
        <v>171292.00061914342</v>
      </c>
      <c r="H55" s="491">
        <f t="shared" si="16"/>
        <v>171292.00061914342</v>
      </c>
      <c r="I55" s="511">
        <f t="shared" si="4"/>
        <v>0</v>
      </c>
      <c r="J55" s="511"/>
      <c r="K55" s="525"/>
      <c r="L55" s="514">
        <f t="shared" si="14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461030.49077600258</v>
      </c>
      <c r="E56" s="522">
        <f t="shared" si="10"/>
        <v>115857.80952380953</v>
      </c>
      <c r="F56" s="523">
        <f t="shared" si="11"/>
        <v>345172.68125219306</v>
      </c>
      <c r="G56" s="524">
        <f t="shared" si="15"/>
        <v>158916.30416147996</v>
      </c>
      <c r="H56" s="491">
        <f t="shared" si="16"/>
        <v>158916.30416147996</v>
      </c>
      <c r="I56" s="511">
        <f t="shared" si="4"/>
        <v>0</v>
      </c>
      <c r="J56" s="511"/>
      <c r="K56" s="525"/>
      <c r="L56" s="514">
        <f t="shared" si="14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345172.68125219306</v>
      </c>
      <c r="E57" s="522">
        <f t="shared" si="10"/>
        <v>115857.80952380953</v>
      </c>
      <c r="F57" s="523">
        <f t="shared" si="11"/>
        <v>229314.87172838353</v>
      </c>
      <c r="G57" s="524">
        <f t="shared" si="15"/>
        <v>146540.60770381649</v>
      </c>
      <c r="H57" s="491">
        <f t="shared" si="16"/>
        <v>146540.60770381649</v>
      </c>
      <c r="I57" s="511">
        <f t="shared" si="4"/>
        <v>0</v>
      </c>
      <c r="J57" s="511"/>
      <c r="K57" s="525"/>
      <c r="L57" s="514">
        <f t="shared" si="14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229314.87172838353</v>
      </c>
      <c r="E58" s="522">
        <f t="shared" si="10"/>
        <v>115857.80952380953</v>
      </c>
      <c r="F58" s="523">
        <f t="shared" si="11"/>
        <v>113457.062204574</v>
      </c>
      <c r="G58" s="524">
        <f t="shared" si="15"/>
        <v>134164.91124615303</v>
      </c>
      <c r="H58" s="491">
        <f t="shared" si="16"/>
        <v>134164.91124615303</v>
      </c>
      <c r="I58" s="511">
        <f t="shared" si="4"/>
        <v>0</v>
      </c>
      <c r="J58" s="511"/>
      <c r="K58" s="525"/>
      <c r="L58" s="514">
        <f t="shared" si="14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113457.062204574</v>
      </c>
      <c r="E59" s="522">
        <f t="shared" si="10"/>
        <v>113457.062204574</v>
      </c>
      <c r="F59" s="523">
        <f t="shared" si="11"/>
        <v>0</v>
      </c>
      <c r="G59" s="524">
        <f t="shared" si="15"/>
        <v>119516.68895132988</v>
      </c>
      <c r="H59" s="491">
        <f t="shared" si="16"/>
        <v>119516.68895132988</v>
      </c>
      <c r="I59" s="511">
        <f t="shared" si="4"/>
        <v>0</v>
      </c>
      <c r="J59" s="511"/>
      <c r="K59" s="525"/>
      <c r="L59" s="514">
        <f t="shared" si="14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0"/>
        <v>0</v>
      </c>
      <c r="F60" s="523">
        <f t="shared" si="11"/>
        <v>0</v>
      </c>
      <c r="G60" s="524">
        <f t="shared" si="15"/>
        <v>0</v>
      </c>
      <c r="H60" s="491">
        <f t="shared" si="16"/>
        <v>0</v>
      </c>
      <c r="I60" s="511">
        <f t="shared" si="4"/>
        <v>0</v>
      </c>
      <c r="J60" s="511"/>
      <c r="K60" s="525"/>
      <c r="L60" s="514">
        <f t="shared" si="14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0"/>
        <v>0</v>
      </c>
      <c r="F61" s="523">
        <f t="shared" si="11"/>
        <v>0</v>
      </c>
      <c r="G61" s="524">
        <f t="shared" si="15"/>
        <v>0</v>
      </c>
      <c r="H61" s="491">
        <f t="shared" si="16"/>
        <v>0</v>
      </c>
      <c r="I61" s="511">
        <f t="shared" si="4"/>
        <v>0</v>
      </c>
      <c r="J61" s="511"/>
      <c r="K61" s="525"/>
      <c r="L61" s="514">
        <f t="shared" si="14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0"/>
        <v>0</v>
      </c>
      <c r="F62" s="523">
        <f t="shared" si="11"/>
        <v>0</v>
      </c>
      <c r="G62" s="524">
        <f t="shared" si="15"/>
        <v>0</v>
      </c>
      <c r="H62" s="491">
        <f t="shared" si="16"/>
        <v>0</v>
      </c>
      <c r="I62" s="511">
        <f t="shared" si="4"/>
        <v>0</v>
      </c>
      <c r="J62" s="511"/>
      <c r="K62" s="525"/>
      <c r="L62" s="514">
        <f t="shared" si="14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0"/>
        <v>0</v>
      </c>
      <c r="F63" s="523">
        <f t="shared" si="11"/>
        <v>0</v>
      </c>
      <c r="G63" s="524">
        <f t="shared" si="15"/>
        <v>0</v>
      </c>
      <c r="H63" s="491">
        <f t="shared" si="16"/>
        <v>0</v>
      </c>
      <c r="I63" s="511">
        <f t="shared" si="4"/>
        <v>0</v>
      </c>
      <c r="J63" s="511"/>
      <c r="K63" s="525"/>
      <c r="L63" s="514">
        <f t="shared" si="14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0"/>
        <v>0</v>
      </c>
      <c r="F64" s="523">
        <f t="shared" si="11"/>
        <v>0</v>
      </c>
      <c r="G64" s="524">
        <f t="shared" si="15"/>
        <v>0</v>
      </c>
      <c r="H64" s="491">
        <f t="shared" si="16"/>
        <v>0</v>
      </c>
      <c r="I64" s="511">
        <f t="shared" si="4"/>
        <v>0</v>
      </c>
      <c r="J64" s="511"/>
      <c r="K64" s="525"/>
      <c r="L64" s="514">
        <f t="shared" si="14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0"/>
        <v>0</v>
      </c>
      <c r="F65" s="523">
        <f t="shared" si="11"/>
        <v>0</v>
      </c>
      <c r="G65" s="524">
        <f t="shared" si="15"/>
        <v>0</v>
      </c>
      <c r="H65" s="491">
        <f t="shared" si="16"/>
        <v>0</v>
      </c>
      <c r="I65" s="511">
        <f t="shared" si="4"/>
        <v>0</v>
      </c>
      <c r="J65" s="511"/>
      <c r="K65" s="525"/>
      <c r="L65" s="514">
        <f t="shared" si="14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0"/>
        <v>0</v>
      </c>
      <c r="F66" s="523">
        <f t="shared" si="11"/>
        <v>0</v>
      </c>
      <c r="G66" s="524">
        <f t="shared" si="15"/>
        <v>0</v>
      </c>
      <c r="H66" s="491">
        <f t="shared" si="16"/>
        <v>0</v>
      </c>
      <c r="I66" s="511">
        <f t="shared" si="4"/>
        <v>0</v>
      </c>
      <c r="J66" s="511"/>
      <c r="K66" s="525"/>
      <c r="L66" s="514">
        <f t="shared" si="14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0"/>
        <v>0</v>
      </c>
      <c r="F67" s="523">
        <f t="shared" si="11"/>
        <v>0</v>
      </c>
      <c r="G67" s="524">
        <f t="shared" si="15"/>
        <v>0</v>
      </c>
      <c r="H67" s="491">
        <f t="shared" si="16"/>
        <v>0</v>
      </c>
      <c r="I67" s="511">
        <f t="shared" si="4"/>
        <v>0</v>
      </c>
      <c r="J67" s="511"/>
      <c r="K67" s="525"/>
      <c r="L67" s="514">
        <f t="shared" si="14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0"/>
        <v>0</v>
      </c>
      <c r="F68" s="523">
        <f t="shared" si="11"/>
        <v>0</v>
      </c>
      <c r="G68" s="524">
        <f t="shared" si="15"/>
        <v>0</v>
      </c>
      <c r="H68" s="491">
        <f t="shared" si="16"/>
        <v>0</v>
      </c>
      <c r="I68" s="511">
        <f t="shared" si="4"/>
        <v>0</v>
      </c>
      <c r="J68" s="511"/>
      <c r="K68" s="525"/>
      <c r="L68" s="514">
        <f t="shared" si="14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0"/>
        <v>0</v>
      </c>
      <c r="F69" s="523">
        <f t="shared" si="11"/>
        <v>0</v>
      </c>
      <c r="G69" s="524">
        <f t="shared" si="15"/>
        <v>0</v>
      </c>
      <c r="H69" s="491">
        <f t="shared" si="16"/>
        <v>0</v>
      </c>
      <c r="I69" s="511">
        <f t="shared" si="4"/>
        <v>0</v>
      </c>
      <c r="J69" s="511"/>
      <c r="K69" s="525"/>
      <c r="L69" s="514">
        <f t="shared" si="14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0"/>
        <v>0</v>
      </c>
      <c r="F70" s="523">
        <f t="shared" si="11"/>
        <v>0</v>
      </c>
      <c r="G70" s="524">
        <f t="shared" si="15"/>
        <v>0</v>
      </c>
      <c r="H70" s="491">
        <f t="shared" si="16"/>
        <v>0</v>
      </c>
      <c r="I70" s="511">
        <f t="shared" si="4"/>
        <v>0</v>
      </c>
      <c r="J70" s="511"/>
      <c r="K70" s="525"/>
      <c r="L70" s="514">
        <f t="shared" si="14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0"/>
        <v>0</v>
      </c>
      <c r="F71" s="523">
        <f t="shared" si="11"/>
        <v>0</v>
      </c>
      <c r="G71" s="524">
        <f t="shared" si="15"/>
        <v>0</v>
      </c>
      <c r="H71" s="491">
        <f t="shared" si="16"/>
        <v>0</v>
      </c>
      <c r="I71" s="511">
        <f t="shared" si="4"/>
        <v>0</v>
      </c>
      <c r="J71" s="511"/>
      <c r="K71" s="525"/>
      <c r="L71" s="514">
        <f t="shared" si="14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0"/>
        <v>0</v>
      </c>
      <c r="F72" s="523">
        <f t="shared" si="11"/>
        <v>0</v>
      </c>
      <c r="G72" s="524">
        <f t="shared" si="15"/>
        <v>0</v>
      </c>
      <c r="H72" s="491">
        <f t="shared" si="16"/>
        <v>0</v>
      </c>
      <c r="I72" s="511">
        <f t="shared" si="4"/>
        <v>0</v>
      </c>
      <c r="J72" s="511"/>
      <c r="K72" s="532"/>
      <c r="L72" s="533">
        <f t="shared" si="14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4866028.0000000019</v>
      </c>
      <c r="F73" s="375"/>
      <c r="G73" s="375">
        <f>SUM(G17:G72)</f>
        <v>16601069.880293718</v>
      </c>
      <c r="H73" s="375">
        <f>SUM(H17:H72)</f>
        <v>16601069.880293718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41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551339.71950731217</v>
      </c>
      <c r="N87" s="546">
        <f>IF(J92&lt;D11,0,VLOOKUP(J92,C17:O72,11))</f>
        <v>551339.71950731217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571834.25819080928</v>
      </c>
      <c r="N88" s="550">
        <f>IF(J92&lt;D11,0,VLOOKUP(J92,C99:P154,7))</f>
        <v>571834.25819080928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Broadmoor to Fern Street 69 kV Rebuild 1 mile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20494.538683497114</v>
      </c>
      <c r="N89" s="555">
        <f>+N88-N87</f>
        <v>20494.538683497114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TP2010103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4866028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115857.80952380953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0</v>
      </c>
      <c r="F99" s="631">
        <v>4675710</v>
      </c>
      <c r="G99" s="632">
        <v>2337855</v>
      </c>
      <c r="H99" s="633">
        <v>317769.34002768091</v>
      </c>
      <c r="I99" s="634">
        <v>317769.34002768091</v>
      </c>
      <c r="J99" s="640">
        <v>0</v>
      </c>
      <c r="K99" s="514"/>
      <c r="L99" s="518">
        <f t="shared" ref="L99:L104" si="17">H99</f>
        <v>317769.34002768091</v>
      </c>
      <c r="M99" s="519">
        <f t="shared" ref="M99:M104" si="18">IF(L99&lt;&gt;0,+H99-L99,0)</f>
        <v>0</v>
      </c>
      <c r="N99" s="518">
        <f t="shared" ref="N99:N104" si="19">I99</f>
        <v>317769.34002768091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2015</v>
      </c>
      <c r="D100" s="629">
        <v>4675710</v>
      </c>
      <c r="E100" s="630">
        <v>111326.42857142857</v>
      </c>
      <c r="F100" s="631">
        <v>4564383.5714285718</v>
      </c>
      <c r="G100" s="631">
        <v>4620046.7857142854</v>
      </c>
      <c r="H100" s="633">
        <v>720104.80925496051</v>
      </c>
      <c r="I100" s="634">
        <v>720104.80925496051</v>
      </c>
      <c r="J100" s="514">
        <f>+I100-H100</f>
        <v>0</v>
      </c>
      <c r="K100" s="514"/>
      <c r="L100" s="518">
        <f t="shared" si="17"/>
        <v>720104.80925496051</v>
      </c>
      <c r="M100" s="519">
        <f t="shared" si="18"/>
        <v>0</v>
      </c>
      <c r="N100" s="518">
        <f t="shared" si="19"/>
        <v>720104.80925496051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0">IF(D101=F100,"","IU")</f>
        <v>IU</v>
      </c>
      <c r="C101" s="507">
        <f>IF(D93="","-",+C100+1)</f>
        <v>2016</v>
      </c>
      <c r="D101" s="629">
        <v>4754701.5714285718</v>
      </c>
      <c r="E101" s="630">
        <v>113163.44186046511</v>
      </c>
      <c r="F101" s="631">
        <v>4641538.1295681065</v>
      </c>
      <c r="G101" s="631">
        <v>4698119.8504983392</v>
      </c>
      <c r="H101" s="633">
        <v>709589.70185854996</v>
      </c>
      <c r="I101" s="634">
        <v>709589.70185854996</v>
      </c>
      <c r="J101" s="514">
        <f t="shared" ref="J101:J154" si="21">+I101-H101</f>
        <v>0</v>
      </c>
      <c r="K101" s="514"/>
      <c r="L101" s="518">
        <f t="shared" si="17"/>
        <v>709589.70185854996</v>
      </c>
      <c r="M101" s="519">
        <f t="shared" si="18"/>
        <v>0</v>
      </c>
      <c r="N101" s="518">
        <f t="shared" si="19"/>
        <v>709589.70185854996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0"/>
        <v/>
      </c>
      <c r="C102" s="507">
        <f>IF(D93="","-",+C101+1)</f>
        <v>2017</v>
      </c>
      <c r="D102" s="629">
        <v>4641538.1295681065</v>
      </c>
      <c r="E102" s="630">
        <v>115857.80952380953</v>
      </c>
      <c r="F102" s="631">
        <v>4525680.3200442968</v>
      </c>
      <c r="G102" s="631">
        <v>4583609.2248062016</v>
      </c>
      <c r="H102" s="633">
        <v>672635.50351476576</v>
      </c>
      <c r="I102" s="634">
        <v>672635.50351476576</v>
      </c>
      <c r="J102" s="514">
        <f t="shared" si="21"/>
        <v>0</v>
      </c>
      <c r="K102" s="514"/>
      <c r="L102" s="518">
        <f t="shared" si="17"/>
        <v>672635.50351476576</v>
      </c>
      <c r="M102" s="519">
        <f t="shared" si="18"/>
        <v>0</v>
      </c>
      <c r="N102" s="518">
        <f t="shared" si="19"/>
        <v>672635.50351476576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20"/>
        <v/>
      </c>
      <c r="C103" s="507">
        <f>IF(D93="","-",+C102+1)</f>
        <v>2018</v>
      </c>
      <c r="D103" s="629">
        <v>4525680.3200442968</v>
      </c>
      <c r="E103" s="630">
        <v>115857.80952380953</v>
      </c>
      <c r="F103" s="631">
        <v>4409822.5105204871</v>
      </c>
      <c r="G103" s="631">
        <v>4467751.4152823919</v>
      </c>
      <c r="H103" s="633">
        <v>587672.84728048416</v>
      </c>
      <c r="I103" s="634">
        <v>587672.84728048416</v>
      </c>
      <c r="J103" s="514">
        <f t="shared" si="21"/>
        <v>0</v>
      </c>
      <c r="K103" s="514"/>
      <c r="L103" s="518">
        <f t="shared" si="17"/>
        <v>587672.84728048416</v>
      </c>
      <c r="M103" s="519">
        <f t="shared" si="18"/>
        <v>0</v>
      </c>
      <c r="N103" s="518">
        <f t="shared" si="19"/>
        <v>587672.84728048416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20"/>
        <v/>
      </c>
      <c r="C104" s="507">
        <f>IF(D93="","-",+C103+1)</f>
        <v>2019</v>
      </c>
      <c r="D104" s="629">
        <v>4409822.5105204871</v>
      </c>
      <c r="E104" s="630">
        <v>113163.44186046511</v>
      </c>
      <c r="F104" s="631">
        <v>4296659.0686600218</v>
      </c>
      <c r="G104" s="631">
        <v>4353240.7895902544</v>
      </c>
      <c r="H104" s="633">
        <v>579136.71520740201</v>
      </c>
      <c r="I104" s="634">
        <v>579136.71520740201</v>
      </c>
      <c r="J104" s="514">
        <f t="shared" si="21"/>
        <v>0</v>
      </c>
      <c r="K104" s="514"/>
      <c r="L104" s="518">
        <f t="shared" si="17"/>
        <v>579136.71520740201</v>
      </c>
      <c r="M104" s="519">
        <f t="shared" si="18"/>
        <v>0</v>
      </c>
      <c r="N104" s="518">
        <f t="shared" si="19"/>
        <v>579136.71520740201</v>
      </c>
      <c r="O104" s="514">
        <f t="shared" ref="O104:O130" si="22">IF(N104&lt;&gt;0,+I104-N104,0)</f>
        <v>0</v>
      </c>
      <c r="P104" s="514">
        <f t="shared" ref="P104:P130" si="23">+O104-M104</f>
        <v>0</v>
      </c>
    </row>
    <row r="105" spans="1:16" ht="12.5">
      <c r="B105" s="195" t="str">
        <f t="shared" si="20"/>
        <v/>
      </c>
      <c r="C105" s="507">
        <f>IF(D93="","-",+C104+1)</f>
        <v>2020</v>
      </c>
      <c r="D105" s="374">
        <f>IF(F104+SUM(E$99:E104)=D$92,F104,D$92-SUM(E$99:E104))</f>
        <v>4296659.0686600218</v>
      </c>
      <c r="E105" s="522">
        <f t="shared" ref="E105:E154" si="24">IF(+$J$96&lt;F104,$J$96,D105)</f>
        <v>115857.80952380953</v>
      </c>
      <c r="F105" s="523">
        <f t="shared" ref="F105:F154" si="25">+D105-E105</f>
        <v>4180801.2591362121</v>
      </c>
      <c r="G105" s="523">
        <f t="shared" ref="G105:G154" si="26">+(F105+D105)/2</f>
        <v>4238730.1638981169</v>
      </c>
      <c r="H105" s="526">
        <f t="shared" ref="H105:H154" si="27">+J$94*G105+E105</f>
        <v>571834.25819080928</v>
      </c>
      <c r="I105" s="577">
        <f t="shared" ref="I105:I154" si="28">+J$95*G105+E105</f>
        <v>571834.25819080928</v>
      </c>
      <c r="J105" s="514">
        <f t="shared" si="21"/>
        <v>0</v>
      </c>
      <c r="K105" s="514"/>
      <c r="L105" s="525"/>
      <c r="M105" s="514">
        <f t="shared" ref="M105:M130" si="29">IF(L105&lt;&gt;0,+H105-L105,0)</f>
        <v>0</v>
      </c>
      <c r="N105" s="525"/>
      <c r="O105" s="514">
        <f t="shared" si="22"/>
        <v>0</v>
      </c>
      <c r="P105" s="514">
        <f t="shared" si="23"/>
        <v>0</v>
      </c>
    </row>
    <row r="106" spans="1:16" ht="12.5">
      <c r="B106" s="195" t="str">
        <f t="shared" si="20"/>
        <v/>
      </c>
      <c r="C106" s="507">
        <f>IF(D93="","-",+C105+1)</f>
        <v>2021</v>
      </c>
      <c r="D106" s="374">
        <f>IF(F105+SUM(E$99:E105)=D$92,F105,D$92-SUM(E$99:E105))</f>
        <v>4180801.2591362121</v>
      </c>
      <c r="E106" s="522">
        <f t="shared" si="24"/>
        <v>115857.80952380953</v>
      </c>
      <c r="F106" s="523">
        <f t="shared" si="25"/>
        <v>4064943.4496124024</v>
      </c>
      <c r="G106" s="523">
        <f t="shared" si="26"/>
        <v>4122872.3543743072</v>
      </c>
      <c r="H106" s="526">
        <f t="shared" si="27"/>
        <v>559370.98959519272</v>
      </c>
      <c r="I106" s="577">
        <f t="shared" si="28"/>
        <v>559370.98959519272</v>
      </c>
      <c r="J106" s="514">
        <f t="shared" si="21"/>
        <v>0</v>
      </c>
      <c r="K106" s="514"/>
      <c r="L106" s="525"/>
      <c r="M106" s="514">
        <f t="shared" si="29"/>
        <v>0</v>
      </c>
      <c r="N106" s="525"/>
      <c r="O106" s="514">
        <f t="shared" si="22"/>
        <v>0</v>
      </c>
      <c r="P106" s="514">
        <f t="shared" si="23"/>
        <v>0</v>
      </c>
    </row>
    <row r="107" spans="1:16" ht="12.5">
      <c r="B107" s="195" t="str">
        <f t="shared" si="20"/>
        <v/>
      </c>
      <c r="C107" s="507">
        <f>IF(D93="","-",+C106+1)</f>
        <v>2022</v>
      </c>
      <c r="D107" s="374">
        <f>IF(F106+SUM(E$99:E106)=D$92,F106,D$92-SUM(E$99:E106))</f>
        <v>4064943.4496124024</v>
      </c>
      <c r="E107" s="522">
        <f t="shared" si="24"/>
        <v>115857.80952380953</v>
      </c>
      <c r="F107" s="523">
        <f t="shared" si="25"/>
        <v>3949085.6400885927</v>
      </c>
      <c r="G107" s="523">
        <f t="shared" si="26"/>
        <v>4007014.5448504975</v>
      </c>
      <c r="H107" s="526">
        <f t="shared" si="27"/>
        <v>546907.72099957603</v>
      </c>
      <c r="I107" s="577">
        <f t="shared" si="28"/>
        <v>546907.72099957603</v>
      </c>
      <c r="J107" s="514">
        <f t="shared" si="21"/>
        <v>0</v>
      </c>
      <c r="K107" s="514"/>
      <c r="L107" s="525"/>
      <c r="M107" s="514">
        <f t="shared" si="29"/>
        <v>0</v>
      </c>
      <c r="N107" s="525"/>
      <c r="O107" s="514">
        <f t="shared" si="22"/>
        <v>0</v>
      </c>
      <c r="P107" s="514">
        <f t="shared" si="23"/>
        <v>0</v>
      </c>
    </row>
    <row r="108" spans="1:16" ht="12.5">
      <c r="B108" s="195" t="str">
        <f t="shared" si="20"/>
        <v/>
      </c>
      <c r="C108" s="507">
        <f>IF(D93="","-",+C107+1)</f>
        <v>2023</v>
      </c>
      <c r="D108" s="374">
        <f>IF(F107+SUM(E$99:E107)=D$92,F107,D$92-SUM(E$99:E107))</f>
        <v>3949085.6400885927</v>
      </c>
      <c r="E108" s="522">
        <f t="shared" si="24"/>
        <v>115857.80952380953</v>
      </c>
      <c r="F108" s="523">
        <f t="shared" si="25"/>
        <v>3833227.830564783</v>
      </c>
      <c r="G108" s="523">
        <f t="shared" si="26"/>
        <v>3891156.7353266878</v>
      </c>
      <c r="H108" s="526">
        <f t="shared" si="27"/>
        <v>534444.45240395935</v>
      </c>
      <c r="I108" s="577">
        <f t="shared" si="28"/>
        <v>534444.45240395935</v>
      </c>
      <c r="J108" s="514">
        <f t="shared" si="21"/>
        <v>0</v>
      </c>
      <c r="K108" s="514"/>
      <c r="L108" s="525"/>
      <c r="M108" s="514">
        <f t="shared" si="29"/>
        <v>0</v>
      </c>
      <c r="N108" s="525"/>
      <c r="O108" s="514">
        <f t="shared" si="22"/>
        <v>0</v>
      </c>
      <c r="P108" s="514">
        <f t="shared" si="23"/>
        <v>0</v>
      </c>
    </row>
    <row r="109" spans="1:16" ht="12.5">
      <c r="B109" s="195" t="str">
        <f t="shared" si="20"/>
        <v/>
      </c>
      <c r="C109" s="507">
        <f>IF(D93="","-",+C108+1)</f>
        <v>2024</v>
      </c>
      <c r="D109" s="374">
        <f>IF(F108+SUM(E$99:E108)=D$92,F108,D$92-SUM(E$99:E108))</f>
        <v>3833227.830564783</v>
      </c>
      <c r="E109" s="522">
        <f t="shared" si="24"/>
        <v>115857.80952380953</v>
      </c>
      <c r="F109" s="523">
        <f t="shared" si="25"/>
        <v>3717370.0210409733</v>
      </c>
      <c r="G109" s="523">
        <f t="shared" si="26"/>
        <v>3775298.9258028781</v>
      </c>
      <c r="H109" s="526">
        <f t="shared" si="27"/>
        <v>521981.18380834273</v>
      </c>
      <c r="I109" s="577">
        <f t="shared" si="28"/>
        <v>521981.18380834273</v>
      </c>
      <c r="J109" s="514">
        <f t="shared" si="21"/>
        <v>0</v>
      </c>
      <c r="K109" s="514"/>
      <c r="L109" s="525"/>
      <c r="M109" s="514">
        <f t="shared" si="29"/>
        <v>0</v>
      </c>
      <c r="N109" s="525"/>
      <c r="O109" s="514">
        <f t="shared" si="22"/>
        <v>0</v>
      </c>
      <c r="P109" s="514">
        <f t="shared" si="23"/>
        <v>0</v>
      </c>
    </row>
    <row r="110" spans="1:16" ht="12.5">
      <c r="B110" s="195" t="str">
        <f t="shared" si="20"/>
        <v/>
      </c>
      <c r="C110" s="507">
        <f>IF(D93="","-",+C109+1)</f>
        <v>2025</v>
      </c>
      <c r="D110" s="374">
        <f>IF(F109+SUM(E$99:E109)=D$92,F109,D$92-SUM(E$99:E109))</f>
        <v>3717370.0210409733</v>
      </c>
      <c r="E110" s="522">
        <f t="shared" si="24"/>
        <v>115857.80952380953</v>
      </c>
      <c r="F110" s="523">
        <f t="shared" si="25"/>
        <v>3601512.2115171636</v>
      </c>
      <c r="G110" s="523">
        <f t="shared" si="26"/>
        <v>3659441.1162790684</v>
      </c>
      <c r="H110" s="526">
        <f t="shared" si="27"/>
        <v>509517.91521272605</v>
      </c>
      <c r="I110" s="577">
        <f t="shared" si="28"/>
        <v>509517.91521272605</v>
      </c>
      <c r="J110" s="514">
        <f t="shared" si="21"/>
        <v>0</v>
      </c>
      <c r="K110" s="514"/>
      <c r="L110" s="525"/>
      <c r="M110" s="514">
        <f t="shared" si="29"/>
        <v>0</v>
      </c>
      <c r="N110" s="525"/>
      <c r="O110" s="514">
        <f t="shared" si="22"/>
        <v>0</v>
      </c>
      <c r="P110" s="514">
        <f t="shared" si="23"/>
        <v>0</v>
      </c>
    </row>
    <row r="111" spans="1:16" ht="12.5">
      <c r="B111" s="195" t="str">
        <f t="shared" si="20"/>
        <v/>
      </c>
      <c r="C111" s="507">
        <f>IF(D93="","-",+C110+1)</f>
        <v>2026</v>
      </c>
      <c r="D111" s="374">
        <f>IF(F110+SUM(E$99:E110)=D$92,F110,D$92-SUM(E$99:E110))</f>
        <v>3601512.2115171636</v>
      </c>
      <c r="E111" s="522">
        <f t="shared" si="24"/>
        <v>115857.80952380953</v>
      </c>
      <c r="F111" s="523">
        <f t="shared" si="25"/>
        <v>3485654.4019933539</v>
      </c>
      <c r="G111" s="523">
        <f t="shared" si="26"/>
        <v>3543583.3067552587</v>
      </c>
      <c r="H111" s="526">
        <f t="shared" si="27"/>
        <v>497054.64661710936</v>
      </c>
      <c r="I111" s="577">
        <f t="shared" si="28"/>
        <v>497054.64661710936</v>
      </c>
      <c r="J111" s="514">
        <f t="shared" si="21"/>
        <v>0</v>
      </c>
      <c r="K111" s="514"/>
      <c r="L111" s="525"/>
      <c r="M111" s="514">
        <f t="shared" si="29"/>
        <v>0</v>
      </c>
      <c r="N111" s="525"/>
      <c r="O111" s="514">
        <f t="shared" si="22"/>
        <v>0</v>
      </c>
      <c r="P111" s="514">
        <f t="shared" si="23"/>
        <v>0</v>
      </c>
    </row>
    <row r="112" spans="1:16" ht="12.5">
      <c r="B112" s="195" t="str">
        <f t="shared" si="20"/>
        <v/>
      </c>
      <c r="C112" s="507">
        <f>IF(D93="","-",+C111+1)</f>
        <v>2027</v>
      </c>
      <c r="D112" s="374">
        <f>IF(F111+SUM(E$99:E111)=D$92,F111,D$92-SUM(E$99:E111))</f>
        <v>3485654.4019933539</v>
      </c>
      <c r="E112" s="522">
        <f t="shared" si="24"/>
        <v>115857.80952380953</v>
      </c>
      <c r="F112" s="523">
        <f t="shared" si="25"/>
        <v>3369796.5924695441</v>
      </c>
      <c r="G112" s="523">
        <f t="shared" si="26"/>
        <v>3427725.497231449</v>
      </c>
      <c r="H112" s="526">
        <f t="shared" si="27"/>
        <v>484591.37802149274</v>
      </c>
      <c r="I112" s="577">
        <f t="shared" si="28"/>
        <v>484591.37802149274</v>
      </c>
      <c r="J112" s="514">
        <f t="shared" si="21"/>
        <v>0</v>
      </c>
      <c r="K112" s="514"/>
      <c r="L112" s="525"/>
      <c r="M112" s="514">
        <f t="shared" si="29"/>
        <v>0</v>
      </c>
      <c r="N112" s="525"/>
      <c r="O112" s="514">
        <f t="shared" si="22"/>
        <v>0</v>
      </c>
      <c r="P112" s="514">
        <f t="shared" si="23"/>
        <v>0</v>
      </c>
    </row>
    <row r="113" spans="2:16" ht="12.5">
      <c r="B113" s="195" t="str">
        <f t="shared" si="20"/>
        <v/>
      </c>
      <c r="C113" s="507">
        <f>IF(D93="","-",+C112+1)</f>
        <v>2028</v>
      </c>
      <c r="D113" s="374">
        <f>IF(F112+SUM(E$99:E112)=D$92,F112,D$92-SUM(E$99:E112))</f>
        <v>3369796.5924695441</v>
      </c>
      <c r="E113" s="522">
        <f t="shared" si="24"/>
        <v>115857.80952380953</v>
      </c>
      <c r="F113" s="523">
        <f t="shared" si="25"/>
        <v>3253938.7829457344</v>
      </c>
      <c r="G113" s="523">
        <f t="shared" si="26"/>
        <v>3311867.6877076393</v>
      </c>
      <c r="H113" s="526">
        <f t="shared" si="27"/>
        <v>472128.10942587606</v>
      </c>
      <c r="I113" s="577">
        <f t="shared" si="28"/>
        <v>472128.10942587606</v>
      </c>
      <c r="J113" s="514">
        <f t="shared" si="21"/>
        <v>0</v>
      </c>
      <c r="K113" s="514"/>
      <c r="L113" s="525"/>
      <c r="M113" s="514">
        <f t="shared" si="29"/>
        <v>0</v>
      </c>
      <c r="N113" s="525"/>
      <c r="O113" s="514">
        <f t="shared" si="22"/>
        <v>0</v>
      </c>
      <c r="P113" s="514">
        <f t="shared" si="23"/>
        <v>0</v>
      </c>
    </row>
    <row r="114" spans="2:16" ht="12.5">
      <c r="B114" s="195" t="str">
        <f t="shared" si="20"/>
        <v/>
      </c>
      <c r="C114" s="507">
        <f>IF(D93="","-",+C113+1)</f>
        <v>2029</v>
      </c>
      <c r="D114" s="374">
        <f>IF(F113+SUM(E$99:E113)=D$92,F113,D$92-SUM(E$99:E113))</f>
        <v>3253938.7829457344</v>
      </c>
      <c r="E114" s="522">
        <f t="shared" si="24"/>
        <v>115857.80952380953</v>
      </c>
      <c r="F114" s="523">
        <f t="shared" si="25"/>
        <v>3138080.9734219247</v>
      </c>
      <c r="G114" s="523">
        <f t="shared" si="26"/>
        <v>3196009.8781838296</v>
      </c>
      <c r="H114" s="526">
        <f t="shared" si="27"/>
        <v>459664.84083025943</v>
      </c>
      <c r="I114" s="577">
        <f t="shared" si="28"/>
        <v>459664.84083025943</v>
      </c>
      <c r="J114" s="514">
        <f t="shared" si="21"/>
        <v>0</v>
      </c>
      <c r="K114" s="514"/>
      <c r="L114" s="525"/>
      <c r="M114" s="514">
        <f t="shared" si="29"/>
        <v>0</v>
      </c>
      <c r="N114" s="525"/>
      <c r="O114" s="514">
        <f t="shared" si="22"/>
        <v>0</v>
      </c>
      <c r="P114" s="514">
        <f t="shared" si="23"/>
        <v>0</v>
      </c>
    </row>
    <row r="115" spans="2:16" ht="12.5">
      <c r="B115" s="195" t="str">
        <f t="shared" si="20"/>
        <v/>
      </c>
      <c r="C115" s="507">
        <f>IF(D93="","-",+C114+1)</f>
        <v>2030</v>
      </c>
      <c r="D115" s="374">
        <f>IF(F114+SUM(E$99:E114)=D$92,F114,D$92-SUM(E$99:E114))</f>
        <v>3138080.9734219247</v>
      </c>
      <c r="E115" s="522">
        <f t="shared" si="24"/>
        <v>115857.80952380953</v>
      </c>
      <c r="F115" s="523">
        <f t="shared" si="25"/>
        <v>3022223.163898115</v>
      </c>
      <c r="G115" s="523">
        <f t="shared" si="26"/>
        <v>3080152.0686600199</v>
      </c>
      <c r="H115" s="526">
        <f t="shared" si="27"/>
        <v>447201.57223464275</v>
      </c>
      <c r="I115" s="577">
        <f t="shared" si="28"/>
        <v>447201.57223464275</v>
      </c>
      <c r="J115" s="514">
        <f t="shared" si="21"/>
        <v>0</v>
      </c>
      <c r="K115" s="514"/>
      <c r="L115" s="525"/>
      <c r="M115" s="514">
        <f t="shared" si="29"/>
        <v>0</v>
      </c>
      <c r="N115" s="525"/>
      <c r="O115" s="514">
        <f t="shared" si="22"/>
        <v>0</v>
      </c>
      <c r="P115" s="514">
        <f t="shared" si="23"/>
        <v>0</v>
      </c>
    </row>
    <row r="116" spans="2:16" ht="12.5">
      <c r="B116" s="195" t="str">
        <f t="shared" si="20"/>
        <v/>
      </c>
      <c r="C116" s="507">
        <f>IF(D93="","-",+C115+1)</f>
        <v>2031</v>
      </c>
      <c r="D116" s="374">
        <f>IF(F115+SUM(E$99:E115)=D$92,F115,D$92-SUM(E$99:E115))</f>
        <v>3022223.163898115</v>
      </c>
      <c r="E116" s="522">
        <f t="shared" si="24"/>
        <v>115857.80952380953</v>
      </c>
      <c r="F116" s="523">
        <f t="shared" si="25"/>
        <v>2906365.3543743053</v>
      </c>
      <c r="G116" s="523">
        <f t="shared" si="26"/>
        <v>2964294.2591362102</v>
      </c>
      <c r="H116" s="526">
        <f t="shared" si="27"/>
        <v>434738.30363902607</v>
      </c>
      <c r="I116" s="577">
        <f t="shared" si="28"/>
        <v>434738.30363902607</v>
      </c>
      <c r="J116" s="514">
        <f t="shared" si="21"/>
        <v>0</v>
      </c>
      <c r="K116" s="514"/>
      <c r="L116" s="525"/>
      <c r="M116" s="514">
        <f t="shared" si="29"/>
        <v>0</v>
      </c>
      <c r="N116" s="525"/>
      <c r="O116" s="514">
        <f t="shared" si="22"/>
        <v>0</v>
      </c>
      <c r="P116" s="514">
        <f t="shared" si="23"/>
        <v>0</v>
      </c>
    </row>
    <row r="117" spans="2:16" ht="12.5">
      <c r="B117" s="195" t="str">
        <f t="shared" si="20"/>
        <v/>
      </c>
      <c r="C117" s="507">
        <f>IF(D93="","-",+C116+1)</f>
        <v>2032</v>
      </c>
      <c r="D117" s="374">
        <f>IF(F116+SUM(E$99:E116)=D$92,F116,D$92-SUM(E$99:E116))</f>
        <v>2906365.3543743053</v>
      </c>
      <c r="E117" s="522">
        <f t="shared" si="24"/>
        <v>115857.80952380953</v>
      </c>
      <c r="F117" s="523">
        <f t="shared" si="25"/>
        <v>2790507.5448504956</v>
      </c>
      <c r="G117" s="523">
        <f t="shared" si="26"/>
        <v>2848436.4496124005</v>
      </c>
      <c r="H117" s="526">
        <f t="shared" si="27"/>
        <v>422275.03504340944</v>
      </c>
      <c r="I117" s="577">
        <f t="shared" si="28"/>
        <v>422275.03504340944</v>
      </c>
      <c r="J117" s="514">
        <f t="shared" si="21"/>
        <v>0</v>
      </c>
      <c r="K117" s="514"/>
      <c r="L117" s="525"/>
      <c r="M117" s="514">
        <f t="shared" si="29"/>
        <v>0</v>
      </c>
      <c r="N117" s="525"/>
      <c r="O117" s="514">
        <f t="shared" si="22"/>
        <v>0</v>
      </c>
      <c r="P117" s="514">
        <f t="shared" si="23"/>
        <v>0</v>
      </c>
    </row>
    <row r="118" spans="2:16" ht="12.5">
      <c r="B118" s="195" t="str">
        <f t="shared" si="20"/>
        <v/>
      </c>
      <c r="C118" s="507">
        <f>IF(D93="","-",+C117+1)</f>
        <v>2033</v>
      </c>
      <c r="D118" s="374">
        <f>IF(F117+SUM(E$99:E117)=D$92,F117,D$92-SUM(E$99:E117))</f>
        <v>2790507.5448504956</v>
      </c>
      <c r="E118" s="522">
        <f t="shared" si="24"/>
        <v>115857.80952380953</v>
      </c>
      <c r="F118" s="523">
        <f t="shared" si="25"/>
        <v>2674649.7353266859</v>
      </c>
      <c r="G118" s="523">
        <f t="shared" si="26"/>
        <v>2732578.6400885908</v>
      </c>
      <c r="H118" s="526">
        <f t="shared" si="27"/>
        <v>409811.76644779276</v>
      </c>
      <c r="I118" s="577">
        <f t="shared" si="28"/>
        <v>409811.76644779276</v>
      </c>
      <c r="J118" s="514">
        <f t="shared" si="21"/>
        <v>0</v>
      </c>
      <c r="K118" s="514"/>
      <c r="L118" s="525"/>
      <c r="M118" s="514">
        <f t="shared" si="29"/>
        <v>0</v>
      </c>
      <c r="N118" s="525"/>
      <c r="O118" s="514">
        <f t="shared" si="22"/>
        <v>0</v>
      </c>
      <c r="P118" s="514">
        <f t="shared" si="23"/>
        <v>0</v>
      </c>
    </row>
    <row r="119" spans="2:16" ht="12.5">
      <c r="B119" s="195" t="str">
        <f t="shared" si="20"/>
        <v/>
      </c>
      <c r="C119" s="507">
        <f>IF(D93="","-",+C118+1)</f>
        <v>2034</v>
      </c>
      <c r="D119" s="374">
        <f>IF(F118+SUM(E$99:E118)=D$92,F118,D$92-SUM(E$99:E118))</f>
        <v>2674649.7353266859</v>
      </c>
      <c r="E119" s="522">
        <f t="shared" si="24"/>
        <v>115857.80952380953</v>
      </c>
      <c r="F119" s="523">
        <f t="shared" si="25"/>
        <v>2558791.9258028762</v>
      </c>
      <c r="G119" s="523">
        <f t="shared" si="26"/>
        <v>2616720.8305647811</v>
      </c>
      <c r="H119" s="526">
        <f t="shared" si="27"/>
        <v>397348.49785217614</v>
      </c>
      <c r="I119" s="577">
        <f t="shared" si="28"/>
        <v>397348.49785217614</v>
      </c>
      <c r="J119" s="514">
        <f t="shared" si="21"/>
        <v>0</v>
      </c>
      <c r="K119" s="514"/>
      <c r="L119" s="525"/>
      <c r="M119" s="514">
        <f t="shared" si="29"/>
        <v>0</v>
      </c>
      <c r="N119" s="525"/>
      <c r="O119" s="514">
        <f t="shared" si="22"/>
        <v>0</v>
      </c>
      <c r="P119" s="514">
        <f t="shared" si="23"/>
        <v>0</v>
      </c>
    </row>
    <row r="120" spans="2:16" ht="12.5">
      <c r="B120" s="195" t="str">
        <f t="shared" si="20"/>
        <v/>
      </c>
      <c r="C120" s="507">
        <f>IF(D93="","-",+C119+1)</f>
        <v>2035</v>
      </c>
      <c r="D120" s="374">
        <f>IF(F119+SUM(E$99:E119)=D$92,F119,D$92-SUM(E$99:E119))</f>
        <v>2558791.9258028762</v>
      </c>
      <c r="E120" s="522">
        <f t="shared" si="24"/>
        <v>115857.80952380953</v>
      </c>
      <c r="F120" s="523">
        <f t="shared" si="25"/>
        <v>2442934.1162790665</v>
      </c>
      <c r="G120" s="523">
        <f t="shared" si="26"/>
        <v>2500863.0210409714</v>
      </c>
      <c r="H120" s="526">
        <f t="shared" si="27"/>
        <v>384885.22925655945</v>
      </c>
      <c r="I120" s="577">
        <f t="shared" si="28"/>
        <v>384885.22925655945</v>
      </c>
      <c r="J120" s="514">
        <f t="shared" si="21"/>
        <v>0</v>
      </c>
      <c r="K120" s="514"/>
      <c r="L120" s="525"/>
      <c r="M120" s="514">
        <f t="shared" si="29"/>
        <v>0</v>
      </c>
      <c r="N120" s="525"/>
      <c r="O120" s="514">
        <f t="shared" si="22"/>
        <v>0</v>
      </c>
      <c r="P120" s="514">
        <f t="shared" si="23"/>
        <v>0</v>
      </c>
    </row>
    <row r="121" spans="2:16" ht="12.5">
      <c r="B121" s="195" t="str">
        <f t="shared" si="20"/>
        <v/>
      </c>
      <c r="C121" s="507">
        <f>IF(D93="","-",+C120+1)</f>
        <v>2036</v>
      </c>
      <c r="D121" s="374">
        <f>IF(F120+SUM(E$99:E120)=D$92,F120,D$92-SUM(E$99:E120))</f>
        <v>2442934.1162790665</v>
      </c>
      <c r="E121" s="522">
        <f t="shared" si="24"/>
        <v>115857.80952380953</v>
      </c>
      <c r="F121" s="523">
        <f t="shared" si="25"/>
        <v>2327076.3067552568</v>
      </c>
      <c r="G121" s="523">
        <f t="shared" si="26"/>
        <v>2385005.2115171617</v>
      </c>
      <c r="H121" s="526">
        <f t="shared" si="27"/>
        <v>372421.96066094283</v>
      </c>
      <c r="I121" s="577">
        <f t="shared" si="28"/>
        <v>372421.96066094283</v>
      </c>
      <c r="J121" s="514">
        <f t="shared" si="21"/>
        <v>0</v>
      </c>
      <c r="K121" s="514"/>
      <c r="L121" s="525"/>
      <c r="M121" s="514">
        <f t="shared" si="29"/>
        <v>0</v>
      </c>
      <c r="N121" s="525"/>
      <c r="O121" s="514">
        <f t="shared" si="22"/>
        <v>0</v>
      </c>
      <c r="P121" s="514">
        <f t="shared" si="23"/>
        <v>0</v>
      </c>
    </row>
    <row r="122" spans="2:16" ht="12.5">
      <c r="B122" s="195" t="str">
        <f t="shared" si="20"/>
        <v/>
      </c>
      <c r="C122" s="507">
        <f>IF(D93="","-",+C121+1)</f>
        <v>2037</v>
      </c>
      <c r="D122" s="374">
        <f>IF(F121+SUM(E$99:E121)=D$92,F121,D$92-SUM(E$99:E121))</f>
        <v>2327076.3067552568</v>
      </c>
      <c r="E122" s="522">
        <f t="shared" si="24"/>
        <v>115857.80952380953</v>
      </c>
      <c r="F122" s="523">
        <f t="shared" si="25"/>
        <v>2211218.4972314471</v>
      </c>
      <c r="G122" s="523">
        <f t="shared" si="26"/>
        <v>2269147.401993352</v>
      </c>
      <c r="H122" s="526">
        <f t="shared" si="27"/>
        <v>359958.69206532615</v>
      </c>
      <c r="I122" s="577">
        <f t="shared" si="28"/>
        <v>359958.69206532615</v>
      </c>
      <c r="J122" s="514">
        <f t="shared" si="21"/>
        <v>0</v>
      </c>
      <c r="K122" s="514"/>
      <c r="L122" s="525"/>
      <c r="M122" s="514">
        <f t="shared" si="29"/>
        <v>0</v>
      </c>
      <c r="N122" s="525"/>
      <c r="O122" s="514">
        <f t="shared" si="22"/>
        <v>0</v>
      </c>
      <c r="P122" s="514">
        <f t="shared" si="23"/>
        <v>0</v>
      </c>
    </row>
    <row r="123" spans="2:16" ht="12.5">
      <c r="B123" s="195" t="str">
        <f t="shared" si="20"/>
        <v/>
      </c>
      <c r="C123" s="507">
        <f>IF(D93="","-",+C122+1)</f>
        <v>2038</v>
      </c>
      <c r="D123" s="374">
        <f>IF(F122+SUM(E$99:E122)=D$92,F122,D$92-SUM(E$99:E122))</f>
        <v>2211218.4972314471</v>
      </c>
      <c r="E123" s="522">
        <f t="shared" si="24"/>
        <v>115857.80952380953</v>
      </c>
      <c r="F123" s="523">
        <f t="shared" si="25"/>
        <v>2095360.6877076377</v>
      </c>
      <c r="G123" s="523">
        <f t="shared" si="26"/>
        <v>2153289.5924695423</v>
      </c>
      <c r="H123" s="526">
        <f t="shared" si="27"/>
        <v>347495.42346970947</v>
      </c>
      <c r="I123" s="577">
        <f t="shared" si="28"/>
        <v>347495.42346970947</v>
      </c>
      <c r="J123" s="514">
        <f t="shared" si="21"/>
        <v>0</v>
      </c>
      <c r="K123" s="514"/>
      <c r="L123" s="525"/>
      <c r="M123" s="514">
        <f t="shared" si="29"/>
        <v>0</v>
      </c>
      <c r="N123" s="525"/>
      <c r="O123" s="514">
        <f t="shared" si="22"/>
        <v>0</v>
      </c>
      <c r="P123" s="514">
        <f t="shared" si="23"/>
        <v>0</v>
      </c>
    </row>
    <row r="124" spans="2:16" ht="12.5">
      <c r="B124" s="195" t="str">
        <f t="shared" si="20"/>
        <v/>
      </c>
      <c r="C124" s="507">
        <f>IF(D93="","-",+C123+1)</f>
        <v>2039</v>
      </c>
      <c r="D124" s="374">
        <f>IF(F123+SUM(E$99:E123)=D$92,F123,D$92-SUM(E$99:E123))</f>
        <v>2095360.6877076377</v>
      </c>
      <c r="E124" s="522">
        <f t="shared" si="24"/>
        <v>115857.80952380953</v>
      </c>
      <c r="F124" s="523">
        <f t="shared" si="25"/>
        <v>1979502.8781838282</v>
      </c>
      <c r="G124" s="523">
        <f t="shared" si="26"/>
        <v>2037431.7829457331</v>
      </c>
      <c r="H124" s="526">
        <f t="shared" si="27"/>
        <v>335032.1548740929</v>
      </c>
      <c r="I124" s="577">
        <f t="shared" si="28"/>
        <v>335032.1548740929</v>
      </c>
      <c r="J124" s="514">
        <f t="shared" si="21"/>
        <v>0</v>
      </c>
      <c r="K124" s="514"/>
      <c r="L124" s="525"/>
      <c r="M124" s="514">
        <f t="shared" si="29"/>
        <v>0</v>
      </c>
      <c r="N124" s="525"/>
      <c r="O124" s="514">
        <f t="shared" si="22"/>
        <v>0</v>
      </c>
      <c r="P124" s="514">
        <f t="shared" si="23"/>
        <v>0</v>
      </c>
    </row>
    <row r="125" spans="2:16" ht="12.5">
      <c r="B125" s="195" t="str">
        <f t="shared" si="20"/>
        <v/>
      </c>
      <c r="C125" s="507">
        <f>IF(D93="","-",+C124+1)</f>
        <v>2040</v>
      </c>
      <c r="D125" s="374">
        <f>IF(F124+SUM(E$99:E124)=D$92,F124,D$92-SUM(E$99:E124))</f>
        <v>1979502.8781838282</v>
      </c>
      <c r="E125" s="522">
        <f t="shared" si="24"/>
        <v>115857.80952380953</v>
      </c>
      <c r="F125" s="523">
        <f t="shared" si="25"/>
        <v>1863645.0686600187</v>
      </c>
      <c r="G125" s="523">
        <f t="shared" si="26"/>
        <v>1921573.9734219234</v>
      </c>
      <c r="H125" s="526">
        <f t="shared" si="27"/>
        <v>322568.88627847622</v>
      </c>
      <c r="I125" s="577">
        <f t="shared" si="28"/>
        <v>322568.88627847622</v>
      </c>
      <c r="J125" s="514">
        <f t="shared" si="21"/>
        <v>0</v>
      </c>
      <c r="K125" s="514"/>
      <c r="L125" s="525"/>
      <c r="M125" s="514">
        <f t="shared" si="29"/>
        <v>0</v>
      </c>
      <c r="N125" s="525"/>
      <c r="O125" s="514">
        <f t="shared" si="22"/>
        <v>0</v>
      </c>
      <c r="P125" s="514">
        <f t="shared" si="23"/>
        <v>0</v>
      </c>
    </row>
    <row r="126" spans="2:16" ht="12.5">
      <c r="B126" s="195" t="str">
        <f t="shared" si="20"/>
        <v/>
      </c>
      <c r="C126" s="507">
        <f>IF(D93="","-",+C125+1)</f>
        <v>2041</v>
      </c>
      <c r="D126" s="374">
        <f>IF(F125+SUM(E$99:E125)=D$92,F125,D$92-SUM(E$99:E125))</f>
        <v>1863645.0686600187</v>
      </c>
      <c r="E126" s="522">
        <f t="shared" si="24"/>
        <v>115857.80952380953</v>
      </c>
      <c r="F126" s="523">
        <f t="shared" si="25"/>
        <v>1747787.2591362093</v>
      </c>
      <c r="G126" s="523">
        <f t="shared" si="26"/>
        <v>1805716.1638981141</v>
      </c>
      <c r="H126" s="526">
        <f t="shared" si="27"/>
        <v>310105.61768285959</v>
      </c>
      <c r="I126" s="577">
        <f t="shared" si="28"/>
        <v>310105.61768285959</v>
      </c>
      <c r="J126" s="514">
        <f t="shared" si="21"/>
        <v>0</v>
      </c>
      <c r="K126" s="514"/>
      <c r="L126" s="525"/>
      <c r="M126" s="514">
        <f t="shared" si="29"/>
        <v>0</v>
      </c>
      <c r="N126" s="525"/>
      <c r="O126" s="514">
        <f t="shared" si="22"/>
        <v>0</v>
      </c>
      <c r="P126" s="514">
        <f t="shared" si="23"/>
        <v>0</v>
      </c>
    </row>
    <row r="127" spans="2:16" ht="12.5">
      <c r="B127" s="195" t="str">
        <f t="shared" si="20"/>
        <v/>
      </c>
      <c r="C127" s="507">
        <f>IF(D93="","-",+C126+1)</f>
        <v>2042</v>
      </c>
      <c r="D127" s="374">
        <f>IF(F126+SUM(E$99:E126)=D$92,F126,D$92-SUM(E$99:E126))</f>
        <v>1747787.2591362093</v>
      </c>
      <c r="E127" s="522">
        <f t="shared" si="24"/>
        <v>115857.80952380953</v>
      </c>
      <c r="F127" s="523">
        <f t="shared" si="25"/>
        <v>1631929.4496123998</v>
      </c>
      <c r="G127" s="523">
        <f t="shared" si="26"/>
        <v>1689858.3543743044</v>
      </c>
      <c r="H127" s="526">
        <f t="shared" si="27"/>
        <v>297642.34908724297</v>
      </c>
      <c r="I127" s="577">
        <f t="shared" si="28"/>
        <v>297642.34908724297</v>
      </c>
      <c r="J127" s="514">
        <f t="shared" si="21"/>
        <v>0</v>
      </c>
      <c r="K127" s="514"/>
      <c r="L127" s="525"/>
      <c r="M127" s="514">
        <f t="shared" si="29"/>
        <v>0</v>
      </c>
      <c r="N127" s="525"/>
      <c r="O127" s="514">
        <f t="shared" si="22"/>
        <v>0</v>
      </c>
      <c r="P127" s="514">
        <f t="shared" si="23"/>
        <v>0</v>
      </c>
    </row>
    <row r="128" spans="2:16" ht="12.5">
      <c r="B128" s="195" t="str">
        <f t="shared" si="20"/>
        <v/>
      </c>
      <c r="C128" s="507">
        <f>IF(D93="","-",+C127+1)</f>
        <v>2043</v>
      </c>
      <c r="D128" s="374">
        <f>IF(F127+SUM(E$99:E127)=D$92,F127,D$92-SUM(E$99:E127))</f>
        <v>1631929.4496123998</v>
      </c>
      <c r="E128" s="522">
        <f t="shared" si="24"/>
        <v>115857.80952380953</v>
      </c>
      <c r="F128" s="523">
        <f t="shared" si="25"/>
        <v>1516071.6400885903</v>
      </c>
      <c r="G128" s="523">
        <f t="shared" si="26"/>
        <v>1574000.5448504952</v>
      </c>
      <c r="H128" s="526">
        <f t="shared" si="27"/>
        <v>285179.08049162629</v>
      </c>
      <c r="I128" s="577">
        <f t="shared" si="28"/>
        <v>285179.08049162629</v>
      </c>
      <c r="J128" s="514">
        <f t="shared" si="21"/>
        <v>0</v>
      </c>
      <c r="K128" s="514"/>
      <c r="L128" s="525"/>
      <c r="M128" s="514">
        <f t="shared" si="29"/>
        <v>0</v>
      </c>
      <c r="N128" s="525"/>
      <c r="O128" s="514">
        <f t="shared" si="22"/>
        <v>0</v>
      </c>
      <c r="P128" s="514">
        <f t="shared" si="23"/>
        <v>0</v>
      </c>
    </row>
    <row r="129" spans="2:16" ht="12.5">
      <c r="B129" s="195" t="str">
        <f t="shared" si="20"/>
        <v/>
      </c>
      <c r="C129" s="507">
        <f>IF(D93="","-",+C128+1)</f>
        <v>2044</v>
      </c>
      <c r="D129" s="374">
        <f>IF(F128+SUM(E$99:E128)=D$92,F128,D$92-SUM(E$99:E128))</f>
        <v>1516071.6400885903</v>
      </c>
      <c r="E129" s="522">
        <f t="shared" si="24"/>
        <v>115857.80952380953</v>
      </c>
      <c r="F129" s="523">
        <f t="shared" si="25"/>
        <v>1400213.8305647809</v>
      </c>
      <c r="G129" s="523">
        <f t="shared" si="26"/>
        <v>1458142.7353266855</v>
      </c>
      <c r="H129" s="526">
        <f t="shared" si="27"/>
        <v>272715.81189600966</v>
      </c>
      <c r="I129" s="577">
        <f t="shared" si="28"/>
        <v>272715.81189600966</v>
      </c>
      <c r="J129" s="514">
        <f t="shared" si="21"/>
        <v>0</v>
      </c>
      <c r="K129" s="514"/>
      <c r="L129" s="525"/>
      <c r="M129" s="514">
        <f t="shared" si="29"/>
        <v>0</v>
      </c>
      <c r="N129" s="525"/>
      <c r="O129" s="514">
        <f t="shared" si="22"/>
        <v>0</v>
      </c>
      <c r="P129" s="514">
        <f t="shared" si="23"/>
        <v>0</v>
      </c>
    </row>
    <row r="130" spans="2:16" ht="12.5">
      <c r="B130" s="195" t="str">
        <f t="shared" si="20"/>
        <v/>
      </c>
      <c r="C130" s="507">
        <f>IF(D93="","-",+C129+1)</f>
        <v>2045</v>
      </c>
      <c r="D130" s="374">
        <f>IF(F129+SUM(E$99:E129)=D$92,F129,D$92-SUM(E$99:E129))</f>
        <v>1400213.8305647809</v>
      </c>
      <c r="E130" s="522">
        <f t="shared" si="24"/>
        <v>115857.80952380953</v>
      </c>
      <c r="F130" s="523">
        <f t="shared" si="25"/>
        <v>1284356.0210409714</v>
      </c>
      <c r="G130" s="523">
        <f t="shared" si="26"/>
        <v>1342284.9258028762</v>
      </c>
      <c r="H130" s="526">
        <f t="shared" si="27"/>
        <v>260252.54330039307</v>
      </c>
      <c r="I130" s="577">
        <f t="shared" si="28"/>
        <v>260252.54330039307</v>
      </c>
      <c r="J130" s="514">
        <f t="shared" si="21"/>
        <v>0</v>
      </c>
      <c r="K130" s="514"/>
      <c r="L130" s="525"/>
      <c r="M130" s="514">
        <f t="shared" si="29"/>
        <v>0</v>
      </c>
      <c r="N130" s="525"/>
      <c r="O130" s="514">
        <f t="shared" si="22"/>
        <v>0</v>
      </c>
      <c r="P130" s="514">
        <f t="shared" si="23"/>
        <v>0</v>
      </c>
    </row>
    <row r="131" spans="2:16" ht="12.5">
      <c r="B131" s="195" t="str">
        <f t="shared" si="20"/>
        <v/>
      </c>
      <c r="C131" s="507">
        <f>IF(D93="","-",+C130+1)</f>
        <v>2046</v>
      </c>
      <c r="D131" s="374">
        <f>IF(F130+SUM(E$99:E130)=D$92,F130,D$92-SUM(E$99:E130))</f>
        <v>1284356.0210409714</v>
      </c>
      <c r="E131" s="522">
        <f t="shared" si="24"/>
        <v>115857.80952380953</v>
      </c>
      <c r="F131" s="523">
        <f t="shared" si="25"/>
        <v>1168498.2115171619</v>
      </c>
      <c r="G131" s="523">
        <f t="shared" si="26"/>
        <v>1226427.1162790665</v>
      </c>
      <c r="H131" s="526">
        <f t="shared" si="27"/>
        <v>247789.27470477638</v>
      </c>
      <c r="I131" s="577">
        <f t="shared" si="28"/>
        <v>247789.27470477638</v>
      </c>
      <c r="J131" s="514">
        <f t="shared" si="21"/>
        <v>0</v>
      </c>
      <c r="K131" s="514"/>
      <c r="L131" s="525"/>
      <c r="M131" s="514">
        <f t="shared" ref="M131:M154" si="30">IF(L541&lt;&gt;0,+H541-L541,0)</f>
        <v>0</v>
      </c>
      <c r="N131" s="525"/>
      <c r="O131" s="514">
        <f t="shared" ref="O131:O154" si="31">IF(N541&lt;&gt;0,+I541-N541,0)</f>
        <v>0</v>
      </c>
      <c r="P131" s="514">
        <f t="shared" ref="P131:P154" si="32">+O541-M541</f>
        <v>0</v>
      </c>
    </row>
    <row r="132" spans="2:16" ht="12.5">
      <c r="B132" s="195" t="str">
        <f t="shared" si="20"/>
        <v/>
      </c>
      <c r="C132" s="507">
        <f>IF(D93="","-",+C131+1)</f>
        <v>2047</v>
      </c>
      <c r="D132" s="374">
        <f>IF(F131+SUM(E$99:E131)=D$92,F131,D$92-SUM(E$99:E131))</f>
        <v>1168498.2115171619</v>
      </c>
      <c r="E132" s="522">
        <f t="shared" si="24"/>
        <v>115857.80952380953</v>
      </c>
      <c r="F132" s="523">
        <f t="shared" si="25"/>
        <v>1052640.4019933525</v>
      </c>
      <c r="G132" s="523">
        <f t="shared" si="26"/>
        <v>1110569.3067552573</v>
      </c>
      <c r="H132" s="526">
        <f t="shared" si="27"/>
        <v>235326.00610915979</v>
      </c>
      <c r="I132" s="577">
        <f t="shared" si="28"/>
        <v>235326.00610915979</v>
      </c>
      <c r="J132" s="514">
        <f t="shared" si="21"/>
        <v>0</v>
      </c>
      <c r="K132" s="514"/>
      <c r="L132" s="525"/>
      <c r="M132" s="514">
        <f t="shared" si="30"/>
        <v>0</v>
      </c>
      <c r="N132" s="525"/>
      <c r="O132" s="514">
        <f t="shared" si="31"/>
        <v>0</v>
      </c>
      <c r="P132" s="514">
        <f t="shared" si="32"/>
        <v>0</v>
      </c>
    </row>
    <row r="133" spans="2:16" ht="12.5">
      <c r="B133" s="195" t="str">
        <f t="shared" si="20"/>
        <v/>
      </c>
      <c r="C133" s="507">
        <f>IF(D93="","-",+C132+1)</f>
        <v>2048</v>
      </c>
      <c r="D133" s="374">
        <f>IF(F132+SUM(E$99:E132)=D$92,F132,D$92-SUM(E$99:E132))</f>
        <v>1052640.4019933525</v>
      </c>
      <c r="E133" s="522">
        <f t="shared" si="24"/>
        <v>115857.80952380953</v>
      </c>
      <c r="F133" s="523">
        <f t="shared" si="25"/>
        <v>936782.59246954299</v>
      </c>
      <c r="G133" s="523">
        <f t="shared" si="26"/>
        <v>994711.49723144772</v>
      </c>
      <c r="H133" s="526">
        <f t="shared" si="27"/>
        <v>222862.73751354314</v>
      </c>
      <c r="I133" s="577">
        <f t="shared" si="28"/>
        <v>222862.73751354314</v>
      </c>
      <c r="J133" s="514">
        <f t="shared" si="21"/>
        <v>0</v>
      </c>
      <c r="K133" s="514"/>
      <c r="L133" s="525"/>
      <c r="M133" s="514">
        <f t="shared" si="30"/>
        <v>0</v>
      </c>
      <c r="N133" s="525"/>
      <c r="O133" s="514">
        <f t="shared" si="31"/>
        <v>0</v>
      </c>
      <c r="P133" s="514">
        <f t="shared" si="32"/>
        <v>0</v>
      </c>
    </row>
    <row r="134" spans="2:16" ht="12.5">
      <c r="B134" s="195" t="str">
        <f t="shared" si="20"/>
        <v/>
      </c>
      <c r="C134" s="507">
        <f>IF(D93="","-",+C133+1)</f>
        <v>2049</v>
      </c>
      <c r="D134" s="374">
        <f>IF(F133+SUM(E$99:E133)=D$92,F133,D$92-SUM(E$99:E133))</f>
        <v>936782.59246954299</v>
      </c>
      <c r="E134" s="522">
        <f t="shared" si="24"/>
        <v>115857.80952380953</v>
      </c>
      <c r="F134" s="523">
        <f t="shared" si="25"/>
        <v>820924.78294573352</v>
      </c>
      <c r="G134" s="523">
        <f t="shared" si="26"/>
        <v>878853.68770763825</v>
      </c>
      <c r="H134" s="526">
        <f t="shared" si="27"/>
        <v>210399.46891792651</v>
      </c>
      <c r="I134" s="577">
        <f t="shared" si="28"/>
        <v>210399.46891792651</v>
      </c>
      <c r="J134" s="514">
        <f t="shared" si="21"/>
        <v>0</v>
      </c>
      <c r="K134" s="514"/>
      <c r="L134" s="525"/>
      <c r="M134" s="514">
        <f t="shared" si="30"/>
        <v>0</v>
      </c>
      <c r="N134" s="525"/>
      <c r="O134" s="514">
        <f t="shared" si="31"/>
        <v>0</v>
      </c>
      <c r="P134" s="514">
        <f t="shared" si="32"/>
        <v>0</v>
      </c>
    </row>
    <row r="135" spans="2:16" ht="12.5">
      <c r="B135" s="195" t="str">
        <f t="shared" si="20"/>
        <v/>
      </c>
      <c r="C135" s="507">
        <f>IF(D93="","-",+C134+1)</f>
        <v>2050</v>
      </c>
      <c r="D135" s="374">
        <f>IF(F134+SUM(E$99:E134)=D$92,F134,D$92-SUM(E$99:E134))</f>
        <v>820924.78294573352</v>
      </c>
      <c r="E135" s="522">
        <f t="shared" si="24"/>
        <v>115857.80952380953</v>
      </c>
      <c r="F135" s="523">
        <f t="shared" si="25"/>
        <v>705066.97342192405</v>
      </c>
      <c r="G135" s="523">
        <f t="shared" si="26"/>
        <v>762995.87818382878</v>
      </c>
      <c r="H135" s="526">
        <f t="shared" si="27"/>
        <v>197936.20032230986</v>
      </c>
      <c r="I135" s="577">
        <f t="shared" si="28"/>
        <v>197936.20032230986</v>
      </c>
      <c r="J135" s="514">
        <f t="shared" si="21"/>
        <v>0</v>
      </c>
      <c r="K135" s="514"/>
      <c r="L135" s="525"/>
      <c r="M135" s="514">
        <f t="shared" si="30"/>
        <v>0</v>
      </c>
      <c r="N135" s="525"/>
      <c r="O135" s="514">
        <f t="shared" si="31"/>
        <v>0</v>
      </c>
      <c r="P135" s="514">
        <f t="shared" si="32"/>
        <v>0</v>
      </c>
    </row>
    <row r="136" spans="2:16" ht="12.5">
      <c r="B136" s="195" t="str">
        <f t="shared" si="20"/>
        <v/>
      </c>
      <c r="C136" s="507">
        <f>IF(D93="","-",+C135+1)</f>
        <v>2051</v>
      </c>
      <c r="D136" s="374">
        <f>IF(F135+SUM(E$99:E135)=D$92,F135,D$92-SUM(E$99:E135))</f>
        <v>705066.97342192405</v>
      </c>
      <c r="E136" s="522">
        <f t="shared" si="24"/>
        <v>115857.80952380953</v>
      </c>
      <c r="F136" s="523">
        <f t="shared" si="25"/>
        <v>589209.16389811458</v>
      </c>
      <c r="G136" s="523">
        <f t="shared" si="26"/>
        <v>647138.06866001931</v>
      </c>
      <c r="H136" s="526">
        <f t="shared" si="27"/>
        <v>185472.93172669323</v>
      </c>
      <c r="I136" s="577">
        <f t="shared" si="28"/>
        <v>185472.93172669323</v>
      </c>
      <c r="J136" s="514">
        <f t="shared" si="21"/>
        <v>0</v>
      </c>
      <c r="K136" s="514"/>
      <c r="L136" s="525"/>
      <c r="M136" s="514">
        <f t="shared" si="30"/>
        <v>0</v>
      </c>
      <c r="N136" s="525"/>
      <c r="O136" s="514">
        <f t="shared" si="31"/>
        <v>0</v>
      </c>
      <c r="P136" s="514">
        <f t="shared" si="32"/>
        <v>0</v>
      </c>
    </row>
    <row r="137" spans="2:16" ht="12.5">
      <c r="B137" s="195" t="str">
        <f t="shared" si="20"/>
        <v/>
      </c>
      <c r="C137" s="507">
        <f>IF(D93="","-",+C136+1)</f>
        <v>2052</v>
      </c>
      <c r="D137" s="374">
        <f>IF(F136+SUM(E$99:E136)=D$92,F136,D$92-SUM(E$99:E136))</f>
        <v>589209.16389811458</v>
      </c>
      <c r="E137" s="522">
        <f t="shared" si="24"/>
        <v>115857.80952380953</v>
      </c>
      <c r="F137" s="523">
        <f t="shared" si="25"/>
        <v>473351.35437430505</v>
      </c>
      <c r="G137" s="523">
        <f t="shared" si="26"/>
        <v>531280.25913620985</v>
      </c>
      <c r="H137" s="526">
        <f t="shared" si="27"/>
        <v>173009.66313107661</v>
      </c>
      <c r="I137" s="577">
        <f t="shared" si="28"/>
        <v>173009.66313107661</v>
      </c>
      <c r="J137" s="514">
        <f t="shared" si="21"/>
        <v>0</v>
      </c>
      <c r="K137" s="514"/>
      <c r="L137" s="525"/>
      <c r="M137" s="514">
        <f t="shared" si="30"/>
        <v>0</v>
      </c>
      <c r="N137" s="525"/>
      <c r="O137" s="514">
        <f t="shared" si="31"/>
        <v>0</v>
      </c>
      <c r="P137" s="514">
        <f t="shared" si="32"/>
        <v>0</v>
      </c>
    </row>
    <row r="138" spans="2:16" ht="12.5">
      <c r="B138" s="195" t="str">
        <f t="shared" si="20"/>
        <v/>
      </c>
      <c r="C138" s="507">
        <f>IF(D93="","-",+C137+1)</f>
        <v>2053</v>
      </c>
      <c r="D138" s="374">
        <f>IF(F137+SUM(E$99:E137)=D$92,F137,D$92-SUM(E$99:E137))</f>
        <v>473351.35437430505</v>
      </c>
      <c r="E138" s="522">
        <f t="shared" si="24"/>
        <v>115857.80952380953</v>
      </c>
      <c r="F138" s="523">
        <f t="shared" si="25"/>
        <v>357493.54485049553</v>
      </c>
      <c r="G138" s="523">
        <f t="shared" si="26"/>
        <v>415422.44961240026</v>
      </c>
      <c r="H138" s="526">
        <f t="shared" si="27"/>
        <v>160546.39453545996</v>
      </c>
      <c r="I138" s="577">
        <f t="shared" si="28"/>
        <v>160546.39453545996</v>
      </c>
      <c r="J138" s="514">
        <f t="shared" si="21"/>
        <v>0</v>
      </c>
      <c r="K138" s="514"/>
      <c r="L138" s="525"/>
      <c r="M138" s="514">
        <f t="shared" si="30"/>
        <v>0</v>
      </c>
      <c r="N138" s="525"/>
      <c r="O138" s="514">
        <f t="shared" si="31"/>
        <v>0</v>
      </c>
      <c r="P138" s="514">
        <f t="shared" si="32"/>
        <v>0</v>
      </c>
    </row>
    <row r="139" spans="2:16" ht="12.5">
      <c r="B139" s="195" t="str">
        <f t="shared" si="20"/>
        <v/>
      </c>
      <c r="C139" s="507">
        <f>IF(D93="","-",+C138+1)</f>
        <v>2054</v>
      </c>
      <c r="D139" s="374">
        <f>IF(F138+SUM(E$99:E138)=D$92,F138,D$92-SUM(E$99:E138))</f>
        <v>357493.54485049553</v>
      </c>
      <c r="E139" s="522">
        <f t="shared" si="24"/>
        <v>115857.80952380953</v>
      </c>
      <c r="F139" s="523">
        <f t="shared" si="25"/>
        <v>241635.735326686</v>
      </c>
      <c r="G139" s="523">
        <f t="shared" si="26"/>
        <v>299564.64008859079</v>
      </c>
      <c r="H139" s="526">
        <f t="shared" si="27"/>
        <v>148083.12593984333</v>
      </c>
      <c r="I139" s="577">
        <f t="shared" si="28"/>
        <v>148083.12593984333</v>
      </c>
      <c r="J139" s="514">
        <f t="shared" si="21"/>
        <v>0</v>
      </c>
      <c r="K139" s="514"/>
      <c r="L139" s="525"/>
      <c r="M139" s="514">
        <f t="shared" si="30"/>
        <v>0</v>
      </c>
      <c r="N139" s="525"/>
      <c r="O139" s="514">
        <f t="shared" si="31"/>
        <v>0</v>
      </c>
      <c r="P139" s="514">
        <f t="shared" si="32"/>
        <v>0</v>
      </c>
    </row>
    <row r="140" spans="2:16" ht="12.5">
      <c r="B140" s="195" t="str">
        <f t="shared" si="20"/>
        <v/>
      </c>
      <c r="C140" s="507">
        <f>IF(D93="","-",+C139+1)</f>
        <v>2055</v>
      </c>
      <c r="D140" s="374">
        <f>IF(F139+SUM(E$99:E139)=D$92,F139,D$92-SUM(E$99:E139))</f>
        <v>241635.735326686</v>
      </c>
      <c r="E140" s="522">
        <f t="shared" si="24"/>
        <v>115857.80952380953</v>
      </c>
      <c r="F140" s="523">
        <f t="shared" si="25"/>
        <v>125777.92580287647</v>
      </c>
      <c r="G140" s="523">
        <f t="shared" si="26"/>
        <v>183706.83056478124</v>
      </c>
      <c r="H140" s="526">
        <f t="shared" si="27"/>
        <v>135619.85734422668</v>
      </c>
      <c r="I140" s="577">
        <f t="shared" si="28"/>
        <v>135619.85734422668</v>
      </c>
      <c r="J140" s="514">
        <f t="shared" si="21"/>
        <v>0</v>
      </c>
      <c r="K140" s="514"/>
      <c r="L140" s="525"/>
      <c r="M140" s="514">
        <f t="shared" si="30"/>
        <v>0</v>
      </c>
      <c r="N140" s="525"/>
      <c r="O140" s="514">
        <f t="shared" si="31"/>
        <v>0</v>
      </c>
      <c r="P140" s="514">
        <f t="shared" si="32"/>
        <v>0</v>
      </c>
    </row>
    <row r="141" spans="2:16" ht="12.5">
      <c r="B141" s="195" t="str">
        <f t="shared" si="20"/>
        <v/>
      </c>
      <c r="C141" s="507">
        <f>IF(D93="","-",+C140+1)</f>
        <v>2056</v>
      </c>
      <c r="D141" s="374">
        <f>IF(F140+SUM(E$99:E140)=D$92,F140,D$92-SUM(E$99:E140))</f>
        <v>125777.92580287647</v>
      </c>
      <c r="E141" s="522">
        <f t="shared" si="24"/>
        <v>115857.80952380953</v>
      </c>
      <c r="F141" s="523">
        <f t="shared" si="25"/>
        <v>9920.1162790669478</v>
      </c>
      <c r="G141" s="523">
        <f t="shared" si="26"/>
        <v>67849.021040971711</v>
      </c>
      <c r="H141" s="526">
        <f t="shared" si="27"/>
        <v>123156.58874861004</v>
      </c>
      <c r="I141" s="577">
        <f t="shared" si="28"/>
        <v>123156.58874861004</v>
      </c>
      <c r="J141" s="514">
        <f t="shared" si="21"/>
        <v>0</v>
      </c>
      <c r="K141" s="514"/>
      <c r="L141" s="525"/>
      <c r="M141" s="514">
        <f t="shared" si="30"/>
        <v>0</v>
      </c>
      <c r="N141" s="525"/>
      <c r="O141" s="514">
        <f t="shared" si="31"/>
        <v>0</v>
      </c>
      <c r="P141" s="514">
        <f t="shared" si="32"/>
        <v>0</v>
      </c>
    </row>
    <row r="142" spans="2:16" ht="12.5">
      <c r="B142" s="195" t="str">
        <f t="shared" si="20"/>
        <v/>
      </c>
      <c r="C142" s="507">
        <f>IF(D93="","-",+C141+1)</f>
        <v>2057</v>
      </c>
      <c r="D142" s="374">
        <f>IF(F141+SUM(E$99:E141)=D$92,F141,D$92-SUM(E$99:E141))</f>
        <v>9920.1162790669478</v>
      </c>
      <c r="E142" s="522">
        <f t="shared" si="24"/>
        <v>9920.1162790669478</v>
      </c>
      <c r="F142" s="523">
        <f t="shared" si="25"/>
        <v>0</v>
      </c>
      <c r="G142" s="523">
        <f t="shared" si="26"/>
        <v>4960.0581395334739</v>
      </c>
      <c r="H142" s="526">
        <f t="shared" si="27"/>
        <v>10453.688742563041</v>
      </c>
      <c r="I142" s="577">
        <f t="shared" si="28"/>
        <v>10453.688742563041</v>
      </c>
      <c r="J142" s="514">
        <f t="shared" si="21"/>
        <v>0</v>
      </c>
      <c r="K142" s="514"/>
      <c r="L142" s="525"/>
      <c r="M142" s="514">
        <f t="shared" si="30"/>
        <v>0</v>
      </c>
      <c r="N142" s="525"/>
      <c r="O142" s="514">
        <f t="shared" si="31"/>
        <v>0</v>
      </c>
      <c r="P142" s="514">
        <f t="shared" si="32"/>
        <v>0</v>
      </c>
    </row>
    <row r="143" spans="2:16" ht="12.5">
      <c r="B143" s="195" t="str">
        <f t="shared" si="20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24"/>
        <v>0</v>
      </c>
      <c r="F143" s="523">
        <f t="shared" si="25"/>
        <v>0</v>
      </c>
      <c r="G143" s="523">
        <f t="shared" si="26"/>
        <v>0</v>
      </c>
      <c r="H143" s="526">
        <f t="shared" si="27"/>
        <v>0</v>
      </c>
      <c r="I143" s="577">
        <f t="shared" si="28"/>
        <v>0</v>
      </c>
      <c r="J143" s="514">
        <f t="shared" si="21"/>
        <v>0</v>
      </c>
      <c r="K143" s="514"/>
      <c r="L143" s="525"/>
      <c r="M143" s="514">
        <f t="shared" si="30"/>
        <v>0</v>
      </c>
      <c r="N143" s="525"/>
      <c r="O143" s="514">
        <f t="shared" si="31"/>
        <v>0</v>
      </c>
      <c r="P143" s="514">
        <f t="shared" si="32"/>
        <v>0</v>
      </c>
    </row>
    <row r="144" spans="2:16" ht="12.5">
      <c r="B144" s="195" t="str">
        <f t="shared" si="20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24"/>
        <v>0</v>
      </c>
      <c r="F144" s="523">
        <f t="shared" si="25"/>
        <v>0</v>
      </c>
      <c r="G144" s="523">
        <f t="shared" si="26"/>
        <v>0</v>
      </c>
      <c r="H144" s="526">
        <f t="shared" si="27"/>
        <v>0</v>
      </c>
      <c r="I144" s="577">
        <f t="shared" si="28"/>
        <v>0</v>
      </c>
      <c r="J144" s="514">
        <f t="shared" si="21"/>
        <v>0</v>
      </c>
      <c r="K144" s="514"/>
      <c r="L144" s="525"/>
      <c r="M144" s="514">
        <f t="shared" si="30"/>
        <v>0</v>
      </c>
      <c r="N144" s="525"/>
      <c r="O144" s="514">
        <f t="shared" si="31"/>
        <v>0</v>
      </c>
      <c r="P144" s="514">
        <f t="shared" si="32"/>
        <v>0</v>
      </c>
    </row>
    <row r="145" spans="2:16" ht="12.5">
      <c r="B145" s="195" t="str">
        <f t="shared" si="20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24"/>
        <v>0</v>
      </c>
      <c r="F145" s="523">
        <f t="shared" si="25"/>
        <v>0</v>
      </c>
      <c r="G145" s="523">
        <f t="shared" si="26"/>
        <v>0</v>
      </c>
      <c r="H145" s="526">
        <f t="shared" si="27"/>
        <v>0</v>
      </c>
      <c r="I145" s="577">
        <f t="shared" si="28"/>
        <v>0</v>
      </c>
      <c r="J145" s="514">
        <f t="shared" si="21"/>
        <v>0</v>
      </c>
      <c r="K145" s="514"/>
      <c r="L145" s="525"/>
      <c r="M145" s="514">
        <f t="shared" si="30"/>
        <v>0</v>
      </c>
      <c r="N145" s="525"/>
      <c r="O145" s="514">
        <f t="shared" si="31"/>
        <v>0</v>
      </c>
      <c r="P145" s="514">
        <f t="shared" si="32"/>
        <v>0</v>
      </c>
    </row>
    <row r="146" spans="2:16" ht="12.5">
      <c r="B146" s="195" t="str">
        <f t="shared" si="20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24"/>
        <v>0</v>
      </c>
      <c r="F146" s="523">
        <f t="shared" si="25"/>
        <v>0</v>
      </c>
      <c r="G146" s="523">
        <f t="shared" si="26"/>
        <v>0</v>
      </c>
      <c r="H146" s="526">
        <f t="shared" si="27"/>
        <v>0</v>
      </c>
      <c r="I146" s="577">
        <f t="shared" si="28"/>
        <v>0</v>
      </c>
      <c r="J146" s="514">
        <f t="shared" si="21"/>
        <v>0</v>
      </c>
      <c r="K146" s="514"/>
      <c r="L146" s="525"/>
      <c r="M146" s="514">
        <f t="shared" si="30"/>
        <v>0</v>
      </c>
      <c r="N146" s="525"/>
      <c r="O146" s="514">
        <f t="shared" si="31"/>
        <v>0</v>
      </c>
      <c r="P146" s="514">
        <f t="shared" si="32"/>
        <v>0</v>
      </c>
    </row>
    <row r="147" spans="2:16" ht="12.5">
      <c r="B147" s="195" t="str">
        <f t="shared" si="20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24"/>
        <v>0</v>
      </c>
      <c r="F147" s="523">
        <f t="shared" si="25"/>
        <v>0</v>
      </c>
      <c r="G147" s="523">
        <f t="shared" si="26"/>
        <v>0</v>
      </c>
      <c r="H147" s="526">
        <f t="shared" si="27"/>
        <v>0</v>
      </c>
      <c r="I147" s="577">
        <f t="shared" si="28"/>
        <v>0</v>
      </c>
      <c r="J147" s="514">
        <f t="shared" si="21"/>
        <v>0</v>
      </c>
      <c r="K147" s="514"/>
      <c r="L147" s="525"/>
      <c r="M147" s="514">
        <f t="shared" si="30"/>
        <v>0</v>
      </c>
      <c r="N147" s="525"/>
      <c r="O147" s="514">
        <f t="shared" si="31"/>
        <v>0</v>
      </c>
      <c r="P147" s="514">
        <f t="shared" si="32"/>
        <v>0</v>
      </c>
    </row>
    <row r="148" spans="2:16" ht="12.5">
      <c r="B148" s="195" t="str">
        <f t="shared" si="20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24"/>
        <v>0</v>
      </c>
      <c r="F148" s="523">
        <f t="shared" si="25"/>
        <v>0</v>
      </c>
      <c r="G148" s="523">
        <f t="shared" si="26"/>
        <v>0</v>
      </c>
      <c r="H148" s="526">
        <f t="shared" si="27"/>
        <v>0</v>
      </c>
      <c r="I148" s="577">
        <f t="shared" si="28"/>
        <v>0</v>
      </c>
      <c r="J148" s="514">
        <f t="shared" si="21"/>
        <v>0</v>
      </c>
      <c r="K148" s="514"/>
      <c r="L148" s="525"/>
      <c r="M148" s="514">
        <f t="shared" si="30"/>
        <v>0</v>
      </c>
      <c r="N148" s="525"/>
      <c r="O148" s="514">
        <f t="shared" si="31"/>
        <v>0</v>
      </c>
      <c r="P148" s="514">
        <f t="shared" si="32"/>
        <v>0</v>
      </c>
    </row>
    <row r="149" spans="2:16" ht="12.5">
      <c r="B149" s="195" t="str">
        <f t="shared" si="20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24"/>
        <v>0</v>
      </c>
      <c r="F149" s="523">
        <f t="shared" si="25"/>
        <v>0</v>
      </c>
      <c r="G149" s="523">
        <f t="shared" si="26"/>
        <v>0</v>
      </c>
      <c r="H149" s="526">
        <f t="shared" si="27"/>
        <v>0</v>
      </c>
      <c r="I149" s="577">
        <f t="shared" si="28"/>
        <v>0</v>
      </c>
      <c r="J149" s="514">
        <f t="shared" si="21"/>
        <v>0</v>
      </c>
      <c r="K149" s="514"/>
      <c r="L149" s="525"/>
      <c r="M149" s="514">
        <f t="shared" si="30"/>
        <v>0</v>
      </c>
      <c r="N149" s="525"/>
      <c r="O149" s="514">
        <f t="shared" si="31"/>
        <v>0</v>
      </c>
      <c r="P149" s="514">
        <f t="shared" si="32"/>
        <v>0</v>
      </c>
    </row>
    <row r="150" spans="2:16" ht="12.5">
      <c r="B150" s="195" t="str">
        <f t="shared" si="20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24"/>
        <v>0</v>
      </c>
      <c r="F150" s="523">
        <f t="shared" si="25"/>
        <v>0</v>
      </c>
      <c r="G150" s="523">
        <f t="shared" si="26"/>
        <v>0</v>
      </c>
      <c r="H150" s="526">
        <f t="shared" si="27"/>
        <v>0</v>
      </c>
      <c r="I150" s="577">
        <f t="shared" si="28"/>
        <v>0</v>
      </c>
      <c r="J150" s="514">
        <f t="shared" si="21"/>
        <v>0</v>
      </c>
      <c r="K150" s="514"/>
      <c r="L150" s="525"/>
      <c r="M150" s="514">
        <f t="shared" si="30"/>
        <v>0</v>
      </c>
      <c r="N150" s="525"/>
      <c r="O150" s="514">
        <f t="shared" si="31"/>
        <v>0</v>
      </c>
      <c r="P150" s="514">
        <f t="shared" si="32"/>
        <v>0</v>
      </c>
    </row>
    <row r="151" spans="2:16" ht="12.5">
      <c r="B151" s="195" t="str">
        <f t="shared" si="20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24"/>
        <v>0</v>
      </c>
      <c r="F151" s="523">
        <f t="shared" si="25"/>
        <v>0</v>
      </c>
      <c r="G151" s="523">
        <f t="shared" si="26"/>
        <v>0</v>
      </c>
      <c r="H151" s="526">
        <f t="shared" si="27"/>
        <v>0</v>
      </c>
      <c r="I151" s="577">
        <f t="shared" si="28"/>
        <v>0</v>
      </c>
      <c r="J151" s="514">
        <f t="shared" si="21"/>
        <v>0</v>
      </c>
      <c r="K151" s="514"/>
      <c r="L151" s="525"/>
      <c r="M151" s="514">
        <f t="shared" si="30"/>
        <v>0</v>
      </c>
      <c r="N151" s="525"/>
      <c r="O151" s="514">
        <f t="shared" si="31"/>
        <v>0</v>
      </c>
      <c r="P151" s="514">
        <f t="shared" si="32"/>
        <v>0</v>
      </c>
    </row>
    <row r="152" spans="2:16" ht="12.5">
      <c r="B152" s="195" t="str">
        <f t="shared" si="20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24"/>
        <v>0</v>
      </c>
      <c r="F152" s="523">
        <f t="shared" si="25"/>
        <v>0</v>
      </c>
      <c r="G152" s="523">
        <f t="shared" si="26"/>
        <v>0</v>
      </c>
      <c r="H152" s="526">
        <f t="shared" si="27"/>
        <v>0</v>
      </c>
      <c r="I152" s="577">
        <f t="shared" si="28"/>
        <v>0</v>
      </c>
      <c r="J152" s="514">
        <f t="shared" si="21"/>
        <v>0</v>
      </c>
      <c r="K152" s="514"/>
      <c r="L152" s="525"/>
      <c r="M152" s="514">
        <f t="shared" si="30"/>
        <v>0</v>
      </c>
      <c r="N152" s="525"/>
      <c r="O152" s="514">
        <f t="shared" si="31"/>
        <v>0</v>
      </c>
      <c r="P152" s="514">
        <f t="shared" si="32"/>
        <v>0</v>
      </c>
    </row>
    <row r="153" spans="2:16" ht="12.5">
      <c r="B153" s="195" t="str">
        <f t="shared" si="20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24"/>
        <v>0</v>
      </c>
      <c r="F153" s="523">
        <f t="shared" si="25"/>
        <v>0</v>
      </c>
      <c r="G153" s="523">
        <f t="shared" si="26"/>
        <v>0</v>
      </c>
      <c r="H153" s="526">
        <f t="shared" si="27"/>
        <v>0</v>
      </c>
      <c r="I153" s="577">
        <f t="shared" si="28"/>
        <v>0</v>
      </c>
      <c r="J153" s="514">
        <f t="shared" si="21"/>
        <v>0</v>
      </c>
      <c r="K153" s="514"/>
      <c r="L153" s="525"/>
      <c r="M153" s="514">
        <f t="shared" si="30"/>
        <v>0</v>
      </c>
      <c r="N153" s="525"/>
      <c r="O153" s="514">
        <f t="shared" si="31"/>
        <v>0</v>
      </c>
      <c r="P153" s="514">
        <f t="shared" si="32"/>
        <v>0</v>
      </c>
    </row>
    <row r="154" spans="2:16" ht="13" thickBot="1">
      <c r="B154" s="195" t="str">
        <f t="shared" si="20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24"/>
        <v>0</v>
      </c>
      <c r="F154" s="523">
        <f t="shared" si="25"/>
        <v>0</v>
      </c>
      <c r="G154" s="523">
        <f t="shared" si="26"/>
        <v>0</v>
      </c>
      <c r="H154" s="526">
        <f t="shared" si="27"/>
        <v>0</v>
      </c>
      <c r="I154" s="577">
        <f t="shared" si="28"/>
        <v>0</v>
      </c>
      <c r="J154" s="514">
        <f t="shared" si="21"/>
        <v>0</v>
      </c>
      <c r="K154" s="514"/>
      <c r="L154" s="532"/>
      <c r="M154" s="533">
        <f t="shared" si="30"/>
        <v>0</v>
      </c>
      <c r="N154" s="532"/>
      <c r="O154" s="533">
        <f t="shared" si="31"/>
        <v>0</v>
      </c>
      <c r="P154" s="533">
        <f t="shared" si="32"/>
        <v>0</v>
      </c>
    </row>
    <row r="155" spans="2:16" ht="12.5">
      <c r="C155" s="374" t="s">
        <v>78</v>
      </c>
      <c r="D155" s="375"/>
      <c r="E155" s="375">
        <f>SUM(E99:E154)</f>
        <v>4866028</v>
      </c>
      <c r="F155" s="375"/>
      <c r="G155" s="375"/>
      <c r="H155" s="375">
        <f>SUM(H99:H154)</f>
        <v>16454693.274265666</v>
      </c>
      <c r="I155" s="375">
        <f>SUM(I99:I154)</f>
        <v>16454693.274265666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8" priority="1" stopIfTrue="1" operator="equal">
      <formula>$I$10</formula>
    </cfRule>
  </conditionalFormatting>
  <conditionalFormatting sqref="C99:C154">
    <cfRule type="cellIs" dxfId="7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P162"/>
  <sheetViews>
    <sheetView view="pageBreakPreview" topLeftCell="A79" zoomScale="72" zoomScaleNormal="100" zoomScaleSheetLayoutView="72" workbookViewId="0">
      <selection activeCell="E103" sqref="E103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54296875" style="183" customWidth="1"/>
    <col min="10" max="10" width="18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42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593403.20733019966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593403.20733019966</v>
      </c>
      <c r="O6" s="269"/>
      <c r="P6" s="269"/>
    </row>
    <row r="7" spans="1:16" ht="13.5" thickBot="1">
      <c r="C7" s="467" t="s">
        <v>48</v>
      </c>
      <c r="D7" s="624" t="s">
        <v>317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316</v>
      </c>
      <c r="E9" s="637" t="s">
        <v>326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5289194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125933.19047619047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4520000</v>
      </c>
      <c r="E17" s="638">
        <v>53809.523809523809</v>
      </c>
      <c r="F17" s="629">
        <v>4466190.4761904757</v>
      </c>
      <c r="G17" s="638">
        <v>656345.55089366634</v>
      </c>
      <c r="H17" s="639">
        <v>656345.55089366634</v>
      </c>
      <c r="I17" s="616">
        <v>0</v>
      </c>
      <c r="J17" s="511"/>
      <c r="K17" s="641">
        <f t="shared" ref="K17:K22" si="0">G17</f>
        <v>656345.55089366634</v>
      </c>
      <c r="L17" s="642">
        <f t="shared" ref="L17:L22" si="1">IF(K17&lt;&gt;0,+G17-K17,0)</f>
        <v>0</v>
      </c>
      <c r="M17" s="643">
        <f t="shared" ref="M17:M22" si="2">H17</f>
        <v>656345.55089366634</v>
      </c>
      <c r="N17" s="64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4466190.4761904757</v>
      </c>
      <c r="E18" s="630">
        <v>125933.19047619047</v>
      </c>
      <c r="F18" s="629">
        <v>4340257.2857142854</v>
      </c>
      <c r="G18" s="630">
        <v>697565.91247196728</v>
      </c>
      <c r="H18" s="639">
        <v>697565.91247196728</v>
      </c>
      <c r="I18" s="511">
        <v>0</v>
      </c>
      <c r="J18" s="511"/>
      <c r="K18" s="518">
        <f t="shared" si="0"/>
        <v>697565.91247196728</v>
      </c>
      <c r="L18" s="519">
        <f t="shared" si="1"/>
        <v>0</v>
      </c>
      <c r="M18" s="518">
        <f t="shared" si="2"/>
        <v>697565.91247196728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5109451.2857142854</v>
      </c>
      <c r="E19" s="630">
        <v>125933.19047619047</v>
      </c>
      <c r="F19" s="629">
        <v>4983518.0952380951</v>
      </c>
      <c r="G19" s="630">
        <v>774189.09981108969</v>
      </c>
      <c r="H19" s="639">
        <v>774189.09981108969</v>
      </c>
      <c r="I19" s="511">
        <f>H19-G19</f>
        <v>0</v>
      </c>
      <c r="J19" s="511"/>
      <c r="K19" s="518">
        <f t="shared" si="0"/>
        <v>774189.09981108969</v>
      </c>
      <c r="L19" s="519">
        <f t="shared" si="1"/>
        <v>0</v>
      </c>
      <c r="M19" s="518">
        <f t="shared" si="2"/>
        <v>774189.09981108969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/>
      </c>
      <c r="C20" s="507">
        <f>IF(D11="","-",+C19+1)</f>
        <v>2017</v>
      </c>
      <c r="D20" s="629">
        <v>4983518.0952380951</v>
      </c>
      <c r="E20" s="630">
        <v>123004.51162790698</v>
      </c>
      <c r="F20" s="629">
        <v>4860513.5836101882</v>
      </c>
      <c r="G20" s="630">
        <v>732805.52447428892</v>
      </c>
      <c r="H20" s="639">
        <v>732805.52447428892</v>
      </c>
      <c r="I20" s="511">
        <f t="shared" ref="I20:I72" si="4">H20-G20</f>
        <v>0</v>
      </c>
      <c r="J20" s="511"/>
      <c r="K20" s="518">
        <f t="shared" si="0"/>
        <v>732805.52447428892</v>
      </c>
      <c r="L20" s="519">
        <f t="shared" si="1"/>
        <v>0</v>
      </c>
      <c r="M20" s="518">
        <f t="shared" si="2"/>
        <v>732805.52447428892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4860513.5836101882</v>
      </c>
      <c r="E21" s="630">
        <v>129004.73170731707</v>
      </c>
      <c r="F21" s="629">
        <v>4731508.8519028714</v>
      </c>
      <c r="G21" s="630">
        <v>738549.45587790722</v>
      </c>
      <c r="H21" s="639">
        <v>738549.45587790722</v>
      </c>
      <c r="I21" s="511">
        <f t="shared" si="4"/>
        <v>0</v>
      </c>
      <c r="J21" s="511"/>
      <c r="K21" s="518">
        <f t="shared" si="0"/>
        <v>738549.45587790722</v>
      </c>
      <c r="L21" s="519">
        <f t="shared" si="1"/>
        <v>0</v>
      </c>
      <c r="M21" s="518">
        <f t="shared" si="2"/>
        <v>738549.45587790722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/>
      </c>
      <c r="C22" s="507">
        <f>IF(D11="","-",+C21+1)</f>
        <v>2019</v>
      </c>
      <c r="D22" s="629">
        <v>4731508.8519028714</v>
      </c>
      <c r="E22" s="630">
        <v>129004.73170731707</v>
      </c>
      <c r="F22" s="629">
        <v>4602504.1201955546</v>
      </c>
      <c r="G22" s="630">
        <v>722153.71574408386</v>
      </c>
      <c r="H22" s="639">
        <v>722153.71574408386</v>
      </c>
      <c r="I22" s="511">
        <f t="shared" si="4"/>
        <v>0</v>
      </c>
      <c r="J22" s="511"/>
      <c r="K22" s="518">
        <f t="shared" si="0"/>
        <v>722153.71574408386</v>
      </c>
      <c r="L22" s="519">
        <f t="shared" si="1"/>
        <v>0</v>
      </c>
      <c r="M22" s="518">
        <f t="shared" si="2"/>
        <v>722153.71574408386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/>
      </c>
      <c r="C23" s="507">
        <f>IF(D11="","-",+C22+1)</f>
        <v>2020</v>
      </c>
      <c r="D23" s="629">
        <v>4602504.1201955546</v>
      </c>
      <c r="E23" s="630">
        <v>129004.73170731707</v>
      </c>
      <c r="F23" s="629">
        <v>4473499.3884882377</v>
      </c>
      <c r="G23" s="630">
        <v>593403.20733019966</v>
      </c>
      <c r="H23" s="639">
        <v>593403.20733019966</v>
      </c>
      <c r="I23" s="511">
        <f t="shared" si="4"/>
        <v>0</v>
      </c>
      <c r="J23" s="511"/>
      <c r="K23" s="518">
        <f t="shared" ref="K23" si="7">G23</f>
        <v>593403.20733019966</v>
      </c>
      <c r="L23" s="519">
        <f t="shared" ref="L23" si="8">IF(K23&lt;&gt;0,+G23-K23,0)</f>
        <v>0</v>
      </c>
      <c r="M23" s="518">
        <f t="shared" ref="M23" si="9">H23</f>
        <v>593403.20733019966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/>
      </c>
      <c r="C24" s="507">
        <f>IF(D11="","-",+C23+1)</f>
        <v>2021</v>
      </c>
      <c r="D24" s="523">
        <f>IF(F23+SUM(E$17:E23)=D$10,F23,D$10-SUM(E$17:E23))</f>
        <v>4473499.3884882377</v>
      </c>
      <c r="E24" s="522">
        <f t="shared" ref="E24:E72" si="10">IF(+$I$14&lt;F23,$I$14,D24)</f>
        <v>125933.19047619047</v>
      </c>
      <c r="F24" s="523">
        <f t="shared" ref="F24:F72" si="11">+D24-E24</f>
        <v>4347566.1980120474</v>
      </c>
      <c r="G24" s="524">
        <f t="shared" ref="G24:G51" si="12">+I$12*((D24+F24)/2)+E24</f>
        <v>597057.36665541539</v>
      </c>
      <c r="H24" s="491">
        <f t="shared" ref="H24:H51" si="13">+I$13*((D24+F24)/2)+E24</f>
        <v>597057.36665541539</v>
      </c>
      <c r="I24" s="511">
        <f t="shared" si="4"/>
        <v>0</v>
      </c>
      <c r="J24" s="511"/>
      <c r="K24" s="525"/>
      <c r="L24" s="514">
        <f t="shared" ref="L24:L72" si="14">IF(K24&lt;&gt;0,+G24-K24,0)</f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/>
      </c>
      <c r="C25" s="507">
        <f>IF(D11="","-",+C24+1)</f>
        <v>2022</v>
      </c>
      <c r="D25" s="523">
        <f>IF(F24+SUM(E$17:E24)=D$10,F24,D$10-SUM(E$17:E24))</f>
        <v>4347566.1980120474</v>
      </c>
      <c r="E25" s="522">
        <f t="shared" si="10"/>
        <v>125933.19047619047</v>
      </c>
      <c r="F25" s="523">
        <f t="shared" si="11"/>
        <v>4221633.0075358571</v>
      </c>
      <c r="G25" s="524">
        <f t="shared" si="12"/>
        <v>583605.43841955345</v>
      </c>
      <c r="H25" s="491">
        <f t="shared" si="13"/>
        <v>583605.43841955345</v>
      </c>
      <c r="I25" s="511">
        <f t="shared" si="4"/>
        <v>0</v>
      </c>
      <c r="J25" s="511"/>
      <c r="K25" s="525"/>
      <c r="L25" s="514">
        <f t="shared" si="1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/>
      </c>
      <c r="C26" s="507">
        <f>IF(D11="","-",+C25+1)</f>
        <v>2023</v>
      </c>
      <c r="D26" s="523">
        <f>IF(F25+SUM(E$17:E25)=D$10,F25,D$10-SUM(E$17:E25))</f>
        <v>4221633.0075358571</v>
      </c>
      <c r="E26" s="522">
        <f t="shared" si="10"/>
        <v>125933.19047619047</v>
      </c>
      <c r="F26" s="523">
        <f t="shared" si="11"/>
        <v>4095699.8170596668</v>
      </c>
      <c r="G26" s="524">
        <f t="shared" si="12"/>
        <v>570153.51018369151</v>
      </c>
      <c r="H26" s="491">
        <f t="shared" si="13"/>
        <v>570153.51018369151</v>
      </c>
      <c r="I26" s="511">
        <f t="shared" si="4"/>
        <v>0</v>
      </c>
      <c r="J26" s="511"/>
      <c r="K26" s="525"/>
      <c r="L26" s="514">
        <f t="shared" si="1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4095699.8170596668</v>
      </c>
      <c r="E27" s="522">
        <f t="shared" si="10"/>
        <v>125933.19047619047</v>
      </c>
      <c r="F27" s="523">
        <f t="shared" si="11"/>
        <v>3969766.6265834766</v>
      </c>
      <c r="G27" s="524">
        <f t="shared" si="12"/>
        <v>556701.58194782957</v>
      </c>
      <c r="H27" s="491">
        <f t="shared" si="13"/>
        <v>556701.58194782957</v>
      </c>
      <c r="I27" s="511">
        <f t="shared" si="4"/>
        <v>0</v>
      </c>
      <c r="J27" s="511"/>
      <c r="K27" s="525"/>
      <c r="L27" s="514">
        <f t="shared" si="1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3969766.6265834766</v>
      </c>
      <c r="E28" s="522">
        <f t="shared" si="10"/>
        <v>125933.19047619047</v>
      </c>
      <c r="F28" s="523">
        <f t="shared" si="11"/>
        <v>3843833.4361072863</v>
      </c>
      <c r="G28" s="524">
        <f t="shared" si="12"/>
        <v>543249.65371196764</v>
      </c>
      <c r="H28" s="491">
        <f t="shared" si="13"/>
        <v>543249.65371196764</v>
      </c>
      <c r="I28" s="511">
        <f t="shared" si="4"/>
        <v>0</v>
      </c>
      <c r="J28" s="511"/>
      <c r="K28" s="525"/>
      <c r="L28" s="514">
        <f t="shared" si="1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3843833.4361072863</v>
      </c>
      <c r="E29" s="522">
        <f t="shared" si="10"/>
        <v>125933.19047619047</v>
      </c>
      <c r="F29" s="523">
        <f t="shared" si="11"/>
        <v>3717900.245631096</v>
      </c>
      <c r="G29" s="524">
        <f t="shared" si="12"/>
        <v>529797.72547610581</v>
      </c>
      <c r="H29" s="491">
        <f t="shared" si="13"/>
        <v>529797.72547610581</v>
      </c>
      <c r="I29" s="511">
        <f t="shared" si="4"/>
        <v>0</v>
      </c>
      <c r="J29" s="511"/>
      <c r="K29" s="525"/>
      <c r="L29" s="514">
        <f t="shared" si="1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3717900.245631096</v>
      </c>
      <c r="E30" s="522">
        <f t="shared" si="10"/>
        <v>125933.19047619047</v>
      </c>
      <c r="F30" s="523">
        <f t="shared" si="11"/>
        <v>3591967.0551549057</v>
      </c>
      <c r="G30" s="524">
        <f t="shared" si="12"/>
        <v>516345.79724024388</v>
      </c>
      <c r="H30" s="491">
        <f t="shared" si="13"/>
        <v>516345.79724024388</v>
      </c>
      <c r="I30" s="511">
        <f t="shared" si="4"/>
        <v>0</v>
      </c>
      <c r="J30" s="511"/>
      <c r="K30" s="525"/>
      <c r="L30" s="514">
        <f t="shared" si="1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3591967.0551549057</v>
      </c>
      <c r="E31" s="522">
        <f t="shared" si="10"/>
        <v>125933.19047619047</v>
      </c>
      <c r="F31" s="523">
        <f t="shared" si="11"/>
        <v>3466033.8646787154</v>
      </c>
      <c r="G31" s="524">
        <f t="shared" si="12"/>
        <v>502893.86900438194</v>
      </c>
      <c r="H31" s="491">
        <f t="shared" si="13"/>
        <v>502893.86900438194</v>
      </c>
      <c r="I31" s="511">
        <f t="shared" si="4"/>
        <v>0</v>
      </c>
      <c r="J31" s="511"/>
      <c r="K31" s="525"/>
      <c r="L31" s="514">
        <f t="shared" si="1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3466033.8646787154</v>
      </c>
      <c r="E32" s="522">
        <f t="shared" si="10"/>
        <v>125933.19047619047</v>
      </c>
      <c r="F32" s="523">
        <f t="shared" si="11"/>
        <v>3340100.6742025251</v>
      </c>
      <c r="G32" s="524">
        <f t="shared" si="12"/>
        <v>489441.94076852</v>
      </c>
      <c r="H32" s="491">
        <f t="shared" si="13"/>
        <v>489441.94076852</v>
      </c>
      <c r="I32" s="511">
        <f t="shared" si="4"/>
        <v>0</v>
      </c>
      <c r="J32" s="511"/>
      <c r="K32" s="525"/>
      <c r="L32" s="514">
        <f t="shared" si="1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3340100.6742025251</v>
      </c>
      <c r="E33" s="522">
        <f t="shared" si="10"/>
        <v>125933.19047619047</v>
      </c>
      <c r="F33" s="523">
        <f t="shared" si="11"/>
        <v>3214167.4837263348</v>
      </c>
      <c r="G33" s="524">
        <f t="shared" si="12"/>
        <v>475990.01253265806</v>
      </c>
      <c r="H33" s="491">
        <f t="shared" si="13"/>
        <v>475990.01253265806</v>
      </c>
      <c r="I33" s="511">
        <f t="shared" si="4"/>
        <v>0</v>
      </c>
      <c r="J33" s="511"/>
      <c r="K33" s="525"/>
      <c r="L33" s="514">
        <f t="shared" si="1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3214167.4837263348</v>
      </c>
      <c r="E34" s="522">
        <f t="shared" si="10"/>
        <v>125933.19047619047</v>
      </c>
      <c r="F34" s="523">
        <f t="shared" si="11"/>
        <v>3088234.2932501445</v>
      </c>
      <c r="G34" s="524">
        <f t="shared" si="12"/>
        <v>462538.08429679618</v>
      </c>
      <c r="H34" s="491">
        <f t="shared" si="13"/>
        <v>462538.08429679618</v>
      </c>
      <c r="I34" s="511">
        <f t="shared" si="4"/>
        <v>0</v>
      </c>
      <c r="J34" s="511"/>
      <c r="K34" s="525"/>
      <c r="L34" s="514">
        <f t="shared" si="1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3088234.2932501445</v>
      </c>
      <c r="E35" s="522">
        <f t="shared" si="10"/>
        <v>125933.19047619047</v>
      </c>
      <c r="F35" s="523">
        <f t="shared" si="11"/>
        <v>2962301.1027739542</v>
      </c>
      <c r="G35" s="524">
        <f t="shared" si="12"/>
        <v>449086.15606093424</v>
      </c>
      <c r="H35" s="491">
        <f t="shared" si="13"/>
        <v>449086.15606093424</v>
      </c>
      <c r="I35" s="511">
        <f t="shared" si="4"/>
        <v>0</v>
      </c>
      <c r="J35" s="511"/>
      <c r="K35" s="525"/>
      <c r="L35" s="514">
        <f t="shared" si="1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2962301.1027739542</v>
      </c>
      <c r="E36" s="522">
        <f t="shared" si="10"/>
        <v>125933.19047619047</v>
      </c>
      <c r="F36" s="523">
        <f t="shared" si="11"/>
        <v>2836367.9122977639</v>
      </c>
      <c r="G36" s="524">
        <f t="shared" si="12"/>
        <v>435634.2278250723</v>
      </c>
      <c r="H36" s="491">
        <f t="shared" si="13"/>
        <v>435634.2278250723</v>
      </c>
      <c r="I36" s="511">
        <f t="shared" si="4"/>
        <v>0</v>
      </c>
      <c r="J36" s="511"/>
      <c r="K36" s="525"/>
      <c r="L36" s="514">
        <f t="shared" si="1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2836367.9122977639</v>
      </c>
      <c r="E37" s="522">
        <f t="shared" si="10"/>
        <v>125933.19047619047</v>
      </c>
      <c r="F37" s="523">
        <f t="shared" si="11"/>
        <v>2710434.7218215736</v>
      </c>
      <c r="G37" s="524">
        <f t="shared" si="12"/>
        <v>422182.29958921036</v>
      </c>
      <c r="H37" s="491">
        <f t="shared" si="13"/>
        <v>422182.29958921036</v>
      </c>
      <c r="I37" s="511">
        <f t="shared" si="4"/>
        <v>0</v>
      </c>
      <c r="J37" s="511"/>
      <c r="K37" s="525"/>
      <c r="L37" s="514">
        <f t="shared" si="1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2710434.7218215736</v>
      </c>
      <c r="E38" s="522">
        <f t="shared" si="10"/>
        <v>125933.19047619047</v>
      </c>
      <c r="F38" s="523">
        <f t="shared" si="11"/>
        <v>2584501.5313453833</v>
      </c>
      <c r="G38" s="524">
        <f t="shared" si="12"/>
        <v>408730.37135334843</v>
      </c>
      <c r="H38" s="491">
        <f t="shared" si="13"/>
        <v>408730.37135334843</v>
      </c>
      <c r="I38" s="511">
        <f t="shared" si="4"/>
        <v>0</v>
      </c>
      <c r="J38" s="511"/>
      <c r="K38" s="525"/>
      <c r="L38" s="514">
        <f t="shared" si="1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2584501.5313453833</v>
      </c>
      <c r="E39" s="522">
        <f t="shared" si="10"/>
        <v>125933.19047619047</v>
      </c>
      <c r="F39" s="523">
        <f t="shared" si="11"/>
        <v>2458568.340869193</v>
      </c>
      <c r="G39" s="524">
        <f t="shared" si="12"/>
        <v>395278.44311748649</v>
      </c>
      <c r="H39" s="491">
        <f t="shared" si="13"/>
        <v>395278.44311748649</v>
      </c>
      <c r="I39" s="511">
        <f t="shared" si="4"/>
        <v>0</v>
      </c>
      <c r="J39" s="511"/>
      <c r="K39" s="525"/>
      <c r="L39" s="514">
        <f t="shared" si="1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2458568.340869193</v>
      </c>
      <c r="E40" s="522">
        <f t="shared" si="10"/>
        <v>125933.19047619047</v>
      </c>
      <c r="F40" s="523">
        <f t="shared" si="11"/>
        <v>2332635.1503930027</v>
      </c>
      <c r="G40" s="524">
        <f t="shared" si="12"/>
        <v>381826.51488162461</v>
      </c>
      <c r="H40" s="491">
        <f t="shared" si="13"/>
        <v>381826.51488162461</v>
      </c>
      <c r="I40" s="511">
        <f t="shared" si="4"/>
        <v>0</v>
      </c>
      <c r="J40" s="511"/>
      <c r="K40" s="525"/>
      <c r="L40" s="514">
        <f t="shared" si="1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2332635.1503930027</v>
      </c>
      <c r="E41" s="522">
        <f t="shared" si="10"/>
        <v>125933.19047619047</v>
      </c>
      <c r="F41" s="523">
        <f t="shared" si="11"/>
        <v>2206701.9599168124</v>
      </c>
      <c r="G41" s="524">
        <f t="shared" si="12"/>
        <v>368374.58664576267</v>
      </c>
      <c r="H41" s="491">
        <f t="shared" si="13"/>
        <v>368374.58664576267</v>
      </c>
      <c r="I41" s="511">
        <f t="shared" si="4"/>
        <v>0</v>
      </c>
      <c r="J41" s="511"/>
      <c r="K41" s="525"/>
      <c r="L41" s="514">
        <f t="shared" si="1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2206701.9599168124</v>
      </c>
      <c r="E42" s="522">
        <f t="shared" si="10"/>
        <v>125933.19047619047</v>
      </c>
      <c r="F42" s="523">
        <f t="shared" si="11"/>
        <v>2080768.7694406218</v>
      </c>
      <c r="G42" s="524">
        <f t="shared" si="12"/>
        <v>354922.65840990073</v>
      </c>
      <c r="H42" s="491">
        <f t="shared" si="13"/>
        <v>354922.65840990073</v>
      </c>
      <c r="I42" s="511">
        <f t="shared" si="4"/>
        <v>0</v>
      </c>
      <c r="J42" s="511"/>
      <c r="K42" s="525"/>
      <c r="L42" s="514">
        <f t="shared" si="1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2080768.7694406218</v>
      </c>
      <c r="E43" s="522">
        <f t="shared" si="10"/>
        <v>125933.19047619047</v>
      </c>
      <c r="F43" s="523">
        <f t="shared" si="11"/>
        <v>1954835.5789644313</v>
      </c>
      <c r="G43" s="524">
        <f t="shared" si="12"/>
        <v>341470.73017403873</v>
      </c>
      <c r="H43" s="491">
        <f t="shared" si="13"/>
        <v>341470.73017403873</v>
      </c>
      <c r="I43" s="511">
        <f t="shared" si="4"/>
        <v>0</v>
      </c>
      <c r="J43" s="511"/>
      <c r="K43" s="525"/>
      <c r="L43" s="514">
        <f t="shared" si="1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1954835.5789644313</v>
      </c>
      <c r="E44" s="522">
        <f t="shared" si="10"/>
        <v>125933.19047619047</v>
      </c>
      <c r="F44" s="523">
        <f t="shared" si="11"/>
        <v>1828902.3884882408</v>
      </c>
      <c r="G44" s="524">
        <f t="shared" si="12"/>
        <v>328018.80193817685</v>
      </c>
      <c r="H44" s="491">
        <f t="shared" si="13"/>
        <v>328018.80193817685</v>
      </c>
      <c r="I44" s="511">
        <f t="shared" si="4"/>
        <v>0</v>
      </c>
      <c r="J44" s="511"/>
      <c r="K44" s="525"/>
      <c r="L44" s="514">
        <f t="shared" si="1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1828902.3884882408</v>
      </c>
      <c r="E45" s="522">
        <f t="shared" si="10"/>
        <v>125933.19047619047</v>
      </c>
      <c r="F45" s="523">
        <f t="shared" si="11"/>
        <v>1702969.1980120502</v>
      </c>
      <c r="G45" s="524">
        <f t="shared" si="12"/>
        <v>314566.8737023148</v>
      </c>
      <c r="H45" s="491">
        <f t="shared" si="13"/>
        <v>314566.8737023148</v>
      </c>
      <c r="I45" s="511">
        <f t="shared" si="4"/>
        <v>0</v>
      </c>
      <c r="J45" s="511"/>
      <c r="K45" s="525"/>
      <c r="L45" s="514">
        <f t="shared" si="1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1702969.1980120502</v>
      </c>
      <c r="E46" s="522">
        <f t="shared" si="10"/>
        <v>125933.19047619047</v>
      </c>
      <c r="F46" s="523">
        <f t="shared" si="11"/>
        <v>1577036.0075358597</v>
      </c>
      <c r="G46" s="524">
        <f t="shared" si="12"/>
        <v>301114.94546645292</v>
      </c>
      <c r="H46" s="491">
        <f t="shared" si="13"/>
        <v>301114.94546645292</v>
      </c>
      <c r="I46" s="511">
        <f t="shared" si="4"/>
        <v>0</v>
      </c>
      <c r="J46" s="511"/>
      <c r="K46" s="525"/>
      <c r="L46" s="514">
        <f t="shared" si="1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1577036.0075358597</v>
      </c>
      <c r="E47" s="522">
        <f t="shared" si="10"/>
        <v>125933.19047619047</v>
      </c>
      <c r="F47" s="523">
        <f t="shared" si="11"/>
        <v>1451102.8170596692</v>
      </c>
      <c r="G47" s="524">
        <f t="shared" si="12"/>
        <v>287663.01723059092</v>
      </c>
      <c r="H47" s="491">
        <f t="shared" si="13"/>
        <v>287663.01723059092</v>
      </c>
      <c r="I47" s="511">
        <f t="shared" si="4"/>
        <v>0</v>
      </c>
      <c r="J47" s="511"/>
      <c r="K47" s="525"/>
      <c r="L47" s="514">
        <f t="shared" si="1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1451102.8170596692</v>
      </c>
      <c r="E48" s="522">
        <f t="shared" si="10"/>
        <v>125933.19047619047</v>
      </c>
      <c r="F48" s="523">
        <f t="shared" si="11"/>
        <v>1325169.6265834786</v>
      </c>
      <c r="G48" s="524">
        <f t="shared" si="12"/>
        <v>274211.08899472898</v>
      </c>
      <c r="H48" s="491">
        <f t="shared" si="13"/>
        <v>274211.08899472898</v>
      </c>
      <c r="I48" s="511">
        <f t="shared" si="4"/>
        <v>0</v>
      </c>
      <c r="J48" s="511"/>
      <c r="K48" s="525"/>
      <c r="L48" s="514">
        <f t="shared" si="1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1325169.6265834786</v>
      </c>
      <c r="E49" s="522">
        <f t="shared" si="10"/>
        <v>125933.19047619047</v>
      </c>
      <c r="F49" s="523">
        <f t="shared" si="11"/>
        <v>1199236.4361072881</v>
      </c>
      <c r="G49" s="524">
        <f t="shared" si="12"/>
        <v>260759.16075886702</v>
      </c>
      <c r="H49" s="491">
        <f t="shared" si="13"/>
        <v>260759.16075886702</v>
      </c>
      <c r="I49" s="511">
        <f t="shared" si="4"/>
        <v>0</v>
      </c>
      <c r="J49" s="511"/>
      <c r="K49" s="525"/>
      <c r="L49" s="514">
        <f t="shared" si="14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1199236.4361072881</v>
      </c>
      <c r="E50" s="522">
        <f t="shared" si="10"/>
        <v>125933.19047619047</v>
      </c>
      <c r="F50" s="523">
        <f t="shared" si="11"/>
        <v>1073303.2456310976</v>
      </c>
      <c r="G50" s="524">
        <f t="shared" si="12"/>
        <v>247307.23252300511</v>
      </c>
      <c r="H50" s="491">
        <f t="shared" si="13"/>
        <v>247307.23252300511</v>
      </c>
      <c r="I50" s="511">
        <f t="shared" si="4"/>
        <v>0</v>
      </c>
      <c r="J50" s="511"/>
      <c r="K50" s="525"/>
      <c r="L50" s="514">
        <f t="shared" si="14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1073303.2456310976</v>
      </c>
      <c r="E51" s="522">
        <f t="shared" si="10"/>
        <v>125933.19047619047</v>
      </c>
      <c r="F51" s="523">
        <f t="shared" si="11"/>
        <v>947370.05515490705</v>
      </c>
      <c r="G51" s="524">
        <f t="shared" si="12"/>
        <v>233855.30428714314</v>
      </c>
      <c r="H51" s="491">
        <f t="shared" si="13"/>
        <v>233855.30428714314</v>
      </c>
      <c r="I51" s="511">
        <f t="shared" si="4"/>
        <v>0</v>
      </c>
      <c r="J51" s="511"/>
      <c r="K51" s="525"/>
      <c r="L51" s="514">
        <f t="shared" si="14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947370.05515490705</v>
      </c>
      <c r="E52" s="522">
        <f t="shared" si="10"/>
        <v>125933.19047619047</v>
      </c>
      <c r="F52" s="523">
        <f t="shared" si="11"/>
        <v>821436.86467871652</v>
      </c>
      <c r="G52" s="524">
        <f t="shared" ref="G52:G72" si="15">+I$12*((D52+F52)/2)+E52</f>
        <v>220403.37605128117</v>
      </c>
      <c r="H52" s="491">
        <f t="shared" ref="H52:H72" si="16">+I$13*((D52+F52)/2)+E52</f>
        <v>220403.37605128117</v>
      </c>
      <c r="I52" s="511">
        <f t="shared" si="4"/>
        <v>0</v>
      </c>
      <c r="J52" s="511"/>
      <c r="K52" s="525"/>
      <c r="L52" s="514">
        <f t="shared" si="14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821436.86467871652</v>
      </c>
      <c r="E53" s="522">
        <f t="shared" si="10"/>
        <v>125933.19047619047</v>
      </c>
      <c r="F53" s="523">
        <f t="shared" si="11"/>
        <v>695503.67420252599</v>
      </c>
      <c r="G53" s="524">
        <f t="shared" si="15"/>
        <v>206951.44781541923</v>
      </c>
      <c r="H53" s="491">
        <f t="shared" si="16"/>
        <v>206951.44781541923</v>
      </c>
      <c r="I53" s="511">
        <f t="shared" si="4"/>
        <v>0</v>
      </c>
      <c r="J53" s="511"/>
      <c r="K53" s="525"/>
      <c r="L53" s="514">
        <f t="shared" si="14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695503.67420252599</v>
      </c>
      <c r="E54" s="522">
        <f t="shared" si="10"/>
        <v>125933.19047619047</v>
      </c>
      <c r="F54" s="523">
        <f t="shared" si="11"/>
        <v>569570.48372633546</v>
      </c>
      <c r="G54" s="524">
        <f t="shared" si="15"/>
        <v>193499.51957955729</v>
      </c>
      <c r="H54" s="491">
        <f t="shared" si="16"/>
        <v>193499.51957955729</v>
      </c>
      <c r="I54" s="511">
        <f t="shared" si="4"/>
        <v>0</v>
      </c>
      <c r="J54" s="511"/>
      <c r="K54" s="525"/>
      <c r="L54" s="514">
        <f t="shared" si="14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569570.48372633546</v>
      </c>
      <c r="E55" s="522">
        <f t="shared" si="10"/>
        <v>125933.19047619047</v>
      </c>
      <c r="F55" s="523">
        <f t="shared" si="11"/>
        <v>443637.29325014498</v>
      </c>
      <c r="G55" s="524">
        <f t="shared" si="15"/>
        <v>180047.59134369533</v>
      </c>
      <c r="H55" s="491">
        <f t="shared" si="16"/>
        <v>180047.59134369533</v>
      </c>
      <c r="I55" s="511">
        <f t="shared" si="4"/>
        <v>0</v>
      </c>
      <c r="J55" s="511"/>
      <c r="K55" s="525"/>
      <c r="L55" s="514">
        <f t="shared" si="14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443637.29325014498</v>
      </c>
      <c r="E56" s="522">
        <f t="shared" si="10"/>
        <v>125933.19047619047</v>
      </c>
      <c r="F56" s="523">
        <f t="shared" si="11"/>
        <v>317704.10277395451</v>
      </c>
      <c r="G56" s="524">
        <f t="shared" si="15"/>
        <v>166595.66310783339</v>
      </c>
      <c r="H56" s="491">
        <f t="shared" si="16"/>
        <v>166595.66310783339</v>
      </c>
      <c r="I56" s="511">
        <f t="shared" si="4"/>
        <v>0</v>
      </c>
      <c r="J56" s="511"/>
      <c r="K56" s="525"/>
      <c r="L56" s="514">
        <f t="shared" si="14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317704.10277395451</v>
      </c>
      <c r="E57" s="522">
        <f t="shared" si="10"/>
        <v>125933.19047619047</v>
      </c>
      <c r="F57" s="523">
        <f t="shared" si="11"/>
        <v>191770.91229776404</v>
      </c>
      <c r="G57" s="524">
        <f t="shared" si="15"/>
        <v>153143.73487197142</v>
      </c>
      <c r="H57" s="491">
        <f t="shared" si="16"/>
        <v>153143.73487197142</v>
      </c>
      <c r="I57" s="511">
        <f t="shared" si="4"/>
        <v>0</v>
      </c>
      <c r="J57" s="511"/>
      <c r="K57" s="525"/>
      <c r="L57" s="514">
        <f t="shared" si="14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191770.91229776404</v>
      </c>
      <c r="E58" s="522">
        <f t="shared" si="10"/>
        <v>125933.19047619047</v>
      </c>
      <c r="F58" s="523">
        <f t="shared" si="11"/>
        <v>65837.721821573563</v>
      </c>
      <c r="G58" s="524">
        <f t="shared" si="15"/>
        <v>139691.80663610948</v>
      </c>
      <c r="H58" s="491">
        <f t="shared" si="16"/>
        <v>139691.80663610948</v>
      </c>
      <c r="I58" s="511">
        <f t="shared" si="4"/>
        <v>0</v>
      </c>
      <c r="J58" s="511"/>
      <c r="K58" s="525"/>
      <c r="L58" s="514">
        <f t="shared" si="14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65837.721821573563</v>
      </c>
      <c r="E59" s="522">
        <f t="shared" si="10"/>
        <v>65837.721821573563</v>
      </c>
      <c r="F59" s="523">
        <f t="shared" si="11"/>
        <v>0</v>
      </c>
      <c r="G59" s="524">
        <f t="shared" si="15"/>
        <v>69354.047842567583</v>
      </c>
      <c r="H59" s="491">
        <f t="shared" si="16"/>
        <v>69354.047842567583</v>
      </c>
      <c r="I59" s="511">
        <f t="shared" si="4"/>
        <v>0</v>
      </c>
      <c r="J59" s="511"/>
      <c r="K59" s="525"/>
      <c r="L59" s="514">
        <f t="shared" si="14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0"/>
        <v>0</v>
      </c>
      <c r="F60" s="523">
        <f t="shared" si="11"/>
        <v>0</v>
      </c>
      <c r="G60" s="524">
        <f t="shared" si="15"/>
        <v>0</v>
      </c>
      <c r="H60" s="491">
        <f t="shared" si="16"/>
        <v>0</v>
      </c>
      <c r="I60" s="511">
        <f t="shared" si="4"/>
        <v>0</v>
      </c>
      <c r="J60" s="511"/>
      <c r="K60" s="525"/>
      <c r="L60" s="514">
        <f t="shared" si="14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0"/>
        <v>0</v>
      </c>
      <c r="F61" s="523">
        <f t="shared" si="11"/>
        <v>0</v>
      </c>
      <c r="G61" s="524">
        <f t="shared" si="15"/>
        <v>0</v>
      </c>
      <c r="H61" s="491">
        <f t="shared" si="16"/>
        <v>0</v>
      </c>
      <c r="I61" s="511">
        <f t="shared" si="4"/>
        <v>0</v>
      </c>
      <c r="J61" s="511"/>
      <c r="K61" s="525"/>
      <c r="L61" s="514">
        <f t="shared" si="14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0"/>
        <v>0</v>
      </c>
      <c r="F62" s="523">
        <f t="shared" si="11"/>
        <v>0</v>
      </c>
      <c r="G62" s="524">
        <f t="shared" si="15"/>
        <v>0</v>
      </c>
      <c r="H62" s="491">
        <f t="shared" si="16"/>
        <v>0</v>
      </c>
      <c r="I62" s="511">
        <f t="shared" si="4"/>
        <v>0</v>
      </c>
      <c r="J62" s="511"/>
      <c r="K62" s="525"/>
      <c r="L62" s="514">
        <f t="shared" si="14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0"/>
        <v>0</v>
      </c>
      <c r="F63" s="523">
        <f t="shared" si="11"/>
        <v>0</v>
      </c>
      <c r="G63" s="524">
        <f t="shared" si="15"/>
        <v>0</v>
      </c>
      <c r="H63" s="491">
        <f t="shared" si="16"/>
        <v>0</v>
      </c>
      <c r="I63" s="511">
        <f t="shared" si="4"/>
        <v>0</v>
      </c>
      <c r="J63" s="511"/>
      <c r="K63" s="525"/>
      <c r="L63" s="514">
        <f t="shared" si="14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0"/>
        <v>0</v>
      </c>
      <c r="F64" s="523">
        <f t="shared" si="11"/>
        <v>0</v>
      </c>
      <c r="G64" s="524">
        <f t="shared" si="15"/>
        <v>0</v>
      </c>
      <c r="H64" s="491">
        <f t="shared" si="16"/>
        <v>0</v>
      </c>
      <c r="I64" s="511">
        <f t="shared" si="4"/>
        <v>0</v>
      </c>
      <c r="J64" s="511"/>
      <c r="K64" s="525"/>
      <c r="L64" s="514">
        <f t="shared" si="14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0"/>
        <v>0</v>
      </c>
      <c r="F65" s="523">
        <f t="shared" si="11"/>
        <v>0</v>
      </c>
      <c r="G65" s="524">
        <f t="shared" si="15"/>
        <v>0</v>
      </c>
      <c r="H65" s="491">
        <f t="shared" si="16"/>
        <v>0</v>
      </c>
      <c r="I65" s="511">
        <f t="shared" si="4"/>
        <v>0</v>
      </c>
      <c r="J65" s="511"/>
      <c r="K65" s="525"/>
      <c r="L65" s="514">
        <f t="shared" si="14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0"/>
        <v>0</v>
      </c>
      <c r="F66" s="523">
        <f t="shared" si="11"/>
        <v>0</v>
      </c>
      <c r="G66" s="524">
        <f t="shared" si="15"/>
        <v>0</v>
      </c>
      <c r="H66" s="491">
        <f t="shared" si="16"/>
        <v>0</v>
      </c>
      <c r="I66" s="511">
        <f t="shared" si="4"/>
        <v>0</v>
      </c>
      <c r="J66" s="511"/>
      <c r="K66" s="525"/>
      <c r="L66" s="514">
        <f t="shared" si="14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0"/>
        <v>0</v>
      </c>
      <c r="F67" s="523">
        <f t="shared" si="11"/>
        <v>0</v>
      </c>
      <c r="G67" s="524">
        <f t="shared" si="15"/>
        <v>0</v>
      </c>
      <c r="H67" s="491">
        <f t="shared" si="16"/>
        <v>0</v>
      </c>
      <c r="I67" s="511">
        <f t="shared" si="4"/>
        <v>0</v>
      </c>
      <c r="J67" s="511"/>
      <c r="K67" s="525"/>
      <c r="L67" s="514">
        <f t="shared" si="14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0"/>
        <v>0</v>
      </c>
      <c r="F68" s="523">
        <f t="shared" si="11"/>
        <v>0</v>
      </c>
      <c r="G68" s="524">
        <f t="shared" si="15"/>
        <v>0</v>
      </c>
      <c r="H68" s="491">
        <f t="shared" si="16"/>
        <v>0</v>
      </c>
      <c r="I68" s="511">
        <f t="shared" si="4"/>
        <v>0</v>
      </c>
      <c r="J68" s="511"/>
      <c r="K68" s="525"/>
      <c r="L68" s="514">
        <f t="shared" si="14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0"/>
        <v>0</v>
      </c>
      <c r="F69" s="523">
        <f t="shared" si="11"/>
        <v>0</v>
      </c>
      <c r="G69" s="524">
        <f t="shared" si="15"/>
        <v>0</v>
      </c>
      <c r="H69" s="491">
        <f t="shared" si="16"/>
        <v>0</v>
      </c>
      <c r="I69" s="511">
        <f t="shared" si="4"/>
        <v>0</v>
      </c>
      <c r="J69" s="511"/>
      <c r="K69" s="525"/>
      <c r="L69" s="514">
        <f t="shared" si="14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0"/>
        <v>0</v>
      </c>
      <c r="F70" s="523">
        <f t="shared" si="11"/>
        <v>0</v>
      </c>
      <c r="G70" s="524">
        <f t="shared" si="15"/>
        <v>0</v>
      </c>
      <c r="H70" s="491">
        <f t="shared" si="16"/>
        <v>0</v>
      </c>
      <c r="I70" s="511">
        <f t="shared" si="4"/>
        <v>0</v>
      </c>
      <c r="J70" s="511"/>
      <c r="K70" s="525"/>
      <c r="L70" s="514">
        <f t="shared" si="14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0"/>
        <v>0</v>
      </c>
      <c r="F71" s="523">
        <f t="shared" si="11"/>
        <v>0</v>
      </c>
      <c r="G71" s="524">
        <f t="shared" si="15"/>
        <v>0</v>
      </c>
      <c r="H71" s="491">
        <f t="shared" si="16"/>
        <v>0</v>
      </c>
      <c r="I71" s="511">
        <f t="shared" si="4"/>
        <v>0</v>
      </c>
      <c r="J71" s="511"/>
      <c r="K71" s="525"/>
      <c r="L71" s="514">
        <f t="shared" si="14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0"/>
        <v>0</v>
      </c>
      <c r="F72" s="523">
        <f t="shared" si="11"/>
        <v>0</v>
      </c>
      <c r="G72" s="524">
        <f t="shared" si="15"/>
        <v>0</v>
      </c>
      <c r="H72" s="491">
        <f t="shared" si="16"/>
        <v>0</v>
      </c>
      <c r="I72" s="511">
        <f t="shared" si="4"/>
        <v>0</v>
      </c>
      <c r="J72" s="511"/>
      <c r="K72" s="532"/>
      <c r="L72" s="533">
        <f t="shared" si="14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5289194</v>
      </c>
      <c r="F73" s="375"/>
      <c r="G73" s="375">
        <f>SUM(G17:G72)</f>
        <v>17877477.047047459</v>
      </c>
      <c r="H73" s="375">
        <f>SUM(H17:H72)</f>
        <v>17877477.047047459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42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593403.20733019966</v>
      </c>
      <c r="N87" s="546">
        <f>IF(J92&lt;D11,0,VLOOKUP(J92,C17:O72,11))</f>
        <v>593403.20733019966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614259.46268042875</v>
      </c>
      <c r="N88" s="550">
        <f>IF(J92&lt;D11,0,VLOOKUP(J92,C99:P154,7))</f>
        <v>614259.46268042875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Northwest Henderson to Poynter 69 kV Rebuild 3.2 miles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20856.255350229098</v>
      </c>
      <c r="N89" s="555">
        <f>+N88-N87</f>
        <v>20856.255350229098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TP2004031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5289194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125933.19047619047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62966.595238095237</v>
      </c>
      <c r="F99" s="631">
        <v>5226227.4047619049</v>
      </c>
      <c r="G99" s="632">
        <v>2613113.7023809524</v>
      </c>
      <c r="H99" s="633">
        <v>418150</v>
      </c>
      <c r="I99" s="634">
        <v>418150</v>
      </c>
      <c r="J99" s="514">
        <f>+I99-H99</f>
        <v>0</v>
      </c>
      <c r="K99" s="514"/>
      <c r="L99" s="518">
        <f t="shared" ref="L99:L104" si="17">H99</f>
        <v>418150</v>
      </c>
      <c r="M99" s="519">
        <f t="shared" ref="M99:M104" si="18">IF(L99&lt;&gt;0,+H99-L99,0)</f>
        <v>0</v>
      </c>
      <c r="N99" s="518">
        <f t="shared" ref="N99:N104" si="19">I99</f>
        <v>418150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2015</v>
      </c>
      <c r="D100" s="629">
        <v>5226227.4047619049</v>
      </c>
      <c r="E100" s="630">
        <v>125933.19047619047</v>
      </c>
      <c r="F100" s="631">
        <v>5100294.2142857146</v>
      </c>
      <c r="G100" s="631">
        <v>5163260.8095238097</v>
      </c>
      <c r="H100" s="633">
        <v>806290.27352306223</v>
      </c>
      <c r="I100" s="634">
        <v>806290.27352306223</v>
      </c>
      <c r="J100" s="514">
        <f>+I100-H100</f>
        <v>0</v>
      </c>
      <c r="K100" s="514"/>
      <c r="L100" s="518">
        <f t="shared" si="17"/>
        <v>806290.27352306223</v>
      </c>
      <c r="M100" s="519">
        <f t="shared" si="18"/>
        <v>0</v>
      </c>
      <c r="N100" s="518">
        <f t="shared" si="19"/>
        <v>806290.27352306223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0">IF(D101=F100,"","IU")</f>
        <v/>
      </c>
      <c r="C101" s="507">
        <f>IF(D93="","-",+C100+1)</f>
        <v>2016</v>
      </c>
      <c r="D101" s="629">
        <v>5100294.2142857146</v>
      </c>
      <c r="E101" s="630">
        <v>123004.51162790698</v>
      </c>
      <c r="F101" s="631">
        <v>4977289.7026578076</v>
      </c>
      <c r="G101" s="631">
        <v>5038791.9584717611</v>
      </c>
      <c r="H101" s="633">
        <v>762679.09174338926</v>
      </c>
      <c r="I101" s="634">
        <v>762679.09174338926</v>
      </c>
      <c r="J101" s="514">
        <f t="shared" ref="J101:J154" si="21">+I101-H101</f>
        <v>0</v>
      </c>
      <c r="K101" s="514"/>
      <c r="L101" s="518">
        <f t="shared" si="17"/>
        <v>762679.09174338926</v>
      </c>
      <c r="M101" s="519">
        <f t="shared" si="18"/>
        <v>0</v>
      </c>
      <c r="N101" s="518">
        <f t="shared" si="19"/>
        <v>762679.09174338926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0"/>
        <v/>
      </c>
      <c r="C102" s="507">
        <f>IF(D93="","-",+C101+1)</f>
        <v>2017</v>
      </c>
      <c r="D102" s="629">
        <v>4977289.7026578076</v>
      </c>
      <c r="E102" s="630">
        <v>125933.19047619047</v>
      </c>
      <c r="F102" s="631">
        <v>4851356.5121816173</v>
      </c>
      <c r="G102" s="631">
        <v>4914323.1074197125</v>
      </c>
      <c r="H102" s="633">
        <v>722883.18186453939</v>
      </c>
      <c r="I102" s="634">
        <v>722883.18186453939</v>
      </c>
      <c r="J102" s="514">
        <f t="shared" si="21"/>
        <v>0</v>
      </c>
      <c r="K102" s="514"/>
      <c r="L102" s="518">
        <f t="shared" si="17"/>
        <v>722883.18186453939</v>
      </c>
      <c r="M102" s="519">
        <f t="shared" si="18"/>
        <v>0</v>
      </c>
      <c r="N102" s="518">
        <f t="shared" si="19"/>
        <v>722883.18186453939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20"/>
        <v/>
      </c>
      <c r="C103" s="507">
        <f>IF(D93="","-",+C102+1)</f>
        <v>2018</v>
      </c>
      <c r="D103" s="629">
        <v>4851356.5121816173</v>
      </c>
      <c r="E103" s="630">
        <v>125933.19047619047</v>
      </c>
      <c r="F103" s="631">
        <v>4725423.321705427</v>
      </c>
      <c r="G103" s="631">
        <v>4788389.9169435222</v>
      </c>
      <c r="H103" s="633">
        <v>631609.12439866643</v>
      </c>
      <c r="I103" s="634">
        <v>631609.12439866643</v>
      </c>
      <c r="J103" s="514">
        <f t="shared" si="21"/>
        <v>0</v>
      </c>
      <c r="K103" s="514"/>
      <c r="L103" s="518">
        <f t="shared" si="17"/>
        <v>631609.12439866643</v>
      </c>
      <c r="M103" s="519">
        <f t="shared" si="18"/>
        <v>0</v>
      </c>
      <c r="N103" s="518">
        <f t="shared" si="19"/>
        <v>631609.12439866643</v>
      </c>
      <c r="O103" s="514">
        <f t="shared" ref="O103:O130" si="22">IF(N103&lt;&gt;0,+I103-N103,0)</f>
        <v>0</v>
      </c>
      <c r="P103" s="514">
        <f t="shared" ref="P103:P130" si="23">+O103-M103</f>
        <v>0</v>
      </c>
    </row>
    <row r="104" spans="1:16" ht="12.5">
      <c r="B104" s="195" t="str">
        <f t="shared" si="20"/>
        <v/>
      </c>
      <c r="C104" s="507">
        <f>IF(D93="","-",+C103+1)</f>
        <v>2019</v>
      </c>
      <c r="D104" s="629">
        <v>4725423.321705427</v>
      </c>
      <c r="E104" s="630">
        <v>123004.51162790698</v>
      </c>
      <c r="F104" s="631">
        <v>4602418.8100775201</v>
      </c>
      <c r="G104" s="631">
        <v>4663921.0658914736</v>
      </c>
      <c r="H104" s="633">
        <v>622233.17154996516</v>
      </c>
      <c r="I104" s="634">
        <v>622233.17154996516</v>
      </c>
      <c r="J104" s="514">
        <f t="shared" si="21"/>
        <v>0</v>
      </c>
      <c r="K104" s="514"/>
      <c r="L104" s="518">
        <f t="shared" si="17"/>
        <v>622233.17154996516</v>
      </c>
      <c r="M104" s="519">
        <f t="shared" si="18"/>
        <v>0</v>
      </c>
      <c r="N104" s="518">
        <f t="shared" si="19"/>
        <v>622233.17154996516</v>
      </c>
      <c r="O104" s="514">
        <f t="shared" si="22"/>
        <v>0</v>
      </c>
      <c r="P104" s="514">
        <f t="shared" si="23"/>
        <v>0</v>
      </c>
    </row>
    <row r="105" spans="1:16" ht="12.5">
      <c r="B105" s="195" t="str">
        <f t="shared" si="20"/>
        <v/>
      </c>
      <c r="C105" s="507">
        <f>IF(D93="","-",+C104+1)</f>
        <v>2020</v>
      </c>
      <c r="D105" s="374">
        <f>IF(F104+SUM(E$99:E104)=D$92,F104,D$92-SUM(E$99:E104))</f>
        <v>4602418.8100775201</v>
      </c>
      <c r="E105" s="522">
        <f t="shared" ref="E105:E154" si="24">IF(+$J$96&lt;F104,$J$96,D105)</f>
        <v>125933.19047619047</v>
      </c>
      <c r="F105" s="523">
        <f t="shared" ref="F105:F154" si="25">+D105-E105</f>
        <v>4476485.6196013298</v>
      </c>
      <c r="G105" s="523">
        <f t="shared" ref="G105:G154" si="26">+(F105+D105)/2</f>
        <v>4539452.2148394249</v>
      </c>
      <c r="H105" s="526">
        <f t="shared" ref="H105:H154" si="27">+J$94*G105+E105</f>
        <v>614259.46268042875</v>
      </c>
      <c r="I105" s="577">
        <f t="shared" ref="I105:I154" si="28">+J$95*G105+E105</f>
        <v>614259.46268042875</v>
      </c>
      <c r="J105" s="514">
        <f t="shared" si="21"/>
        <v>0</v>
      </c>
      <c r="K105" s="514"/>
      <c r="L105" s="525"/>
      <c r="M105" s="514">
        <f t="shared" ref="M105:M130" si="29">IF(L105&lt;&gt;0,+H105-L105,0)</f>
        <v>0</v>
      </c>
      <c r="N105" s="525"/>
      <c r="O105" s="514">
        <f t="shared" si="22"/>
        <v>0</v>
      </c>
      <c r="P105" s="514">
        <f t="shared" si="23"/>
        <v>0</v>
      </c>
    </row>
    <row r="106" spans="1:16" ht="12.5">
      <c r="B106" s="195" t="str">
        <f t="shared" si="20"/>
        <v/>
      </c>
      <c r="C106" s="507">
        <f>IF(D93="","-",+C105+1)</f>
        <v>2021</v>
      </c>
      <c r="D106" s="374">
        <f>IF(F105+SUM(E$99:E105)=D$92,F105,D$92-SUM(E$99:E105))</f>
        <v>4476485.6196013298</v>
      </c>
      <c r="E106" s="522">
        <f t="shared" si="24"/>
        <v>125933.19047619047</v>
      </c>
      <c r="F106" s="523">
        <f t="shared" si="25"/>
        <v>4350552.4291251395</v>
      </c>
      <c r="G106" s="523">
        <f t="shared" si="26"/>
        <v>4413519.0243632346</v>
      </c>
      <c r="H106" s="526">
        <f t="shared" si="27"/>
        <v>600712.34674185957</v>
      </c>
      <c r="I106" s="577">
        <f t="shared" si="28"/>
        <v>600712.34674185957</v>
      </c>
      <c r="J106" s="514">
        <f t="shared" si="21"/>
        <v>0</v>
      </c>
      <c r="K106" s="514"/>
      <c r="L106" s="525"/>
      <c r="M106" s="514">
        <f t="shared" si="29"/>
        <v>0</v>
      </c>
      <c r="N106" s="525"/>
      <c r="O106" s="514">
        <f t="shared" si="22"/>
        <v>0</v>
      </c>
      <c r="P106" s="514">
        <f t="shared" si="23"/>
        <v>0</v>
      </c>
    </row>
    <row r="107" spans="1:16" ht="12.5">
      <c r="B107" s="195" t="str">
        <f t="shared" si="20"/>
        <v/>
      </c>
      <c r="C107" s="507">
        <f>IF(D93="","-",+C106+1)</f>
        <v>2022</v>
      </c>
      <c r="D107" s="374">
        <f>IF(F106+SUM(E$99:E106)=D$92,F106,D$92-SUM(E$99:E106))</f>
        <v>4350552.4291251395</v>
      </c>
      <c r="E107" s="522">
        <f t="shared" si="24"/>
        <v>125933.19047619047</v>
      </c>
      <c r="F107" s="523">
        <f t="shared" si="25"/>
        <v>4224619.2386489492</v>
      </c>
      <c r="G107" s="523">
        <f t="shared" si="26"/>
        <v>4287585.8338870443</v>
      </c>
      <c r="H107" s="526">
        <f t="shared" si="27"/>
        <v>587165.2308032905</v>
      </c>
      <c r="I107" s="577">
        <f t="shared" si="28"/>
        <v>587165.2308032905</v>
      </c>
      <c r="J107" s="514">
        <f t="shared" si="21"/>
        <v>0</v>
      </c>
      <c r="K107" s="514"/>
      <c r="L107" s="525"/>
      <c r="M107" s="514">
        <f t="shared" si="29"/>
        <v>0</v>
      </c>
      <c r="N107" s="525"/>
      <c r="O107" s="514">
        <f t="shared" si="22"/>
        <v>0</v>
      </c>
      <c r="P107" s="514">
        <f t="shared" si="23"/>
        <v>0</v>
      </c>
    </row>
    <row r="108" spans="1:16" ht="12.5">
      <c r="B108" s="195" t="str">
        <f t="shared" si="20"/>
        <v/>
      </c>
      <c r="C108" s="507">
        <f>IF(D93="","-",+C107+1)</f>
        <v>2023</v>
      </c>
      <c r="D108" s="374">
        <f>IF(F107+SUM(E$99:E107)=D$92,F107,D$92-SUM(E$99:E107))</f>
        <v>4224619.2386489492</v>
      </c>
      <c r="E108" s="522">
        <f t="shared" si="24"/>
        <v>125933.19047619047</v>
      </c>
      <c r="F108" s="523">
        <f t="shared" si="25"/>
        <v>4098686.0481727589</v>
      </c>
      <c r="G108" s="523">
        <f t="shared" si="26"/>
        <v>4161652.643410854</v>
      </c>
      <c r="H108" s="526">
        <f t="shared" si="27"/>
        <v>573618.11486472131</v>
      </c>
      <c r="I108" s="577">
        <f t="shared" si="28"/>
        <v>573618.11486472131</v>
      </c>
      <c r="J108" s="514">
        <f t="shared" si="21"/>
        <v>0</v>
      </c>
      <c r="K108" s="514"/>
      <c r="L108" s="525"/>
      <c r="M108" s="514">
        <f t="shared" si="29"/>
        <v>0</v>
      </c>
      <c r="N108" s="525"/>
      <c r="O108" s="514">
        <f t="shared" si="22"/>
        <v>0</v>
      </c>
      <c r="P108" s="514">
        <f t="shared" si="23"/>
        <v>0</v>
      </c>
    </row>
    <row r="109" spans="1:16" ht="12.5">
      <c r="B109" s="195" t="str">
        <f t="shared" si="20"/>
        <v/>
      </c>
      <c r="C109" s="507">
        <f>IF(D93="","-",+C108+1)</f>
        <v>2024</v>
      </c>
      <c r="D109" s="374">
        <f>IF(F108+SUM(E$99:E108)=D$92,F108,D$92-SUM(E$99:E108))</f>
        <v>4098686.0481727589</v>
      </c>
      <c r="E109" s="522">
        <f t="shared" si="24"/>
        <v>125933.19047619047</v>
      </c>
      <c r="F109" s="523">
        <f t="shared" si="25"/>
        <v>3972752.8576965686</v>
      </c>
      <c r="G109" s="523">
        <f t="shared" si="26"/>
        <v>4035719.4529346637</v>
      </c>
      <c r="H109" s="526">
        <f t="shared" si="27"/>
        <v>560070.99892615213</v>
      </c>
      <c r="I109" s="577">
        <f t="shared" si="28"/>
        <v>560070.99892615213</v>
      </c>
      <c r="J109" s="514">
        <f t="shared" si="21"/>
        <v>0</v>
      </c>
      <c r="K109" s="514"/>
      <c r="L109" s="525"/>
      <c r="M109" s="514">
        <f t="shared" si="29"/>
        <v>0</v>
      </c>
      <c r="N109" s="525"/>
      <c r="O109" s="514">
        <f t="shared" si="22"/>
        <v>0</v>
      </c>
      <c r="P109" s="514">
        <f t="shared" si="23"/>
        <v>0</v>
      </c>
    </row>
    <row r="110" spans="1:16" ht="12.5">
      <c r="B110" s="195" t="str">
        <f t="shared" si="20"/>
        <v/>
      </c>
      <c r="C110" s="507">
        <f>IF(D93="","-",+C109+1)</f>
        <v>2025</v>
      </c>
      <c r="D110" s="374">
        <f>IF(F109+SUM(E$99:E109)=D$92,F109,D$92-SUM(E$99:E109))</f>
        <v>3972752.8576965686</v>
      </c>
      <c r="E110" s="522">
        <f t="shared" si="24"/>
        <v>125933.19047619047</v>
      </c>
      <c r="F110" s="523">
        <f t="shared" si="25"/>
        <v>3846819.6672203783</v>
      </c>
      <c r="G110" s="523">
        <f t="shared" si="26"/>
        <v>3909786.2624584734</v>
      </c>
      <c r="H110" s="526">
        <f t="shared" si="27"/>
        <v>546523.88298758306</v>
      </c>
      <c r="I110" s="577">
        <f t="shared" si="28"/>
        <v>546523.88298758306</v>
      </c>
      <c r="J110" s="514">
        <f t="shared" si="21"/>
        <v>0</v>
      </c>
      <c r="K110" s="514"/>
      <c r="L110" s="525"/>
      <c r="M110" s="514">
        <f t="shared" si="29"/>
        <v>0</v>
      </c>
      <c r="N110" s="525"/>
      <c r="O110" s="514">
        <f t="shared" si="22"/>
        <v>0</v>
      </c>
      <c r="P110" s="514">
        <f t="shared" si="23"/>
        <v>0</v>
      </c>
    </row>
    <row r="111" spans="1:16" ht="12.5">
      <c r="B111" s="195" t="str">
        <f t="shared" si="20"/>
        <v/>
      </c>
      <c r="C111" s="507">
        <f>IF(D93="","-",+C110+1)</f>
        <v>2026</v>
      </c>
      <c r="D111" s="374">
        <f>IF(F110+SUM(E$99:E110)=D$92,F110,D$92-SUM(E$99:E110))</f>
        <v>3846819.6672203783</v>
      </c>
      <c r="E111" s="522">
        <f t="shared" si="24"/>
        <v>125933.19047619047</v>
      </c>
      <c r="F111" s="523">
        <f t="shared" si="25"/>
        <v>3720886.476744188</v>
      </c>
      <c r="G111" s="523">
        <f t="shared" si="26"/>
        <v>3783853.0719822831</v>
      </c>
      <c r="H111" s="526">
        <f t="shared" si="27"/>
        <v>532976.76704901387</v>
      </c>
      <c r="I111" s="577">
        <f t="shared" si="28"/>
        <v>532976.76704901387</v>
      </c>
      <c r="J111" s="514">
        <f t="shared" si="21"/>
        <v>0</v>
      </c>
      <c r="K111" s="514"/>
      <c r="L111" s="525"/>
      <c r="M111" s="514">
        <f t="shared" si="29"/>
        <v>0</v>
      </c>
      <c r="N111" s="525"/>
      <c r="O111" s="514">
        <f t="shared" si="22"/>
        <v>0</v>
      </c>
      <c r="P111" s="514">
        <f t="shared" si="23"/>
        <v>0</v>
      </c>
    </row>
    <row r="112" spans="1:16" ht="12.5">
      <c r="B112" s="195" t="str">
        <f t="shared" si="20"/>
        <v/>
      </c>
      <c r="C112" s="507">
        <f>IF(D93="","-",+C111+1)</f>
        <v>2027</v>
      </c>
      <c r="D112" s="374">
        <f>IF(F111+SUM(E$99:E111)=D$92,F111,D$92-SUM(E$99:E111))</f>
        <v>3720886.476744188</v>
      </c>
      <c r="E112" s="522">
        <f t="shared" si="24"/>
        <v>125933.19047619047</v>
      </c>
      <c r="F112" s="523">
        <f t="shared" si="25"/>
        <v>3594953.2862679977</v>
      </c>
      <c r="G112" s="523">
        <f t="shared" si="26"/>
        <v>3657919.8815060928</v>
      </c>
      <c r="H112" s="526">
        <f t="shared" si="27"/>
        <v>519429.65111044463</v>
      </c>
      <c r="I112" s="577">
        <f t="shared" si="28"/>
        <v>519429.65111044463</v>
      </c>
      <c r="J112" s="514">
        <f t="shared" si="21"/>
        <v>0</v>
      </c>
      <c r="K112" s="514"/>
      <c r="L112" s="525"/>
      <c r="M112" s="514">
        <f t="shared" si="29"/>
        <v>0</v>
      </c>
      <c r="N112" s="525"/>
      <c r="O112" s="514">
        <f t="shared" si="22"/>
        <v>0</v>
      </c>
      <c r="P112" s="514">
        <f t="shared" si="23"/>
        <v>0</v>
      </c>
    </row>
    <row r="113" spans="2:16" ht="12.5">
      <c r="B113" s="195" t="str">
        <f t="shared" si="20"/>
        <v/>
      </c>
      <c r="C113" s="507">
        <f>IF(D93="","-",+C112+1)</f>
        <v>2028</v>
      </c>
      <c r="D113" s="374">
        <f>IF(F112+SUM(E$99:E112)=D$92,F112,D$92-SUM(E$99:E112))</f>
        <v>3594953.2862679977</v>
      </c>
      <c r="E113" s="522">
        <f t="shared" si="24"/>
        <v>125933.19047619047</v>
      </c>
      <c r="F113" s="523">
        <f t="shared" si="25"/>
        <v>3469020.0957918074</v>
      </c>
      <c r="G113" s="523">
        <f t="shared" si="26"/>
        <v>3531986.6910299025</v>
      </c>
      <c r="H113" s="526">
        <f t="shared" si="27"/>
        <v>505882.53517187544</v>
      </c>
      <c r="I113" s="577">
        <f t="shared" si="28"/>
        <v>505882.53517187544</v>
      </c>
      <c r="J113" s="514">
        <f t="shared" si="21"/>
        <v>0</v>
      </c>
      <c r="K113" s="514"/>
      <c r="L113" s="525"/>
      <c r="M113" s="514">
        <f t="shared" si="29"/>
        <v>0</v>
      </c>
      <c r="N113" s="525"/>
      <c r="O113" s="514">
        <f t="shared" si="22"/>
        <v>0</v>
      </c>
      <c r="P113" s="514">
        <f t="shared" si="23"/>
        <v>0</v>
      </c>
    </row>
    <row r="114" spans="2:16" ht="12.5">
      <c r="B114" s="195" t="str">
        <f t="shared" si="20"/>
        <v/>
      </c>
      <c r="C114" s="507">
        <f>IF(D93="","-",+C113+1)</f>
        <v>2029</v>
      </c>
      <c r="D114" s="374">
        <f>IF(F113+SUM(E$99:E113)=D$92,F113,D$92-SUM(E$99:E113))</f>
        <v>3469020.0957918074</v>
      </c>
      <c r="E114" s="522">
        <f t="shared" si="24"/>
        <v>125933.19047619047</v>
      </c>
      <c r="F114" s="523">
        <f t="shared" si="25"/>
        <v>3343086.9053156171</v>
      </c>
      <c r="G114" s="523">
        <f t="shared" si="26"/>
        <v>3406053.5005537122</v>
      </c>
      <c r="H114" s="526">
        <f t="shared" si="27"/>
        <v>492335.41923330631</v>
      </c>
      <c r="I114" s="577">
        <f t="shared" si="28"/>
        <v>492335.41923330631</v>
      </c>
      <c r="J114" s="514">
        <f t="shared" si="21"/>
        <v>0</v>
      </c>
      <c r="K114" s="514"/>
      <c r="L114" s="525"/>
      <c r="M114" s="514">
        <f t="shared" si="29"/>
        <v>0</v>
      </c>
      <c r="N114" s="525"/>
      <c r="O114" s="514">
        <f t="shared" si="22"/>
        <v>0</v>
      </c>
      <c r="P114" s="514">
        <f t="shared" si="23"/>
        <v>0</v>
      </c>
    </row>
    <row r="115" spans="2:16" ht="12.5">
      <c r="B115" s="195" t="str">
        <f t="shared" si="20"/>
        <v/>
      </c>
      <c r="C115" s="507">
        <f>IF(D93="","-",+C114+1)</f>
        <v>2030</v>
      </c>
      <c r="D115" s="374">
        <f>IF(F114+SUM(E$99:E114)=D$92,F114,D$92-SUM(E$99:E114))</f>
        <v>3343086.9053156171</v>
      </c>
      <c r="E115" s="522">
        <f t="shared" si="24"/>
        <v>125933.19047619047</v>
      </c>
      <c r="F115" s="523">
        <f t="shared" si="25"/>
        <v>3217153.7148394268</v>
      </c>
      <c r="G115" s="523">
        <f t="shared" si="26"/>
        <v>3280120.310077522</v>
      </c>
      <c r="H115" s="526">
        <f t="shared" si="27"/>
        <v>478788.30329473712</v>
      </c>
      <c r="I115" s="577">
        <f t="shared" si="28"/>
        <v>478788.30329473712</v>
      </c>
      <c r="J115" s="514">
        <f t="shared" si="21"/>
        <v>0</v>
      </c>
      <c r="K115" s="514"/>
      <c r="L115" s="525"/>
      <c r="M115" s="514">
        <f t="shared" si="29"/>
        <v>0</v>
      </c>
      <c r="N115" s="525"/>
      <c r="O115" s="514">
        <f t="shared" si="22"/>
        <v>0</v>
      </c>
      <c r="P115" s="514">
        <f t="shared" si="23"/>
        <v>0</v>
      </c>
    </row>
    <row r="116" spans="2:16" ht="12.5">
      <c r="B116" s="195" t="str">
        <f t="shared" si="20"/>
        <v/>
      </c>
      <c r="C116" s="507">
        <f>IF(D93="","-",+C115+1)</f>
        <v>2031</v>
      </c>
      <c r="D116" s="374">
        <f>IF(F115+SUM(E$99:E115)=D$92,F115,D$92-SUM(E$99:E115))</f>
        <v>3217153.7148394268</v>
      </c>
      <c r="E116" s="522">
        <f t="shared" si="24"/>
        <v>125933.19047619047</v>
      </c>
      <c r="F116" s="523">
        <f t="shared" si="25"/>
        <v>3091220.5243632365</v>
      </c>
      <c r="G116" s="523">
        <f t="shared" si="26"/>
        <v>3154187.1196013317</v>
      </c>
      <c r="H116" s="526">
        <f t="shared" si="27"/>
        <v>465241.18735616794</v>
      </c>
      <c r="I116" s="577">
        <f t="shared" si="28"/>
        <v>465241.18735616794</v>
      </c>
      <c r="J116" s="514">
        <f t="shared" si="21"/>
        <v>0</v>
      </c>
      <c r="K116" s="514"/>
      <c r="L116" s="525"/>
      <c r="M116" s="514">
        <f t="shared" si="29"/>
        <v>0</v>
      </c>
      <c r="N116" s="525"/>
      <c r="O116" s="514">
        <f t="shared" si="22"/>
        <v>0</v>
      </c>
      <c r="P116" s="514">
        <f t="shared" si="23"/>
        <v>0</v>
      </c>
    </row>
    <row r="117" spans="2:16" ht="12.5">
      <c r="B117" s="195" t="str">
        <f t="shared" si="20"/>
        <v/>
      </c>
      <c r="C117" s="507">
        <f>IF(D93="","-",+C116+1)</f>
        <v>2032</v>
      </c>
      <c r="D117" s="374">
        <f>IF(F116+SUM(E$99:E116)=D$92,F116,D$92-SUM(E$99:E116))</f>
        <v>3091220.5243632365</v>
      </c>
      <c r="E117" s="522">
        <f t="shared" si="24"/>
        <v>125933.19047619047</v>
      </c>
      <c r="F117" s="523">
        <f t="shared" si="25"/>
        <v>2965287.3338870462</v>
      </c>
      <c r="G117" s="523">
        <f t="shared" si="26"/>
        <v>3028253.9291251414</v>
      </c>
      <c r="H117" s="526">
        <f t="shared" si="27"/>
        <v>451694.07141759875</v>
      </c>
      <c r="I117" s="577">
        <f t="shared" si="28"/>
        <v>451694.07141759875</v>
      </c>
      <c r="J117" s="514">
        <f t="shared" si="21"/>
        <v>0</v>
      </c>
      <c r="K117" s="514"/>
      <c r="L117" s="525"/>
      <c r="M117" s="514">
        <f t="shared" si="29"/>
        <v>0</v>
      </c>
      <c r="N117" s="525"/>
      <c r="O117" s="514">
        <f t="shared" si="22"/>
        <v>0</v>
      </c>
      <c r="P117" s="514">
        <f t="shared" si="23"/>
        <v>0</v>
      </c>
    </row>
    <row r="118" spans="2:16" ht="12.5">
      <c r="B118" s="195" t="str">
        <f t="shared" si="20"/>
        <v/>
      </c>
      <c r="C118" s="507">
        <f>IF(D93="","-",+C117+1)</f>
        <v>2033</v>
      </c>
      <c r="D118" s="374">
        <f>IF(F117+SUM(E$99:E117)=D$92,F117,D$92-SUM(E$99:E117))</f>
        <v>2965287.3338870462</v>
      </c>
      <c r="E118" s="522">
        <f t="shared" si="24"/>
        <v>125933.19047619047</v>
      </c>
      <c r="F118" s="523">
        <f t="shared" si="25"/>
        <v>2839354.1434108559</v>
      </c>
      <c r="G118" s="523">
        <f t="shared" si="26"/>
        <v>2902320.7386489511</v>
      </c>
      <c r="H118" s="526">
        <f t="shared" si="27"/>
        <v>438146.95547902962</v>
      </c>
      <c r="I118" s="577">
        <f t="shared" si="28"/>
        <v>438146.95547902962</v>
      </c>
      <c r="J118" s="514">
        <f t="shared" si="21"/>
        <v>0</v>
      </c>
      <c r="K118" s="514"/>
      <c r="L118" s="525"/>
      <c r="M118" s="514">
        <f t="shared" si="29"/>
        <v>0</v>
      </c>
      <c r="N118" s="525"/>
      <c r="O118" s="514">
        <f t="shared" si="22"/>
        <v>0</v>
      </c>
      <c r="P118" s="514">
        <f t="shared" si="23"/>
        <v>0</v>
      </c>
    </row>
    <row r="119" spans="2:16" ht="12.5">
      <c r="B119" s="195" t="str">
        <f t="shared" si="20"/>
        <v/>
      </c>
      <c r="C119" s="507">
        <f>IF(D93="","-",+C118+1)</f>
        <v>2034</v>
      </c>
      <c r="D119" s="374">
        <f>IF(F118+SUM(E$99:E118)=D$92,F118,D$92-SUM(E$99:E118))</f>
        <v>2839354.1434108559</v>
      </c>
      <c r="E119" s="522">
        <f t="shared" si="24"/>
        <v>125933.19047619047</v>
      </c>
      <c r="F119" s="523">
        <f t="shared" si="25"/>
        <v>2713420.9529346656</v>
      </c>
      <c r="G119" s="523">
        <f t="shared" si="26"/>
        <v>2776387.5481727608</v>
      </c>
      <c r="H119" s="526">
        <f t="shared" si="27"/>
        <v>424599.83954046044</v>
      </c>
      <c r="I119" s="577">
        <f t="shared" si="28"/>
        <v>424599.83954046044</v>
      </c>
      <c r="J119" s="514">
        <f t="shared" si="21"/>
        <v>0</v>
      </c>
      <c r="K119" s="514"/>
      <c r="L119" s="525"/>
      <c r="M119" s="514">
        <f t="shared" si="29"/>
        <v>0</v>
      </c>
      <c r="N119" s="525"/>
      <c r="O119" s="514">
        <f t="shared" si="22"/>
        <v>0</v>
      </c>
      <c r="P119" s="514">
        <f t="shared" si="23"/>
        <v>0</v>
      </c>
    </row>
    <row r="120" spans="2:16" ht="12.5">
      <c r="B120" s="195" t="str">
        <f t="shared" si="20"/>
        <v/>
      </c>
      <c r="C120" s="507">
        <f>IF(D93="","-",+C119+1)</f>
        <v>2035</v>
      </c>
      <c r="D120" s="374">
        <f>IF(F119+SUM(E$99:E119)=D$92,F119,D$92-SUM(E$99:E119))</f>
        <v>2713420.9529346656</v>
      </c>
      <c r="E120" s="522">
        <f t="shared" si="24"/>
        <v>125933.19047619047</v>
      </c>
      <c r="F120" s="523">
        <f t="shared" si="25"/>
        <v>2587487.7624584753</v>
      </c>
      <c r="G120" s="523">
        <f t="shared" si="26"/>
        <v>2650454.3576965705</v>
      </c>
      <c r="H120" s="526">
        <f t="shared" si="27"/>
        <v>411052.72360189125</v>
      </c>
      <c r="I120" s="577">
        <f t="shared" si="28"/>
        <v>411052.72360189125</v>
      </c>
      <c r="J120" s="514">
        <f t="shared" si="21"/>
        <v>0</v>
      </c>
      <c r="K120" s="514"/>
      <c r="L120" s="525"/>
      <c r="M120" s="514">
        <f t="shared" si="29"/>
        <v>0</v>
      </c>
      <c r="N120" s="525"/>
      <c r="O120" s="514">
        <f t="shared" si="22"/>
        <v>0</v>
      </c>
      <c r="P120" s="514">
        <f t="shared" si="23"/>
        <v>0</v>
      </c>
    </row>
    <row r="121" spans="2:16" ht="12.5">
      <c r="B121" s="195" t="str">
        <f t="shared" si="20"/>
        <v/>
      </c>
      <c r="C121" s="507">
        <f>IF(D93="","-",+C120+1)</f>
        <v>2036</v>
      </c>
      <c r="D121" s="374">
        <f>IF(F120+SUM(E$99:E120)=D$92,F120,D$92-SUM(E$99:E120))</f>
        <v>2587487.7624584753</v>
      </c>
      <c r="E121" s="522">
        <f t="shared" si="24"/>
        <v>125933.19047619047</v>
      </c>
      <c r="F121" s="523">
        <f t="shared" si="25"/>
        <v>2461554.571982285</v>
      </c>
      <c r="G121" s="523">
        <f t="shared" si="26"/>
        <v>2524521.1672203802</v>
      </c>
      <c r="H121" s="526">
        <f t="shared" si="27"/>
        <v>397505.60766332207</v>
      </c>
      <c r="I121" s="577">
        <f t="shared" si="28"/>
        <v>397505.60766332207</v>
      </c>
      <c r="J121" s="514">
        <f t="shared" si="21"/>
        <v>0</v>
      </c>
      <c r="K121" s="514"/>
      <c r="L121" s="525"/>
      <c r="M121" s="514">
        <f t="shared" si="29"/>
        <v>0</v>
      </c>
      <c r="N121" s="525"/>
      <c r="O121" s="514">
        <f t="shared" si="22"/>
        <v>0</v>
      </c>
      <c r="P121" s="514">
        <f t="shared" si="23"/>
        <v>0</v>
      </c>
    </row>
    <row r="122" spans="2:16" ht="12.5">
      <c r="B122" s="195" t="str">
        <f t="shared" si="20"/>
        <v/>
      </c>
      <c r="C122" s="507">
        <f>IF(D93="","-",+C121+1)</f>
        <v>2037</v>
      </c>
      <c r="D122" s="374">
        <f>IF(F121+SUM(E$99:E121)=D$92,F121,D$92-SUM(E$99:E121))</f>
        <v>2461554.571982285</v>
      </c>
      <c r="E122" s="522">
        <f t="shared" si="24"/>
        <v>125933.19047619047</v>
      </c>
      <c r="F122" s="523">
        <f t="shared" si="25"/>
        <v>2335621.3815060947</v>
      </c>
      <c r="G122" s="523">
        <f t="shared" si="26"/>
        <v>2398587.9767441899</v>
      </c>
      <c r="H122" s="526">
        <f t="shared" si="27"/>
        <v>383958.49172475294</v>
      </c>
      <c r="I122" s="577">
        <f t="shared" si="28"/>
        <v>383958.49172475294</v>
      </c>
      <c r="J122" s="514">
        <f t="shared" si="21"/>
        <v>0</v>
      </c>
      <c r="K122" s="514"/>
      <c r="L122" s="525"/>
      <c r="M122" s="514">
        <f t="shared" si="29"/>
        <v>0</v>
      </c>
      <c r="N122" s="525"/>
      <c r="O122" s="514">
        <f t="shared" si="22"/>
        <v>0</v>
      </c>
      <c r="P122" s="514">
        <f t="shared" si="23"/>
        <v>0</v>
      </c>
    </row>
    <row r="123" spans="2:16" ht="12.5">
      <c r="B123" s="195" t="str">
        <f t="shared" si="20"/>
        <v/>
      </c>
      <c r="C123" s="507">
        <f>IF(D93="","-",+C122+1)</f>
        <v>2038</v>
      </c>
      <c r="D123" s="374">
        <f>IF(F122+SUM(E$99:E122)=D$92,F122,D$92-SUM(E$99:E122))</f>
        <v>2335621.3815060947</v>
      </c>
      <c r="E123" s="522">
        <f t="shared" si="24"/>
        <v>125933.19047619047</v>
      </c>
      <c r="F123" s="523">
        <f t="shared" si="25"/>
        <v>2209688.1910299044</v>
      </c>
      <c r="G123" s="523">
        <f t="shared" si="26"/>
        <v>2272654.7862679996</v>
      </c>
      <c r="H123" s="526">
        <f t="shared" si="27"/>
        <v>370411.37578618375</v>
      </c>
      <c r="I123" s="577">
        <f t="shared" si="28"/>
        <v>370411.37578618375</v>
      </c>
      <c r="J123" s="514">
        <f t="shared" si="21"/>
        <v>0</v>
      </c>
      <c r="K123" s="514"/>
      <c r="L123" s="525"/>
      <c r="M123" s="514">
        <f t="shared" si="29"/>
        <v>0</v>
      </c>
      <c r="N123" s="525"/>
      <c r="O123" s="514">
        <f t="shared" si="22"/>
        <v>0</v>
      </c>
      <c r="P123" s="514">
        <f t="shared" si="23"/>
        <v>0</v>
      </c>
    </row>
    <row r="124" spans="2:16" ht="12.5">
      <c r="B124" s="195" t="str">
        <f t="shared" si="20"/>
        <v/>
      </c>
      <c r="C124" s="507">
        <f>IF(D93="","-",+C123+1)</f>
        <v>2039</v>
      </c>
      <c r="D124" s="374">
        <f>IF(F123+SUM(E$99:E123)=D$92,F123,D$92-SUM(E$99:E123))</f>
        <v>2209688.1910299044</v>
      </c>
      <c r="E124" s="522">
        <f t="shared" si="24"/>
        <v>125933.19047619047</v>
      </c>
      <c r="F124" s="523">
        <f t="shared" si="25"/>
        <v>2083755.0005537139</v>
      </c>
      <c r="G124" s="523">
        <f t="shared" si="26"/>
        <v>2146721.5957918093</v>
      </c>
      <c r="H124" s="526">
        <f t="shared" si="27"/>
        <v>356864.25984761456</v>
      </c>
      <c r="I124" s="577">
        <f t="shared" si="28"/>
        <v>356864.25984761456</v>
      </c>
      <c r="J124" s="514">
        <f t="shared" si="21"/>
        <v>0</v>
      </c>
      <c r="K124" s="514"/>
      <c r="L124" s="525"/>
      <c r="M124" s="514">
        <f t="shared" si="29"/>
        <v>0</v>
      </c>
      <c r="N124" s="525"/>
      <c r="O124" s="514">
        <f t="shared" si="22"/>
        <v>0</v>
      </c>
      <c r="P124" s="514">
        <f t="shared" si="23"/>
        <v>0</v>
      </c>
    </row>
    <row r="125" spans="2:16" ht="12.5">
      <c r="B125" s="195" t="str">
        <f t="shared" si="20"/>
        <v/>
      </c>
      <c r="C125" s="507">
        <f>IF(D93="","-",+C124+1)</f>
        <v>2040</v>
      </c>
      <c r="D125" s="374">
        <f>IF(F124+SUM(E$99:E124)=D$92,F124,D$92-SUM(E$99:E124))</f>
        <v>2083755.0005537139</v>
      </c>
      <c r="E125" s="522">
        <f t="shared" si="24"/>
        <v>125933.19047619047</v>
      </c>
      <c r="F125" s="523">
        <f t="shared" si="25"/>
        <v>1957821.8100775233</v>
      </c>
      <c r="G125" s="523">
        <f t="shared" si="26"/>
        <v>2020788.4053156185</v>
      </c>
      <c r="H125" s="526">
        <f t="shared" si="27"/>
        <v>343317.14390904538</v>
      </c>
      <c r="I125" s="577">
        <f t="shared" si="28"/>
        <v>343317.14390904538</v>
      </c>
      <c r="J125" s="514">
        <f t="shared" si="21"/>
        <v>0</v>
      </c>
      <c r="K125" s="514"/>
      <c r="L125" s="525"/>
      <c r="M125" s="514">
        <f t="shared" si="29"/>
        <v>0</v>
      </c>
      <c r="N125" s="525"/>
      <c r="O125" s="514">
        <f t="shared" si="22"/>
        <v>0</v>
      </c>
      <c r="P125" s="514">
        <f t="shared" si="23"/>
        <v>0</v>
      </c>
    </row>
    <row r="126" spans="2:16" ht="12.5">
      <c r="B126" s="195" t="str">
        <f t="shared" si="20"/>
        <v/>
      </c>
      <c r="C126" s="507">
        <f>IF(D93="","-",+C125+1)</f>
        <v>2041</v>
      </c>
      <c r="D126" s="374">
        <f>IF(F125+SUM(E$99:E125)=D$92,F125,D$92-SUM(E$99:E125))</f>
        <v>1957821.8100775233</v>
      </c>
      <c r="E126" s="522">
        <f t="shared" si="24"/>
        <v>125933.19047619047</v>
      </c>
      <c r="F126" s="523">
        <f t="shared" si="25"/>
        <v>1831888.6196013328</v>
      </c>
      <c r="G126" s="523">
        <f t="shared" si="26"/>
        <v>1894855.2148394282</v>
      </c>
      <c r="H126" s="526">
        <f t="shared" si="27"/>
        <v>329770.02797047619</v>
      </c>
      <c r="I126" s="577">
        <f t="shared" si="28"/>
        <v>329770.02797047619</v>
      </c>
      <c r="J126" s="514">
        <f t="shared" si="21"/>
        <v>0</v>
      </c>
      <c r="K126" s="514"/>
      <c r="L126" s="525"/>
      <c r="M126" s="514">
        <f t="shared" si="29"/>
        <v>0</v>
      </c>
      <c r="N126" s="525"/>
      <c r="O126" s="514">
        <f t="shared" si="22"/>
        <v>0</v>
      </c>
      <c r="P126" s="514">
        <f t="shared" si="23"/>
        <v>0</v>
      </c>
    </row>
    <row r="127" spans="2:16" ht="12.5">
      <c r="B127" s="195" t="str">
        <f t="shared" si="20"/>
        <v/>
      </c>
      <c r="C127" s="507">
        <f>IF(D93="","-",+C126+1)</f>
        <v>2042</v>
      </c>
      <c r="D127" s="374">
        <f>IF(F126+SUM(E$99:E126)=D$92,F126,D$92-SUM(E$99:E126))</f>
        <v>1831888.6196013328</v>
      </c>
      <c r="E127" s="522">
        <f t="shared" si="24"/>
        <v>125933.19047619047</v>
      </c>
      <c r="F127" s="523">
        <f t="shared" si="25"/>
        <v>1705955.4291251423</v>
      </c>
      <c r="G127" s="523">
        <f t="shared" si="26"/>
        <v>1768922.0243632374</v>
      </c>
      <c r="H127" s="526">
        <f t="shared" si="27"/>
        <v>316222.91203190695</v>
      </c>
      <c r="I127" s="577">
        <f t="shared" si="28"/>
        <v>316222.91203190695</v>
      </c>
      <c r="J127" s="514">
        <f t="shared" si="21"/>
        <v>0</v>
      </c>
      <c r="K127" s="514"/>
      <c r="L127" s="525"/>
      <c r="M127" s="514">
        <f t="shared" si="29"/>
        <v>0</v>
      </c>
      <c r="N127" s="525"/>
      <c r="O127" s="514">
        <f t="shared" si="22"/>
        <v>0</v>
      </c>
      <c r="P127" s="514">
        <f t="shared" si="23"/>
        <v>0</v>
      </c>
    </row>
    <row r="128" spans="2:16" ht="12.5">
      <c r="B128" s="195" t="str">
        <f t="shared" si="20"/>
        <v/>
      </c>
      <c r="C128" s="507">
        <f>IF(D93="","-",+C127+1)</f>
        <v>2043</v>
      </c>
      <c r="D128" s="374">
        <f>IF(F127+SUM(E$99:E127)=D$92,F127,D$92-SUM(E$99:E127))</f>
        <v>1705955.4291251423</v>
      </c>
      <c r="E128" s="522">
        <f t="shared" si="24"/>
        <v>125933.19047619047</v>
      </c>
      <c r="F128" s="523">
        <f t="shared" si="25"/>
        <v>1580022.2386489518</v>
      </c>
      <c r="G128" s="523">
        <f t="shared" si="26"/>
        <v>1642988.8338870471</v>
      </c>
      <c r="H128" s="526">
        <f t="shared" si="27"/>
        <v>302675.79609333782</v>
      </c>
      <c r="I128" s="577">
        <f t="shared" si="28"/>
        <v>302675.79609333782</v>
      </c>
      <c r="J128" s="514">
        <f t="shared" si="21"/>
        <v>0</v>
      </c>
      <c r="K128" s="514"/>
      <c r="L128" s="525"/>
      <c r="M128" s="514">
        <f t="shared" si="29"/>
        <v>0</v>
      </c>
      <c r="N128" s="525"/>
      <c r="O128" s="514">
        <f t="shared" si="22"/>
        <v>0</v>
      </c>
      <c r="P128" s="514">
        <f t="shared" si="23"/>
        <v>0</v>
      </c>
    </row>
    <row r="129" spans="2:16" ht="12.5">
      <c r="B129" s="195" t="str">
        <f t="shared" si="20"/>
        <v/>
      </c>
      <c r="C129" s="507">
        <f>IF(D93="","-",+C128+1)</f>
        <v>2044</v>
      </c>
      <c r="D129" s="374">
        <f>IF(F128+SUM(E$99:E128)=D$92,F128,D$92-SUM(E$99:E128))</f>
        <v>1580022.2386489518</v>
      </c>
      <c r="E129" s="522">
        <f t="shared" si="24"/>
        <v>125933.19047619047</v>
      </c>
      <c r="F129" s="523">
        <f t="shared" si="25"/>
        <v>1454089.0481727612</v>
      </c>
      <c r="G129" s="523">
        <f t="shared" si="26"/>
        <v>1517055.6434108564</v>
      </c>
      <c r="H129" s="526">
        <f t="shared" si="27"/>
        <v>289128.68015476852</v>
      </c>
      <c r="I129" s="577">
        <f t="shared" si="28"/>
        <v>289128.68015476852</v>
      </c>
      <c r="J129" s="514">
        <f t="shared" si="21"/>
        <v>0</v>
      </c>
      <c r="K129" s="514"/>
      <c r="L129" s="525"/>
      <c r="M129" s="514">
        <f t="shared" si="29"/>
        <v>0</v>
      </c>
      <c r="N129" s="525"/>
      <c r="O129" s="514">
        <f t="shared" si="22"/>
        <v>0</v>
      </c>
      <c r="P129" s="514">
        <f t="shared" si="23"/>
        <v>0</v>
      </c>
    </row>
    <row r="130" spans="2:16" ht="12.5">
      <c r="B130" s="195" t="str">
        <f t="shared" si="20"/>
        <v/>
      </c>
      <c r="C130" s="507">
        <f>IF(D93="","-",+C129+1)</f>
        <v>2045</v>
      </c>
      <c r="D130" s="374">
        <f>IF(F129+SUM(E$99:E129)=D$92,F129,D$92-SUM(E$99:E129))</f>
        <v>1454089.0481727612</v>
      </c>
      <c r="E130" s="522">
        <f t="shared" si="24"/>
        <v>125933.19047619047</v>
      </c>
      <c r="F130" s="523">
        <f t="shared" si="25"/>
        <v>1328155.8576965707</v>
      </c>
      <c r="G130" s="523">
        <f t="shared" si="26"/>
        <v>1391122.4529346661</v>
      </c>
      <c r="H130" s="526">
        <f t="shared" si="27"/>
        <v>275581.56421619939</v>
      </c>
      <c r="I130" s="577">
        <f t="shared" si="28"/>
        <v>275581.56421619939</v>
      </c>
      <c r="J130" s="514">
        <f t="shared" si="21"/>
        <v>0</v>
      </c>
      <c r="K130" s="514"/>
      <c r="L130" s="525"/>
      <c r="M130" s="514">
        <f t="shared" si="29"/>
        <v>0</v>
      </c>
      <c r="N130" s="525"/>
      <c r="O130" s="514">
        <f t="shared" si="22"/>
        <v>0</v>
      </c>
      <c r="P130" s="514">
        <f t="shared" si="23"/>
        <v>0</v>
      </c>
    </row>
    <row r="131" spans="2:16" ht="12.5">
      <c r="B131" s="195" t="str">
        <f t="shared" si="20"/>
        <v/>
      </c>
      <c r="C131" s="507">
        <f>IF(D93="","-",+C130+1)</f>
        <v>2046</v>
      </c>
      <c r="D131" s="374">
        <f>IF(F130+SUM(E$99:E130)=D$92,F130,D$92-SUM(E$99:E130))</f>
        <v>1328155.8576965707</v>
      </c>
      <c r="E131" s="522">
        <f t="shared" si="24"/>
        <v>125933.19047619047</v>
      </c>
      <c r="F131" s="523">
        <f t="shared" si="25"/>
        <v>1202222.6672203802</v>
      </c>
      <c r="G131" s="523">
        <f t="shared" si="26"/>
        <v>1265189.2624584753</v>
      </c>
      <c r="H131" s="526">
        <f t="shared" si="27"/>
        <v>262034.44827763017</v>
      </c>
      <c r="I131" s="577">
        <f t="shared" si="28"/>
        <v>262034.44827763017</v>
      </c>
      <c r="J131" s="514">
        <f t="shared" si="21"/>
        <v>0</v>
      </c>
      <c r="K131" s="514"/>
      <c r="L131" s="525"/>
      <c r="M131" s="514">
        <f t="shared" ref="M131:M154" si="30">IF(L541&lt;&gt;0,+H541-L541,0)</f>
        <v>0</v>
      </c>
      <c r="N131" s="525"/>
      <c r="O131" s="514">
        <f t="shared" ref="O131:O154" si="31">IF(N541&lt;&gt;0,+I541-N541,0)</f>
        <v>0</v>
      </c>
      <c r="P131" s="514">
        <f t="shared" ref="P131:P154" si="32">+O541-M541</f>
        <v>0</v>
      </c>
    </row>
    <row r="132" spans="2:16" ht="12.5">
      <c r="B132" s="195" t="str">
        <f t="shared" si="20"/>
        <v/>
      </c>
      <c r="C132" s="507">
        <f>IF(D93="","-",+C131+1)</f>
        <v>2047</v>
      </c>
      <c r="D132" s="374">
        <f>IF(F131+SUM(E$99:E131)=D$92,F131,D$92-SUM(E$99:E131))</f>
        <v>1202222.6672203802</v>
      </c>
      <c r="E132" s="522">
        <f t="shared" si="24"/>
        <v>125933.19047619047</v>
      </c>
      <c r="F132" s="523">
        <f t="shared" si="25"/>
        <v>1076289.4767441896</v>
      </c>
      <c r="G132" s="523">
        <f t="shared" si="26"/>
        <v>1139256.071982285</v>
      </c>
      <c r="H132" s="526">
        <f t="shared" si="27"/>
        <v>248487.33233906099</v>
      </c>
      <c r="I132" s="577">
        <f t="shared" si="28"/>
        <v>248487.33233906099</v>
      </c>
      <c r="J132" s="514">
        <f t="shared" si="21"/>
        <v>0</v>
      </c>
      <c r="K132" s="514"/>
      <c r="L132" s="525"/>
      <c r="M132" s="514">
        <f t="shared" si="30"/>
        <v>0</v>
      </c>
      <c r="N132" s="525"/>
      <c r="O132" s="514">
        <f t="shared" si="31"/>
        <v>0</v>
      </c>
      <c r="P132" s="514">
        <f t="shared" si="32"/>
        <v>0</v>
      </c>
    </row>
    <row r="133" spans="2:16" ht="12.5">
      <c r="B133" s="195" t="str">
        <f t="shared" si="20"/>
        <v/>
      </c>
      <c r="C133" s="507">
        <f>IF(D93="","-",+C132+1)</f>
        <v>2048</v>
      </c>
      <c r="D133" s="374">
        <f>IF(F132+SUM(E$99:E132)=D$92,F132,D$92-SUM(E$99:E132))</f>
        <v>1076289.4767441896</v>
      </c>
      <c r="E133" s="522">
        <f t="shared" si="24"/>
        <v>125933.19047619047</v>
      </c>
      <c r="F133" s="523">
        <f t="shared" si="25"/>
        <v>950356.28626799909</v>
      </c>
      <c r="G133" s="523">
        <f t="shared" si="26"/>
        <v>1013322.8815060944</v>
      </c>
      <c r="H133" s="526">
        <f t="shared" si="27"/>
        <v>234940.21640049177</v>
      </c>
      <c r="I133" s="577">
        <f t="shared" si="28"/>
        <v>234940.21640049177</v>
      </c>
      <c r="J133" s="514">
        <f t="shared" si="21"/>
        <v>0</v>
      </c>
      <c r="K133" s="514"/>
      <c r="L133" s="525"/>
      <c r="M133" s="514">
        <f t="shared" si="30"/>
        <v>0</v>
      </c>
      <c r="N133" s="525"/>
      <c r="O133" s="514">
        <f t="shared" si="31"/>
        <v>0</v>
      </c>
      <c r="P133" s="514">
        <f t="shared" si="32"/>
        <v>0</v>
      </c>
    </row>
    <row r="134" spans="2:16" ht="12.5">
      <c r="B134" s="195" t="str">
        <f t="shared" si="20"/>
        <v/>
      </c>
      <c r="C134" s="507">
        <f>IF(D93="","-",+C133+1)</f>
        <v>2049</v>
      </c>
      <c r="D134" s="374">
        <f>IF(F133+SUM(E$99:E133)=D$92,F133,D$92-SUM(E$99:E133))</f>
        <v>950356.28626799909</v>
      </c>
      <c r="E134" s="522">
        <f t="shared" si="24"/>
        <v>125933.19047619047</v>
      </c>
      <c r="F134" s="523">
        <f t="shared" si="25"/>
        <v>824423.09579180856</v>
      </c>
      <c r="G134" s="523">
        <f t="shared" si="26"/>
        <v>887389.69102990383</v>
      </c>
      <c r="H134" s="526">
        <f t="shared" si="27"/>
        <v>221393.10046192259</v>
      </c>
      <c r="I134" s="577">
        <f t="shared" si="28"/>
        <v>221393.10046192259</v>
      </c>
      <c r="J134" s="514">
        <f t="shared" si="21"/>
        <v>0</v>
      </c>
      <c r="K134" s="514"/>
      <c r="L134" s="525"/>
      <c r="M134" s="514">
        <f t="shared" si="30"/>
        <v>0</v>
      </c>
      <c r="N134" s="525"/>
      <c r="O134" s="514">
        <f t="shared" si="31"/>
        <v>0</v>
      </c>
      <c r="P134" s="514">
        <f t="shared" si="32"/>
        <v>0</v>
      </c>
    </row>
    <row r="135" spans="2:16" ht="12.5">
      <c r="B135" s="195" t="str">
        <f t="shared" si="20"/>
        <v/>
      </c>
      <c r="C135" s="507">
        <f>IF(D93="","-",+C134+1)</f>
        <v>2050</v>
      </c>
      <c r="D135" s="374">
        <f>IF(F134+SUM(E$99:E134)=D$92,F134,D$92-SUM(E$99:E134))</f>
        <v>824423.09579180856</v>
      </c>
      <c r="E135" s="522">
        <f t="shared" si="24"/>
        <v>125933.19047619047</v>
      </c>
      <c r="F135" s="523">
        <f t="shared" si="25"/>
        <v>698489.90531561803</v>
      </c>
      <c r="G135" s="523">
        <f t="shared" si="26"/>
        <v>761456.5005537133</v>
      </c>
      <c r="H135" s="526">
        <f t="shared" si="27"/>
        <v>207845.9845233534</v>
      </c>
      <c r="I135" s="577">
        <f t="shared" si="28"/>
        <v>207845.9845233534</v>
      </c>
      <c r="J135" s="514">
        <f t="shared" si="21"/>
        <v>0</v>
      </c>
      <c r="K135" s="514"/>
      <c r="L135" s="525"/>
      <c r="M135" s="514">
        <f t="shared" si="30"/>
        <v>0</v>
      </c>
      <c r="N135" s="525"/>
      <c r="O135" s="514">
        <f t="shared" si="31"/>
        <v>0</v>
      </c>
      <c r="P135" s="514">
        <f t="shared" si="32"/>
        <v>0</v>
      </c>
    </row>
    <row r="136" spans="2:16" ht="12.5">
      <c r="B136" s="195" t="str">
        <f t="shared" si="20"/>
        <v/>
      </c>
      <c r="C136" s="507">
        <f>IF(D93="","-",+C135+1)</f>
        <v>2051</v>
      </c>
      <c r="D136" s="374">
        <f>IF(F135+SUM(E$99:E135)=D$92,F135,D$92-SUM(E$99:E135))</f>
        <v>698489.90531561803</v>
      </c>
      <c r="E136" s="522">
        <f t="shared" si="24"/>
        <v>125933.19047619047</v>
      </c>
      <c r="F136" s="523">
        <f t="shared" si="25"/>
        <v>572556.7148394275</v>
      </c>
      <c r="G136" s="523">
        <f t="shared" si="26"/>
        <v>635523.31007752276</v>
      </c>
      <c r="H136" s="526">
        <f t="shared" si="27"/>
        <v>194298.86858478421</v>
      </c>
      <c r="I136" s="577">
        <f t="shared" si="28"/>
        <v>194298.86858478421</v>
      </c>
      <c r="J136" s="514">
        <f t="shared" si="21"/>
        <v>0</v>
      </c>
      <c r="K136" s="514"/>
      <c r="L136" s="525"/>
      <c r="M136" s="514">
        <f t="shared" si="30"/>
        <v>0</v>
      </c>
      <c r="N136" s="525"/>
      <c r="O136" s="514">
        <f t="shared" si="31"/>
        <v>0</v>
      </c>
      <c r="P136" s="514">
        <f t="shared" si="32"/>
        <v>0</v>
      </c>
    </row>
    <row r="137" spans="2:16" ht="12.5">
      <c r="B137" s="195" t="str">
        <f t="shared" si="20"/>
        <v/>
      </c>
      <c r="C137" s="507">
        <f>IF(D93="","-",+C136+1)</f>
        <v>2052</v>
      </c>
      <c r="D137" s="374">
        <f>IF(F136+SUM(E$99:E136)=D$92,F136,D$92-SUM(E$99:E136))</f>
        <v>572556.7148394275</v>
      </c>
      <c r="E137" s="522">
        <f t="shared" si="24"/>
        <v>125933.19047619047</v>
      </c>
      <c r="F137" s="523">
        <f t="shared" si="25"/>
        <v>446623.52436323703</v>
      </c>
      <c r="G137" s="523">
        <f t="shared" si="26"/>
        <v>509590.11960133223</v>
      </c>
      <c r="H137" s="526">
        <f t="shared" si="27"/>
        <v>180751.752646215</v>
      </c>
      <c r="I137" s="577">
        <f t="shared" si="28"/>
        <v>180751.752646215</v>
      </c>
      <c r="J137" s="514">
        <f t="shared" si="21"/>
        <v>0</v>
      </c>
      <c r="K137" s="514"/>
      <c r="L137" s="525"/>
      <c r="M137" s="514">
        <f t="shared" si="30"/>
        <v>0</v>
      </c>
      <c r="N137" s="525"/>
      <c r="O137" s="514">
        <f t="shared" si="31"/>
        <v>0</v>
      </c>
      <c r="P137" s="514">
        <f t="shared" si="32"/>
        <v>0</v>
      </c>
    </row>
    <row r="138" spans="2:16" ht="12.5">
      <c r="B138" s="195" t="str">
        <f t="shared" si="20"/>
        <v/>
      </c>
      <c r="C138" s="507">
        <f>IF(D93="","-",+C137+1)</f>
        <v>2053</v>
      </c>
      <c r="D138" s="374">
        <f>IF(F137+SUM(E$99:E137)=D$92,F137,D$92-SUM(E$99:E137))</f>
        <v>446623.52436323703</v>
      </c>
      <c r="E138" s="522">
        <f t="shared" si="24"/>
        <v>125933.19047619047</v>
      </c>
      <c r="F138" s="523">
        <f t="shared" si="25"/>
        <v>320690.33388704655</v>
      </c>
      <c r="G138" s="523">
        <f t="shared" si="26"/>
        <v>383656.92912514182</v>
      </c>
      <c r="H138" s="526">
        <f t="shared" si="27"/>
        <v>167204.63670764581</v>
      </c>
      <c r="I138" s="577">
        <f t="shared" si="28"/>
        <v>167204.63670764581</v>
      </c>
      <c r="J138" s="514">
        <f t="shared" si="21"/>
        <v>0</v>
      </c>
      <c r="K138" s="514"/>
      <c r="L138" s="525"/>
      <c r="M138" s="514">
        <f t="shared" si="30"/>
        <v>0</v>
      </c>
      <c r="N138" s="525"/>
      <c r="O138" s="514">
        <f t="shared" si="31"/>
        <v>0</v>
      </c>
      <c r="P138" s="514">
        <f t="shared" si="32"/>
        <v>0</v>
      </c>
    </row>
    <row r="139" spans="2:16" ht="12.5">
      <c r="B139" s="195" t="str">
        <f t="shared" si="20"/>
        <v/>
      </c>
      <c r="C139" s="507">
        <f>IF(D93="","-",+C138+1)</f>
        <v>2054</v>
      </c>
      <c r="D139" s="374">
        <f>IF(F138+SUM(E$99:E138)=D$92,F138,D$92-SUM(E$99:E138))</f>
        <v>320690.33388704655</v>
      </c>
      <c r="E139" s="522">
        <f t="shared" si="24"/>
        <v>125933.19047619047</v>
      </c>
      <c r="F139" s="523">
        <f t="shared" si="25"/>
        <v>194757.14341085608</v>
      </c>
      <c r="G139" s="523">
        <f t="shared" si="26"/>
        <v>257723.73864895132</v>
      </c>
      <c r="H139" s="526">
        <f t="shared" si="27"/>
        <v>153657.52076907663</v>
      </c>
      <c r="I139" s="577">
        <f t="shared" si="28"/>
        <v>153657.52076907663</v>
      </c>
      <c r="J139" s="514">
        <f t="shared" si="21"/>
        <v>0</v>
      </c>
      <c r="K139" s="514"/>
      <c r="L139" s="525"/>
      <c r="M139" s="514">
        <f t="shared" si="30"/>
        <v>0</v>
      </c>
      <c r="N139" s="525"/>
      <c r="O139" s="514">
        <f t="shared" si="31"/>
        <v>0</v>
      </c>
      <c r="P139" s="514">
        <f t="shared" si="32"/>
        <v>0</v>
      </c>
    </row>
    <row r="140" spans="2:16" ht="12.5">
      <c r="B140" s="195" t="str">
        <f t="shared" si="20"/>
        <v/>
      </c>
      <c r="C140" s="507">
        <f>IF(D93="","-",+C139+1)</f>
        <v>2055</v>
      </c>
      <c r="D140" s="374">
        <f>IF(F139+SUM(E$99:E139)=D$92,F139,D$92-SUM(E$99:E139))</f>
        <v>194757.14341085608</v>
      </c>
      <c r="E140" s="522">
        <f t="shared" si="24"/>
        <v>125933.19047619047</v>
      </c>
      <c r="F140" s="523">
        <f t="shared" si="25"/>
        <v>68823.952934665605</v>
      </c>
      <c r="G140" s="523">
        <f t="shared" si="26"/>
        <v>131790.54817276084</v>
      </c>
      <c r="H140" s="526">
        <f t="shared" si="27"/>
        <v>140110.40483050744</v>
      </c>
      <c r="I140" s="577">
        <f t="shared" si="28"/>
        <v>140110.40483050744</v>
      </c>
      <c r="J140" s="514">
        <f t="shared" si="21"/>
        <v>0</v>
      </c>
      <c r="K140" s="514"/>
      <c r="L140" s="525"/>
      <c r="M140" s="514">
        <f t="shared" si="30"/>
        <v>0</v>
      </c>
      <c r="N140" s="525"/>
      <c r="O140" s="514">
        <f t="shared" si="31"/>
        <v>0</v>
      </c>
      <c r="P140" s="514">
        <f t="shared" si="32"/>
        <v>0</v>
      </c>
    </row>
    <row r="141" spans="2:16" ht="12.5">
      <c r="B141" s="195" t="str">
        <f t="shared" si="20"/>
        <v/>
      </c>
      <c r="C141" s="507">
        <f>IF(D93="","-",+C140+1)</f>
        <v>2056</v>
      </c>
      <c r="D141" s="374">
        <f>IF(F140+SUM(E$99:E140)=D$92,F140,D$92-SUM(E$99:E140))</f>
        <v>68823.952934665605</v>
      </c>
      <c r="E141" s="522">
        <f t="shared" si="24"/>
        <v>68823.952934665605</v>
      </c>
      <c r="F141" s="523">
        <f t="shared" si="25"/>
        <v>0</v>
      </c>
      <c r="G141" s="523">
        <f t="shared" si="26"/>
        <v>34411.976467332803</v>
      </c>
      <c r="H141" s="526">
        <f t="shared" si="27"/>
        <v>72525.781127181792</v>
      </c>
      <c r="I141" s="577">
        <f t="shared" si="28"/>
        <v>72525.781127181792</v>
      </c>
      <c r="J141" s="514">
        <f t="shared" si="21"/>
        <v>0</v>
      </c>
      <c r="K141" s="514"/>
      <c r="L141" s="525"/>
      <c r="M141" s="514">
        <f t="shared" si="30"/>
        <v>0</v>
      </c>
      <c r="N141" s="525"/>
      <c r="O141" s="514">
        <f t="shared" si="31"/>
        <v>0</v>
      </c>
      <c r="P141" s="514">
        <f t="shared" si="32"/>
        <v>0</v>
      </c>
    </row>
    <row r="142" spans="2:16" ht="12.5">
      <c r="B142" s="195" t="str">
        <f t="shared" si="20"/>
        <v/>
      </c>
      <c r="C142" s="507">
        <f>IF(D93="","-",+C141+1)</f>
        <v>2057</v>
      </c>
      <c r="D142" s="374">
        <f>IF(F141+SUM(E$99:E141)=D$92,F141,D$92-SUM(E$99:E141))</f>
        <v>0</v>
      </c>
      <c r="E142" s="522">
        <f t="shared" si="24"/>
        <v>0</v>
      </c>
      <c r="F142" s="523">
        <f t="shared" si="25"/>
        <v>0</v>
      </c>
      <c r="G142" s="523">
        <f t="shared" si="26"/>
        <v>0</v>
      </c>
      <c r="H142" s="526">
        <f t="shared" si="27"/>
        <v>0</v>
      </c>
      <c r="I142" s="577">
        <f t="shared" si="28"/>
        <v>0</v>
      </c>
      <c r="J142" s="514">
        <f t="shared" si="21"/>
        <v>0</v>
      </c>
      <c r="K142" s="514"/>
      <c r="L142" s="525"/>
      <c r="M142" s="514">
        <f t="shared" si="30"/>
        <v>0</v>
      </c>
      <c r="N142" s="525"/>
      <c r="O142" s="514">
        <f t="shared" si="31"/>
        <v>0</v>
      </c>
      <c r="P142" s="514">
        <f t="shared" si="32"/>
        <v>0</v>
      </c>
    </row>
    <row r="143" spans="2:16" ht="12.5">
      <c r="B143" s="195" t="str">
        <f t="shared" si="20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24"/>
        <v>0</v>
      </c>
      <c r="F143" s="523">
        <f t="shared" si="25"/>
        <v>0</v>
      </c>
      <c r="G143" s="523">
        <f t="shared" si="26"/>
        <v>0</v>
      </c>
      <c r="H143" s="526">
        <f t="shared" si="27"/>
        <v>0</v>
      </c>
      <c r="I143" s="577">
        <f t="shared" si="28"/>
        <v>0</v>
      </c>
      <c r="J143" s="514">
        <f t="shared" si="21"/>
        <v>0</v>
      </c>
      <c r="K143" s="514"/>
      <c r="L143" s="525"/>
      <c r="M143" s="514">
        <f t="shared" si="30"/>
        <v>0</v>
      </c>
      <c r="N143" s="525"/>
      <c r="O143" s="514">
        <f t="shared" si="31"/>
        <v>0</v>
      </c>
      <c r="P143" s="514">
        <f t="shared" si="32"/>
        <v>0</v>
      </c>
    </row>
    <row r="144" spans="2:16" ht="12.5">
      <c r="B144" s="195" t="str">
        <f t="shared" si="20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24"/>
        <v>0</v>
      </c>
      <c r="F144" s="523">
        <f t="shared" si="25"/>
        <v>0</v>
      </c>
      <c r="G144" s="523">
        <f t="shared" si="26"/>
        <v>0</v>
      </c>
      <c r="H144" s="526">
        <f t="shared" si="27"/>
        <v>0</v>
      </c>
      <c r="I144" s="577">
        <f t="shared" si="28"/>
        <v>0</v>
      </c>
      <c r="J144" s="514">
        <f t="shared" si="21"/>
        <v>0</v>
      </c>
      <c r="K144" s="514"/>
      <c r="L144" s="525"/>
      <c r="M144" s="514">
        <f t="shared" si="30"/>
        <v>0</v>
      </c>
      <c r="N144" s="525"/>
      <c r="O144" s="514">
        <f t="shared" si="31"/>
        <v>0</v>
      </c>
      <c r="P144" s="514">
        <f t="shared" si="32"/>
        <v>0</v>
      </c>
    </row>
    <row r="145" spans="2:16" ht="12.5">
      <c r="B145" s="195" t="str">
        <f t="shared" si="20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24"/>
        <v>0</v>
      </c>
      <c r="F145" s="523">
        <f t="shared" si="25"/>
        <v>0</v>
      </c>
      <c r="G145" s="523">
        <f t="shared" si="26"/>
        <v>0</v>
      </c>
      <c r="H145" s="526">
        <f t="shared" si="27"/>
        <v>0</v>
      </c>
      <c r="I145" s="577">
        <f t="shared" si="28"/>
        <v>0</v>
      </c>
      <c r="J145" s="514">
        <f t="shared" si="21"/>
        <v>0</v>
      </c>
      <c r="K145" s="514"/>
      <c r="L145" s="525"/>
      <c r="M145" s="514">
        <f t="shared" si="30"/>
        <v>0</v>
      </c>
      <c r="N145" s="525"/>
      <c r="O145" s="514">
        <f t="shared" si="31"/>
        <v>0</v>
      </c>
      <c r="P145" s="514">
        <f t="shared" si="32"/>
        <v>0</v>
      </c>
    </row>
    <row r="146" spans="2:16" ht="12.5">
      <c r="B146" s="195" t="str">
        <f t="shared" si="20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24"/>
        <v>0</v>
      </c>
      <c r="F146" s="523">
        <f t="shared" si="25"/>
        <v>0</v>
      </c>
      <c r="G146" s="523">
        <f t="shared" si="26"/>
        <v>0</v>
      </c>
      <c r="H146" s="526">
        <f t="shared" si="27"/>
        <v>0</v>
      </c>
      <c r="I146" s="577">
        <f t="shared" si="28"/>
        <v>0</v>
      </c>
      <c r="J146" s="514">
        <f t="shared" si="21"/>
        <v>0</v>
      </c>
      <c r="K146" s="514"/>
      <c r="L146" s="525"/>
      <c r="M146" s="514">
        <f t="shared" si="30"/>
        <v>0</v>
      </c>
      <c r="N146" s="525"/>
      <c r="O146" s="514">
        <f t="shared" si="31"/>
        <v>0</v>
      </c>
      <c r="P146" s="514">
        <f t="shared" si="32"/>
        <v>0</v>
      </c>
    </row>
    <row r="147" spans="2:16" ht="12.5">
      <c r="B147" s="195" t="str">
        <f t="shared" si="20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24"/>
        <v>0</v>
      </c>
      <c r="F147" s="523">
        <f t="shared" si="25"/>
        <v>0</v>
      </c>
      <c r="G147" s="523">
        <f t="shared" si="26"/>
        <v>0</v>
      </c>
      <c r="H147" s="526">
        <f t="shared" si="27"/>
        <v>0</v>
      </c>
      <c r="I147" s="577">
        <f t="shared" si="28"/>
        <v>0</v>
      </c>
      <c r="J147" s="514">
        <f t="shared" si="21"/>
        <v>0</v>
      </c>
      <c r="K147" s="514"/>
      <c r="L147" s="525"/>
      <c r="M147" s="514">
        <f t="shared" si="30"/>
        <v>0</v>
      </c>
      <c r="N147" s="525"/>
      <c r="O147" s="514">
        <f t="shared" si="31"/>
        <v>0</v>
      </c>
      <c r="P147" s="514">
        <f t="shared" si="32"/>
        <v>0</v>
      </c>
    </row>
    <row r="148" spans="2:16" ht="12.5">
      <c r="B148" s="195" t="str">
        <f t="shared" si="20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24"/>
        <v>0</v>
      </c>
      <c r="F148" s="523">
        <f t="shared" si="25"/>
        <v>0</v>
      </c>
      <c r="G148" s="523">
        <f t="shared" si="26"/>
        <v>0</v>
      </c>
      <c r="H148" s="526">
        <f t="shared" si="27"/>
        <v>0</v>
      </c>
      <c r="I148" s="577">
        <f t="shared" si="28"/>
        <v>0</v>
      </c>
      <c r="J148" s="514">
        <f t="shared" si="21"/>
        <v>0</v>
      </c>
      <c r="K148" s="514"/>
      <c r="L148" s="525"/>
      <c r="M148" s="514">
        <f t="shared" si="30"/>
        <v>0</v>
      </c>
      <c r="N148" s="525"/>
      <c r="O148" s="514">
        <f t="shared" si="31"/>
        <v>0</v>
      </c>
      <c r="P148" s="514">
        <f t="shared" si="32"/>
        <v>0</v>
      </c>
    </row>
    <row r="149" spans="2:16" ht="12.5">
      <c r="B149" s="195" t="str">
        <f t="shared" si="20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24"/>
        <v>0</v>
      </c>
      <c r="F149" s="523">
        <f t="shared" si="25"/>
        <v>0</v>
      </c>
      <c r="G149" s="523">
        <f t="shared" si="26"/>
        <v>0</v>
      </c>
      <c r="H149" s="526">
        <f t="shared" si="27"/>
        <v>0</v>
      </c>
      <c r="I149" s="577">
        <f t="shared" si="28"/>
        <v>0</v>
      </c>
      <c r="J149" s="514">
        <f t="shared" si="21"/>
        <v>0</v>
      </c>
      <c r="K149" s="514"/>
      <c r="L149" s="525"/>
      <c r="M149" s="514">
        <f t="shared" si="30"/>
        <v>0</v>
      </c>
      <c r="N149" s="525"/>
      <c r="O149" s="514">
        <f t="shared" si="31"/>
        <v>0</v>
      </c>
      <c r="P149" s="514">
        <f t="shared" si="32"/>
        <v>0</v>
      </c>
    </row>
    <row r="150" spans="2:16" ht="12.5">
      <c r="B150" s="195" t="str">
        <f t="shared" si="20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24"/>
        <v>0</v>
      </c>
      <c r="F150" s="523">
        <f t="shared" si="25"/>
        <v>0</v>
      </c>
      <c r="G150" s="523">
        <f t="shared" si="26"/>
        <v>0</v>
      </c>
      <c r="H150" s="526">
        <f t="shared" si="27"/>
        <v>0</v>
      </c>
      <c r="I150" s="577">
        <f t="shared" si="28"/>
        <v>0</v>
      </c>
      <c r="J150" s="514">
        <f t="shared" si="21"/>
        <v>0</v>
      </c>
      <c r="K150" s="514"/>
      <c r="L150" s="525"/>
      <c r="M150" s="514">
        <f t="shared" si="30"/>
        <v>0</v>
      </c>
      <c r="N150" s="525"/>
      <c r="O150" s="514">
        <f t="shared" si="31"/>
        <v>0</v>
      </c>
      <c r="P150" s="514">
        <f t="shared" si="32"/>
        <v>0</v>
      </c>
    </row>
    <row r="151" spans="2:16" ht="12.5">
      <c r="B151" s="195" t="str">
        <f t="shared" si="20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24"/>
        <v>0</v>
      </c>
      <c r="F151" s="523">
        <f t="shared" si="25"/>
        <v>0</v>
      </c>
      <c r="G151" s="523">
        <f t="shared" si="26"/>
        <v>0</v>
      </c>
      <c r="H151" s="526">
        <f t="shared" si="27"/>
        <v>0</v>
      </c>
      <c r="I151" s="577">
        <f t="shared" si="28"/>
        <v>0</v>
      </c>
      <c r="J151" s="514">
        <f t="shared" si="21"/>
        <v>0</v>
      </c>
      <c r="K151" s="514"/>
      <c r="L151" s="525"/>
      <c r="M151" s="514">
        <f t="shared" si="30"/>
        <v>0</v>
      </c>
      <c r="N151" s="525"/>
      <c r="O151" s="514">
        <f t="shared" si="31"/>
        <v>0</v>
      </c>
      <c r="P151" s="514">
        <f t="shared" si="32"/>
        <v>0</v>
      </c>
    </row>
    <row r="152" spans="2:16" ht="12.5">
      <c r="B152" s="195" t="str">
        <f t="shared" si="20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24"/>
        <v>0</v>
      </c>
      <c r="F152" s="523">
        <f t="shared" si="25"/>
        <v>0</v>
      </c>
      <c r="G152" s="523">
        <f t="shared" si="26"/>
        <v>0</v>
      </c>
      <c r="H152" s="526">
        <f t="shared" si="27"/>
        <v>0</v>
      </c>
      <c r="I152" s="577">
        <f t="shared" si="28"/>
        <v>0</v>
      </c>
      <c r="J152" s="514">
        <f t="shared" si="21"/>
        <v>0</v>
      </c>
      <c r="K152" s="514"/>
      <c r="L152" s="525"/>
      <c r="M152" s="514">
        <f t="shared" si="30"/>
        <v>0</v>
      </c>
      <c r="N152" s="525"/>
      <c r="O152" s="514">
        <f t="shared" si="31"/>
        <v>0</v>
      </c>
      <c r="P152" s="514">
        <f t="shared" si="32"/>
        <v>0</v>
      </c>
    </row>
    <row r="153" spans="2:16" ht="12.5">
      <c r="B153" s="195" t="str">
        <f t="shared" si="20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24"/>
        <v>0</v>
      </c>
      <c r="F153" s="523">
        <f t="shared" si="25"/>
        <v>0</v>
      </c>
      <c r="G153" s="523">
        <f t="shared" si="26"/>
        <v>0</v>
      </c>
      <c r="H153" s="526">
        <f t="shared" si="27"/>
        <v>0</v>
      </c>
      <c r="I153" s="577">
        <f t="shared" si="28"/>
        <v>0</v>
      </c>
      <c r="J153" s="514">
        <f t="shared" si="21"/>
        <v>0</v>
      </c>
      <c r="K153" s="514"/>
      <c r="L153" s="525"/>
      <c r="M153" s="514">
        <f t="shared" si="30"/>
        <v>0</v>
      </c>
      <c r="N153" s="525"/>
      <c r="O153" s="514">
        <f t="shared" si="31"/>
        <v>0</v>
      </c>
      <c r="P153" s="514">
        <f t="shared" si="32"/>
        <v>0</v>
      </c>
    </row>
    <row r="154" spans="2:16" ht="13" thickBot="1">
      <c r="B154" s="195" t="str">
        <f t="shared" si="20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24"/>
        <v>0</v>
      </c>
      <c r="F154" s="523">
        <f t="shared" si="25"/>
        <v>0</v>
      </c>
      <c r="G154" s="523">
        <f t="shared" si="26"/>
        <v>0</v>
      </c>
      <c r="H154" s="526">
        <f t="shared" si="27"/>
        <v>0</v>
      </c>
      <c r="I154" s="577">
        <f t="shared" si="28"/>
        <v>0</v>
      </c>
      <c r="J154" s="514">
        <f t="shared" si="21"/>
        <v>0</v>
      </c>
      <c r="K154" s="514"/>
      <c r="L154" s="532"/>
      <c r="M154" s="533">
        <f t="shared" si="30"/>
        <v>0</v>
      </c>
      <c r="N154" s="532"/>
      <c r="O154" s="533">
        <f t="shared" si="31"/>
        <v>0</v>
      </c>
      <c r="P154" s="533">
        <f t="shared" si="32"/>
        <v>0</v>
      </c>
    </row>
    <row r="155" spans="2:16" ht="12.5">
      <c r="C155" s="374" t="s">
        <v>78</v>
      </c>
      <c r="D155" s="375"/>
      <c r="E155" s="375">
        <f>SUM(E99:E154)</f>
        <v>5289194</v>
      </c>
      <c r="F155" s="375"/>
      <c r="G155" s="375"/>
      <c r="H155" s="375">
        <f>SUM(H99:H154)</f>
        <v>17615028.239403661</v>
      </c>
      <c r="I155" s="375">
        <f>SUM(I99:I154)</f>
        <v>17615028.239403661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6" priority="1" stopIfTrue="1" operator="equal">
      <formula>$I$10</formula>
    </cfRule>
  </conditionalFormatting>
  <conditionalFormatting sqref="C99:C154">
    <cfRule type="cellIs" dxfId="7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P162"/>
  <sheetViews>
    <sheetView view="pageBreakPreview" topLeftCell="A79" zoomScale="82" zoomScaleNormal="100" zoomScaleSheetLayoutView="82" workbookViewId="0">
      <selection activeCell="E103" sqref="E103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43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1682642.2217511837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1682642.2217511837</v>
      </c>
      <c r="O6" s="269"/>
      <c r="P6" s="269"/>
    </row>
    <row r="7" spans="1:16" ht="13.5" thickBot="1">
      <c r="C7" s="467" t="s">
        <v>48</v>
      </c>
      <c r="D7" s="624" t="s">
        <v>319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318</v>
      </c>
      <c r="E9" s="637" t="s">
        <v>327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14866883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353973.40476190473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14332500</v>
      </c>
      <c r="E17" s="638">
        <v>0</v>
      </c>
      <c r="F17" s="629">
        <v>14332500</v>
      </c>
      <c r="G17" s="638">
        <v>1933604.8594930479</v>
      </c>
      <c r="H17" s="639">
        <v>1933604.8594930479</v>
      </c>
      <c r="I17" s="616">
        <v>0</v>
      </c>
      <c r="J17" s="511"/>
      <c r="K17" s="641">
        <f t="shared" ref="K17:K22" si="0">G17</f>
        <v>1933604.8594930479</v>
      </c>
      <c r="L17" s="642">
        <f t="shared" ref="L17:L22" si="1">IF(K17&lt;&gt;0,+G17-K17,0)</f>
        <v>0</v>
      </c>
      <c r="M17" s="643">
        <f t="shared" ref="M17:M22" si="2">H17</f>
        <v>1933604.8594930479</v>
      </c>
      <c r="N17" s="64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14332500</v>
      </c>
      <c r="E18" s="630">
        <v>357761.90476190473</v>
      </c>
      <c r="F18" s="629">
        <v>13974738.095238095</v>
      </c>
      <c r="G18" s="630">
        <v>2198302.0042745443</v>
      </c>
      <c r="H18" s="639">
        <v>2198302.0042745443</v>
      </c>
      <c r="I18" s="511">
        <v>0</v>
      </c>
      <c r="J18" s="511"/>
      <c r="K18" s="518">
        <f t="shared" si="0"/>
        <v>2198302.0042745443</v>
      </c>
      <c r="L18" s="519">
        <f t="shared" si="1"/>
        <v>0</v>
      </c>
      <c r="M18" s="518">
        <f t="shared" si="2"/>
        <v>2198302.0042745443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14668238.095238095</v>
      </c>
      <c r="E19" s="630">
        <v>357761.90476190473</v>
      </c>
      <c r="F19" s="629">
        <v>14310476.19047619</v>
      </c>
      <c r="G19" s="630">
        <v>2219268.2901278744</v>
      </c>
      <c r="H19" s="639">
        <v>2219268.2901278744</v>
      </c>
      <c r="I19" s="511">
        <f>H19-G19</f>
        <v>0</v>
      </c>
      <c r="J19" s="511"/>
      <c r="K19" s="518">
        <f t="shared" si="0"/>
        <v>2219268.2901278744</v>
      </c>
      <c r="L19" s="519">
        <f t="shared" si="1"/>
        <v>0</v>
      </c>
      <c r="M19" s="518">
        <f t="shared" si="2"/>
        <v>2219268.2901278744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>IU</v>
      </c>
      <c r="C20" s="507">
        <f>IF(D11="","-",+C19+1)</f>
        <v>2017</v>
      </c>
      <c r="D20" s="629">
        <v>14151359.19047619</v>
      </c>
      <c r="E20" s="630">
        <v>345741.46511627908</v>
      </c>
      <c r="F20" s="629">
        <v>13805617.725359911</v>
      </c>
      <c r="G20" s="630">
        <v>2077571.8162955591</v>
      </c>
      <c r="H20" s="639">
        <v>2077571.8162955591</v>
      </c>
      <c r="I20" s="511">
        <f t="shared" ref="I20:I72" si="4">H20-G20</f>
        <v>0</v>
      </c>
      <c r="J20" s="511"/>
      <c r="K20" s="518">
        <f t="shared" si="0"/>
        <v>2077571.8162955591</v>
      </c>
      <c r="L20" s="519">
        <f t="shared" si="1"/>
        <v>0</v>
      </c>
      <c r="M20" s="518">
        <f t="shared" si="2"/>
        <v>2077571.8162955591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13805617.725359911</v>
      </c>
      <c r="E21" s="630">
        <v>362606.90243902442</v>
      </c>
      <c r="F21" s="629">
        <v>13443010.822920887</v>
      </c>
      <c r="G21" s="630">
        <v>2094176.8486263207</v>
      </c>
      <c r="H21" s="639">
        <v>2094176.8486263207</v>
      </c>
      <c r="I21" s="511">
        <f t="shared" si="4"/>
        <v>0</v>
      </c>
      <c r="J21" s="511"/>
      <c r="K21" s="518">
        <f t="shared" si="0"/>
        <v>2094176.8486263207</v>
      </c>
      <c r="L21" s="519">
        <f t="shared" si="1"/>
        <v>0</v>
      </c>
      <c r="M21" s="518">
        <f t="shared" si="2"/>
        <v>2094176.8486263207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/>
      </c>
      <c r="C22" s="507">
        <f>IF(D11="","-",+C21+1)</f>
        <v>2019</v>
      </c>
      <c r="D22" s="629">
        <v>13443010.822920887</v>
      </c>
      <c r="E22" s="630">
        <v>362606.90243902442</v>
      </c>
      <c r="F22" s="629">
        <v>13080403.920481863</v>
      </c>
      <c r="G22" s="630">
        <v>2048091.6510956655</v>
      </c>
      <c r="H22" s="639">
        <v>2048091.6510956655</v>
      </c>
      <c r="I22" s="511">
        <f t="shared" si="4"/>
        <v>0</v>
      </c>
      <c r="J22" s="511"/>
      <c r="K22" s="518">
        <f t="shared" si="0"/>
        <v>2048091.6510956655</v>
      </c>
      <c r="L22" s="519">
        <f t="shared" si="1"/>
        <v>0</v>
      </c>
      <c r="M22" s="518">
        <f t="shared" si="2"/>
        <v>2048091.6510956655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/>
      </c>
      <c r="C23" s="507">
        <f>IF(D11="","-",+C22+1)</f>
        <v>2020</v>
      </c>
      <c r="D23" s="629">
        <v>13080403.920481863</v>
      </c>
      <c r="E23" s="630">
        <v>362606.90243902442</v>
      </c>
      <c r="F23" s="629">
        <v>12717797.018042838</v>
      </c>
      <c r="G23" s="630">
        <v>1682642.2217511837</v>
      </c>
      <c r="H23" s="639">
        <v>1682642.2217511837</v>
      </c>
      <c r="I23" s="511">
        <f t="shared" si="4"/>
        <v>0</v>
      </c>
      <c r="J23" s="511"/>
      <c r="K23" s="518">
        <f t="shared" ref="K23" si="7">G23</f>
        <v>1682642.2217511837</v>
      </c>
      <c r="L23" s="519">
        <f t="shared" ref="L23" si="8">IF(K23&lt;&gt;0,+G23-K23,0)</f>
        <v>0</v>
      </c>
      <c r="M23" s="518">
        <f t="shared" ref="M23" si="9">H23</f>
        <v>1682642.2217511837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/>
      </c>
      <c r="C24" s="507">
        <f>IF(D11="","-",+C23+1)</f>
        <v>2021</v>
      </c>
      <c r="D24" s="523">
        <f>IF(F23+SUM(E$17:E23)=D$10,F23,D$10-SUM(E$17:E23))</f>
        <v>12717797.018042838</v>
      </c>
      <c r="E24" s="522">
        <f t="shared" ref="E24:E72" si="10">IF(+$I$14&lt;F23,$I$14,D24)</f>
        <v>353973.40476190473</v>
      </c>
      <c r="F24" s="523">
        <f t="shared" ref="F24:F72" si="11">+D24-E24</f>
        <v>12363823.613280933</v>
      </c>
      <c r="G24" s="524">
        <f t="shared" ref="G24:G51" si="12">+I$12*((D24+F24)/2)+E24</f>
        <v>1693557.3519957019</v>
      </c>
      <c r="H24" s="491">
        <f t="shared" ref="H24:H51" si="13">+I$13*((D24+F24)/2)+E24</f>
        <v>1693557.3519957019</v>
      </c>
      <c r="I24" s="511">
        <f t="shared" si="4"/>
        <v>0</v>
      </c>
      <c r="J24" s="511"/>
      <c r="K24" s="525"/>
      <c r="L24" s="514">
        <f t="shared" ref="L24:L72" si="14">IF(K24&lt;&gt;0,+G24-K24,0)</f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/>
      </c>
      <c r="C25" s="507">
        <f>IF(D11="","-",+C24+1)</f>
        <v>2022</v>
      </c>
      <c r="D25" s="523">
        <f>IF(F24+SUM(E$17:E24)=D$10,F24,D$10-SUM(E$17:E24))</f>
        <v>12363823.613280933</v>
      </c>
      <c r="E25" s="522">
        <f t="shared" si="10"/>
        <v>353973.40476190473</v>
      </c>
      <c r="F25" s="523">
        <f t="shared" si="11"/>
        <v>12009850.208519028</v>
      </c>
      <c r="G25" s="524">
        <f t="shared" si="12"/>
        <v>1655746.6301339297</v>
      </c>
      <c r="H25" s="491">
        <f t="shared" si="13"/>
        <v>1655746.6301339297</v>
      </c>
      <c r="I25" s="511">
        <f t="shared" si="4"/>
        <v>0</v>
      </c>
      <c r="J25" s="511"/>
      <c r="K25" s="525"/>
      <c r="L25" s="514">
        <f t="shared" si="1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/>
      </c>
      <c r="C26" s="507">
        <f>IF(D11="","-",+C25+1)</f>
        <v>2023</v>
      </c>
      <c r="D26" s="523">
        <f>IF(F25+SUM(E$17:E25)=D$10,F25,D$10-SUM(E$17:E25))</f>
        <v>12009850.208519028</v>
      </c>
      <c r="E26" s="522">
        <f t="shared" si="10"/>
        <v>353973.40476190473</v>
      </c>
      <c r="F26" s="523">
        <f t="shared" si="11"/>
        <v>11655876.803757124</v>
      </c>
      <c r="G26" s="524">
        <f t="shared" si="12"/>
        <v>1617935.908272157</v>
      </c>
      <c r="H26" s="491">
        <f t="shared" si="13"/>
        <v>1617935.908272157</v>
      </c>
      <c r="I26" s="511">
        <f t="shared" si="4"/>
        <v>0</v>
      </c>
      <c r="J26" s="511"/>
      <c r="K26" s="525"/>
      <c r="L26" s="514">
        <f t="shared" si="1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11655876.803757124</v>
      </c>
      <c r="E27" s="522">
        <f t="shared" si="10"/>
        <v>353973.40476190473</v>
      </c>
      <c r="F27" s="523">
        <f t="shared" si="11"/>
        <v>11301903.398995219</v>
      </c>
      <c r="G27" s="524">
        <f t="shared" si="12"/>
        <v>1580125.1864103847</v>
      </c>
      <c r="H27" s="491">
        <f t="shared" si="13"/>
        <v>1580125.1864103847</v>
      </c>
      <c r="I27" s="511">
        <f t="shared" si="4"/>
        <v>0</v>
      </c>
      <c r="J27" s="511"/>
      <c r="K27" s="525"/>
      <c r="L27" s="514">
        <f t="shared" si="1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11301903.398995219</v>
      </c>
      <c r="E28" s="522">
        <f t="shared" si="10"/>
        <v>353973.40476190473</v>
      </c>
      <c r="F28" s="523">
        <f t="shared" si="11"/>
        <v>10947929.994233314</v>
      </c>
      <c r="G28" s="524">
        <f t="shared" si="12"/>
        <v>1542314.464548612</v>
      </c>
      <c r="H28" s="491">
        <f t="shared" si="13"/>
        <v>1542314.464548612</v>
      </c>
      <c r="I28" s="511">
        <f t="shared" si="4"/>
        <v>0</v>
      </c>
      <c r="J28" s="511"/>
      <c r="K28" s="525"/>
      <c r="L28" s="514">
        <f t="shared" si="1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10947929.994233314</v>
      </c>
      <c r="E29" s="522">
        <f t="shared" si="10"/>
        <v>353973.40476190473</v>
      </c>
      <c r="F29" s="523">
        <f t="shared" si="11"/>
        <v>10593956.589471409</v>
      </c>
      <c r="G29" s="524">
        <f t="shared" si="12"/>
        <v>1504503.7426868398</v>
      </c>
      <c r="H29" s="491">
        <f t="shared" si="13"/>
        <v>1504503.7426868398</v>
      </c>
      <c r="I29" s="511">
        <f t="shared" si="4"/>
        <v>0</v>
      </c>
      <c r="J29" s="511"/>
      <c r="K29" s="525"/>
      <c r="L29" s="514">
        <f t="shared" si="1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10593956.589471409</v>
      </c>
      <c r="E30" s="522">
        <f t="shared" si="10"/>
        <v>353973.40476190473</v>
      </c>
      <c r="F30" s="523">
        <f t="shared" si="11"/>
        <v>10239983.184709504</v>
      </c>
      <c r="G30" s="524">
        <f t="shared" si="12"/>
        <v>1466693.0208250671</v>
      </c>
      <c r="H30" s="491">
        <f t="shared" si="13"/>
        <v>1466693.0208250671</v>
      </c>
      <c r="I30" s="511">
        <f t="shared" si="4"/>
        <v>0</v>
      </c>
      <c r="J30" s="511"/>
      <c r="K30" s="525"/>
      <c r="L30" s="514">
        <f t="shared" si="1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10239983.184709504</v>
      </c>
      <c r="E31" s="522">
        <f t="shared" si="10"/>
        <v>353973.40476190473</v>
      </c>
      <c r="F31" s="523">
        <f t="shared" si="11"/>
        <v>9886009.7799475994</v>
      </c>
      <c r="G31" s="524">
        <f t="shared" si="12"/>
        <v>1428882.2989632948</v>
      </c>
      <c r="H31" s="491">
        <f t="shared" si="13"/>
        <v>1428882.2989632948</v>
      </c>
      <c r="I31" s="511">
        <f t="shared" si="4"/>
        <v>0</v>
      </c>
      <c r="J31" s="511"/>
      <c r="K31" s="525"/>
      <c r="L31" s="514">
        <f t="shared" si="1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9886009.7799475994</v>
      </c>
      <c r="E32" s="522">
        <f t="shared" si="10"/>
        <v>353973.40476190473</v>
      </c>
      <c r="F32" s="523">
        <f t="shared" si="11"/>
        <v>9532036.3751856945</v>
      </c>
      <c r="G32" s="524">
        <f t="shared" si="12"/>
        <v>1391071.5771015219</v>
      </c>
      <c r="H32" s="491">
        <f t="shared" si="13"/>
        <v>1391071.5771015219</v>
      </c>
      <c r="I32" s="511">
        <f t="shared" si="4"/>
        <v>0</v>
      </c>
      <c r="J32" s="511"/>
      <c r="K32" s="525"/>
      <c r="L32" s="514">
        <f t="shared" si="1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9532036.3751856945</v>
      </c>
      <c r="E33" s="522">
        <f t="shared" si="10"/>
        <v>353973.40476190473</v>
      </c>
      <c r="F33" s="523">
        <f t="shared" si="11"/>
        <v>9178062.9704237897</v>
      </c>
      <c r="G33" s="524">
        <f t="shared" si="12"/>
        <v>1353260.8552397494</v>
      </c>
      <c r="H33" s="491">
        <f t="shared" si="13"/>
        <v>1353260.8552397494</v>
      </c>
      <c r="I33" s="511">
        <f t="shared" si="4"/>
        <v>0</v>
      </c>
      <c r="J33" s="511"/>
      <c r="K33" s="525"/>
      <c r="L33" s="514">
        <f t="shared" si="1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9178062.9704237897</v>
      </c>
      <c r="E34" s="522">
        <f t="shared" si="10"/>
        <v>353973.40476190473</v>
      </c>
      <c r="F34" s="523">
        <f t="shared" si="11"/>
        <v>8824089.5656618848</v>
      </c>
      <c r="G34" s="524">
        <f t="shared" si="12"/>
        <v>1315450.1333779767</v>
      </c>
      <c r="H34" s="491">
        <f t="shared" si="13"/>
        <v>1315450.1333779767</v>
      </c>
      <c r="I34" s="511">
        <f t="shared" si="4"/>
        <v>0</v>
      </c>
      <c r="J34" s="511"/>
      <c r="K34" s="525"/>
      <c r="L34" s="514">
        <f t="shared" si="1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8824089.5656618848</v>
      </c>
      <c r="E35" s="522">
        <f t="shared" si="10"/>
        <v>353973.40476190473</v>
      </c>
      <c r="F35" s="523">
        <f t="shared" si="11"/>
        <v>8470116.16089998</v>
      </c>
      <c r="G35" s="524">
        <f t="shared" si="12"/>
        <v>1277639.4115162045</v>
      </c>
      <c r="H35" s="491">
        <f t="shared" si="13"/>
        <v>1277639.4115162045</v>
      </c>
      <c r="I35" s="511">
        <f t="shared" si="4"/>
        <v>0</v>
      </c>
      <c r="J35" s="511"/>
      <c r="K35" s="525"/>
      <c r="L35" s="514">
        <f t="shared" si="1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8470116.16089998</v>
      </c>
      <c r="E36" s="522">
        <f t="shared" si="10"/>
        <v>353973.40476190473</v>
      </c>
      <c r="F36" s="523">
        <f t="shared" si="11"/>
        <v>8116142.7561380751</v>
      </c>
      <c r="G36" s="524">
        <f t="shared" si="12"/>
        <v>1239828.6896544318</v>
      </c>
      <c r="H36" s="491">
        <f t="shared" si="13"/>
        <v>1239828.6896544318</v>
      </c>
      <c r="I36" s="511">
        <f t="shared" si="4"/>
        <v>0</v>
      </c>
      <c r="J36" s="511"/>
      <c r="K36" s="525"/>
      <c r="L36" s="514">
        <f t="shared" si="1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8116142.7561380751</v>
      </c>
      <c r="E37" s="522">
        <f t="shared" si="10"/>
        <v>353973.40476190473</v>
      </c>
      <c r="F37" s="523">
        <f t="shared" si="11"/>
        <v>7762169.3513761703</v>
      </c>
      <c r="G37" s="524">
        <f t="shared" si="12"/>
        <v>1202017.9677926595</v>
      </c>
      <c r="H37" s="491">
        <f t="shared" si="13"/>
        <v>1202017.9677926595</v>
      </c>
      <c r="I37" s="511">
        <f t="shared" si="4"/>
        <v>0</v>
      </c>
      <c r="J37" s="511"/>
      <c r="K37" s="525"/>
      <c r="L37" s="514">
        <f t="shared" si="1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7762169.3513761703</v>
      </c>
      <c r="E38" s="522">
        <f t="shared" si="10"/>
        <v>353973.40476190473</v>
      </c>
      <c r="F38" s="523">
        <f t="shared" si="11"/>
        <v>7408195.9466142654</v>
      </c>
      <c r="G38" s="524">
        <f t="shared" si="12"/>
        <v>1164207.2459308868</v>
      </c>
      <c r="H38" s="491">
        <f t="shared" si="13"/>
        <v>1164207.2459308868</v>
      </c>
      <c r="I38" s="511">
        <f t="shared" si="4"/>
        <v>0</v>
      </c>
      <c r="J38" s="511"/>
      <c r="K38" s="525"/>
      <c r="L38" s="514">
        <f t="shared" si="1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7408195.9466142654</v>
      </c>
      <c r="E39" s="522">
        <f t="shared" si="10"/>
        <v>353973.40476190473</v>
      </c>
      <c r="F39" s="523">
        <f t="shared" si="11"/>
        <v>7054222.5418523606</v>
      </c>
      <c r="G39" s="524">
        <f t="shared" si="12"/>
        <v>1126396.5240691144</v>
      </c>
      <c r="H39" s="491">
        <f t="shared" si="13"/>
        <v>1126396.5240691144</v>
      </c>
      <c r="I39" s="511">
        <f t="shared" si="4"/>
        <v>0</v>
      </c>
      <c r="J39" s="511"/>
      <c r="K39" s="525"/>
      <c r="L39" s="514">
        <f t="shared" si="1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7054222.5418523606</v>
      </c>
      <c r="E40" s="522">
        <f t="shared" si="10"/>
        <v>353973.40476190473</v>
      </c>
      <c r="F40" s="523">
        <f t="shared" si="11"/>
        <v>6700249.1370904557</v>
      </c>
      <c r="G40" s="524">
        <f t="shared" si="12"/>
        <v>1088585.8022073419</v>
      </c>
      <c r="H40" s="491">
        <f t="shared" si="13"/>
        <v>1088585.8022073419</v>
      </c>
      <c r="I40" s="511">
        <f t="shared" si="4"/>
        <v>0</v>
      </c>
      <c r="J40" s="511"/>
      <c r="K40" s="525"/>
      <c r="L40" s="514">
        <f t="shared" si="1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6700249.1370904557</v>
      </c>
      <c r="E41" s="522">
        <f t="shared" si="10"/>
        <v>353973.40476190473</v>
      </c>
      <c r="F41" s="523">
        <f t="shared" si="11"/>
        <v>6346275.7323285509</v>
      </c>
      <c r="G41" s="524">
        <f t="shared" si="12"/>
        <v>1050775.0803455694</v>
      </c>
      <c r="H41" s="491">
        <f t="shared" si="13"/>
        <v>1050775.0803455694</v>
      </c>
      <c r="I41" s="511">
        <f t="shared" si="4"/>
        <v>0</v>
      </c>
      <c r="J41" s="511"/>
      <c r="K41" s="525"/>
      <c r="L41" s="514">
        <f t="shared" si="1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6346275.7323285509</v>
      </c>
      <c r="E42" s="522">
        <f t="shared" si="10"/>
        <v>353973.40476190473</v>
      </c>
      <c r="F42" s="523">
        <f t="shared" si="11"/>
        <v>5992302.327566646</v>
      </c>
      <c r="G42" s="524">
        <f t="shared" si="12"/>
        <v>1012964.3584837968</v>
      </c>
      <c r="H42" s="491">
        <f t="shared" si="13"/>
        <v>1012964.3584837968</v>
      </c>
      <c r="I42" s="511">
        <f t="shared" si="4"/>
        <v>0</v>
      </c>
      <c r="J42" s="511"/>
      <c r="K42" s="525"/>
      <c r="L42" s="514">
        <f t="shared" si="1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5992302.327566646</v>
      </c>
      <c r="E43" s="522">
        <f t="shared" si="10"/>
        <v>353973.40476190473</v>
      </c>
      <c r="F43" s="523">
        <f t="shared" si="11"/>
        <v>5638328.9228047412</v>
      </c>
      <c r="G43" s="524">
        <f t="shared" si="12"/>
        <v>975153.63662202435</v>
      </c>
      <c r="H43" s="491">
        <f t="shared" si="13"/>
        <v>975153.63662202435</v>
      </c>
      <c r="I43" s="511">
        <f t="shared" si="4"/>
        <v>0</v>
      </c>
      <c r="J43" s="511"/>
      <c r="K43" s="525"/>
      <c r="L43" s="514">
        <f t="shared" si="1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5638328.9228047412</v>
      </c>
      <c r="E44" s="522">
        <f t="shared" si="10"/>
        <v>353973.40476190473</v>
      </c>
      <c r="F44" s="523">
        <f t="shared" si="11"/>
        <v>5284355.5180428363</v>
      </c>
      <c r="G44" s="524">
        <f t="shared" si="12"/>
        <v>937342.91476025176</v>
      </c>
      <c r="H44" s="491">
        <f t="shared" si="13"/>
        <v>937342.91476025176</v>
      </c>
      <c r="I44" s="511">
        <f t="shared" si="4"/>
        <v>0</v>
      </c>
      <c r="J44" s="511"/>
      <c r="K44" s="525"/>
      <c r="L44" s="514">
        <f t="shared" si="1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5284355.5180428363</v>
      </c>
      <c r="E45" s="522">
        <f t="shared" si="10"/>
        <v>353973.40476190473</v>
      </c>
      <c r="F45" s="523">
        <f t="shared" si="11"/>
        <v>4930382.1132809315</v>
      </c>
      <c r="G45" s="524">
        <f t="shared" si="12"/>
        <v>899532.19289847929</v>
      </c>
      <c r="H45" s="491">
        <f t="shared" si="13"/>
        <v>899532.19289847929</v>
      </c>
      <c r="I45" s="511">
        <f t="shared" si="4"/>
        <v>0</v>
      </c>
      <c r="J45" s="511"/>
      <c r="K45" s="525"/>
      <c r="L45" s="514">
        <f t="shared" si="1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4930382.1132809315</v>
      </c>
      <c r="E46" s="522">
        <f t="shared" si="10"/>
        <v>353973.40476190473</v>
      </c>
      <c r="F46" s="523">
        <f t="shared" si="11"/>
        <v>4576408.7085190266</v>
      </c>
      <c r="G46" s="524">
        <f t="shared" si="12"/>
        <v>861721.47103670682</v>
      </c>
      <c r="H46" s="491">
        <f t="shared" si="13"/>
        <v>861721.47103670682</v>
      </c>
      <c r="I46" s="511">
        <f t="shared" si="4"/>
        <v>0</v>
      </c>
      <c r="J46" s="511"/>
      <c r="K46" s="525"/>
      <c r="L46" s="514">
        <f t="shared" si="1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4576408.7085190266</v>
      </c>
      <c r="E47" s="522">
        <f t="shared" si="10"/>
        <v>353973.40476190473</v>
      </c>
      <c r="F47" s="523">
        <f t="shared" si="11"/>
        <v>4222435.3037571218</v>
      </c>
      <c r="G47" s="524">
        <f t="shared" si="12"/>
        <v>823910.74917493423</v>
      </c>
      <c r="H47" s="491">
        <f t="shared" si="13"/>
        <v>823910.74917493423</v>
      </c>
      <c r="I47" s="511">
        <f t="shared" si="4"/>
        <v>0</v>
      </c>
      <c r="J47" s="511"/>
      <c r="K47" s="525"/>
      <c r="L47" s="514">
        <f t="shared" si="1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4222435.3037571218</v>
      </c>
      <c r="E48" s="522">
        <f t="shared" si="10"/>
        <v>353973.40476190473</v>
      </c>
      <c r="F48" s="523">
        <f t="shared" si="11"/>
        <v>3868461.8989952169</v>
      </c>
      <c r="G48" s="524">
        <f t="shared" si="12"/>
        <v>786100.02731316176</v>
      </c>
      <c r="H48" s="491">
        <f t="shared" si="13"/>
        <v>786100.02731316176</v>
      </c>
      <c r="I48" s="511">
        <f t="shared" si="4"/>
        <v>0</v>
      </c>
      <c r="J48" s="511"/>
      <c r="K48" s="525"/>
      <c r="L48" s="514">
        <f t="shared" si="1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3868461.8989952169</v>
      </c>
      <c r="E49" s="522">
        <f t="shared" si="10"/>
        <v>353973.40476190473</v>
      </c>
      <c r="F49" s="523">
        <f t="shared" si="11"/>
        <v>3514488.4942333121</v>
      </c>
      <c r="G49" s="524">
        <f t="shared" si="12"/>
        <v>748289.30545138917</v>
      </c>
      <c r="H49" s="491">
        <f t="shared" si="13"/>
        <v>748289.30545138917</v>
      </c>
      <c r="I49" s="511">
        <f t="shared" si="4"/>
        <v>0</v>
      </c>
      <c r="J49" s="511"/>
      <c r="K49" s="525"/>
      <c r="L49" s="514">
        <f t="shared" si="14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3514488.4942333121</v>
      </c>
      <c r="E50" s="522">
        <f t="shared" si="10"/>
        <v>353973.40476190473</v>
      </c>
      <c r="F50" s="523">
        <f t="shared" si="11"/>
        <v>3160515.0894714072</v>
      </c>
      <c r="G50" s="524">
        <f t="shared" si="12"/>
        <v>710478.5835896167</v>
      </c>
      <c r="H50" s="491">
        <f t="shared" si="13"/>
        <v>710478.5835896167</v>
      </c>
      <c r="I50" s="511">
        <f t="shared" si="4"/>
        <v>0</v>
      </c>
      <c r="J50" s="511"/>
      <c r="K50" s="525"/>
      <c r="L50" s="514">
        <f t="shared" si="14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3160515.0894714072</v>
      </c>
      <c r="E51" s="522">
        <f t="shared" si="10"/>
        <v>353973.40476190473</v>
      </c>
      <c r="F51" s="523">
        <f t="shared" si="11"/>
        <v>2806541.6847095024</v>
      </c>
      <c r="G51" s="524">
        <f t="shared" si="12"/>
        <v>672667.86172784423</v>
      </c>
      <c r="H51" s="491">
        <f t="shared" si="13"/>
        <v>672667.86172784423</v>
      </c>
      <c r="I51" s="511">
        <f t="shared" si="4"/>
        <v>0</v>
      </c>
      <c r="J51" s="511"/>
      <c r="K51" s="525"/>
      <c r="L51" s="514">
        <f t="shared" si="14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2806541.6847095024</v>
      </c>
      <c r="E52" s="522">
        <f t="shared" si="10"/>
        <v>353973.40476190473</v>
      </c>
      <c r="F52" s="523">
        <f t="shared" si="11"/>
        <v>2452568.2799475975</v>
      </c>
      <c r="G52" s="524">
        <f t="shared" ref="G52:G72" si="15">+I$12*((D52+F52)/2)+E52</f>
        <v>634857.13986607175</v>
      </c>
      <c r="H52" s="491">
        <f t="shared" ref="H52:H72" si="16">+I$13*((D52+F52)/2)+E52</f>
        <v>634857.13986607175</v>
      </c>
      <c r="I52" s="511">
        <f t="shared" si="4"/>
        <v>0</v>
      </c>
      <c r="J52" s="511"/>
      <c r="K52" s="525"/>
      <c r="L52" s="514">
        <f t="shared" si="14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2452568.2799475975</v>
      </c>
      <c r="E53" s="522">
        <f t="shared" si="10"/>
        <v>353973.40476190473</v>
      </c>
      <c r="F53" s="523">
        <f t="shared" si="11"/>
        <v>2098594.8751856927</v>
      </c>
      <c r="G53" s="524">
        <f t="shared" si="15"/>
        <v>597046.41800429916</v>
      </c>
      <c r="H53" s="491">
        <f t="shared" si="16"/>
        <v>597046.41800429916</v>
      </c>
      <c r="I53" s="511">
        <f t="shared" si="4"/>
        <v>0</v>
      </c>
      <c r="J53" s="511"/>
      <c r="K53" s="525"/>
      <c r="L53" s="514">
        <f t="shared" si="14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2098594.8751856927</v>
      </c>
      <c r="E54" s="522">
        <f t="shared" si="10"/>
        <v>353973.40476190473</v>
      </c>
      <c r="F54" s="523">
        <f t="shared" si="11"/>
        <v>1744621.4704237878</v>
      </c>
      <c r="G54" s="524">
        <f t="shared" si="15"/>
        <v>559235.69614252658</v>
      </c>
      <c r="H54" s="491">
        <f t="shared" si="16"/>
        <v>559235.69614252658</v>
      </c>
      <c r="I54" s="511">
        <f t="shared" si="4"/>
        <v>0</v>
      </c>
      <c r="J54" s="511"/>
      <c r="K54" s="525"/>
      <c r="L54" s="514">
        <f t="shared" si="14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1744621.4704237878</v>
      </c>
      <c r="E55" s="522">
        <f t="shared" si="10"/>
        <v>353973.40476190473</v>
      </c>
      <c r="F55" s="523">
        <f t="shared" si="11"/>
        <v>1390648.065661883</v>
      </c>
      <c r="G55" s="524">
        <f t="shared" si="15"/>
        <v>521424.9742807541</v>
      </c>
      <c r="H55" s="491">
        <f t="shared" si="16"/>
        <v>521424.9742807541</v>
      </c>
      <c r="I55" s="511">
        <f t="shared" si="4"/>
        <v>0</v>
      </c>
      <c r="J55" s="511"/>
      <c r="K55" s="525"/>
      <c r="L55" s="514">
        <f t="shared" si="14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1390648.065661883</v>
      </c>
      <c r="E56" s="522">
        <f t="shared" si="10"/>
        <v>353973.40476190473</v>
      </c>
      <c r="F56" s="523">
        <f t="shared" si="11"/>
        <v>1036674.6608999782</v>
      </c>
      <c r="G56" s="524">
        <f t="shared" si="15"/>
        <v>483614.25241898163</v>
      </c>
      <c r="H56" s="491">
        <f t="shared" si="16"/>
        <v>483614.25241898163</v>
      </c>
      <c r="I56" s="511">
        <f t="shared" si="4"/>
        <v>0</v>
      </c>
      <c r="J56" s="511"/>
      <c r="K56" s="525"/>
      <c r="L56" s="514">
        <f t="shared" si="14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1036674.6608999782</v>
      </c>
      <c r="E57" s="522">
        <f t="shared" si="10"/>
        <v>353973.40476190473</v>
      </c>
      <c r="F57" s="523">
        <f t="shared" si="11"/>
        <v>682701.25613807351</v>
      </c>
      <c r="G57" s="524">
        <f t="shared" si="15"/>
        <v>445803.5305572091</v>
      </c>
      <c r="H57" s="491">
        <f t="shared" si="16"/>
        <v>445803.5305572091</v>
      </c>
      <c r="I57" s="511">
        <f t="shared" si="4"/>
        <v>0</v>
      </c>
      <c r="J57" s="511"/>
      <c r="K57" s="525"/>
      <c r="L57" s="514">
        <f t="shared" si="14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682701.25613807351</v>
      </c>
      <c r="E58" s="522">
        <f t="shared" si="10"/>
        <v>353973.40476190473</v>
      </c>
      <c r="F58" s="523">
        <f t="shared" si="11"/>
        <v>328727.85137616878</v>
      </c>
      <c r="G58" s="524">
        <f t="shared" si="15"/>
        <v>407992.80869543663</v>
      </c>
      <c r="H58" s="491">
        <f t="shared" si="16"/>
        <v>407992.80869543663</v>
      </c>
      <c r="I58" s="511">
        <f t="shared" si="4"/>
        <v>0</v>
      </c>
      <c r="J58" s="511"/>
      <c r="K58" s="525"/>
      <c r="L58" s="514">
        <f t="shared" si="14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328727.85137616878</v>
      </c>
      <c r="E59" s="522">
        <f t="shared" si="10"/>
        <v>328727.85137616878</v>
      </c>
      <c r="F59" s="523">
        <f t="shared" si="11"/>
        <v>0</v>
      </c>
      <c r="G59" s="524">
        <f t="shared" si="15"/>
        <v>346284.87287749158</v>
      </c>
      <c r="H59" s="491">
        <f t="shared" si="16"/>
        <v>346284.87287749158</v>
      </c>
      <c r="I59" s="511">
        <f t="shared" si="4"/>
        <v>0</v>
      </c>
      <c r="J59" s="511"/>
      <c r="K59" s="525"/>
      <c r="L59" s="514">
        <f t="shared" si="14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0"/>
        <v>0</v>
      </c>
      <c r="F60" s="523">
        <f t="shared" si="11"/>
        <v>0</v>
      </c>
      <c r="G60" s="524">
        <f t="shared" si="15"/>
        <v>0</v>
      </c>
      <c r="H60" s="491">
        <f t="shared" si="16"/>
        <v>0</v>
      </c>
      <c r="I60" s="511">
        <f t="shared" si="4"/>
        <v>0</v>
      </c>
      <c r="J60" s="511"/>
      <c r="K60" s="525"/>
      <c r="L60" s="514">
        <f t="shared" si="14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0"/>
        <v>0</v>
      </c>
      <c r="F61" s="523">
        <f t="shared" si="11"/>
        <v>0</v>
      </c>
      <c r="G61" s="524">
        <f t="shared" si="15"/>
        <v>0</v>
      </c>
      <c r="H61" s="491">
        <f t="shared" si="16"/>
        <v>0</v>
      </c>
      <c r="I61" s="511">
        <f t="shared" si="4"/>
        <v>0</v>
      </c>
      <c r="J61" s="511"/>
      <c r="K61" s="525"/>
      <c r="L61" s="514">
        <f t="shared" si="14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0"/>
        <v>0</v>
      </c>
      <c r="F62" s="523">
        <f t="shared" si="11"/>
        <v>0</v>
      </c>
      <c r="G62" s="524">
        <f t="shared" si="15"/>
        <v>0</v>
      </c>
      <c r="H62" s="491">
        <f t="shared" si="16"/>
        <v>0</v>
      </c>
      <c r="I62" s="511">
        <f t="shared" si="4"/>
        <v>0</v>
      </c>
      <c r="J62" s="511"/>
      <c r="K62" s="525"/>
      <c r="L62" s="514">
        <f t="shared" si="14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0"/>
        <v>0</v>
      </c>
      <c r="F63" s="523">
        <f t="shared" si="11"/>
        <v>0</v>
      </c>
      <c r="G63" s="524">
        <f t="shared" si="15"/>
        <v>0</v>
      </c>
      <c r="H63" s="491">
        <f t="shared" si="16"/>
        <v>0</v>
      </c>
      <c r="I63" s="511">
        <f t="shared" si="4"/>
        <v>0</v>
      </c>
      <c r="J63" s="511"/>
      <c r="K63" s="525"/>
      <c r="L63" s="514">
        <f t="shared" si="14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0"/>
        <v>0</v>
      </c>
      <c r="F64" s="523">
        <f t="shared" si="11"/>
        <v>0</v>
      </c>
      <c r="G64" s="524">
        <f t="shared" si="15"/>
        <v>0</v>
      </c>
      <c r="H64" s="491">
        <f t="shared" si="16"/>
        <v>0</v>
      </c>
      <c r="I64" s="511">
        <f t="shared" si="4"/>
        <v>0</v>
      </c>
      <c r="J64" s="511"/>
      <c r="K64" s="525"/>
      <c r="L64" s="514">
        <f t="shared" si="14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0"/>
        <v>0</v>
      </c>
      <c r="F65" s="523">
        <f t="shared" si="11"/>
        <v>0</v>
      </c>
      <c r="G65" s="524">
        <f t="shared" si="15"/>
        <v>0</v>
      </c>
      <c r="H65" s="491">
        <f t="shared" si="16"/>
        <v>0</v>
      </c>
      <c r="I65" s="511">
        <f t="shared" si="4"/>
        <v>0</v>
      </c>
      <c r="J65" s="511"/>
      <c r="K65" s="525"/>
      <c r="L65" s="514">
        <f t="shared" si="14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0"/>
        <v>0</v>
      </c>
      <c r="F66" s="523">
        <f t="shared" si="11"/>
        <v>0</v>
      </c>
      <c r="G66" s="524">
        <f t="shared" si="15"/>
        <v>0</v>
      </c>
      <c r="H66" s="491">
        <f t="shared" si="16"/>
        <v>0</v>
      </c>
      <c r="I66" s="511">
        <f t="shared" si="4"/>
        <v>0</v>
      </c>
      <c r="J66" s="511"/>
      <c r="K66" s="525"/>
      <c r="L66" s="514">
        <f t="shared" si="14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0"/>
        <v>0</v>
      </c>
      <c r="F67" s="523">
        <f t="shared" si="11"/>
        <v>0</v>
      </c>
      <c r="G67" s="524">
        <f t="shared" si="15"/>
        <v>0</v>
      </c>
      <c r="H67" s="491">
        <f t="shared" si="16"/>
        <v>0</v>
      </c>
      <c r="I67" s="511">
        <f t="shared" si="4"/>
        <v>0</v>
      </c>
      <c r="J67" s="511"/>
      <c r="K67" s="525"/>
      <c r="L67" s="514">
        <f t="shared" si="14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0"/>
        <v>0</v>
      </c>
      <c r="F68" s="523">
        <f t="shared" si="11"/>
        <v>0</v>
      </c>
      <c r="G68" s="524">
        <f t="shared" si="15"/>
        <v>0</v>
      </c>
      <c r="H68" s="491">
        <f t="shared" si="16"/>
        <v>0</v>
      </c>
      <c r="I68" s="511">
        <f t="shared" si="4"/>
        <v>0</v>
      </c>
      <c r="J68" s="511"/>
      <c r="K68" s="525"/>
      <c r="L68" s="514">
        <f t="shared" si="14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0"/>
        <v>0</v>
      </c>
      <c r="F69" s="523">
        <f t="shared" si="11"/>
        <v>0</v>
      </c>
      <c r="G69" s="524">
        <f t="shared" si="15"/>
        <v>0</v>
      </c>
      <c r="H69" s="491">
        <f t="shared" si="16"/>
        <v>0</v>
      </c>
      <c r="I69" s="511">
        <f t="shared" si="4"/>
        <v>0</v>
      </c>
      <c r="J69" s="511"/>
      <c r="K69" s="525"/>
      <c r="L69" s="514">
        <f t="shared" si="14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0"/>
        <v>0</v>
      </c>
      <c r="F70" s="523">
        <f t="shared" si="11"/>
        <v>0</v>
      </c>
      <c r="G70" s="524">
        <f t="shared" si="15"/>
        <v>0</v>
      </c>
      <c r="H70" s="491">
        <f t="shared" si="16"/>
        <v>0</v>
      </c>
      <c r="I70" s="511">
        <f t="shared" si="4"/>
        <v>0</v>
      </c>
      <c r="J70" s="511"/>
      <c r="K70" s="525"/>
      <c r="L70" s="514">
        <f t="shared" si="14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0"/>
        <v>0</v>
      </c>
      <c r="F71" s="523">
        <f t="shared" si="11"/>
        <v>0</v>
      </c>
      <c r="G71" s="524">
        <f t="shared" si="15"/>
        <v>0</v>
      </c>
      <c r="H71" s="491">
        <f t="shared" si="16"/>
        <v>0</v>
      </c>
      <c r="I71" s="511">
        <f t="shared" si="4"/>
        <v>0</v>
      </c>
      <c r="J71" s="511"/>
      <c r="K71" s="525"/>
      <c r="L71" s="514">
        <f t="shared" si="14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0"/>
        <v>0</v>
      </c>
      <c r="F72" s="523">
        <f t="shared" si="11"/>
        <v>0</v>
      </c>
      <c r="G72" s="524">
        <f t="shared" si="15"/>
        <v>0</v>
      </c>
      <c r="H72" s="491">
        <f t="shared" si="16"/>
        <v>0</v>
      </c>
      <c r="I72" s="511">
        <f t="shared" si="4"/>
        <v>0</v>
      </c>
      <c r="J72" s="511"/>
      <c r="K72" s="532"/>
      <c r="L72" s="533">
        <f t="shared" si="14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14866882.999999998</v>
      </c>
      <c r="F73" s="375"/>
      <c r="G73" s="375">
        <f>SUM(G17:G72)</f>
        <v>51377070.376636617</v>
      </c>
      <c r="H73" s="375">
        <f>SUM(H17:H72)</f>
        <v>51377070.376636617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43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1682642.2217511837</v>
      </c>
      <c r="N87" s="546">
        <f>IF(J92&lt;D11,0,VLOOKUP(J92,C17:O72,11))</f>
        <v>1682642.2217511837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1745509.3465257157</v>
      </c>
      <c r="N88" s="550">
        <f>IF(J92&lt;D11,0,VLOOKUP(J92,C99:P154,7))</f>
        <v>1745509.3465257157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Diana to Perdue 138 kV Rebuild 21.8 miles; Station Upgrades at Diana and Perdue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62867.124774531927</v>
      </c>
      <c r="N89" s="555">
        <f>+N88-N87</f>
        <v>62867.124774531927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TP2011023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v>14866883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353973.40476190473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0</v>
      </c>
      <c r="F99" s="631">
        <v>14986466</v>
      </c>
      <c r="G99" s="632">
        <v>7493233</v>
      </c>
      <c r="H99" s="633">
        <v>1018506.1541813499</v>
      </c>
      <c r="I99" s="634">
        <v>1018506.1541813499</v>
      </c>
      <c r="J99" s="514">
        <v>0</v>
      </c>
      <c r="K99" s="514"/>
      <c r="L99" s="518">
        <f t="shared" ref="L99:L104" si="17">H99</f>
        <v>1018506.1541813499</v>
      </c>
      <c r="M99" s="519">
        <f t="shared" ref="M99:M104" si="18">IF(L99&lt;&gt;0,+H99-L99,0)</f>
        <v>0</v>
      </c>
      <c r="N99" s="518">
        <f t="shared" ref="N99:N104" si="19">I99</f>
        <v>1018506.1541813499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>IU</v>
      </c>
      <c r="C100" s="507">
        <f>IF(D93="","-",+C99+1)</f>
        <v>2015</v>
      </c>
      <c r="D100" s="629">
        <v>14902882.880000001</v>
      </c>
      <c r="E100" s="630">
        <v>354830.54476190481</v>
      </c>
      <c r="F100" s="631">
        <v>14548052.335238095</v>
      </c>
      <c r="G100" s="631">
        <v>14725467.607619047</v>
      </c>
      <c r="H100" s="633">
        <v>2295188.8876024</v>
      </c>
      <c r="I100" s="634">
        <v>2295188.8876024</v>
      </c>
      <c r="J100" s="514">
        <f>+I100-H100</f>
        <v>0</v>
      </c>
      <c r="K100" s="514"/>
      <c r="L100" s="518">
        <f t="shared" si="17"/>
        <v>2295188.8876024</v>
      </c>
      <c r="M100" s="519">
        <f t="shared" si="18"/>
        <v>0</v>
      </c>
      <c r="N100" s="518">
        <f t="shared" si="19"/>
        <v>2295188.8876024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0">IF(D101=F100,"","IU")</f>
        <v>IU</v>
      </c>
      <c r="C101" s="507">
        <f>IF(D93="","-",+C100+1)</f>
        <v>2016</v>
      </c>
      <c r="D101" s="629">
        <v>14512052.455238095</v>
      </c>
      <c r="E101" s="630">
        <v>345741.46511627908</v>
      </c>
      <c r="F101" s="631">
        <v>14166310.990121815</v>
      </c>
      <c r="G101" s="631">
        <v>14339181.722679954</v>
      </c>
      <c r="H101" s="633">
        <v>2166100.4168751929</v>
      </c>
      <c r="I101" s="634">
        <v>2166100.4168751929</v>
      </c>
      <c r="J101" s="514">
        <f t="shared" ref="J101:J154" si="21">+I101-H101</f>
        <v>0</v>
      </c>
      <c r="K101" s="514"/>
      <c r="L101" s="518">
        <f t="shared" si="17"/>
        <v>2166100.4168751929</v>
      </c>
      <c r="M101" s="519">
        <f t="shared" si="18"/>
        <v>0</v>
      </c>
      <c r="N101" s="518">
        <f t="shared" si="19"/>
        <v>2166100.4168751929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0"/>
        <v/>
      </c>
      <c r="C102" s="507">
        <f>IF(D93="","-",+C101+1)</f>
        <v>2017</v>
      </c>
      <c r="D102" s="629">
        <v>14166310.990121815</v>
      </c>
      <c r="E102" s="630">
        <v>353973.40476190473</v>
      </c>
      <c r="F102" s="631">
        <v>13812337.585359911</v>
      </c>
      <c r="G102" s="631">
        <v>13989324.287740864</v>
      </c>
      <c r="H102" s="633">
        <v>2053277.0180077213</v>
      </c>
      <c r="I102" s="634">
        <v>2053277.0180077213</v>
      </c>
      <c r="J102" s="514">
        <f t="shared" si="21"/>
        <v>0</v>
      </c>
      <c r="K102" s="514"/>
      <c r="L102" s="518">
        <f t="shared" si="17"/>
        <v>2053277.0180077213</v>
      </c>
      <c r="M102" s="519">
        <f t="shared" si="18"/>
        <v>0</v>
      </c>
      <c r="N102" s="518">
        <f t="shared" si="19"/>
        <v>2053277.0180077213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20"/>
        <v/>
      </c>
      <c r="C103" s="507">
        <f>IF(D93="","-",+C102+1)</f>
        <v>2018</v>
      </c>
      <c r="D103" s="629">
        <v>13812337.585359911</v>
      </c>
      <c r="E103" s="630">
        <v>353973.40476190473</v>
      </c>
      <c r="F103" s="631">
        <v>13458364.180598006</v>
      </c>
      <c r="G103" s="631">
        <v>13635350.882978957</v>
      </c>
      <c r="H103" s="633">
        <v>1793928.9872663962</v>
      </c>
      <c r="I103" s="634">
        <v>1793928.9872663962</v>
      </c>
      <c r="J103" s="514">
        <f t="shared" si="21"/>
        <v>0</v>
      </c>
      <c r="K103" s="514"/>
      <c r="L103" s="518">
        <f t="shared" si="17"/>
        <v>1793928.9872663962</v>
      </c>
      <c r="M103" s="519">
        <f t="shared" si="18"/>
        <v>0</v>
      </c>
      <c r="N103" s="518">
        <f t="shared" si="19"/>
        <v>1793928.9872663962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20"/>
        <v/>
      </c>
      <c r="C104" s="507">
        <f>IF(D93="","-",+C103+1)</f>
        <v>2019</v>
      </c>
      <c r="D104" s="629">
        <v>13458364.180598006</v>
      </c>
      <c r="E104" s="630">
        <v>345741.46511627908</v>
      </c>
      <c r="F104" s="631">
        <v>13112622.715481726</v>
      </c>
      <c r="G104" s="631">
        <v>13285493.448039867</v>
      </c>
      <c r="H104" s="633">
        <v>1767827.9448754457</v>
      </c>
      <c r="I104" s="634">
        <v>1767827.9448754457</v>
      </c>
      <c r="J104" s="514">
        <f t="shared" si="21"/>
        <v>0</v>
      </c>
      <c r="K104" s="514"/>
      <c r="L104" s="518">
        <f t="shared" si="17"/>
        <v>1767827.9448754457</v>
      </c>
      <c r="M104" s="519">
        <f t="shared" si="18"/>
        <v>0</v>
      </c>
      <c r="N104" s="518">
        <f t="shared" si="19"/>
        <v>1767827.9448754457</v>
      </c>
      <c r="O104" s="514">
        <f t="shared" ref="O104:O130" si="22">IF(N104&lt;&gt;0,+I104-N104,0)</f>
        <v>0</v>
      </c>
      <c r="P104" s="514">
        <f t="shared" ref="P104:P130" si="23">+O104-M104</f>
        <v>0</v>
      </c>
    </row>
    <row r="105" spans="1:16" ht="12.5">
      <c r="B105" s="195" t="str">
        <f t="shared" si="20"/>
        <v/>
      </c>
      <c r="C105" s="507">
        <f>IF(D93="","-",+C104+1)</f>
        <v>2020</v>
      </c>
      <c r="D105" s="374">
        <f>IF(F104+SUM(E$99:E104)=D$92,F104,D$92-SUM(E$99:E104))</f>
        <v>13112622.715481726</v>
      </c>
      <c r="E105" s="522">
        <f t="shared" ref="E105:E154" si="24">IF(+$J$96&lt;F104,$J$96,D105)</f>
        <v>353973.40476190473</v>
      </c>
      <c r="F105" s="523">
        <f t="shared" ref="F105:F154" si="25">+D105-E105</f>
        <v>12758649.310719822</v>
      </c>
      <c r="G105" s="523">
        <f t="shared" ref="G105:G154" si="26">+(F105+D105)/2</f>
        <v>12935636.013100773</v>
      </c>
      <c r="H105" s="526">
        <f t="shared" ref="H105:H154" si="27">+J$94*G105+E105</f>
        <v>1745509.3465257157</v>
      </c>
      <c r="I105" s="577">
        <f t="shared" ref="I105:I154" si="28">+J$95*G105+E105</f>
        <v>1745509.3465257157</v>
      </c>
      <c r="J105" s="514">
        <f t="shared" si="21"/>
        <v>0</v>
      </c>
      <c r="K105" s="514"/>
      <c r="L105" s="525"/>
      <c r="M105" s="514">
        <f t="shared" ref="M105:M130" si="29">IF(L105&lt;&gt;0,+H105-L105,0)</f>
        <v>0</v>
      </c>
      <c r="N105" s="525"/>
      <c r="O105" s="514">
        <f t="shared" si="22"/>
        <v>0</v>
      </c>
      <c r="P105" s="514">
        <f t="shared" si="23"/>
        <v>0</v>
      </c>
    </row>
    <row r="106" spans="1:16" ht="12.5">
      <c r="B106" s="195" t="str">
        <f t="shared" si="20"/>
        <v/>
      </c>
      <c r="C106" s="507">
        <f>IF(D93="","-",+C105+1)</f>
        <v>2021</v>
      </c>
      <c r="D106" s="374">
        <f>IF(F105+SUM(E$99:E105)=D$92,F105,D$92-SUM(E$99:E105))</f>
        <v>12758649.310719822</v>
      </c>
      <c r="E106" s="522">
        <f t="shared" si="24"/>
        <v>353973.40476190473</v>
      </c>
      <c r="F106" s="523">
        <f t="shared" si="25"/>
        <v>12404675.905957917</v>
      </c>
      <c r="G106" s="523">
        <f t="shared" si="26"/>
        <v>12581662.60833887</v>
      </c>
      <c r="H106" s="526">
        <f t="shared" si="27"/>
        <v>1707431.0707721431</v>
      </c>
      <c r="I106" s="577">
        <f t="shared" si="28"/>
        <v>1707431.0707721431</v>
      </c>
      <c r="J106" s="514">
        <f t="shared" si="21"/>
        <v>0</v>
      </c>
      <c r="K106" s="514"/>
      <c r="L106" s="525"/>
      <c r="M106" s="514">
        <f t="shared" si="29"/>
        <v>0</v>
      </c>
      <c r="N106" s="525"/>
      <c r="O106" s="514">
        <f t="shared" si="22"/>
        <v>0</v>
      </c>
      <c r="P106" s="514">
        <f t="shared" si="23"/>
        <v>0</v>
      </c>
    </row>
    <row r="107" spans="1:16" ht="12.5">
      <c r="B107" s="195" t="str">
        <f t="shared" si="20"/>
        <v/>
      </c>
      <c r="C107" s="507">
        <f>IF(D93="","-",+C106+1)</f>
        <v>2022</v>
      </c>
      <c r="D107" s="374">
        <f>IF(F106+SUM(E$99:E106)=D$92,F106,D$92-SUM(E$99:E106))</f>
        <v>12404675.905957917</v>
      </c>
      <c r="E107" s="522">
        <f t="shared" si="24"/>
        <v>353973.40476190473</v>
      </c>
      <c r="F107" s="523">
        <f t="shared" si="25"/>
        <v>12050702.501196012</v>
      </c>
      <c r="G107" s="523">
        <f t="shared" si="26"/>
        <v>12227689.203576963</v>
      </c>
      <c r="H107" s="526">
        <f t="shared" si="27"/>
        <v>1669352.79501857</v>
      </c>
      <c r="I107" s="577">
        <f t="shared" si="28"/>
        <v>1669352.79501857</v>
      </c>
      <c r="J107" s="514">
        <f t="shared" si="21"/>
        <v>0</v>
      </c>
      <c r="K107" s="514"/>
      <c r="L107" s="525"/>
      <c r="M107" s="514">
        <f t="shared" si="29"/>
        <v>0</v>
      </c>
      <c r="N107" s="525"/>
      <c r="O107" s="514">
        <f t="shared" si="22"/>
        <v>0</v>
      </c>
      <c r="P107" s="514">
        <f t="shared" si="23"/>
        <v>0</v>
      </c>
    </row>
    <row r="108" spans="1:16" ht="12.5">
      <c r="B108" s="195" t="str">
        <f t="shared" si="20"/>
        <v/>
      </c>
      <c r="C108" s="507">
        <f>IF(D93="","-",+C107+1)</f>
        <v>2023</v>
      </c>
      <c r="D108" s="374">
        <f>IF(F107+SUM(E$99:E107)=D$92,F107,D$92-SUM(E$99:E107))</f>
        <v>12050702.501196012</v>
      </c>
      <c r="E108" s="522">
        <f t="shared" si="24"/>
        <v>353973.40476190473</v>
      </c>
      <c r="F108" s="523">
        <f t="shared" si="25"/>
        <v>11696729.096434107</v>
      </c>
      <c r="G108" s="523">
        <f t="shared" si="26"/>
        <v>11873715.79881506</v>
      </c>
      <c r="H108" s="526">
        <f t="shared" si="27"/>
        <v>1631274.519264997</v>
      </c>
      <c r="I108" s="577">
        <f t="shared" si="28"/>
        <v>1631274.519264997</v>
      </c>
      <c r="J108" s="514">
        <f t="shared" si="21"/>
        <v>0</v>
      </c>
      <c r="K108" s="514"/>
      <c r="L108" s="525"/>
      <c r="M108" s="514">
        <f t="shared" si="29"/>
        <v>0</v>
      </c>
      <c r="N108" s="525"/>
      <c r="O108" s="514">
        <f t="shared" si="22"/>
        <v>0</v>
      </c>
      <c r="P108" s="514">
        <f t="shared" si="23"/>
        <v>0</v>
      </c>
    </row>
    <row r="109" spans="1:16" ht="12.5">
      <c r="B109" s="195" t="str">
        <f t="shared" si="20"/>
        <v/>
      </c>
      <c r="C109" s="507">
        <f>IF(D93="","-",+C108+1)</f>
        <v>2024</v>
      </c>
      <c r="D109" s="374">
        <f>IF(F108+SUM(E$99:E108)=D$92,F108,D$92-SUM(E$99:E108))</f>
        <v>11696729.096434107</v>
      </c>
      <c r="E109" s="522">
        <f t="shared" si="24"/>
        <v>353973.40476190473</v>
      </c>
      <c r="F109" s="523">
        <f t="shared" si="25"/>
        <v>11342755.691672202</v>
      </c>
      <c r="G109" s="523">
        <f t="shared" si="26"/>
        <v>11519742.394053154</v>
      </c>
      <c r="H109" s="526">
        <f t="shared" si="27"/>
        <v>1593196.2435114239</v>
      </c>
      <c r="I109" s="577">
        <f t="shared" si="28"/>
        <v>1593196.2435114239</v>
      </c>
      <c r="J109" s="514">
        <f t="shared" si="21"/>
        <v>0</v>
      </c>
      <c r="K109" s="514"/>
      <c r="L109" s="525"/>
      <c r="M109" s="514">
        <f t="shared" si="29"/>
        <v>0</v>
      </c>
      <c r="N109" s="525"/>
      <c r="O109" s="514">
        <f t="shared" si="22"/>
        <v>0</v>
      </c>
      <c r="P109" s="514">
        <f t="shared" si="23"/>
        <v>0</v>
      </c>
    </row>
    <row r="110" spans="1:16" ht="12.5">
      <c r="B110" s="195" t="str">
        <f t="shared" si="20"/>
        <v/>
      </c>
      <c r="C110" s="507">
        <f>IF(D93="","-",+C109+1)</f>
        <v>2025</v>
      </c>
      <c r="D110" s="374">
        <f>IF(F109+SUM(E$99:E109)=D$92,F109,D$92-SUM(E$99:E109))</f>
        <v>11342755.691672202</v>
      </c>
      <c r="E110" s="522">
        <f t="shared" si="24"/>
        <v>353973.40476190473</v>
      </c>
      <c r="F110" s="523">
        <f t="shared" si="25"/>
        <v>10988782.286910297</v>
      </c>
      <c r="G110" s="523">
        <f t="shared" si="26"/>
        <v>11165768.989291251</v>
      </c>
      <c r="H110" s="526">
        <f t="shared" si="27"/>
        <v>1555117.9677578514</v>
      </c>
      <c r="I110" s="577">
        <f t="shared" si="28"/>
        <v>1555117.9677578514</v>
      </c>
      <c r="J110" s="514">
        <f t="shared" si="21"/>
        <v>0</v>
      </c>
      <c r="K110" s="514"/>
      <c r="L110" s="525"/>
      <c r="M110" s="514">
        <f t="shared" si="29"/>
        <v>0</v>
      </c>
      <c r="N110" s="525"/>
      <c r="O110" s="514">
        <f t="shared" si="22"/>
        <v>0</v>
      </c>
      <c r="P110" s="514">
        <f t="shared" si="23"/>
        <v>0</v>
      </c>
    </row>
    <row r="111" spans="1:16" ht="12.5">
      <c r="B111" s="195" t="str">
        <f t="shared" si="20"/>
        <v/>
      </c>
      <c r="C111" s="507">
        <f>IF(D93="","-",+C110+1)</f>
        <v>2026</v>
      </c>
      <c r="D111" s="374">
        <f>IF(F110+SUM(E$99:E110)=D$92,F110,D$92-SUM(E$99:E110))</f>
        <v>10988782.286910297</v>
      </c>
      <c r="E111" s="522">
        <f t="shared" si="24"/>
        <v>353973.40476190473</v>
      </c>
      <c r="F111" s="523">
        <f t="shared" si="25"/>
        <v>10634808.882148392</v>
      </c>
      <c r="G111" s="523">
        <f t="shared" si="26"/>
        <v>10811795.584529344</v>
      </c>
      <c r="H111" s="526">
        <f t="shared" si="27"/>
        <v>1517039.6920042783</v>
      </c>
      <c r="I111" s="577">
        <f t="shared" si="28"/>
        <v>1517039.6920042783</v>
      </c>
      <c r="J111" s="514">
        <f t="shared" si="21"/>
        <v>0</v>
      </c>
      <c r="K111" s="514"/>
      <c r="L111" s="525"/>
      <c r="M111" s="514">
        <f t="shared" si="29"/>
        <v>0</v>
      </c>
      <c r="N111" s="525"/>
      <c r="O111" s="514">
        <f t="shared" si="22"/>
        <v>0</v>
      </c>
      <c r="P111" s="514">
        <f t="shared" si="23"/>
        <v>0</v>
      </c>
    </row>
    <row r="112" spans="1:16" ht="12.5">
      <c r="B112" s="195" t="str">
        <f t="shared" si="20"/>
        <v/>
      </c>
      <c r="C112" s="507">
        <f>IF(D93="","-",+C111+1)</f>
        <v>2027</v>
      </c>
      <c r="D112" s="374">
        <f>IF(F111+SUM(E$99:E111)=D$92,F111,D$92-SUM(E$99:E111))</f>
        <v>10634808.882148392</v>
      </c>
      <c r="E112" s="522">
        <f t="shared" si="24"/>
        <v>353973.40476190473</v>
      </c>
      <c r="F112" s="523">
        <f t="shared" si="25"/>
        <v>10280835.477386488</v>
      </c>
      <c r="G112" s="523">
        <f t="shared" si="26"/>
        <v>10457822.179767441</v>
      </c>
      <c r="H112" s="526">
        <f t="shared" si="27"/>
        <v>1478961.4162507053</v>
      </c>
      <c r="I112" s="577">
        <f t="shared" si="28"/>
        <v>1478961.4162507053</v>
      </c>
      <c r="J112" s="514">
        <f t="shared" si="21"/>
        <v>0</v>
      </c>
      <c r="K112" s="514"/>
      <c r="L112" s="525"/>
      <c r="M112" s="514">
        <f t="shared" si="29"/>
        <v>0</v>
      </c>
      <c r="N112" s="525"/>
      <c r="O112" s="514">
        <f t="shared" si="22"/>
        <v>0</v>
      </c>
      <c r="P112" s="514">
        <f t="shared" si="23"/>
        <v>0</v>
      </c>
    </row>
    <row r="113" spans="2:16" ht="12.5">
      <c r="B113" s="195" t="str">
        <f t="shared" si="20"/>
        <v/>
      </c>
      <c r="C113" s="507">
        <f>IF(D93="","-",+C112+1)</f>
        <v>2028</v>
      </c>
      <c r="D113" s="374">
        <f>IF(F112+SUM(E$99:E112)=D$92,F112,D$92-SUM(E$99:E112))</f>
        <v>10280835.477386488</v>
      </c>
      <c r="E113" s="522">
        <f t="shared" si="24"/>
        <v>353973.40476190473</v>
      </c>
      <c r="F113" s="523">
        <f t="shared" si="25"/>
        <v>9926862.0726245828</v>
      </c>
      <c r="G113" s="523">
        <f t="shared" si="26"/>
        <v>10103848.775005534</v>
      </c>
      <c r="H113" s="526">
        <f t="shared" si="27"/>
        <v>1440883.1404971322</v>
      </c>
      <c r="I113" s="577">
        <f t="shared" si="28"/>
        <v>1440883.1404971322</v>
      </c>
      <c r="J113" s="514">
        <f t="shared" si="21"/>
        <v>0</v>
      </c>
      <c r="K113" s="514"/>
      <c r="L113" s="525"/>
      <c r="M113" s="514">
        <f t="shared" si="29"/>
        <v>0</v>
      </c>
      <c r="N113" s="525"/>
      <c r="O113" s="514">
        <f t="shared" si="22"/>
        <v>0</v>
      </c>
      <c r="P113" s="514">
        <f t="shared" si="23"/>
        <v>0</v>
      </c>
    </row>
    <row r="114" spans="2:16" ht="12.5">
      <c r="B114" s="195" t="str">
        <f t="shared" si="20"/>
        <v/>
      </c>
      <c r="C114" s="507">
        <f>IF(D93="","-",+C113+1)</f>
        <v>2029</v>
      </c>
      <c r="D114" s="374">
        <f>IF(F113+SUM(E$99:E113)=D$92,F113,D$92-SUM(E$99:E113))</f>
        <v>9926862.0726245828</v>
      </c>
      <c r="E114" s="522">
        <f t="shared" si="24"/>
        <v>353973.40476190473</v>
      </c>
      <c r="F114" s="523">
        <f t="shared" si="25"/>
        <v>9572888.6678626779</v>
      </c>
      <c r="G114" s="523">
        <f t="shared" si="26"/>
        <v>9749875.3702436313</v>
      </c>
      <c r="H114" s="526">
        <f t="shared" si="27"/>
        <v>1402804.8647435596</v>
      </c>
      <c r="I114" s="577">
        <f t="shared" si="28"/>
        <v>1402804.8647435596</v>
      </c>
      <c r="J114" s="514">
        <f t="shared" si="21"/>
        <v>0</v>
      </c>
      <c r="K114" s="514"/>
      <c r="L114" s="525"/>
      <c r="M114" s="514">
        <f t="shared" si="29"/>
        <v>0</v>
      </c>
      <c r="N114" s="525"/>
      <c r="O114" s="514">
        <f t="shared" si="22"/>
        <v>0</v>
      </c>
      <c r="P114" s="514">
        <f t="shared" si="23"/>
        <v>0</v>
      </c>
    </row>
    <row r="115" spans="2:16" ht="12.5">
      <c r="B115" s="195" t="str">
        <f t="shared" si="20"/>
        <v/>
      </c>
      <c r="C115" s="507">
        <f>IF(D93="","-",+C114+1)</f>
        <v>2030</v>
      </c>
      <c r="D115" s="374">
        <f>IF(F114+SUM(E$99:E114)=D$92,F114,D$92-SUM(E$99:E114))</f>
        <v>9572888.6678626779</v>
      </c>
      <c r="E115" s="522">
        <f t="shared" si="24"/>
        <v>353973.40476190473</v>
      </c>
      <c r="F115" s="523">
        <f t="shared" si="25"/>
        <v>9218915.2631007731</v>
      </c>
      <c r="G115" s="523">
        <f t="shared" si="26"/>
        <v>9395901.9654817246</v>
      </c>
      <c r="H115" s="526">
        <f t="shared" si="27"/>
        <v>1364726.5889899866</v>
      </c>
      <c r="I115" s="577">
        <f t="shared" si="28"/>
        <v>1364726.5889899866</v>
      </c>
      <c r="J115" s="514">
        <f t="shared" si="21"/>
        <v>0</v>
      </c>
      <c r="K115" s="514"/>
      <c r="L115" s="525"/>
      <c r="M115" s="514">
        <f t="shared" si="29"/>
        <v>0</v>
      </c>
      <c r="N115" s="525"/>
      <c r="O115" s="514">
        <f t="shared" si="22"/>
        <v>0</v>
      </c>
      <c r="P115" s="514">
        <f t="shared" si="23"/>
        <v>0</v>
      </c>
    </row>
    <row r="116" spans="2:16" ht="12.5">
      <c r="B116" s="195" t="str">
        <f t="shared" si="20"/>
        <v/>
      </c>
      <c r="C116" s="507">
        <f>IF(D93="","-",+C115+1)</f>
        <v>2031</v>
      </c>
      <c r="D116" s="374">
        <f>IF(F115+SUM(E$99:E115)=D$92,F115,D$92-SUM(E$99:E115))</f>
        <v>9218915.2631007731</v>
      </c>
      <c r="E116" s="522">
        <f t="shared" si="24"/>
        <v>353973.40476190473</v>
      </c>
      <c r="F116" s="523">
        <f t="shared" si="25"/>
        <v>8864941.8583388682</v>
      </c>
      <c r="G116" s="523">
        <f t="shared" si="26"/>
        <v>9041928.5607198216</v>
      </c>
      <c r="H116" s="526">
        <f t="shared" si="27"/>
        <v>1326648.3132364138</v>
      </c>
      <c r="I116" s="577">
        <f t="shared" si="28"/>
        <v>1326648.3132364138</v>
      </c>
      <c r="J116" s="514">
        <f t="shared" si="21"/>
        <v>0</v>
      </c>
      <c r="K116" s="514"/>
      <c r="L116" s="525"/>
      <c r="M116" s="514">
        <f t="shared" si="29"/>
        <v>0</v>
      </c>
      <c r="N116" s="525"/>
      <c r="O116" s="514">
        <f t="shared" si="22"/>
        <v>0</v>
      </c>
      <c r="P116" s="514">
        <f t="shared" si="23"/>
        <v>0</v>
      </c>
    </row>
    <row r="117" spans="2:16" ht="12.5">
      <c r="B117" s="195" t="str">
        <f t="shared" si="20"/>
        <v/>
      </c>
      <c r="C117" s="507">
        <f>IF(D93="","-",+C116+1)</f>
        <v>2032</v>
      </c>
      <c r="D117" s="374">
        <f>IF(F116+SUM(E$99:E116)=D$92,F116,D$92-SUM(E$99:E116))</f>
        <v>8864941.8583388682</v>
      </c>
      <c r="E117" s="522">
        <f t="shared" si="24"/>
        <v>353973.40476190473</v>
      </c>
      <c r="F117" s="523">
        <f t="shared" si="25"/>
        <v>8510968.4535769634</v>
      </c>
      <c r="G117" s="523">
        <f t="shared" si="26"/>
        <v>8687955.1559579149</v>
      </c>
      <c r="H117" s="526">
        <f t="shared" si="27"/>
        <v>1288570.0374828405</v>
      </c>
      <c r="I117" s="577">
        <f t="shared" si="28"/>
        <v>1288570.0374828405</v>
      </c>
      <c r="J117" s="514">
        <f t="shared" si="21"/>
        <v>0</v>
      </c>
      <c r="K117" s="514"/>
      <c r="L117" s="525"/>
      <c r="M117" s="514">
        <f t="shared" si="29"/>
        <v>0</v>
      </c>
      <c r="N117" s="525"/>
      <c r="O117" s="514">
        <f t="shared" si="22"/>
        <v>0</v>
      </c>
      <c r="P117" s="514">
        <f t="shared" si="23"/>
        <v>0</v>
      </c>
    </row>
    <row r="118" spans="2:16" ht="12.5">
      <c r="B118" s="195" t="str">
        <f t="shared" si="20"/>
        <v/>
      </c>
      <c r="C118" s="507">
        <f>IF(D93="","-",+C117+1)</f>
        <v>2033</v>
      </c>
      <c r="D118" s="374">
        <f>IF(F117+SUM(E$99:E117)=D$92,F117,D$92-SUM(E$99:E117))</f>
        <v>8510968.4535769634</v>
      </c>
      <c r="E118" s="522">
        <f t="shared" si="24"/>
        <v>353973.40476190473</v>
      </c>
      <c r="F118" s="523">
        <f t="shared" si="25"/>
        <v>8156995.0488150585</v>
      </c>
      <c r="G118" s="523">
        <f t="shared" si="26"/>
        <v>8333981.751196011</v>
      </c>
      <c r="H118" s="526">
        <f t="shared" si="27"/>
        <v>1250491.7617292679</v>
      </c>
      <c r="I118" s="577">
        <f t="shared" si="28"/>
        <v>1250491.7617292679</v>
      </c>
      <c r="J118" s="514">
        <f t="shared" si="21"/>
        <v>0</v>
      </c>
      <c r="K118" s="514"/>
      <c r="L118" s="525"/>
      <c r="M118" s="514">
        <f t="shared" si="29"/>
        <v>0</v>
      </c>
      <c r="N118" s="525"/>
      <c r="O118" s="514">
        <f t="shared" si="22"/>
        <v>0</v>
      </c>
      <c r="P118" s="514">
        <f t="shared" si="23"/>
        <v>0</v>
      </c>
    </row>
    <row r="119" spans="2:16" ht="12.5">
      <c r="B119" s="195" t="str">
        <f t="shared" si="20"/>
        <v/>
      </c>
      <c r="C119" s="507">
        <f>IF(D93="","-",+C118+1)</f>
        <v>2034</v>
      </c>
      <c r="D119" s="374">
        <f>IF(F118+SUM(E$99:E118)=D$92,F118,D$92-SUM(E$99:E118))</f>
        <v>8156995.0488150585</v>
      </c>
      <c r="E119" s="522">
        <f t="shared" si="24"/>
        <v>353973.40476190473</v>
      </c>
      <c r="F119" s="523">
        <f t="shared" si="25"/>
        <v>7803021.6440531537</v>
      </c>
      <c r="G119" s="523">
        <f t="shared" si="26"/>
        <v>7980008.3464341061</v>
      </c>
      <c r="H119" s="526">
        <f t="shared" si="27"/>
        <v>1212413.4859756948</v>
      </c>
      <c r="I119" s="577">
        <f t="shared" si="28"/>
        <v>1212413.4859756948</v>
      </c>
      <c r="J119" s="514">
        <f t="shared" si="21"/>
        <v>0</v>
      </c>
      <c r="K119" s="514"/>
      <c r="L119" s="525"/>
      <c r="M119" s="514">
        <f t="shared" si="29"/>
        <v>0</v>
      </c>
      <c r="N119" s="525"/>
      <c r="O119" s="514">
        <f t="shared" si="22"/>
        <v>0</v>
      </c>
      <c r="P119" s="514">
        <f t="shared" si="23"/>
        <v>0</v>
      </c>
    </row>
    <row r="120" spans="2:16" ht="12.5">
      <c r="B120" s="195" t="str">
        <f t="shared" si="20"/>
        <v/>
      </c>
      <c r="C120" s="507">
        <f>IF(D93="","-",+C119+1)</f>
        <v>2035</v>
      </c>
      <c r="D120" s="374">
        <f>IF(F119+SUM(E$99:E119)=D$92,F119,D$92-SUM(E$99:E119))</f>
        <v>7803021.6440531537</v>
      </c>
      <c r="E120" s="522">
        <f t="shared" si="24"/>
        <v>353973.40476190473</v>
      </c>
      <c r="F120" s="523">
        <f t="shared" si="25"/>
        <v>7449048.2392912488</v>
      </c>
      <c r="G120" s="523">
        <f t="shared" si="26"/>
        <v>7626034.9416722013</v>
      </c>
      <c r="H120" s="526">
        <f t="shared" si="27"/>
        <v>1174335.2102221218</v>
      </c>
      <c r="I120" s="577">
        <f t="shared" si="28"/>
        <v>1174335.2102221218</v>
      </c>
      <c r="J120" s="514">
        <f t="shared" si="21"/>
        <v>0</v>
      </c>
      <c r="K120" s="514"/>
      <c r="L120" s="525"/>
      <c r="M120" s="514">
        <f t="shared" si="29"/>
        <v>0</v>
      </c>
      <c r="N120" s="525"/>
      <c r="O120" s="514">
        <f t="shared" si="22"/>
        <v>0</v>
      </c>
      <c r="P120" s="514">
        <f t="shared" si="23"/>
        <v>0</v>
      </c>
    </row>
    <row r="121" spans="2:16" ht="12.5">
      <c r="B121" s="195" t="str">
        <f t="shared" si="20"/>
        <v/>
      </c>
      <c r="C121" s="507">
        <f>IF(D93="","-",+C120+1)</f>
        <v>2036</v>
      </c>
      <c r="D121" s="374">
        <f>IF(F120+SUM(E$99:E120)=D$92,F120,D$92-SUM(E$99:E120))</f>
        <v>7449048.2392912488</v>
      </c>
      <c r="E121" s="522">
        <f t="shared" si="24"/>
        <v>353973.40476190473</v>
      </c>
      <c r="F121" s="523">
        <f t="shared" si="25"/>
        <v>7095074.834529344</v>
      </c>
      <c r="G121" s="523">
        <f t="shared" si="26"/>
        <v>7272061.5369102964</v>
      </c>
      <c r="H121" s="526">
        <f t="shared" si="27"/>
        <v>1136256.934468549</v>
      </c>
      <c r="I121" s="577">
        <f t="shared" si="28"/>
        <v>1136256.934468549</v>
      </c>
      <c r="J121" s="514">
        <f t="shared" si="21"/>
        <v>0</v>
      </c>
      <c r="K121" s="514"/>
      <c r="L121" s="525"/>
      <c r="M121" s="514">
        <f t="shared" si="29"/>
        <v>0</v>
      </c>
      <c r="N121" s="525"/>
      <c r="O121" s="514">
        <f t="shared" si="22"/>
        <v>0</v>
      </c>
      <c r="P121" s="514">
        <f t="shared" si="23"/>
        <v>0</v>
      </c>
    </row>
    <row r="122" spans="2:16" ht="12.5">
      <c r="B122" s="195" t="str">
        <f t="shared" si="20"/>
        <v/>
      </c>
      <c r="C122" s="507">
        <f>IF(D93="","-",+C121+1)</f>
        <v>2037</v>
      </c>
      <c r="D122" s="374">
        <f>IF(F121+SUM(E$99:E121)=D$92,F121,D$92-SUM(E$99:E121))</f>
        <v>7095074.834529344</v>
      </c>
      <c r="E122" s="522">
        <f t="shared" si="24"/>
        <v>353973.40476190473</v>
      </c>
      <c r="F122" s="523">
        <f t="shared" si="25"/>
        <v>6741101.4297674391</v>
      </c>
      <c r="G122" s="523">
        <f t="shared" si="26"/>
        <v>6918088.1321483916</v>
      </c>
      <c r="H122" s="526">
        <f t="shared" si="27"/>
        <v>1098178.6587149762</v>
      </c>
      <c r="I122" s="577">
        <f t="shared" si="28"/>
        <v>1098178.6587149762</v>
      </c>
      <c r="J122" s="514">
        <f t="shared" si="21"/>
        <v>0</v>
      </c>
      <c r="K122" s="514"/>
      <c r="L122" s="525"/>
      <c r="M122" s="514">
        <f t="shared" si="29"/>
        <v>0</v>
      </c>
      <c r="N122" s="525"/>
      <c r="O122" s="514">
        <f t="shared" si="22"/>
        <v>0</v>
      </c>
      <c r="P122" s="514">
        <f t="shared" si="23"/>
        <v>0</v>
      </c>
    </row>
    <row r="123" spans="2:16" ht="12.5">
      <c r="B123" s="195" t="str">
        <f t="shared" si="20"/>
        <v/>
      </c>
      <c r="C123" s="507">
        <f>IF(D93="","-",+C122+1)</f>
        <v>2038</v>
      </c>
      <c r="D123" s="374">
        <f>IF(F122+SUM(E$99:E122)=D$92,F122,D$92-SUM(E$99:E122))</f>
        <v>6741101.4297674391</v>
      </c>
      <c r="E123" s="522">
        <f t="shared" si="24"/>
        <v>353973.40476190473</v>
      </c>
      <c r="F123" s="523">
        <f t="shared" si="25"/>
        <v>6387128.0250055343</v>
      </c>
      <c r="G123" s="523">
        <f t="shared" si="26"/>
        <v>6564114.7273864867</v>
      </c>
      <c r="H123" s="526">
        <f t="shared" si="27"/>
        <v>1060100.3829614031</v>
      </c>
      <c r="I123" s="577">
        <f t="shared" si="28"/>
        <v>1060100.3829614031</v>
      </c>
      <c r="J123" s="514">
        <f t="shared" si="21"/>
        <v>0</v>
      </c>
      <c r="K123" s="514"/>
      <c r="L123" s="525"/>
      <c r="M123" s="514">
        <f t="shared" si="29"/>
        <v>0</v>
      </c>
      <c r="N123" s="525"/>
      <c r="O123" s="514">
        <f t="shared" si="22"/>
        <v>0</v>
      </c>
      <c r="P123" s="514">
        <f t="shared" si="23"/>
        <v>0</v>
      </c>
    </row>
    <row r="124" spans="2:16" ht="12.5">
      <c r="B124" s="195" t="str">
        <f t="shared" si="20"/>
        <v/>
      </c>
      <c r="C124" s="507">
        <f>IF(D93="","-",+C123+1)</f>
        <v>2039</v>
      </c>
      <c r="D124" s="374">
        <f>IF(F123+SUM(E$99:E123)=D$92,F123,D$92-SUM(E$99:E123))</f>
        <v>6387128.0250055343</v>
      </c>
      <c r="E124" s="522">
        <f t="shared" si="24"/>
        <v>353973.40476190473</v>
      </c>
      <c r="F124" s="523">
        <f t="shared" si="25"/>
        <v>6033154.6202436294</v>
      </c>
      <c r="G124" s="523">
        <f t="shared" si="26"/>
        <v>6210141.3226245819</v>
      </c>
      <c r="H124" s="526">
        <f t="shared" si="27"/>
        <v>1022022.1072078302</v>
      </c>
      <c r="I124" s="577">
        <f t="shared" si="28"/>
        <v>1022022.1072078302</v>
      </c>
      <c r="J124" s="514">
        <f t="shared" si="21"/>
        <v>0</v>
      </c>
      <c r="K124" s="514"/>
      <c r="L124" s="525"/>
      <c r="M124" s="514">
        <f t="shared" si="29"/>
        <v>0</v>
      </c>
      <c r="N124" s="525"/>
      <c r="O124" s="514">
        <f t="shared" si="22"/>
        <v>0</v>
      </c>
      <c r="P124" s="514">
        <f t="shared" si="23"/>
        <v>0</v>
      </c>
    </row>
    <row r="125" spans="2:16" ht="12.5">
      <c r="B125" s="195" t="str">
        <f t="shared" si="20"/>
        <v/>
      </c>
      <c r="C125" s="507">
        <f>IF(D93="","-",+C124+1)</f>
        <v>2040</v>
      </c>
      <c r="D125" s="374">
        <f>IF(F124+SUM(E$99:E124)=D$92,F124,D$92-SUM(E$99:E124))</f>
        <v>6033154.6202436294</v>
      </c>
      <c r="E125" s="522">
        <f t="shared" si="24"/>
        <v>353973.40476190473</v>
      </c>
      <c r="F125" s="523">
        <f t="shared" si="25"/>
        <v>5679181.2154817246</v>
      </c>
      <c r="G125" s="523">
        <f t="shared" si="26"/>
        <v>5856167.917862677</v>
      </c>
      <c r="H125" s="526">
        <f t="shared" si="27"/>
        <v>983943.83145425725</v>
      </c>
      <c r="I125" s="577">
        <f t="shared" si="28"/>
        <v>983943.83145425725</v>
      </c>
      <c r="J125" s="514">
        <f t="shared" si="21"/>
        <v>0</v>
      </c>
      <c r="K125" s="514"/>
      <c r="L125" s="525"/>
      <c r="M125" s="514">
        <f t="shared" si="29"/>
        <v>0</v>
      </c>
      <c r="N125" s="525"/>
      <c r="O125" s="514">
        <f t="shared" si="22"/>
        <v>0</v>
      </c>
      <c r="P125" s="514">
        <f t="shared" si="23"/>
        <v>0</v>
      </c>
    </row>
    <row r="126" spans="2:16" ht="12.5">
      <c r="B126" s="195" t="str">
        <f t="shared" si="20"/>
        <v/>
      </c>
      <c r="C126" s="507">
        <f>IF(D93="","-",+C125+1)</f>
        <v>2041</v>
      </c>
      <c r="D126" s="374">
        <f>IF(F125+SUM(E$99:E125)=D$92,F125,D$92-SUM(E$99:E125))</f>
        <v>5679181.2154817246</v>
      </c>
      <c r="E126" s="522">
        <f t="shared" si="24"/>
        <v>353973.40476190473</v>
      </c>
      <c r="F126" s="523">
        <f t="shared" si="25"/>
        <v>5325207.8107198197</v>
      </c>
      <c r="G126" s="523">
        <f t="shared" si="26"/>
        <v>5502194.5131007722</v>
      </c>
      <c r="H126" s="526">
        <f t="shared" si="27"/>
        <v>945865.55570068432</v>
      </c>
      <c r="I126" s="577">
        <f t="shared" si="28"/>
        <v>945865.55570068432</v>
      </c>
      <c r="J126" s="514">
        <f t="shared" si="21"/>
        <v>0</v>
      </c>
      <c r="K126" s="514"/>
      <c r="L126" s="525"/>
      <c r="M126" s="514">
        <f t="shared" si="29"/>
        <v>0</v>
      </c>
      <c r="N126" s="525"/>
      <c r="O126" s="514">
        <f t="shared" si="22"/>
        <v>0</v>
      </c>
      <c r="P126" s="514">
        <f t="shared" si="23"/>
        <v>0</v>
      </c>
    </row>
    <row r="127" spans="2:16" ht="12.5">
      <c r="B127" s="195" t="str">
        <f t="shared" si="20"/>
        <v/>
      </c>
      <c r="C127" s="507">
        <f>IF(D93="","-",+C126+1)</f>
        <v>2042</v>
      </c>
      <c r="D127" s="374">
        <f>IF(F126+SUM(E$99:E126)=D$92,F126,D$92-SUM(E$99:E126))</f>
        <v>5325207.8107198197</v>
      </c>
      <c r="E127" s="522">
        <f t="shared" si="24"/>
        <v>353973.40476190473</v>
      </c>
      <c r="F127" s="523">
        <f t="shared" si="25"/>
        <v>4971234.4059579149</v>
      </c>
      <c r="G127" s="523">
        <f t="shared" si="26"/>
        <v>5148221.1083388673</v>
      </c>
      <c r="H127" s="526">
        <f t="shared" si="27"/>
        <v>907787.27994711138</v>
      </c>
      <c r="I127" s="577">
        <f t="shared" si="28"/>
        <v>907787.27994711138</v>
      </c>
      <c r="J127" s="514">
        <f t="shared" si="21"/>
        <v>0</v>
      </c>
      <c r="K127" s="514"/>
      <c r="L127" s="525"/>
      <c r="M127" s="514">
        <f t="shared" si="29"/>
        <v>0</v>
      </c>
      <c r="N127" s="525"/>
      <c r="O127" s="514">
        <f t="shared" si="22"/>
        <v>0</v>
      </c>
      <c r="P127" s="514">
        <f t="shared" si="23"/>
        <v>0</v>
      </c>
    </row>
    <row r="128" spans="2:16" ht="12.5">
      <c r="B128" s="195" t="str">
        <f t="shared" si="20"/>
        <v/>
      </c>
      <c r="C128" s="507">
        <f>IF(D93="","-",+C127+1)</f>
        <v>2043</v>
      </c>
      <c r="D128" s="374">
        <f>IF(F127+SUM(E$99:E127)=D$92,F127,D$92-SUM(E$99:E127))</f>
        <v>4971234.4059579149</v>
      </c>
      <c r="E128" s="522">
        <f t="shared" si="24"/>
        <v>353973.40476190473</v>
      </c>
      <c r="F128" s="523">
        <f t="shared" si="25"/>
        <v>4617261.00119601</v>
      </c>
      <c r="G128" s="523">
        <f t="shared" si="26"/>
        <v>4794247.7035769625</v>
      </c>
      <c r="H128" s="526">
        <f t="shared" si="27"/>
        <v>869709.00419353857</v>
      </c>
      <c r="I128" s="577">
        <f t="shared" si="28"/>
        <v>869709.00419353857</v>
      </c>
      <c r="J128" s="514">
        <f t="shared" si="21"/>
        <v>0</v>
      </c>
      <c r="K128" s="514"/>
      <c r="L128" s="525"/>
      <c r="M128" s="514">
        <f t="shared" si="29"/>
        <v>0</v>
      </c>
      <c r="N128" s="525"/>
      <c r="O128" s="514">
        <f t="shared" si="22"/>
        <v>0</v>
      </c>
      <c r="P128" s="514">
        <f t="shared" si="23"/>
        <v>0</v>
      </c>
    </row>
    <row r="129" spans="2:16" ht="12.5">
      <c r="B129" s="195" t="str">
        <f t="shared" si="20"/>
        <v/>
      </c>
      <c r="C129" s="507">
        <f>IF(D93="","-",+C128+1)</f>
        <v>2044</v>
      </c>
      <c r="D129" s="374">
        <f>IF(F128+SUM(E$99:E128)=D$92,F128,D$92-SUM(E$99:E128))</f>
        <v>4617261.00119601</v>
      </c>
      <c r="E129" s="522">
        <f t="shared" si="24"/>
        <v>353973.40476190473</v>
      </c>
      <c r="F129" s="523">
        <f t="shared" si="25"/>
        <v>4263287.5964341052</v>
      </c>
      <c r="G129" s="523">
        <f t="shared" si="26"/>
        <v>4440274.2988150576</v>
      </c>
      <c r="H129" s="526">
        <f t="shared" si="27"/>
        <v>831630.72843996552</v>
      </c>
      <c r="I129" s="577">
        <f t="shared" si="28"/>
        <v>831630.72843996552</v>
      </c>
      <c r="J129" s="514">
        <f t="shared" si="21"/>
        <v>0</v>
      </c>
      <c r="K129" s="514"/>
      <c r="L129" s="525"/>
      <c r="M129" s="514">
        <f t="shared" si="29"/>
        <v>0</v>
      </c>
      <c r="N129" s="525"/>
      <c r="O129" s="514">
        <f t="shared" si="22"/>
        <v>0</v>
      </c>
      <c r="P129" s="514">
        <f t="shared" si="23"/>
        <v>0</v>
      </c>
    </row>
    <row r="130" spans="2:16" ht="12.5">
      <c r="B130" s="195" t="str">
        <f t="shared" si="20"/>
        <v/>
      </c>
      <c r="C130" s="507">
        <f>IF(D93="","-",+C129+1)</f>
        <v>2045</v>
      </c>
      <c r="D130" s="374">
        <f>IF(F129+SUM(E$99:E129)=D$92,F129,D$92-SUM(E$99:E129))</f>
        <v>4263287.5964341052</v>
      </c>
      <c r="E130" s="522">
        <f t="shared" si="24"/>
        <v>353973.40476190473</v>
      </c>
      <c r="F130" s="523">
        <f t="shared" si="25"/>
        <v>3909314.1916722003</v>
      </c>
      <c r="G130" s="523">
        <f t="shared" si="26"/>
        <v>4086300.8940531528</v>
      </c>
      <c r="H130" s="526">
        <f t="shared" si="27"/>
        <v>793552.4526863927</v>
      </c>
      <c r="I130" s="577">
        <f t="shared" si="28"/>
        <v>793552.4526863927</v>
      </c>
      <c r="J130" s="514">
        <f t="shared" si="21"/>
        <v>0</v>
      </c>
      <c r="K130" s="514"/>
      <c r="L130" s="525"/>
      <c r="M130" s="514">
        <f t="shared" si="29"/>
        <v>0</v>
      </c>
      <c r="N130" s="525"/>
      <c r="O130" s="514">
        <f t="shared" si="22"/>
        <v>0</v>
      </c>
      <c r="P130" s="514">
        <f t="shared" si="23"/>
        <v>0</v>
      </c>
    </row>
    <row r="131" spans="2:16" ht="12.5">
      <c r="B131" s="195" t="str">
        <f t="shared" si="20"/>
        <v/>
      </c>
      <c r="C131" s="507">
        <f>IF(D93="","-",+C130+1)</f>
        <v>2046</v>
      </c>
      <c r="D131" s="374">
        <f>IF(F130+SUM(E$99:E130)=D$92,F130,D$92-SUM(E$99:E130))</f>
        <v>3909314.1916722003</v>
      </c>
      <c r="E131" s="522">
        <f t="shared" si="24"/>
        <v>353973.40476190473</v>
      </c>
      <c r="F131" s="523">
        <f t="shared" si="25"/>
        <v>3555340.7869102955</v>
      </c>
      <c r="G131" s="523">
        <f t="shared" si="26"/>
        <v>3732327.4892912479</v>
      </c>
      <c r="H131" s="526">
        <f t="shared" si="27"/>
        <v>755474.17693281965</v>
      </c>
      <c r="I131" s="577">
        <f t="shared" si="28"/>
        <v>755474.17693281965</v>
      </c>
      <c r="J131" s="514">
        <f t="shared" si="21"/>
        <v>0</v>
      </c>
      <c r="K131" s="514"/>
      <c r="L131" s="525"/>
      <c r="M131" s="514">
        <f t="shared" ref="M131:M154" si="30">IF(L541&lt;&gt;0,+H541-L541,0)</f>
        <v>0</v>
      </c>
      <c r="N131" s="525"/>
      <c r="O131" s="514">
        <f t="shared" ref="O131:O154" si="31">IF(N541&lt;&gt;0,+I541-N541,0)</f>
        <v>0</v>
      </c>
      <c r="P131" s="514">
        <f t="shared" ref="P131:P154" si="32">+O541-M541</f>
        <v>0</v>
      </c>
    </row>
    <row r="132" spans="2:16" ht="12.5">
      <c r="B132" s="195" t="str">
        <f t="shared" si="20"/>
        <v/>
      </c>
      <c r="C132" s="507">
        <f>IF(D93="","-",+C131+1)</f>
        <v>2047</v>
      </c>
      <c r="D132" s="374">
        <f>IF(F131+SUM(E$99:E131)=D$92,F131,D$92-SUM(E$99:E131))</f>
        <v>3555340.7869102955</v>
      </c>
      <c r="E132" s="522">
        <f t="shared" si="24"/>
        <v>353973.40476190473</v>
      </c>
      <c r="F132" s="523">
        <f t="shared" si="25"/>
        <v>3201367.3821483906</v>
      </c>
      <c r="G132" s="523">
        <f t="shared" si="26"/>
        <v>3378354.0845293431</v>
      </c>
      <c r="H132" s="526">
        <f t="shared" si="27"/>
        <v>717395.90117924684</v>
      </c>
      <c r="I132" s="577">
        <f t="shared" si="28"/>
        <v>717395.90117924684</v>
      </c>
      <c r="J132" s="514">
        <f t="shared" si="21"/>
        <v>0</v>
      </c>
      <c r="K132" s="514"/>
      <c r="L132" s="525"/>
      <c r="M132" s="514">
        <f t="shared" si="30"/>
        <v>0</v>
      </c>
      <c r="N132" s="525"/>
      <c r="O132" s="514">
        <f t="shared" si="31"/>
        <v>0</v>
      </c>
      <c r="P132" s="514">
        <f t="shared" si="32"/>
        <v>0</v>
      </c>
    </row>
    <row r="133" spans="2:16" ht="12.5">
      <c r="B133" s="195" t="str">
        <f t="shared" si="20"/>
        <v/>
      </c>
      <c r="C133" s="507">
        <f>IF(D93="","-",+C132+1)</f>
        <v>2048</v>
      </c>
      <c r="D133" s="374">
        <f>IF(F132+SUM(E$99:E132)=D$92,F132,D$92-SUM(E$99:E132))</f>
        <v>3201367.3821483906</v>
      </c>
      <c r="E133" s="522">
        <f t="shared" si="24"/>
        <v>353973.40476190473</v>
      </c>
      <c r="F133" s="523">
        <f t="shared" si="25"/>
        <v>2847393.9773864858</v>
      </c>
      <c r="G133" s="523">
        <f t="shared" si="26"/>
        <v>3024380.6797674382</v>
      </c>
      <c r="H133" s="526">
        <f t="shared" si="27"/>
        <v>679317.6254256739</v>
      </c>
      <c r="I133" s="577">
        <f t="shared" si="28"/>
        <v>679317.6254256739</v>
      </c>
      <c r="J133" s="514">
        <f t="shared" si="21"/>
        <v>0</v>
      </c>
      <c r="K133" s="514"/>
      <c r="L133" s="525"/>
      <c r="M133" s="514">
        <f t="shared" si="30"/>
        <v>0</v>
      </c>
      <c r="N133" s="525"/>
      <c r="O133" s="514">
        <f t="shared" si="31"/>
        <v>0</v>
      </c>
      <c r="P133" s="514">
        <f t="shared" si="32"/>
        <v>0</v>
      </c>
    </row>
    <row r="134" spans="2:16" ht="12.5">
      <c r="B134" s="195" t="str">
        <f t="shared" si="20"/>
        <v/>
      </c>
      <c r="C134" s="507">
        <f>IF(D93="","-",+C133+1)</f>
        <v>2049</v>
      </c>
      <c r="D134" s="374">
        <f>IF(F133+SUM(E$99:E133)=D$92,F133,D$92-SUM(E$99:E133))</f>
        <v>2847393.9773864858</v>
      </c>
      <c r="E134" s="522">
        <f t="shared" si="24"/>
        <v>353973.40476190473</v>
      </c>
      <c r="F134" s="523">
        <f t="shared" si="25"/>
        <v>2493420.5726245809</v>
      </c>
      <c r="G134" s="523">
        <f t="shared" si="26"/>
        <v>2670407.2750055334</v>
      </c>
      <c r="H134" s="526">
        <f t="shared" si="27"/>
        <v>641239.34967210097</v>
      </c>
      <c r="I134" s="577">
        <f t="shared" si="28"/>
        <v>641239.34967210097</v>
      </c>
      <c r="J134" s="514">
        <f t="shared" si="21"/>
        <v>0</v>
      </c>
      <c r="K134" s="514"/>
      <c r="L134" s="525"/>
      <c r="M134" s="514">
        <f t="shared" si="30"/>
        <v>0</v>
      </c>
      <c r="N134" s="525"/>
      <c r="O134" s="514">
        <f t="shared" si="31"/>
        <v>0</v>
      </c>
      <c r="P134" s="514">
        <f t="shared" si="32"/>
        <v>0</v>
      </c>
    </row>
    <row r="135" spans="2:16" ht="12.5">
      <c r="B135" s="195" t="str">
        <f t="shared" si="20"/>
        <v/>
      </c>
      <c r="C135" s="507">
        <f>IF(D93="","-",+C134+1)</f>
        <v>2050</v>
      </c>
      <c r="D135" s="374">
        <f>IF(F134+SUM(E$99:E134)=D$92,F134,D$92-SUM(E$99:E134))</f>
        <v>2493420.5726245809</v>
      </c>
      <c r="E135" s="522">
        <f t="shared" si="24"/>
        <v>353973.40476190473</v>
      </c>
      <c r="F135" s="523">
        <f t="shared" si="25"/>
        <v>2139447.1678626761</v>
      </c>
      <c r="G135" s="523">
        <f t="shared" si="26"/>
        <v>2316433.8702436285</v>
      </c>
      <c r="H135" s="526">
        <f t="shared" si="27"/>
        <v>603161.07391852804</v>
      </c>
      <c r="I135" s="577">
        <f t="shared" si="28"/>
        <v>603161.07391852804</v>
      </c>
      <c r="J135" s="514">
        <f t="shared" si="21"/>
        <v>0</v>
      </c>
      <c r="K135" s="514"/>
      <c r="L135" s="525"/>
      <c r="M135" s="514">
        <f t="shared" si="30"/>
        <v>0</v>
      </c>
      <c r="N135" s="525"/>
      <c r="O135" s="514">
        <f t="shared" si="31"/>
        <v>0</v>
      </c>
      <c r="P135" s="514">
        <f t="shared" si="32"/>
        <v>0</v>
      </c>
    </row>
    <row r="136" spans="2:16" ht="12.5">
      <c r="B136" s="195" t="str">
        <f t="shared" si="20"/>
        <v/>
      </c>
      <c r="C136" s="507">
        <f>IF(D93="","-",+C135+1)</f>
        <v>2051</v>
      </c>
      <c r="D136" s="374">
        <f>IF(F135+SUM(E$99:E135)=D$92,F135,D$92-SUM(E$99:E135))</f>
        <v>2139447.1678626761</v>
      </c>
      <c r="E136" s="522">
        <f t="shared" si="24"/>
        <v>353973.40476190473</v>
      </c>
      <c r="F136" s="523">
        <f t="shared" si="25"/>
        <v>1785473.7631007712</v>
      </c>
      <c r="G136" s="523">
        <f t="shared" si="26"/>
        <v>1962460.4654817237</v>
      </c>
      <c r="H136" s="526">
        <f t="shared" si="27"/>
        <v>565082.79816495511</v>
      </c>
      <c r="I136" s="577">
        <f t="shared" si="28"/>
        <v>565082.79816495511</v>
      </c>
      <c r="J136" s="514">
        <f t="shared" si="21"/>
        <v>0</v>
      </c>
      <c r="K136" s="514"/>
      <c r="L136" s="525"/>
      <c r="M136" s="514">
        <f t="shared" si="30"/>
        <v>0</v>
      </c>
      <c r="N136" s="525"/>
      <c r="O136" s="514">
        <f t="shared" si="31"/>
        <v>0</v>
      </c>
      <c r="P136" s="514">
        <f t="shared" si="32"/>
        <v>0</v>
      </c>
    </row>
    <row r="137" spans="2:16" ht="12.5">
      <c r="B137" s="195" t="str">
        <f t="shared" si="20"/>
        <v/>
      </c>
      <c r="C137" s="507">
        <f>IF(D93="","-",+C136+1)</f>
        <v>2052</v>
      </c>
      <c r="D137" s="374">
        <f>IF(F136+SUM(E$99:E136)=D$92,F136,D$92-SUM(E$99:E136))</f>
        <v>1785473.7631007712</v>
      </c>
      <c r="E137" s="522">
        <f t="shared" si="24"/>
        <v>353973.40476190473</v>
      </c>
      <c r="F137" s="523">
        <f t="shared" si="25"/>
        <v>1431500.3583388664</v>
      </c>
      <c r="G137" s="523">
        <f t="shared" si="26"/>
        <v>1608487.0607198188</v>
      </c>
      <c r="H137" s="526">
        <f t="shared" si="27"/>
        <v>527004.52241138218</v>
      </c>
      <c r="I137" s="577">
        <f t="shared" si="28"/>
        <v>527004.52241138218</v>
      </c>
      <c r="J137" s="514">
        <f t="shared" si="21"/>
        <v>0</v>
      </c>
      <c r="K137" s="514"/>
      <c r="L137" s="525"/>
      <c r="M137" s="514">
        <f t="shared" si="30"/>
        <v>0</v>
      </c>
      <c r="N137" s="525"/>
      <c r="O137" s="514">
        <f t="shared" si="31"/>
        <v>0</v>
      </c>
      <c r="P137" s="514">
        <f t="shared" si="32"/>
        <v>0</v>
      </c>
    </row>
    <row r="138" spans="2:16" ht="12.5">
      <c r="B138" s="195" t="str">
        <f t="shared" si="20"/>
        <v/>
      </c>
      <c r="C138" s="507">
        <f>IF(D93="","-",+C137+1)</f>
        <v>2053</v>
      </c>
      <c r="D138" s="374">
        <f>IF(F137+SUM(E$99:E137)=D$92,F137,D$92-SUM(E$99:E137))</f>
        <v>1431500.3583388664</v>
      </c>
      <c r="E138" s="522">
        <f t="shared" si="24"/>
        <v>353973.40476190473</v>
      </c>
      <c r="F138" s="523">
        <f t="shared" si="25"/>
        <v>1077526.9535769615</v>
      </c>
      <c r="G138" s="523">
        <f t="shared" si="26"/>
        <v>1254513.655957914</v>
      </c>
      <c r="H138" s="526">
        <f t="shared" si="27"/>
        <v>488926.24665780924</v>
      </c>
      <c r="I138" s="577">
        <f t="shared" si="28"/>
        <v>488926.24665780924</v>
      </c>
      <c r="J138" s="514">
        <f t="shared" si="21"/>
        <v>0</v>
      </c>
      <c r="K138" s="514"/>
      <c r="L138" s="525"/>
      <c r="M138" s="514">
        <f t="shared" si="30"/>
        <v>0</v>
      </c>
      <c r="N138" s="525"/>
      <c r="O138" s="514">
        <f t="shared" si="31"/>
        <v>0</v>
      </c>
      <c r="P138" s="514">
        <f t="shared" si="32"/>
        <v>0</v>
      </c>
    </row>
    <row r="139" spans="2:16" ht="12.5">
      <c r="B139" s="195" t="str">
        <f t="shared" si="20"/>
        <v/>
      </c>
      <c r="C139" s="507">
        <f>IF(D93="","-",+C138+1)</f>
        <v>2054</v>
      </c>
      <c r="D139" s="374">
        <f>IF(F138+SUM(E$99:E138)=D$92,F138,D$92-SUM(E$99:E138))</f>
        <v>1077526.9535769615</v>
      </c>
      <c r="E139" s="522">
        <f t="shared" si="24"/>
        <v>353973.40476190473</v>
      </c>
      <c r="F139" s="523">
        <f t="shared" si="25"/>
        <v>723553.5488150568</v>
      </c>
      <c r="G139" s="523">
        <f t="shared" si="26"/>
        <v>900540.25119600911</v>
      </c>
      <c r="H139" s="526">
        <f t="shared" si="27"/>
        <v>450847.97090423631</v>
      </c>
      <c r="I139" s="577">
        <f t="shared" si="28"/>
        <v>450847.97090423631</v>
      </c>
      <c r="J139" s="514">
        <f t="shared" si="21"/>
        <v>0</v>
      </c>
      <c r="K139" s="514"/>
      <c r="L139" s="525"/>
      <c r="M139" s="514">
        <f t="shared" si="30"/>
        <v>0</v>
      </c>
      <c r="N139" s="525"/>
      <c r="O139" s="514">
        <f t="shared" si="31"/>
        <v>0</v>
      </c>
      <c r="P139" s="514">
        <f t="shared" si="32"/>
        <v>0</v>
      </c>
    </row>
    <row r="140" spans="2:16" ht="12.5">
      <c r="B140" s="195" t="str">
        <f t="shared" si="20"/>
        <v/>
      </c>
      <c r="C140" s="507">
        <f>IF(D93="","-",+C139+1)</f>
        <v>2055</v>
      </c>
      <c r="D140" s="374">
        <f>IF(F139+SUM(E$99:E139)=D$92,F139,D$92-SUM(E$99:E139))</f>
        <v>723553.5488150568</v>
      </c>
      <c r="E140" s="522">
        <f t="shared" si="24"/>
        <v>353973.40476190473</v>
      </c>
      <c r="F140" s="523">
        <f t="shared" si="25"/>
        <v>369580.14405315206</v>
      </c>
      <c r="G140" s="523">
        <f t="shared" si="26"/>
        <v>546566.84643410449</v>
      </c>
      <c r="H140" s="526">
        <f t="shared" si="27"/>
        <v>412769.69515066344</v>
      </c>
      <c r="I140" s="577">
        <f t="shared" si="28"/>
        <v>412769.69515066344</v>
      </c>
      <c r="J140" s="514">
        <f t="shared" si="21"/>
        <v>0</v>
      </c>
      <c r="K140" s="514"/>
      <c r="L140" s="525"/>
      <c r="M140" s="514">
        <f t="shared" si="30"/>
        <v>0</v>
      </c>
      <c r="N140" s="525"/>
      <c r="O140" s="514">
        <f t="shared" si="31"/>
        <v>0</v>
      </c>
      <c r="P140" s="514">
        <f t="shared" si="32"/>
        <v>0</v>
      </c>
    </row>
    <row r="141" spans="2:16" ht="12.5">
      <c r="B141" s="195" t="str">
        <f t="shared" si="20"/>
        <v/>
      </c>
      <c r="C141" s="507">
        <f>IF(D93="","-",+C140+1)</f>
        <v>2056</v>
      </c>
      <c r="D141" s="374">
        <f>IF(F140+SUM(E$99:E140)=D$92,F140,D$92-SUM(E$99:E140))</f>
        <v>369580.14405315206</v>
      </c>
      <c r="E141" s="522">
        <f t="shared" si="24"/>
        <v>353973.40476190473</v>
      </c>
      <c r="F141" s="523">
        <f t="shared" si="25"/>
        <v>15606.73929124733</v>
      </c>
      <c r="G141" s="523">
        <f t="shared" si="26"/>
        <v>192593.4416721997</v>
      </c>
      <c r="H141" s="526">
        <f t="shared" si="27"/>
        <v>374691.4193970905</v>
      </c>
      <c r="I141" s="577">
        <f t="shared" si="28"/>
        <v>374691.4193970905</v>
      </c>
      <c r="J141" s="514">
        <f t="shared" si="21"/>
        <v>0</v>
      </c>
      <c r="K141" s="514"/>
      <c r="L141" s="525"/>
      <c r="M141" s="514">
        <f t="shared" si="30"/>
        <v>0</v>
      </c>
      <c r="N141" s="525"/>
      <c r="O141" s="514">
        <f t="shared" si="31"/>
        <v>0</v>
      </c>
      <c r="P141" s="514">
        <f t="shared" si="32"/>
        <v>0</v>
      </c>
    </row>
    <row r="142" spans="2:16" ht="12.5">
      <c r="B142" s="195" t="str">
        <f t="shared" si="20"/>
        <v/>
      </c>
      <c r="C142" s="507">
        <f>IF(D93="","-",+C141+1)</f>
        <v>2057</v>
      </c>
      <c r="D142" s="374">
        <f>IF(F141+SUM(E$99:E141)=D$92,F141,D$92-SUM(E$99:E141))</f>
        <v>15606.73929124733</v>
      </c>
      <c r="E142" s="522">
        <f t="shared" si="24"/>
        <v>15606.73929124733</v>
      </c>
      <c r="F142" s="523">
        <f t="shared" si="25"/>
        <v>0</v>
      </c>
      <c r="G142" s="523">
        <f t="shared" si="26"/>
        <v>7803.3696456236648</v>
      </c>
      <c r="H142" s="526">
        <f t="shared" si="27"/>
        <v>16446.177670446988</v>
      </c>
      <c r="I142" s="577">
        <f t="shared" si="28"/>
        <v>16446.177670446988</v>
      </c>
      <c r="J142" s="514">
        <f t="shared" si="21"/>
        <v>0</v>
      </c>
      <c r="K142" s="514"/>
      <c r="L142" s="525"/>
      <c r="M142" s="514">
        <f t="shared" si="30"/>
        <v>0</v>
      </c>
      <c r="N142" s="525"/>
      <c r="O142" s="514">
        <f t="shared" si="31"/>
        <v>0</v>
      </c>
      <c r="P142" s="514">
        <f t="shared" si="32"/>
        <v>0</v>
      </c>
    </row>
    <row r="143" spans="2:16" ht="12.5">
      <c r="B143" s="195" t="str">
        <f t="shared" si="20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24"/>
        <v>0</v>
      </c>
      <c r="F143" s="523">
        <f t="shared" si="25"/>
        <v>0</v>
      </c>
      <c r="G143" s="523">
        <f t="shared" si="26"/>
        <v>0</v>
      </c>
      <c r="H143" s="526">
        <f t="shared" si="27"/>
        <v>0</v>
      </c>
      <c r="I143" s="577">
        <f t="shared" si="28"/>
        <v>0</v>
      </c>
      <c r="J143" s="514">
        <f t="shared" si="21"/>
        <v>0</v>
      </c>
      <c r="K143" s="514"/>
      <c r="L143" s="525"/>
      <c r="M143" s="514">
        <f t="shared" si="30"/>
        <v>0</v>
      </c>
      <c r="N143" s="525"/>
      <c r="O143" s="514">
        <f t="shared" si="31"/>
        <v>0</v>
      </c>
      <c r="P143" s="514">
        <f t="shared" si="32"/>
        <v>0</v>
      </c>
    </row>
    <row r="144" spans="2:16" ht="12.5">
      <c r="B144" s="195" t="str">
        <f t="shared" si="20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24"/>
        <v>0</v>
      </c>
      <c r="F144" s="523">
        <f t="shared" si="25"/>
        <v>0</v>
      </c>
      <c r="G144" s="523">
        <f t="shared" si="26"/>
        <v>0</v>
      </c>
      <c r="H144" s="526">
        <f t="shared" si="27"/>
        <v>0</v>
      </c>
      <c r="I144" s="577">
        <f t="shared" si="28"/>
        <v>0</v>
      </c>
      <c r="J144" s="514">
        <f t="shared" si="21"/>
        <v>0</v>
      </c>
      <c r="K144" s="514"/>
      <c r="L144" s="525"/>
      <c r="M144" s="514">
        <f t="shared" si="30"/>
        <v>0</v>
      </c>
      <c r="N144" s="525"/>
      <c r="O144" s="514">
        <f t="shared" si="31"/>
        <v>0</v>
      </c>
      <c r="P144" s="514">
        <f t="shared" si="32"/>
        <v>0</v>
      </c>
    </row>
    <row r="145" spans="2:16" ht="12.5">
      <c r="B145" s="195" t="str">
        <f t="shared" si="20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24"/>
        <v>0</v>
      </c>
      <c r="F145" s="523">
        <f t="shared" si="25"/>
        <v>0</v>
      </c>
      <c r="G145" s="523">
        <f t="shared" si="26"/>
        <v>0</v>
      </c>
      <c r="H145" s="526">
        <f t="shared" si="27"/>
        <v>0</v>
      </c>
      <c r="I145" s="577">
        <f t="shared" si="28"/>
        <v>0</v>
      </c>
      <c r="J145" s="514">
        <f t="shared" si="21"/>
        <v>0</v>
      </c>
      <c r="K145" s="514"/>
      <c r="L145" s="525"/>
      <c r="M145" s="514">
        <f t="shared" si="30"/>
        <v>0</v>
      </c>
      <c r="N145" s="525"/>
      <c r="O145" s="514">
        <f t="shared" si="31"/>
        <v>0</v>
      </c>
      <c r="P145" s="514">
        <f t="shared" si="32"/>
        <v>0</v>
      </c>
    </row>
    <row r="146" spans="2:16" ht="12.5">
      <c r="B146" s="195" t="str">
        <f t="shared" si="20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24"/>
        <v>0</v>
      </c>
      <c r="F146" s="523">
        <f t="shared" si="25"/>
        <v>0</v>
      </c>
      <c r="G146" s="523">
        <f t="shared" si="26"/>
        <v>0</v>
      </c>
      <c r="H146" s="526">
        <f t="shared" si="27"/>
        <v>0</v>
      </c>
      <c r="I146" s="577">
        <f t="shared" si="28"/>
        <v>0</v>
      </c>
      <c r="J146" s="514">
        <f t="shared" si="21"/>
        <v>0</v>
      </c>
      <c r="K146" s="514"/>
      <c r="L146" s="525"/>
      <c r="M146" s="514">
        <f t="shared" si="30"/>
        <v>0</v>
      </c>
      <c r="N146" s="525"/>
      <c r="O146" s="514">
        <f t="shared" si="31"/>
        <v>0</v>
      </c>
      <c r="P146" s="514">
        <f t="shared" si="32"/>
        <v>0</v>
      </c>
    </row>
    <row r="147" spans="2:16" ht="12.5">
      <c r="B147" s="195" t="str">
        <f t="shared" si="20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24"/>
        <v>0</v>
      </c>
      <c r="F147" s="523">
        <f t="shared" si="25"/>
        <v>0</v>
      </c>
      <c r="G147" s="523">
        <f t="shared" si="26"/>
        <v>0</v>
      </c>
      <c r="H147" s="526">
        <f t="shared" si="27"/>
        <v>0</v>
      </c>
      <c r="I147" s="577">
        <f t="shared" si="28"/>
        <v>0</v>
      </c>
      <c r="J147" s="514">
        <f t="shared" si="21"/>
        <v>0</v>
      </c>
      <c r="K147" s="514"/>
      <c r="L147" s="525"/>
      <c r="M147" s="514">
        <f t="shared" si="30"/>
        <v>0</v>
      </c>
      <c r="N147" s="525"/>
      <c r="O147" s="514">
        <f t="shared" si="31"/>
        <v>0</v>
      </c>
      <c r="P147" s="514">
        <f t="shared" si="32"/>
        <v>0</v>
      </c>
    </row>
    <row r="148" spans="2:16" ht="12.5">
      <c r="B148" s="195" t="str">
        <f t="shared" si="20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24"/>
        <v>0</v>
      </c>
      <c r="F148" s="523">
        <f t="shared" si="25"/>
        <v>0</v>
      </c>
      <c r="G148" s="523">
        <f t="shared" si="26"/>
        <v>0</v>
      </c>
      <c r="H148" s="526">
        <f t="shared" si="27"/>
        <v>0</v>
      </c>
      <c r="I148" s="577">
        <f t="shared" si="28"/>
        <v>0</v>
      </c>
      <c r="J148" s="514">
        <f t="shared" si="21"/>
        <v>0</v>
      </c>
      <c r="K148" s="514"/>
      <c r="L148" s="525"/>
      <c r="M148" s="514">
        <f t="shared" si="30"/>
        <v>0</v>
      </c>
      <c r="N148" s="525"/>
      <c r="O148" s="514">
        <f t="shared" si="31"/>
        <v>0</v>
      </c>
      <c r="P148" s="514">
        <f t="shared" si="32"/>
        <v>0</v>
      </c>
    </row>
    <row r="149" spans="2:16" ht="12.5">
      <c r="B149" s="195" t="str">
        <f t="shared" si="20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24"/>
        <v>0</v>
      </c>
      <c r="F149" s="523">
        <f t="shared" si="25"/>
        <v>0</v>
      </c>
      <c r="G149" s="523">
        <f t="shared" si="26"/>
        <v>0</v>
      </c>
      <c r="H149" s="526">
        <f t="shared" si="27"/>
        <v>0</v>
      </c>
      <c r="I149" s="577">
        <f t="shared" si="28"/>
        <v>0</v>
      </c>
      <c r="J149" s="514">
        <f t="shared" si="21"/>
        <v>0</v>
      </c>
      <c r="K149" s="514"/>
      <c r="L149" s="525"/>
      <c r="M149" s="514">
        <f t="shared" si="30"/>
        <v>0</v>
      </c>
      <c r="N149" s="525"/>
      <c r="O149" s="514">
        <f t="shared" si="31"/>
        <v>0</v>
      </c>
      <c r="P149" s="514">
        <f t="shared" si="32"/>
        <v>0</v>
      </c>
    </row>
    <row r="150" spans="2:16" ht="12.5">
      <c r="B150" s="195" t="str">
        <f t="shared" si="20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24"/>
        <v>0</v>
      </c>
      <c r="F150" s="523">
        <f t="shared" si="25"/>
        <v>0</v>
      </c>
      <c r="G150" s="523">
        <f t="shared" si="26"/>
        <v>0</v>
      </c>
      <c r="H150" s="526">
        <f t="shared" si="27"/>
        <v>0</v>
      </c>
      <c r="I150" s="577">
        <f t="shared" si="28"/>
        <v>0</v>
      </c>
      <c r="J150" s="514">
        <f t="shared" si="21"/>
        <v>0</v>
      </c>
      <c r="K150" s="514"/>
      <c r="L150" s="525"/>
      <c r="M150" s="514">
        <f t="shared" si="30"/>
        <v>0</v>
      </c>
      <c r="N150" s="525"/>
      <c r="O150" s="514">
        <f t="shared" si="31"/>
        <v>0</v>
      </c>
      <c r="P150" s="514">
        <f t="shared" si="32"/>
        <v>0</v>
      </c>
    </row>
    <row r="151" spans="2:16" ht="12.5">
      <c r="B151" s="195" t="str">
        <f t="shared" si="20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24"/>
        <v>0</v>
      </c>
      <c r="F151" s="523">
        <f t="shared" si="25"/>
        <v>0</v>
      </c>
      <c r="G151" s="523">
        <f t="shared" si="26"/>
        <v>0</v>
      </c>
      <c r="H151" s="526">
        <f t="shared" si="27"/>
        <v>0</v>
      </c>
      <c r="I151" s="577">
        <f t="shared" si="28"/>
        <v>0</v>
      </c>
      <c r="J151" s="514">
        <f t="shared" si="21"/>
        <v>0</v>
      </c>
      <c r="K151" s="514"/>
      <c r="L151" s="525"/>
      <c r="M151" s="514">
        <f t="shared" si="30"/>
        <v>0</v>
      </c>
      <c r="N151" s="525"/>
      <c r="O151" s="514">
        <f t="shared" si="31"/>
        <v>0</v>
      </c>
      <c r="P151" s="514">
        <f t="shared" si="32"/>
        <v>0</v>
      </c>
    </row>
    <row r="152" spans="2:16" ht="12.5">
      <c r="B152" s="195" t="str">
        <f t="shared" si="20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24"/>
        <v>0</v>
      </c>
      <c r="F152" s="523">
        <f t="shared" si="25"/>
        <v>0</v>
      </c>
      <c r="G152" s="523">
        <f t="shared" si="26"/>
        <v>0</v>
      </c>
      <c r="H152" s="526">
        <f t="shared" si="27"/>
        <v>0</v>
      </c>
      <c r="I152" s="577">
        <f t="shared" si="28"/>
        <v>0</v>
      </c>
      <c r="J152" s="514">
        <f t="shared" si="21"/>
        <v>0</v>
      </c>
      <c r="K152" s="514"/>
      <c r="L152" s="525"/>
      <c r="M152" s="514">
        <f t="shared" si="30"/>
        <v>0</v>
      </c>
      <c r="N152" s="525"/>
      <c r="O152" s="514">
        <f t="shared" si="31"/>
        <v>0</v>
      </c>
      <c r="P152" s="514">
        <f t="shared" si="32"/>
        <v>0</v>
      </c>
    </row>
    <row r="153" spans="2:16" ht="12.5">
      <c r="B153" s="195" t="str">
        <f t="shared" si="20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24"/>
        <v>0</v>
      </c>
      <c r="F153" s="523">
        <f t="shared" si="25"/>
        <v>0</v>
      </c>
      <c r="G153" s="523">
        <f t="shared" si="26"/>
        <v>0</v>
      </c>
      <c r="H153" s="526">
        <f t="shared" si="27"/>
        <v>0</v>
      </c>
      <c r="I153" s="577">
        <f t="shared" si="28"/>
        <v>0</v>
      </c>
      <c r="J153" s="514">
        <f t="shared" si="21"/>
        <v>0</v>
      </c>
      <c r="K153" s="514"/>
      <c r="L153" s="525"/>
      <c r="M153" s="514">
        <f t="shared" si="30"/>
        <v>0</v>
      </c>
      <c r="N153" s="525"/>
      <c r="O153" s="514">
        <f t="shared" si="31"/>
        <v>0</v>
      </c>
      <c r="P153" s="514">
        <f t="shared" si="32"/>
        <v>0</v>
      </c>
    </row>
    <row r="154" spans="2:16" ht="13" thickBot="1">
      <c r="B154" s="195" t="str">
        <f t="shared" si="20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24"/>
        <v>0</v>
      </c>
      <c r="F154" s="523">
        <f t="shared" si="25"/>
        <v>0</v>
      </c>
      <c r="G154" s="523">
        <f t="shared" si="26"/>
        <v>0</v>
      </c>
      <c r="H154" s="526">
        <f t="shared" si="27"/>
        <v>0</v>
      </c>
      <c r="I154" s="577">
        <f t="shared" si="28"/>
        <v>0</v>
      </c>
      <c r="J154" s="514">
        <f t="shared" si="21"/>
        <v>0</v>
      </c>
      <c r="K154" s="514"/>
      <c r="L154" s="532"/>
      <c r="M154" s="533">
        <f t="shared" si="30"/>
        <v>0</v>
      </c>
      <c r="N154" s="532"/>
      <c r="O154" s="533">
        <f t="shared" si="31"/>
        <v>0</v>
      </c>
      <c r="P154" s="533">
        <f t="shared" si="32"/>
        <v>0</v>
      </c>
    </row>
    <row r="155" spans="2:16" ht="12.5">
      <c r="C155" s="374" t="s">
        <v>78</v>
      </c>
      <c r="D155" s="375"/>
      <c r="E155" s="375">
        <f>SUM(E99:E154)</f>
        <v>14866882.999999998</v>
      </c>
      <c r="F155" s="375"/>
      <c r="G155" s="375"/>
      <c r="H155" s="375">
        <f>SUM(H99:H154)</f>
        <v>50334989.756050877</v>
      </c>
      <c r="I155" s="375">
        <f>SUM(I99:I154)</f>
        <v>50334989.756050877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4" priority="1" stopIfTrue="1" operator="equal">
      <formula>$I$10</formula>
    </cfRule>
  </conditionalFormatting>
  <conditionalFormatting sqref="C99:C154">
    <cfRule type="cellIs" dxfId="7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theme="9" tint="-0.249977111117893"/>
  </sheetPr>
  <dimension ref="A1:P162"/>
  <sheetViews>
    <sheetView view="pageBreakPreview" topLeftCell="A85" zoomScale="82" zoomScaleNormal="100" zoomScaleSheetLayoutView="82" workbookViewId="0">
      <selection activeCell="D111" sqref="D1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44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2793543.137478089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2793543.137478089</v>
      </c>
      <c r="O6" s="269"/>
      <c r="P6" s="269"/>
    </row>
    <row r="7" spans="1:16" ht="13.5" thickBot="1">
      <c r="C7" s="467" t="s">
        <v>48</v>
      </c>
      <c r="D7" s="624" t="s">
        <v>332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331</v>
      </c>
      <c r="E9" s="637"/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29107362.050000001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693032.42976190476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629">
        <v>29107362.050000001</v>
      </c>
      <c r="E17" s="638">
        <v>57752.702480158732</v>
      </c>
      <c r="F17" s="629">
        <v>29049609.347519841</v>
      </c>
      <c r="G17" s="638">
        <v>3976850.2640178553</v>
      </c>
      <c r="H17" s="639">
        <v>3976850.2640178553</v>
      </c>
      <c r="I17" s="511">
        <v>0</v>
      </c>
      <c r="J17" s="511"/>
      <c r="K17" s="512">
        <f>G17</f>
        <v>3976850.2640178553</v>
      </c>
      <c r="L17" s="597">
        <f>IF(K17&lt;&gt;0,+G17-K17,0)</f>
        <v>0</v>
      </c>
      <c r="M17" s="512">
        <f>H17</f>
        <v>3976850.2640178553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631">
        <v>29049609.347519841</v>
      </c>
      <c r="E18" s="630">
        <v>693032.42976190476</v>
      </c>
      <c r="F18" s="631">
        <v>28356576.917757936</v>
      </c>
      <c r="G18" s="630">
        <v>4518632.6339666937</v>
      </c>
      <c r="H18" s="639">
        <v>4518632.6339666937</v>
      </c>
      <c r="I18" s="511">
        <v>0</v>
      </c>
      <c r="J18" s="511"/>
      <c r="K18" s="518">
        <f>G18</f>
        <v>4518632.6339666937</v>
      </c>
      <c r="L18" s="519">
        <f>IF(K18&lt;&gt;0,+G18-K18,0)</f>
        <v>0</v>
      </c>
      <c r="M18" s="518">
        <f>H18</f>
        <v>4518632.6339666937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2009</v>
      </c>
      <c r="D19" s="631">
        <v>28356576.917757936</v>
      </c>
      <c r="E19" s="630">
        <v>693032.42976190476</v>
      </c>
      <c r="F19" s="631">
        <v>27663544.487996031</v>
      </c>
      <c r="G19" s="630">
        <v>4425135.276633786</v>
      </c>
      <c r="H19" s="639">
        <v>4425135.276633786</v>
      </c>
      <c r="I19" s="511">
        <v>0</v>
      </c>
      <c r="J19" s="511"/>
      <c r="K19" s="518">
        <f t="shared" ref="K19:K24" si="0">G19</f>
        <v>4425135.276633786</v>
      </c>
      <c r="L19" s="519">
        <f t="shared" ref="L19:L24" si="1">IF(K19&lt;&gt;0,+G19-K19,0)</f>
        <v>0</v>
      </c>
      <c r="M19" s="518">
        <f t="shared" ref="M19:M24" si="2">H19</f>
        <v>4425135.276633786</v>
      </c>
      <c r="N19" s="514">
        <f t="shared" ref="N19:N24" si="3">IF(M19&lt;&gt;0,+H19-M19,0)</f>
        <v>0</v>
      </c>
      <c r="O19" s="514">
        <f t="shared" ref="O19:O24" si="4">+N19-L19</f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2010</v>
      </c>
      <c r="D20" s="631">
        <v>27663544.487996031</v>
      </c>
      <c r="E20" s="630">
        <v>693032.42976190476</v>
      </c>
      <c r="F20" s="631">
        <v>26970512.058234125</v>
      </c>
      <c r="G20" s="630">
        <v>4331637.9193008794</v>
      </c>
      <c r="H20" s="639">
        <v>4331637.9193008794</v>
      </c>
      <c r="I20" s="511">
        <v>0</v>
      </c>
      <c r="J20" s="511"/>
      <c r="K20" s="518">
        <f t="shared" si="0"/>
        <v>4331637.9193008794</v>
      </c>
      <c r="L20" s="519">
        <f t="shared" si="1"/>
        <v>0</v>
      </c>
      <c r="M20" s="518">
        <f t="shared" si="2"/>
        <v>4331637.9193008794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2011</v>
      </c>
      <c r="D21" s="631">
        <v>26970512.058234125</v>
      </c>
      <c r="E21" s="630">
        <v>693032.42976190476</v>
      </c>
      <c r="F21" s="631">
        <v>26277479.62847222</v>
      </c>
      <c r="G21" s="630">
        <v>4238140.5619679717</v>
      </c>
      <c r="H21" s="639">
        <v>4238140.5619679717</v>
      </c>
      <c r="I21" s="511">
        <v>0</v>
      </c>
      <c r="J21" s="511"/>
      <c r="K21" s="518">
        <f t="shared" si="0"/>
        <v>4238140.5619679717</v>
      </c>
      <c r="L21" s="519">
        <f t="shared" si="1"/>
        <v>0</v>
      </c>
      <c r="M21" s="518">
        <f t="shared" si="2"/>
        <v>4238140.5619679717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2012</v>
      </c>
      <c r="D22" s="631">
        <v>26277479.62847222</v>
      </c>
      <c r="E22" s="630">
        <v>693032.42976190476</v>
      </c>
      <c r="F22" s="631">
        <v>25584447.198710315</v>
      </c>
      <c r="G22" s="630">
        <v>4144643.2046350646</v>
      </c>
      <c r="H22" s="639">
        <v>4144643.2046350646</v>
      </c>
      <c r="I22" s="511">
        <v>0</v>
      </c>
      <c r="J22" s="511"/>
      <c r="K22" s="518">
        <f t="shared" si="0"/>
        <v>4144643.2046350646</v>
      </c>
      <c r="L22" s="519">
        <f t="shared" si="1"/>
        <v>0</v>
      </c>
      <c r="M22" s="518">
        <f t="shared" si="2"/>
        <v>4144643.2046350646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2013</v>
      </c>
      <c r="D23" s="631">
        <v>25584447.198710315</v>
      </c>
      <c r="E23" s="630">
        <v>693032.42976190476</v>
      </c>
      <c r="F23" s="631">
        <v>24891414.76894841</v>
      </c>
      <c r="G23" s="630">
        <v>4051145.847302157</v>
      </c>
      <c r="H23" s="639">
        <v>4051145.847302157</v>
      </c>
      <c r="I23" s="511">
        <v>0</v>
      </c>
      <c r="J23" s="511"/>
      <c r="K23" s="518">
        <f t="shared" si="0"/>
        <v>4051145.847302157</v>
      </c>
      <c r="L23" s="519">
        <f t="shared" si="1"/>
        <v>0</v>
      </c>
      <c r="M23" s="518">
        <f t="shared" si="2"/>
        <v>4051145.847302157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5"/>
        <v/>
      </c>
      <c r="C24" s="507">
        <f>IF(D11="","-",+C23+1)</f>
        <v>2014</v>
      </c>
      <c r="D24" s="631">
        <v>24891414.76894841</v>
      </c>
      <c r="E24" s="630">
        <v>693032.42976190476</v>
      </c>
      <c r="F24" s="631">
        <v>24198382.339186504</v>
      </c>
      <c r="G24" s="630">
        <v>3957648.4899692498</v>
      </c>
      <c r="H24" s="639">
        <v>3957648.4899692498</v>
      </c>
      <c r="I24" s="511">
        <v>0</v>
      </c>
      <c r="J24" s="511"/>
      <c r="K24" s="518">
        <f t="shared" si="0"/>
        <v>3957648.4899692498</v>
      </c>
      <c r="L24" s="519">
        <f t="shared" si="1"/>
        <v>0</v>
      </c>
      <c r="M24" s="518">
        <f t="shared" si="2"/>
        <v>3957648.4899692498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2015</v>
      </c>
      <c r="D25" s="631">
        <v>24198382.339186504</v>
      </c>
      <c r="E25" s="630">
        <v>693032.42976190476</v>
      </c>
      <c r="F25" s="631">
        <v>23505349.909424599</v>
      </c>
      <c r="G25" s="630">
        <v>3788799.8614330222</v>
      </c>
      <c r="H25" s="639">
        <v>3788799.8614330222</v>
      </c>
      <c r="I25" s="511">
        <v>0</v>
      </c>
      <c r="J25" s="511"/>
      <c r="K25" s="518">
        <f t="shared" ref="K25:K30" si="6">G25</f>
        <v>3788799.8614330222</v>
      </c>
      <c r="L25" s="519">
        <f t="shared" ref="L25:L30" si="7">IF(K25&lt;&gt;0,+G25-K25,0)</f>
        <v>0</v>
      </c>
      <c r="M25" s="518">
        <f t="shared" ref="M25:M30" si="8">H25</f>
        <v>3788799.8614330222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2016</v>
      </c>
      <c r="D26" s="631">
        <v>23505349.909424599</v>
      </c>
      <c r="E26" s="630">
        <v>693032.42976190476</v>
      </c>
      <c r="F26" s="631">
        <v>22812317.479662694</v>
      </c>
      <c r="G26" s="630">
        <v>3660458.1176400636</v>
      </c>
      <c r="H26" s="639">
        <v>3660458.1176400636</v>
      </c>
      <c r="I26" s="511">
        <f t="shared" ref="I26:I72" si="9">H26-G26</f>
        <v>0</v>
      </c>
      <c r="J26" s="511"/>
      <c r="K26" s="518">
        <f t="shared" si="6"/>
        <v>3660458.1176400636</v>
      </c>
      <c r="L26" s="519">
        <f t="shared" si="7"/>
        <v>0</v>
      </c>
      <c r="M26" s="518">
        <f t="shared" si="8"/>
        <v>3660458.1176400636</v>
      </c>
      <c r="N26" s="514">
        <f>IF(M26&lt;&gt;0,+H26-M26,0)</f>
        <v>0</v>
      </c>
      <c r="O26" s="514">
        <f>+N26-L26</f>
        <v>0</v>
      </c>
      <c r="P26" s="272"/>
    </row>
    <row r="27" spans="2:16" ht="12.5">
      <c r="B27" s="195" t="str">
        <f t="shared" si="5"/>
        <v/>
      </c>
      <c r="C27" s="507">
        <f>IF(D11="","-",+C26+1)</f>
        <v>2017</v>
      </c>
      <c r="D27" s="631">
        <v>22812317.479662694</v>
      </c>
      <c r="E27" s="630">
        <v>676915.39651162794</v>
      </c>
      <c r="F27" s="631">
        <v>22135402.083151065</v>
      </c>
      <c r="G27" s="630">
        <v>3461258.8249701741</v>
      </c>
      <c r="H27" s="639">
        <v>3461258.8249701741</v>
      </c>
      <c r="I27" s="511">
        <f t="shared" si="9"/>
        <v>0</v>
      </c>
      <c r="J27" s="511"/>
      <c r="K27" s="518">
        <f t="shared" si="6"/>
        <v>3461258.8249701741</v>
      </c>
      <c r="L27" s="519">
        <f t="shared" si="7"/>
        <v>0</v>
      </c>
      <c r="M27" s="518">
        <f t="shared" si="8"/>
        <v>3461258.8249701741</v>
      </c>
      <c r="N27" s="514">
        <f>IF(M27&lt;&gt;0,+H27-M27,0)</f>
        <v>0</v>
      </c>
      <c r="O27" s="514">
        <f>+N27-L27</f>
        <v>0</v>
      </c>
      <c r="P27" s="272"/>
    </row>
    <row r="28" spans="2:16" ht="12.5">
      <c r="B28" s="195" t="str">
        <f t="shared" si="5"/>
        <v/>
      </c>
      <c r="C28" s="507">
        <f>IF(D11="","-",+C27+1)</f>
        <v>2018</v>
      </c>
      <c r="D28" s="631">
        <v>22135402.083151065</v>
      </c>
      <c r="E28" s="630">
        <v>709935.65975609759</v>
      </c>
      <c r="F28" s="631">
        <v>21425466.423394967</v>
      </c>
      <c r="G28" s="630">
        <v>3478100.3254420273</v>
      </c>
      <c r="H28" s="639">
        <v>3478100.3254420273</v>
      </c>
      <c r="I28" s="511">
        <f t="shared" si="9"/>
        <v>0</v>
      </c>
      <c r="J28" s="511"/>
      <c r="K28" s="518">
        <f t="shared" si="6"/>
        <v>3478100.3254420273</v>
      </c>
      <c r="L28" s="519">
        <f t="shared" si="7"/>
        <v>0</v>
      </c>
      <c r="M28" s="518">
        <f t="shared" si="8"/>
        <v>3478100.3254420273</v>
      </c>
      <c r="N28" s="514">
        <f>IF(M28&lt;&gt;0,+H28-M28,0)</f>
        <v>0</v>
      </c>
      <c r="O28" s="514">
        <f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2019</v>
      </c>
      <c r="D29" s="631">
        <v>21425466.423394967</v>
      </c>
      <c r="E29" s="630">
        <v>709935.65975609759</v>
      </c>
      <c r="F29" s="631">
        <v>20715530.763638869</v>
      </c>
      <c r="G29" s="630">
        <v>3387871.6924682865</v>
      </c>
      <c r="H29" s="639">
        <v>3387871.6924682865</v>
      </c>
      <c r="I29" s="511">
        <f t="shared" si="9"/>
        <v>0</v>
      </c>
      <c r="J29" s="511"/>
      <c r="K29" s="518">
        <f t="shared" si="6"/>
        <v>3387871.6924682865</v>
      </c>
      <c r="L29" s="519">
        <f t="shared" si="7"/>
        <v>0</v>
      </c>
      <c r="M29" s="518">
        <f t="shared" si="8"/>
        <v>3387871.6924682865</v>
      </c>
      <c r="N29" s="514">
        <f t="shared" ref="N29:N72" si="10">IF(M29&lt;&gt;0,+H29-M29,0)</f>
        <v>0</v>
      </c>
      <c r="O29" s="514">
        <f t="shared" ref="O29:O72" si="11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2020</v>
      </c>
      <c r="D30" s="631">
        <v>20715530.763638869</v>
      </c>
      <c r="E30" s="630">
        <v>709935.65975609759</v>
      </c>
      <c r="F30" s="631">
        <v>20005595.103882771</v>
      </c>
      <c r="G30" s="630">
        <v>2793543.137478089</v>
      </c>
      <c r="H30" s="639">
        <v>2793543.137478089</v>
      </c>
      <c r="I30" s="511">
        <f t="shared" si="9"/>
        <v>0</v>
      </c>
      <c r="J30" s="511"/>
      <c r="K30" s="518">
        <f t="shared" si="6"/>
        <v>2793543.137478089</v>
      </c>
      <c r="L30" s="519">
        <f t="shared" si="7"/>
        <v>0</v>
      </c>
      <c r="M30" s="518">
        <f t="shared" si="8"/>
        <v>2793543.137478089</v>
      </c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2021</v>
      </c>
      <c r="D31" s="523">
        <f>IF(F30+SUM(E$17:E30)=D$10,F30,D$10-SUM(E$17:E30))</f>
        <v>20005595.103882771</v>
      </c>
      <c r="E31" s="522">
        <f>IF(+I14&lt;F30,I14,D31)</f>
        <v>693032.42976190476</v>
      </c>
      <c r="F31" s="523">
        <f t="shared" ref="F31:F72" si="12">+D31-E31</f>
        <v>19312562.674120866</v>
      </c>
      <c r="G31" s="524">
        <f t="shared" ref="G31:G72" si="13">+I$12*((D31+F31)/2)+E31</f>
        <v>2792975.4026829288</v>
      </c>
      <c r="H31" s="491">
        <f t="shared" ref="H31:H72" si="14">+I$13*((D31+F31)/2)+E31</f>
        <v>2792975.4026829288</v>
      </c>
      <c r="I31" s="511">
        <f t="shared" si="9"/>
        <v>0</v>
      </c>
      <c r="J31" s="511"/>
      <c r="K31" s="525"/>
      <c r="L31" s="514">
        <f t="shared" ref="L31:L72" si="15">IF(K31&lt;&gt;0,+G31-K31,0)</f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2022</v>
      </c>
      <c r="D32" s="523">
        <f>IF(F31+SUM(E$17:E31)=D$10,F31,D$10-SUM(E$17:E31))</f>
        <v>19312562.674120866</v>
      </c>
      <c r="E32" s="522">
        <f>IF(+I14&lt;F31,I14,D32)</f>
        <v>693032.42976190476</v>
      </c>
      <c r="F32" s="523">
        <f t="shared" si="12"/>
        <v>18619530.244358961</v>
      </c>
      <c r="G32" s="524">
        <f t="shared" si="13"/>
        <v>2718947.0827854457</v>
      </c>
      <c r="H32" s="491">
        <f t="shared" si="14"/>
        <v>2718947.0827854457</v>
      </c>
      <c r="I32" s="511">
        <f t="shared" si="9"/>
        <v>0</v>
      </c>
      <c r="J32" s="511"/>
      <c r="K32" s="525"/>
      <c r="L32" s="514">
        <f t="shared" si="1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2023</v>
      </c>
      <c r="D33" s="523">
        <f>IF(F32+SUM(E$17:E32)=D$10,F32,D$10-SUM(E$17:E32))</f>
        <v>18619530.244358961</v>
      </c>
      <c r="E33" s="522">
        <f>IF(+I14&lt;F32,I14,D33)</f>
        <v>693032.42976190476</v>
      </c>
      <c r="F33" s="523">
        <f t="shared" si="12"/>
        <v>17926497.814597055</v>
      </c>
      <c r="G33" s="524">
        <f t="shared" si="13"/>
        <v>2644918.7628879612</v>
      </c>
      <c r="H33" s="491">
        <f t="shared" si="14"/>
        <v>2644918.7628879612</v>
      </c>
      <c r="I33" s="511">
        <f t="shared" si="9"/>
        <v>0</v>
      </c>
      <c r="J33" s="511"/>
      <c r="K33" s="525"/>
      <c r="L33" s="514">
        <f t="shared" si="1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2024</v>
      </c>
      <c r="D34" s="523">
        <f>IF(F33+SUM(E$17:E33)=D$10,F33,D$10-SUM(E$17:E33))</f>
        <v>17926497.814597055</v>
      </c>
      <c r="E34" s="522">
        <f>IF(+I14&lt;F33,I14,D34)</f>
        <v>693032.42976190476</v>
      </c>
      <c r="F34" s="523">
        <f t="shared" si="12"/>
        <v>17233465.38483515</v>
      </c>
      <c r="G34" s="524">
        <f t="shared" si="13"/>
        <v>2570890.4429904781</v>
      </c>
      <c r="H34" s="491">
        <f t="shared" si="14"/>
        <v>2570890.4429904781</v>
      </c>
      <c r="I34" s="511">
        <f t="shared" si="9"/>
        <v>0</v>
      </c>
      <c r="J34" s="511"/>
      <c r="K34" s="525"/>
      <c r="L34" s="514">
        <f t="shared" si="1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2025</v>
      </c>
      <c r="D35" s="523">
        <f>IF(F34+SUM(E$17:E34)=D$10,F34,D$10-SUM(E$17:E34))</f>
        <v>17233465.38483515</v>
      </c>
      <c r="E35" s="522">
        <f>IF(+I14&lt;F34,I14,D35)</f>
        <v>693032.42976190476</v>
      </c>
      <c r="F35" s="523">
        <f t="shared" si="12"/>
        <v>16540432.955073245</v>
      </c>
      <c r="G35" s="524">
        <f t="shared" si="13"/>
        <v>2496862.1230929941</v>
      </c>
      <c r="H35" s="491">
        <f t="shared" si="14"/>
        <v>2496862.1230929941</v>
      </c>
      <c r="I35" s="511">
        <f t="shared" si="9"/>
        <v>0</v>
      </c>
      <c r="J35" s="511"/>
      <c r="K35" s="525"/>
      <c r="L35" s="514">
        <f t="shared" si="1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2026</v>
      </c>
      <c r="D36" s="523">
        <f>IF(F35+SUM(E$17:E35)=D$10,F35,D$10-SUM(E$17:E35))</f>
        <v>16540432.955073245</v>
      </c>
      <c r="E36" s="522">
        <f>IF(+I14&lt;F35,I14,D36)</f>
        <v>693032.42976190476</v>
      </c>
      <c r="F36" s="523">
        <f t="shared" si="12"/>
        <v>15847400.52531134</v>
      </c>
      <c r="G36" s="524">
        <f t="shared" si="13"/>
        <v>2422833.8031955105</v>
      </c>
      <c r="H36" s="491">
        <f t="shared" si="14"/>
        <v>2422833.8031955105</v>
      </c>
      <c r="I36" s="511">
        <f t="shared" si="9"/>
        <v>0</v>
      </c>
      <c r="J36" s="511"/>
      <c r="K36" s="525"/>
      <c r="L36" s="514">
        <f t="shared" si="1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2027</v>
      </c>
      <c r="D37" s="523">
        <f>IF(F36+SUM(E$17:E36)=D$10,F36,D$10-SUM(E$17:E36))</f>
        <v>15847400.52531134</v>
      </c>
      <c r="E37" s="522">
        <f>IF(+I14&lt;F36,I14,D37)</f>
        <v>693032.42976190476</v>
      </c>
      <c r="F37" s="523">
        <f t="shared" si="12"/>
        <v>15154368.095549434</v>
      </c>
      <c r="G37" s="524">
        <f t="shared" si="13"/>
        <v>2348805.483298027</v>
      </c>
      <c r="H37" s="491">
        <f t="shared" si="14"/>
        <v>2348805.483298027</v>
      </c>
      <c r="I37" s="511">
        <f t="shared" si="9"/>
        <v>0</v>
      </c>
      <c r="J37" s="511"/>
      <c r="K37" s="525"/>
      <c r="L37" s="514">
        <f t="shared" si="1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2028</v>
      </c>
      <c r="D38" s="523">
        <f>IF(F37+SUM(E$17:E37)=D$10,F37,D$10-SUM(E$17:E37))</f>
        <v>15154368.095549434</v>
      </c>
      <c r="E38" s="522">
        <f>IF(+I14&lt;F37,I14,D38)</f>
        <v>693032.42976190476</v>
      </c>
      <c r="F38" s="523">
        <f t="shared" si="12"/>
        <v>14461335.665787529</v>
      </c>
      <c r="G38" s="524">
        <f t="shared" si="13"/>
        <v>2274777.1634005429</v>
      </c>
      <c r="H38" s="491">
        <f t="shared" si="14"/>
        <v>2274777.1634005429</v>
      </c>
      <c r="I38" s="511">
        <f t="shared" si="9"/>
        <v>0</v>
      </c>
      <c r="J38" s="511"/>
      <c r="K38" s="525"/>
      <c r="L38" s="514">
        <f t="shared" si="1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2029</v>
      </c>
      <c r="D39" s="523">
        <f>IF(F38+SUM(E$17:E38)=D$10,F38,D$10-SUM(E$17:E38))</f>
        <v>14461335.665787529</v>
      </c>
      <c r="E39" s="522">
        <f>IF(+I14&lt;F38,I14,D39)</f>
        <v>693032.42976190476</v>
      </c>
      <c r="F39" s="523">
        <f t="shared" si="12"/>
        <v>13768303.236025624</v>
      </c>
      <c r="G39" s="524">
        <f t="shared" si="13"/>
        <v>2200748.8435030589</v>
      </c>
      <c r="H39" s="491">
        <f t="shared" si="14"/>
        <v>2200748.8435030589</v>
      </c>
      <c r="I39" s="511">
        <f t="shared" si="9"/>
        <v>0</v>
      </c>
      <c r="J39" s="511"/>
      <c r="K39" s="525"/>
      <c r="L39" s="514">
        <f t="shared" si="1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2030</v>
      </c>
      <c r="D40" s="523">
        <f>IF(F39+SUM(E$17:E39)=D$10,F39,D$10-SUM(E$17:E39))</f>
        <v>13768303.236025624</v>
      </c>
      <c r="E40" s="522">
        <f>IF(+I14&lt;F39,I14,D40)</f>
        <v>693032.42976190476</v>
      </c>
      <c r="F40" s="523">
        <f t="shared" si="12"/>
        <v>13075270.806263719</v>
      </c>
      <c r="G40" s="524">
        <f t="shared" si="13"/>
        <v>2126720.5236055753</v>
      </c>
      <c r="H40" s="491">
        <f t="shared" si="14"/>
        <v>2126720.5236055753</v>
      </c>
      <c r="I40" s="511">
        <f t="shared" si="9"/>
        <v>0</v>
      </c>
      <c r="J40" s="511"/>
      <c r="K40" s="525"/>
      <c r="L40" s="514">
        <f t="shared" si="1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2031</v>
      </c>
      <c r="D41" s="523">
        <f>IF(F40+SUM(E$17:E40)=D$10,F40,D$10-SUM(E$17:E40))</f>
        <v>13075270.806263719</v>
      </c>
      <c r="E41" s="522">
        <f>IF(+I14&lt;F40,I14,D41)</f>
        <v>693032.42976190476</v>
      </c>
      <c r="F41" s="523">
        <f t="shared" si="12"/>
        <v>12382238.376501814</v>
      </c>
      <c r="G41" s="524">
        <f t="shared" si="13"/>
        <v>2052692.2037080915</v>
      </c>
      <c r="H41" s="491">
        <f t="shared" si="14"/>
        <v>2052692.2037080915</v>
      </c>
      <c r="I41" s="511">
        <f t="shared" si="9"/>
        <v>0</v>
      </c>
      <c r="J41" s="511"/>
      <c r="K41" s="525"/>
      <c r="L41" s="514">
        <f t="shared" si="1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2032</v>
      </c>
      <c r="D42" s="523">
        <f>IF(F41+SUM(E$17:E41)=D$10,F41,D$10-SUM(E$17:E41))</f>
        <v>12382238.376501814</v>
      </c>
      <c r="E42" s="522">
        <f>IF(+I14&lt;F41,I14,D42)</f>
        <v>693032.42976190476</v>
      </c>
      <c r="F42" s="523">
        <f t="shared" si="12"/>
        <v>11689205.946739908</v>
      </c>
      <c r="G42" s="524">
        <f t="shared" si="13"/>
        <v>1978663.8838106079</v>
      </c>
      <c r="H42" s="491">
        <f t="shared" si="14"/>
        <v>1978663.8838106079</v>
      </c>
      <c r="I42" s="511">
        <f t="shared" si="9"/>
        <v>0</v>
      </c>
      <c r="J42" s="511"/>
      <c r="K42" s="525"/>
      <c r="L42" s="514">
        <f t="shared" si="1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2033</v>
      </c>
      <c r="D43" s="523">
        <f>IF(F42+SUM(E$17:E42)=D$10,F42,D$10-SUM(E$17:E42))</f>
        <v>11689205.946739908</v>
      </c>
      <c r="E43" s="522">
        <f>IF(+I14&lt;F42,I14,D43)</f>
        <v>693032.42976190476</v>
      </c>
      <c r="F43" s="523">
        <f t="shared" si="12"/>
        <v>10996173.516978003</v>
      </c>
      <c r="G43" s="524">
        <f t="shared" si="13"/>
        <v>1904635.5639131241</v>
      </c>
      <c r="H43" s="491">
        <f t="shared" si="14"/>
        <v>1904635.5639131241</v>
      </c>
      <c r="I43" s="511">
        <f t="shared" si="9"/>
        <v>0</v>
      </c>
      <c r="J43" s="511"/>
      <c r="K43" s="525"/>
      <c r="L43" s="514">
        <f t="shared" si="1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2034</v>
      </c>
      <c r="D44" s="523">
        <f>IF(F43+SUM(E$17:E43)=D$10,F43,D$10-SUM(E$17:E43))</f>
        <v>10996173.516978003</v>
      </c>
      <c r="E44" s="522">
        <f>IF(+I14&lt;F43,I14,D44)</f>
        <v>693032.42976190476</v>
      </c>
      <c r="F44" s="523">
        <f t="shared" si="12"/>
        <v>10303141.087216098</v>
      </c>
      <c r="G44" s="524">
        <f t="shared" si="13"/>
        <v>1830607.2440156403</v>
      </c>
      <c r="H44" s="491">
        <f t="shared" si="14"/>
        <v>1830607.2440156403</v>
      </c>
      <c r="I44" s="511">
        <f t="shared" si="9"/>
        <v>0</v>
      </c>
      <c r="J44" s="511"/>
      <c r="K44" s="525"/>
      <c r="L44" s="514">
        <f t="shared" si="1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2035</v>
      </c>
      <c r="D45" s="523">
        <f>IF(F44+SUM(E$17:E44)=D$10,F44,D$10-SUM(E$17:E44))</f>
        <v>10303141.087216098</v>
      </c>
      <c r="E45" s="522">
        <f>IF(+I14&lt;F44,I14,D45)</f>
        <v>693032.42976190476</v>
      </c>
      <c r="F45" s="523">
        <f t="shared" si="12"/>
        <v>9610108.6574541926</v>
      </c>
      <c r="G45" s="524">
        <f t="shared" si="13"/>
        <v>1756578.9241181565</v>
      </c>
      <c r="H45" s="491">
        <f t="shared" si="14"/>
        <v>1756578.9241181565</v>
      </c>
      <c r="I45" s="511">
        <f t="shared" si="9"/>
        <v>0</v>
      </c>
      <c r="J45" s="511"/>
      <c r="K45" s="525"/>
      <c r="L45" s="514">
        <f t="shared" si="1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2036</v>
      </c>
      <c r="D46" s="523">
        <f>IF(F45+SUM(E$17:E45)=D$10,F45,D$10-SUM(E$17:E45))</f>
        <v>9610108.6574541926</v>
      </c>
      <c r="E46" s="522">
        <f>IF(+I14&lt;F45,I14,D46)</f>
        <v>693032.42976190476</v>
      </c>
      <c r="F46" s="523">
        <f t="shared" si="12"/>
        <v>8917076.2276922874</v>
      </c>
      <c r="G46" s="524">
        <f t="shared" si="13"/>
        <v>1682550.6042206727</v>
      </c>
      <c r="H46" s="491">
        <f t="shared" si="14"/>
        <v>1682550.6042206727</v>
      </c>
      <c r="I46" s="511">
        <f t="shared" si="9"/>
        <v>0</v>
      </c>
      <c r="J46" s="511"/>
      <c r="K46" s="525"/>
      <c r="L46" s="514">
        <f t="shared" si="1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2037</v>
      </c>
      <c r="D47" s="523">
        <f>IF(F46+SUM(E$17:E46)=D$10,F46,D$10-SUM(E$17:E46))</f>
        <v>8917076.2276922874</v>
      </c>
      <c r="E47" s="522">
        <f>IF(+I14&lt;F46,I14,D47)</f>
        <v>693032.42976190476</v>
      </c>
      <c r="F47" s="523">
        <f t="shared" si="12"/>
        <v>8224043.7979303822</v>
      </c>
      <c r="G47" s="524">
        <f t="shared" si="13"/>
        <v>1608522.2843231889</v>
      </c>
      <c r="H47" s="491">
        <f t="shared" si="14"/>
        <v>1608522.2843231889</v>
      </c>
      <c r="I47" s="511">
        <f t="shared" si="9"/>
        <v>0</v>
      </c>
      <c r="J47" s="511"/>
      <c r="K47" s="525"/>
      <c r="L47" s="514">
        <f t="shared" si="1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2038</v>
      </c>
      <c r="D48" s="523">
        <f>IF(F47+SUM(E$17:E47)=D$10,F47,D$10-SUM(E$17:E47))</f>
        <v>8224043.7979303822</v>
      </c>
      <c r="E48" s="522">
        <f>IF(+I14&lt;F47,I14,D48)</f>
        <v>693032.42976190476</v>
      </c>
      <c r="F48" s="523">
        <f t="shared" si="12"/>
        <v>7531011.368168477</v>
      </c>
      <c r="G48" s="524">
        <f t="shared" si="13"/>
        <v>1534493.9644257054</v>
      </c>
      <c r="H48" s="491">
        <f t="shared" si="14"/>
        <v>1534493.9644257054</v>
      </c>
      <c r="I48" s="511">
        <f t="shared" si="9"/>
        <v>0</v>
      </c>
      <c r="J48" s="511"/>
      <c r="K48" s="525"/>
      <c r="L48" s="514">
        <f t="shared" si="1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2039</v>
      </c>
      <c r="D49" s="523">
        <f>IF(F48+SUM(E$17:E48)=D$10,F48,D$10-SUM(E$17:E48))</f>
        <v>7531011.368168477</v>
      </c>
      <c r="E49" s="522">
        <f>IF(+I14&lt;F48,I14,D49)</f>
        <v>693032.42976190476</v>
      </c>
      <c r="F49" s="523">
        <f t="shared" si="12"/>
        <v>6837978.9384065717</v>
      </c>
      <c r="G49" s="524">
        <f t="shared" si="13"/>
        <v>1460465.6445282213</v>
      </c>
      <c r="H49" s="491">
        <f t="shared" si="14"/>
        <v>1460465.6445282213</v>
      </c>
      <c r="I49" s="511">
        <f t="shared" si="9"/>
        <v>0</v>
      </c>
      <c r="J49" s="511"/>
      <c r="K49" s="525"/>
      <c r="L49" s="514">
        <f t="shared" si="1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2040</v>
      </c>
      <c r="D50" s="523">
        <f>IF(F49+SUM(E$17:E49)=D$10,F49,D$10-SUM(E$17:E49))</f>
        <v>6837978.9384065717</v>
      </c>
      <c r="E50" s="522">
        <f>IF(+I14&lt;F49,I14,D50)</f>
        <v>693032.42976190476</v>
      </c>
      <c r="F50" s="523">
        <f t="shared" si="12"/>
        <v>6144946.5086446665</v>
      </c>
      <c r="G50" s="524">
        <f t="shared" si="13"/>
        <v>1386437.3246307378</v>
      </c>
      <c r="H50" s="491">
        <f t="shared" si="14"/>
        <v>1386437.3246307378</v>
      </c>
      <c r="I50" s="511">
        <f t="shared" si="9"/>
        <v>0</v>
      </c>
      <c r="J50" s="511"/>
      <c r="K50" s="525"/>
      <c r="L50" s="514">
        <f t="shared" si="1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2041</v>
      </c>
      <c r="D51" s="523">
        <f>IF(F50+SUM(E$17:E50)=D$10,F50,D$10-SUM(E$17:E50))</f>
        <v>6144946.5086446665</v>
      </c>
      <c r="E51" s="522">
        <f>IF(+I14&lt;F50,I14,D51)</f>
        <v>693032.42976190476</v>
      </c>
      <c r="F51" s="523">
        <f t="shared" si="12"/>
        <v>5451914.0788827613</v>
      </c>
      <c r="G51" s="524">
        <f t="shared" si="13"/>
        <v>1312409.004733254</v>
      </c>
      <c r="H51" s="491">
        <f t="shared" si="14"/>
        <v>1312409.004733254</v>
      </c>
      <c r="I51" s="511">
        <f t="shared" si="9"/>
        <v>0</v>
      </c>
      <c r="J51" s="511"/>
      <c r="K51" s="525"/>
      <c r="L51" s="514">
        <f t="shared" si="1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2042</v>
      </c>
      <c r="D52" s="523">
        <f>IF(F51+SUM(E$17:E51)=D$10,F51,D$10-SUM(E$17:E51))</f>
        <v>5451914.0788827613</v>
      </c>
      <c r="E52" s="522">
        <f>IF(+I14&lt;F51,I14,D52)</f>
        <v>693032.42976190476</v>
      </c>
      <c r="F52" s="523">
        <f t="shared" si="12"/>
        <v>4758881.6491208561</v>
      </c>
      <c r="G52" s="524">
        <f t="shared" si="13"/>
        <v>1238380.6848357702</v>
      </c>
      <c r="H52" s="491">
        <f t="shared" si="14"/>
        <v>1238380.6848357702</v>
      </c>
      <c r="I52" s="511">
        <f t="shared" si="9"/>
        <v>0</v>
      </c>
      <c r="J52" s="511"/>
      <c r="K52" s="525"/>
      <c r="L52" s="514">
        <f t="shared" si="1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2043</v>
      </c>
      <c r="D53" s="523">
        <f>IF(F52+SUM(E$17:E52)=D$10,F52,D$10-SUM(E$17:E52))</f>
        <v>4758881.6491208561</v>
      </c>
      <c r="E53" s="522">
        <f>IF(+I14&lt;F52,I14,D53)</f>
        <v>693032.42976190476</v>
      </c>
      <c r="F53" s="523">
        <f t="shared" si="12"/>
        <v>4065849.2193589513</v>
      </c>
      <c r="G53" s="524">
        <f t="shared" si="13"/>
        <v>1164352.3649382864</v>
      </c>
      <c r="H53" s="491">
        <f t="shared" si="14"/>
        <v>1164352.3649382864</v>
      </c>
      <c r="I53" s="511">
        <f t="shared" si="9"/>
        <v>0</v>
      </c>
      <c r="J53" s="511"/>
      <c r="K53" s="525"/>
      <c r="L53" s="514">
        <f t="shared" si="1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2044</v>
      </c>
      <c r="D54" s="523">
        <f>IF(F53+SUM(E$17:E53)=D$10,F53,D$10-SUM(E$17:E53))</f>
        <v>4065849.2193589513</v>
      </c>
      <c r="E54" s="522">
        <f>IF(+I14&lt;F53,I14,D54)</f>
        <v>693032.42976190476</v>
      </c>
      <c r="F54" s="523">
        <f t="shared" si="12"/>
        <v>3372816.7895970466</v>
      </c>
      <c r="G54" s="524">
        <f t="shared" si="13"/>
        <v>1090324.0450408028</v>
      </c>
      <c r="H54" s="491">
        <f t="shared" si="14"/>
        <v>1090324.0450408028</v>
      </c>
      <c r="I54" s="511">
        <f t="shared" si="9"/>
        <v>0</v>
      </c>
      <c r="J54" s="511"/>
      <c r="K54" s="525"/>
      <c r="L54" s="514">
        <f t="shared" si="1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2045</v>
      </c>
      <c r="D55" s="523">
        <f>IF(F54+SUM(E$17:E54)=D$10,F54,D$10-SUM(E$17:E54))</f>
        <v>3372816.7895970466</v>
      </c>
      <c r="E55" s="522">
        <f>IF(+I14&lt;F54,I14,D55)</f>
        <v>693032.42976190476</v>
      </c>
      <c r="F55" s="523">
        <f t="shared" si="12"/>
        <v>2679784.3598351418</v>
      </c>
      <c r="G55" s="524">
        <f t="shared" si="13"/>
        <v>1016295.725143319</v>
      </c>
      <c r="H55" s="491">
        <f t="shared" si="14"/>
        <v>1016295.725143319</v>
      </c>
      <c r="I55" s="511">
        <f t="shared" si="9"/>
        <v>0</v>
      </c>
      <c r="J55" s="511"/>
      <c r="K55" s="525"/>
      <c r="L55" s="514">
        <f t="shared" si="1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2046</v>
      </c>
      <c r="D56" s="523">
        <f>IF(F55+SUM(E$17:E55)=D$10,F55,D$10-SUM(E$17:E55))</f>
        <v>2679784.3598351418</v>
      </c>
      <c r="E56" s="522">
        <f>IF(+I14&lt;F55,I14,D56)</f>
        <v>693032.42976190476</v>
      </c>
      <c r="F56" s="523">
        <f t="shared" si="12"/>
        <v>1986751.930073237</v>
      </c>
      <c r="G56" s="524">
        <f t="shared" si="13"/>
        <v>942267.40524583531</v>
      </c>
      <c r="H56" s="491">
        <f t="shared" si="14"/>
        <v>942267.40524583531</v>
      </c>
      <c r="I56" s="511">
        <f t="shared" si="9"/>
        <v>0</v>
      </c>
      <c r="J56" s="511"/>
      <c r="K56" s="525"/>
      <c r="L56" s="514">
        <f t="shared" si="1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2047</v>
      </c>
      <c r="D57" s="523">
        <f>IF(F56+SUM(E$17:E56)=D$10,F56,D$10-SUM(E$17:E56))</f>
        <v>1986751.930073237</v>
      </c>
      <c r="E57" s="522">
        <f>IF(+I14&lt;F56,I14,D57)</f>
        <v>693032.42976190476</v>
      </c>
      <c r="F57" s="523">
        <f t="shared" si="12"/>
        <v>1293719.5003113323</v>
      </c>
      <c r="G57" s="524">
        <f t="shared" si="13"/>
        <v>868239.08534835163</v>
      </c>
      <c r="H57" s="491">
        <f t="shared" si="14"/>
        <v>868239.08534835163</v>
      </c>
      <c r="I57" s="511">
        <f t="shared" si="9"/>
        <v>0</v>
      </c>
      <c r="J57" s="511"/>
      <c r="K57" s="525"/>
      <c r="L57" s="514">
        <f t="shared" si="1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2048</v>
      </c>
      <c r="D58" s="523">
        <f>IF(F57+SUM(E$17:E57)=D$10,F57,D$10-SUM(E$17:E57))</f>
        <v>1293719.5003113323</v>
      </c>
      <c r="E58" s="522">
        <f>IF(+I14&lt;F57,I14,D58)</f>
        <v>693032.42976190476</v>
      </c>
      <c r="F58" s="523">
        <f t="shared" si="12"/>
        <v>600687.07054942753</v>
      </c>
      <c r="G58" s="524">
        <f t="shared" si="13"/>
        <v>794210.76545086782</v>
      </c>
      <c r="H58" s="491">
        <f t="shared" si="14"/>
        <v>794210.76545086782</v>
      </c>
      <c r="I58" s="511">
        <f t="shared" si="9"/>
        <v>0</v>
      </c>
      <c r="J58" s="511"/>
      <c r="K58" s="525"/>
      <c r="L58" s="514">
        <f t="shared" si="15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2049</v>
      </c>
      <c r="D59" s="523">
        <f>IF(F58+SUM(E$17:E58)=D$10,F58,D$10-SUM(E$17:E58))</f>
        <v>600687.07054942753</v>
      </c>
      <c r="E59" s="522">
        <f>IF(+I14&lt;F58,I14,D59)</f>
        <v>600687.07054942753</v>
      </c>
      <c r="F59" s="523">
        <f t="shared" si="12"/>
        <v>0</v>
      </c>
      <c r="G59" s="524">
        <f t="shared" si="13"/>
        <v>632769.15841953817</v>
      </c>
      <c r="H59" s="491">
        <f t="shared" si="14"/>
        <v>632769.15841953817</v>
      </c>
      <c r="I59" s="511">
        <f t="shared" si="9"/>
        <v>0</v>
      </c>
      <c r="J59" s="511"/>
      <c r="K59" s="525"/>
      <c r="L59" s="514">
        <f t="shared" si="1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2"/>
        <v>0</v>
      </c>
      <c r="G60" s="524">
        <f t="shared" si="13"/>
        <v>0</v>
      </c>
      <c r="H60" s="491">
        <f t="shared" si="14"/>
        <v>0</v>
      </c>
      <c r="I60" s="511">
        <f t="shared" si="9"/>
        <v>0</v>
      </c>
      <c r="J60" s="511"/>
      <c r="K60" s="525"/>
      <c r="L60" s="514">
        <f t="shared" si="1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2"/>
        <v>0</v>
      </c>
      <c r="G61" s="524">
        <f t="shared" si="13"/>
        <v>0</v>
      </c>
      <c r="H61" s="491">
        <f t="shared" si="14"/>
        <v>0</v>
      </c>
      <c r="I61" s="511">
        <f t="shared" si="9"/>
        <v>0</v>
      </c>
      <c r="J61" s="511"/>
      <c r="K61" s="525"/>
      <c r="L61" s="514">
        <f t="shared" si="1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2"/>
        <v>0</v>
      </c>
      <c r="G62" s="524">
        <f t="shared" si="13"/>
        <v>0</v>
      </c>
      <c r="H62" s="491">
        <f t="shared" si="14"/>
        <v>0</v>
      </c>
      <c r="I62" s="511">
        <f t="shared" si="9"/>
        <v>0</v>
      </c>
      <c r="J62" s="511"/>
      <c r="K62" s="525"/>
      <c r="L62" s="514">
        <f t="shared" si="1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2"/>
        <v>0</v>
      </c>
      <c r="G63" s="524">
        <f t="shared" si="13"/>
        <v>0</v>
      </c>
      <c r="H63" s="491">
        <f t="shared" si="14"/>
        <v>0</v>
      </c>
      <c r="I63" s="511">
        <f t="shared" si="9"/>
        <v>0</v>
      </c>
      <c r="J63" s="511"/>
      <c r="K63" s="525"/>
      <c r="L63" s="514">
        <f t="shared" si="1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2"/>
        <v>0</v>
      </c>
      <c r="G64" s="524">
        <f t="shared" si="13"/>
        <v>0</v>
      </c>
      <c r="H64" s="491">
        <f t="shared" si="14"/>
        <v>0</v>
      </c>
      <c r="I64" s="511">
        <f t="shared" si="9"/>
        <v>0</v>
      </c>
      <c r="J64" s="511"/>
      <c r="K64" s="525"/>
      <c r="L64" s="514">
        <f t="shared" si="1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2"/>
        <v>0</v>
      </c>
      <c r="G65" s="524">
        <f t="shared" si="13"/>
        <v>0</v>
      </c>
      <c r="H65" s="491">
        <f t="shared" si="14"/>
        <v>0</v>
      </c>
      <c r="I65" s="511">
        <f t="shared" si="9"/>
        <v>0</v>
      </c>
      <c r="J65" s="511"/>
      <c r="K65" s="525"/>
      <c r="L65" s="514">
        <f t="shared" si="1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2"/>
        <v>0</v>
      </c>
      <c r="G66" s="524">
        <f t="shared" si="13"/>
        <v>0</v>
      </c>
      <c r="H66" s="491">
        <f t="shared" si="14"/>
        <v>0</v>
      </c>
      <c r="I66" s="511">
        <f t="shared" si="9"/>
        <v>0</v>
      </c>
      <c r="J66" s="511"/>
      <c r="K66" s="525"/>
      <c r="L66" s="514">
        <f t="shared" si="1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2"/>
        <v>0</v>
      </c>
      <c r="G67" s="524">
        <f t="shared" si="13"/>
        <v>0</v>
      </c>
      <c r="H67" s="491">
        <f t="shared" si="14"/>
        <v>0</v>
      </c>
      <c r="I67" s="511">
        <f t="shared" si="9"/>
        <v>0</v>
      </c>
      <c r="J67" s="511"/>
      <c r="K67" s="525"/>
      <c r="L67" s="514">
        <f t="shared" si="1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2"/>
        <v>0</v>
      </c>
      <c r="G68" s="524">
        <f t="shared" si="13"/>
        <v>0</v>
      </c>
      <c r="H68" s="491">
        <f t="shared" si="14"/>
        <v>0</v>
      </c>
      <c r="I68" s="511">
        <f t="shared" si="9"/>
        <v>0</v>
      </c>
      <c r="J68" s="511"/>
      <c r="K68" s="525"/>
      <c r="L68" s="514">
        <f t="shared" si="1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2"/>
        <v>0</v>
      </c>
      <c r="G69" s="524">
        <f t="shared" si="13"/>
        <v>0</v>
      </c>
      <c r="H69" s="491">
        <f t="shared" si="14"/>
        <v>0</v>
      </c>
      <c r="I69" s="511">
        <f t="shared" si="9"/>
        <v>0</v>
      </c>
      <c r="J69" s="511"/>
      <c r="K69" s="525"/>
      <c r="L69" s="514">
        <f t="shared" si="1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2"/>
        <v>0</v>
      </c>
      <c r="G70" s="524">
        <f t="shared" si="13"/>
        <v>0</v>
      </c>
      <c r="H70" s="491">
        <f t="shared" si="14"/>
        <v>0</v>
      </c>
      <c r="I70" s="511">
        <f t="shared" si="9"/>
        <v>0</v>
      </c>
      <c r="J70" s="511"/>
      <c r="K70" s="525"/>
      <c r="L70" s="514">
        <f t="shared" si="1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2"/>
        <v>0</v>
      </c>
      <c r="G71" s="524">
        <f t="shared" si="13"/>
        <v>0</v>
      </c>
      <c r="H71" s="491">
        <f t="shared" si="14"/>
        <v>0</v>
      </c>
      <c r="I71" s="511">
        <f t="shared" si="9"/>
        <v>0</v>
      </c>
      <c r="J71" s="511"/>
      <c r="K71" s="525"/>
      <c r="L71" s="514">
        <f t="shared" si="1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2"/>
        <v>0</v>
      </c>
      <c r="G72" s="524">
        <f t="shared" si="13"/>
        <v>0</v>
      </c>
      <c r="H72" s="491">
        <f t="shared" si="14"/>
        <v>0</v>
      </c>
      <c r="I72" s="531">
        <f t="shared" si="9"/>
        <v>0</v>
      </c>
      <c r="J72" s="511"/>
      <c r="K72" s="532"/>
      <c r="L72" s="533">
        <f t="shared" si="1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29107362.049999997</v>
      </c>
      <c r="F73" s="375"/>
      <c r="G73" s="375">
        <f>SUM(G17:G72)</f>
        <v>105067241.66951802</v>
      </c>
      <c r="H73" s="375">
        <f>SUM(H17:H72)</f>
        <v>105067241.66951802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44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2793543.137478089</v>
      </c>
      <c r="N87" s="546">
        <f>IF(J92&lt;D11,0,VLOOKUP(J92,C17:O72,11))</f>
        <v>2793543.137478089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3430226.8857239499</v>
      </c>
      <c r="N88" s="550">
        <f>IF(J92&lt;D11,0,VLOOKUP(J92,C99:P154,7))</f>
        <v>3430226.8857239499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Pittsburg-Winnsboro-North Mineola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636683.74824586092</v>
      </c>
      <c r="N89" s="555">
        <f>+N88-N87</f>
        <v>636683.74824586092</v>
      </c>
      <c r="O89" s="556">
        <f>+O88-O87</f>
        <v>0</v>
      </c>
      <c r="P89" s="269"/>
    </row>
    <row r="90" spans="1:16" ht="13.5" thickBot="1">
      <c r="C90" s="534"/>
      <c r="D90" s="646" t="s">
        <v>374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TP2002006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29107362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+D12</f>
        <v>11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693032.42857142852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2007</v>
      </c>
      <c r="D99" s="396"/>
      <c r="E99" s="526"/>
      <c r="F99" s="521"/>
      <c r="G99" s="647"/>
      <c r="H99" s="604"/>
      <c r="I99" s="605"/>
      <c r="J99" s="519">
        <v>0</v>
      </c>
      <c r="K99" s="514"/>
      <c r="L99" s="518"/>
      <c r="M99" s="514">
        <f t="shared" ref="M99:M105" si="16">IF(L99&lt;&gt;0,+H99-L99,0)</f>
        <v>0</v>
      </c>
      <c r="N99" s="518"/>
      <c r="O99" s="514">
        <f t="shared" ref="O99:O105" si="17">IF(N99&lt;&gt;0,+I99-N99,0)</f>
        <v>0</v>
      </c>
      <c r="P99" s="514">
        <f t="shared" ref="P99:P105" si="18">+O99-M99</f>
        <v>0</v>
      </c>
    </row>
    <row r="100" spans="1:16" ht="12.5">
      <c r="B100" s="195" t="str">
        <f>IF(D100=F99,"","IU")</f>
        <v/>
      </c>
      <c r="C100" s="507">
        <f>IF(D93="","-",+C99+1)</f>
        <v>2008</v>
      </c>
      <c r="D100" s="396"/>
      <c r="E100" s="648"/>
      <c r="F100" s="521"/>
      <c r="G100" s="521"/>
      <c r="H100" s="526"/>
      <c r="I100" s="577"/>
      <c r="J100" s="519">
        <v>0</v>
      </c>
      <c r="K100" s="514"/>
      <c r="L100" s="518"/>
      <c r="M100" s="514">
        <f t="shared" si="16"/>
        <v>0</v>
      </c>
      <c r="N100" s="518"/>
      <c r="O100" s="514">
        <f t="shared" si="17"/>
        <v>0</v>
      </c>
      <c r="P100" s="514">
        <f t="shared" si="18"/>
        <v>0</v>
      </c>
    </row>
    <row r="101" spans="1:16" ht="12.5">
      <c r="B101" s="195" t="str">
        <f t="shared" ref="B101:B154" si="19">IF(D101=F100,"","IU")</f>
        <v/>
      </c>
      <c r="C101" s="507">
        <f>IF(D93="","-",+C100+1)</f>
        <v>2009</v>
      </c>
      <c r="D101" s="396"/>
      <c r="E101" s="648"/>
      <c r="F101" s="521"/>
      <c r="G101" s="521"/>
      <c r="H101" s="526"/>
      <c r="I101" s="577"/>
      <c r="J101" s="519">
        <v>0</v>
      </c>
      <c r="K101" s="514"/>
      <c r="L101" s="518"/>
      <c r="M101" s="514">
        <f t="shared" si="16"/>
        <v>0</v>
      </c>
      <c r="N101" s="518"/>
      <c r="O101" s="514">
        <f t="shared" si="17"/>
        <v>0</v>
      </c>
      <c r="P101" s="514">
        <f t="shared" si="18"/>
        <v>0</v>
      </c>
    </row>
    <row r="102" spans="1:16" ht="12.5">
      <c r="B102" s="195" t="str">
        <f t="shared" si="19"/>
        <v/>
      </c>
      <c r="C102" s="507">
        <f>IF(D93="","-",+C101+1)</f>
        <v>2010</v>
      </c>
      <c r="D102" s="396"/>
      <c r="E102" s="648"/>
      <c r="F102" s="521"/>
      <c r="G102" s="521"/>
      <c r="H102" s="526"/>
      <c r="I102" s="577"/>
      <c r="J102" s="519">
        <v>0</v>
      </c>
      <c r="K102" s="514"/>
      <c r="L102" s="518"/>
      <c r="M102" s="514">
        <f t="shared" si="16"/>
        <v>0</v>
      </c>
      <c r="N102" s="518"/>
      <c r="O102" s="514">
        <f t="shared" si="17"/>
        <v>0</v>
      </c>
      <c r="P102" s="514">
        <f t="shared" si="18"/>
        <v>0</v>
      </c>
    </row>
    <row r="103" spans="1:16" ht="12.5">
      <c r="B103" s="195" t="str">
        <f t="shared" si="19"/>
        <v/>
      </c>
      <c r="C103" s="507">
        <f>IF(D93="","-",+C102+1)</f>
        <v>2011</v>
      </c>
      <c r="D103" s="396"/>
      <c r="E103" s="648"/>
      <c r="F103" s="521"/>
      <c r="G103" s="521"/>
      <c r="H103" s="526"/>
      <c r="I103" s="577"/>
      <c r="J103" s="519">
        <v>0</v>
      </c>
      <c r="K103" s="514"/>
      <c r="L103" s="518"/>
      <c r="M103" s="514">
        <f t="shared" si="16"/>
        <v>0</v>
      </c>
      <c r="N103" s="518"/>
      <c r="O103" s="514">
        <f t="shared" si="17"/>
        <v>0</v>
      </c>
      <c r="P103" s="514">
        <f t="shared" si="18"/>
        <v>0</v>
      </c>
    </row>
    <row r="104" spans="1:16" ht="12.5">
      <c r="B104" s="195" t="str">
        <f t="shared" si="19"/>
        <v/>
      </c>
      <c r="C104" s="507">
        <f>IF(D93="","-",+C103+1)</f>
        <v>2012</v>
      </c>
      <c r="D104" s="396"/>
      <c r="E104" s="648"/>
      <c r="F104" s="521"/>
      <c r="G104" s="521"/>
      <c r="H104" s="526"/>
      <c r="I104" s="577"/>
      <c r="J104" s="519">
        <v>0</v>
      </c>
      <c r="K104" s="514"/>
      <c r="L104" s="518"/>
      <c r="M104" s="514">
        <f t="shared" si="16"/>
        <v>0</v>
      </c>
      <c r="N104" s="518"/>
      <c r="O104" s="514">
        <f t="shared" si="17"/>
        <v>0</v>
      </c>
      <c r="P104" s="514">
        <f t="shared" si="18"/>
        <v>0</v>
      </c>
    </row>
    <row r="105" spans="1:16" ht="12.5">
      <c r="B105" s="195" t="str">
        <f t="shared" si="19"/>
        <v/>
      </c>
      <c r="C105" s="507">
        <f>IF(D93="","-",+C104+1)</f>
        <v>2013</v>
      </c>
      <c r="D105" s="396"/>
      <c r="E105" s="648"/>
      <c r="F105" s="521"/>
      <c r="G105" s="521"/>
      <c r="H105" s="526"/>
      <c r="I105" s="577"/>
      <c r="J105" s="519">
        <v>0</v>
      </c>
      <c r="K105" s="514"/>
      <c r="L105" s="518"/>
      <c r="M105" s="514">
        <f t="shared" si="16"/>
        <v>0</v>
      </c>
      <c r="N105" s="518"/>
      <c r="O105" s="514">
        <f t="shared" si="17"/>
        <v>0</v>
      </c>
      <c r="P105" s="514">
        <f t="shared" si="18"/>
        <v>0</v>
      </c>
    </row>
    <row r="106" spans="1:16" ht="12.5">
      <c r="B106" s="195" t="str">
        <f t="shared" si="19"/>
        <v/>
      </c>
      <c r="C106" s="507">
        <f>IF(D93="","-",+C105+1)</f>
        <v>2014</v>
      </c>
      <c r="D106" s="396"/>
      <c r="E106" s="648"/>
      <c r="F106" s="521"/>
      <c r="G106" s="521"/>
      <c r="H106" s="526"/>
      <c r="I106" s="577"/>
      <c r="J106" s="519">
        <v>0</v>
      </c>
      <c r="K106" s="514"/>
      <c r="L106" s="518"/>
      <c r="M106" s="514">
        <f t="shared" ref="M106:M130" si="20">IF(L106&lt;&gt;0,+H106-L106,0)</f>
        <v>0</v>
      </c>
      <c r="N106" s="518"/>
      <c r="O106" s="514">
        <f t="shared" ref="O106:O130" si="21">IF(N106&lt;&gt;0,+I106-N106,0)</f>
        <v>0</v>
      </c>
      <c r="P106" s="514">
        <f t="shared" ref="P106:P130" si="22">+O106-M106</f>
        <v>0</v>
      </c>
    </row>
    <row r="107" spans="1:16" ht="12.5">
      <c r="B107" s="195" t="str">
        <f t="shared" si="19"/>
        <v>IU</v>
      </c>
      <c r="C107" s="507">
        <f>IF(D93="","-",+C106+1)</f>
        <v>2015</v>
      </c>
      <c r="D107" s="629">
        <v>24198382.339186504</v>
      </c>
      <c r="E107" s="630">
        <v>576151.96045682149</v>
      </c>
      <c r="F107" s="631">
        <v>23622230.378729682</v>
      </c>
      <c r="G107" s="631">
        <v>23910306.358958095</v>
      </c>
      <c r="H107" s="633">
        <v>3726786.1990239997</v>
      </c>
      <c r="I107" s="634">
        <v>3726786.1990239997</v>
      </c>
      <c r="J107" s="514">
        <f>+I107-H107</f>
        <v>0</v>
      </c>
      <c r="K107" s="514"/>
      <c r="L107" s="518">
        <f>+H107</f>
        <v>3726786.1990239997</v>
      </c>
      <c r="M107" s="514">
        <f t="shared" si="20"/>
        <v>0</v>
      </c>
      <c r="N107" s="518">
        <f>+I107</f>
        <v>3726786.1990239997</v>
      </c>
      <c r="O107" s="514">
        <f t="shared" si="21"/>
        <v>0</v>
      </c>
      <c r="P107" s="514">
        <f t="shared" si="22"/>
        <v>0</v>
      </c>
    </row>
    <row r="108" spans="1:16" ht="12.5">
      <c r="B108" s="195" t="str">
        <f t="shared" si="19"/>
        <v>IU</v>
      </c>
      <c r="C108" s="507">
        <f>IF(D93="","-",+C107+1)</f>
        <v>2016</v>
      </c>
      <c r="D108" s="629">
        <v>28531210.039543178</v>
      </c>
      <c r="E108" s="630">
        <v>676915.39534883725</v>
      </c>
      <c r="F108" s="631">
        <v>27854294.644194342</v>
      </c>
      <c r="G108" s="631">
        <v>28192752.341868758</v>
      </c>
      <c r="H108" s="633">
        <v>4255984.9749657642</v>
      </c>
      <c r="I108" s="634">
        <v>4255984.9749657642</v>
      </c>
      <c r="J108" s="514">
        <f t="shared" ref="J108:J154" si="23">+I108-H108</f>
        <v>0</v>
      </c>
      <c r="K108" s="514"/>
      <c r="L108" s="518">
        <f>+H108</f>
        <v>4255984.9749657642</v>
      </c>
      <c r="M108" s="514">
        <f>IF(L108&lt;&gt;0,+H108-L108,0)</f>
        <v>0</v>
      </c>
      <c r="N108" s="518">
        <f>+I108</f>
        <v>4255984.9749657642</v>
      </c>
      <c r="O108" s="514">
        <f>IF(N108&lt;&gt;0,+I108-N108,0)</f>
        <v>0</v>
      </c>
      <c r="P108" s="514">
        <f>+O108-M108</f>
        <v>0</v>
      </c>
    </row>
    <row r="109" spans="1:16" ht="12.5">
      <c r="B109" s="195" t="str">
        <f t="shared" si="19"/>
        <v/>
      </c>
      <c r="C109" s="507">
        <f>IF(D93="","-",+C108+1)</f>
        <v>2017</v>
      </c>
      <c r="D109" s="629">
        <v>27854294.644194342</v>
      </c>
      <c r="E109" s="630">
        <v>693032.42857142852</v>
      </c>
      <c r="F109" s="631">
        <v>27161262.215622913</v>
      </c>
      <c r="G109" s="631">
        <v>27507778.429908626</v>
      </c>
      <c r="H109" s="633">
        <v>4034442.3721004287</v>
      </c>
      <c r="I109" s="634">
        <v>4034442.3721004287</v>
      </c>
      <c r="J109" s="514">
        <f t="shared" si="23"/>
        <v>0</v>
      </c>
      <c r="K109" s="514"/>
      <c r="L109" s="518">
        <f>+H109</f>
        <v>4034442.3721004287</v>
      </c>
      <c r="M109" s="514">
        <f>IF(L109&lt;&gt;0,+H109-L109,0)</f>
        <v>0</v>
      </c>
      <c r="N109" s="518">
        <f>+I109</f>
        <v>4034442.3721004287</v>
      </c>
      <c r="O109" s="514">
        <f>IF(N109&lt;&gt;0,+I109-N109,0)</f>
        <v>0</v>
      </c>
      <c r="P109" s="514">
        <f>+O109-M109</f>
        <v>0</v>
      </c>
    </row>
    <row r="110" spans="1:16" ht="12.5">
      <c r="B110" s="195" t="str">
        <f t="shared" si="19"/>
        <v/>
      </c>
      <c r="C110" s="507">
        <f>IF(D93="","-",+C109+1)</f>
        <v>2018</v>
      </c>
      <c r="D110" s="629">
        <v>27161262.215622913</v>
      </c>
      <c r="E110" s="630">
        <v>693032.42857142852</v>
      </c>
      <c r="F110" s="631">
        <v>26468229.787051484</v>
      </c>
      <c r="G110" s="631">
        <v>26814746.0013372</v>
      </c>
      <c r="H110" s="633">
        <v>3524792.5739054955</v>
      </c>
      <c r="I110" s="634">
        <v>3524792.5739054955</v>
      </c>
      <c r="J110" s="514">
        <f t="shared" si="23"/>
        <v>0</v>
      </c>
      <c r="K110" s="514"/>
      <c r="L110" s="518">
        <f>+H110</f>
        <v>3524792.5739054955</v>
      </c>
      <c r="M110" s="514">
        <f>IF(L110&lt;&gt;0,+H110-L110,0)</f>
        <v>0</v>
      </c>
      <c r="N110" s="518">
        <f>+I110</f>
        <v>3524792.5739054955</v>
      </c>
      <c r="O110" s="514">
        <f>IF(N110&lt;&gt;0,+I110-N110,0)</f>
        <v>0</v>
      </c>
      <c r="P110" s="514">
        <f>+O110-M110</f>
        <v>0</v>
      </c>
    </row>
    <row r="111" spans="1:16" ht="12.5">
      <c r="B111" s="195" t="str">
        <f t="shared" si="19"/>
        <v/>
      </c>
      <c r="C111" s="507">
        <f>IF(D93="","-",+C110+1)</f>
        <v>2019</v>
      </c>
      <c r="D111" s="629">
        <v>26468229.787051484</v>
      </c>
      <c r="E111" s="630">
        <v>676915.39534883725</v>
      </c>
      <c r="F111" s="631">
        <v>25791314.391702648</v>
      </c>
      <c r="G111" s="631">
        <v>26129772.089377068</v>
      </c>
      <c r="H111" s="633">
        <v>3473860.4808152672</v>
      </c>
      <c r="I111" s="634">
        <v>3473860.4808152672</v>
      </c>
      <c r="J111" s="514">
        <f t="shared" si="23"/>
        <v>0</v>
      </c>
      <c r="K111" s="514"/>
      <c r="L111" s="518">
        <f>+H111</f>
        <v>3473860.4808152672</v>
      </c>
      <c r="M111" s="514">
        <f>IF(L111&lt;&gt;0,+H111-L111,0)</f>
        <v>0</v>
      </c>
      <c r="N111" s="518">
        <f>+I111</f>
        <v>3473860.4808152672</v>
      </c>
      <c r="O111" s="514">
        <f t="shared" si="21"/>
        <v>0</v>
      </c>
      <c r="P111" s="514">
        <f t="shared" si="22"/>
        <v>0</v>
      </c>
    </row>
    <row r="112" spans="1:16" ht="12.5">
      <c r="B112" s="195" t="str">
        <f t="shared" si="19"/>
        <v/>
      </c>
      <c r="C112" s="507">
        <f>IF(D93="","-",+C111+1)</f>
        <v>2020</v>
      </c>
      <c r="D112" s="374">
        <f>IF(F111+SUM(E$99:E111)=D$92,F111,D$92-SUM(E$99:E111))</f>
        <v>25791314.391702648</v>
      </c>
      <c r="E112" s="522">
        <f t="shared" ref="E112:E154" si="24">IF(+$J$96&lt;F111,$J$96,D112)</f>
        <v>693032.42857142852</v>
      </c>
      <c r="F112" s="523">
        <f t="shared" ref="F112:F154" si="25">+D112-E112</f>
        <v>25098281.963131219</v>
      </c>
      <c r="G112" s="523">
        <f t="shared" ref="G112:G154" si="26">+(F112+D112)/2</f>
        <v>25444798.177416936</v>
      </c>
      <c r="H112" s="526">
        <f t="shared" ref="H112:H154" si="27">+J$94*G112+E112</f>
        <v>3430226.8857239499</v>
      </c>
      <c r="I112" s="577">
        <f t="shared" ref="I112:I154" si="28">+J$95*G112+E112</f>
        <v>3430226.8857239499</v>
      </c>
      <c r="J112" s="514">
        <f t="shared" si="23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</row>
    <row r="113" spans="2:16" ht="12.5">
      <c r="B113" s="195" t="str">
        <f t="shared" si="19"/>
        <v/>
      </c>
      <c r="C113" s="507">
        <f>IF(D93="","-",+C112+1)</f>
        <v>2021</v>
      </c>
      <c r="D113" s="374">
        <f>IF(F112+SUM(E$99:E112)=D$92,F112,D$92-SUM(E$99:E112))</f>
        <v>25098281.963131219</v>
      </c>
      <c r="E113" s="522">
        <f t="shared" si="24"/>
        <v>693032.42857142852</v>
      </c>
      <c r="F113" s="523">
        <f t="shared" si="25"/>
        <v>24405249.53455979</v>
      </c>
      <c r="G113" s="523">
        <f t="shared" si="26"/>
        <v>24751765.748845503</v>
      </c>
      <c r="H113" s="526">
        <f t="shared" si="27"/>
        <v>3355674.7313352274</v>
      </c>
      <c r="I113" s="577">
        <f t="shared" si="28"/>
        <v>3355674.7313352274</v>
      </c>
      <c r="J113" s="514">
        <f t="shared" si="23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</row>
    <row r="114" spans="2:16" ht="12.5">
      <c r="B114" s="195" t="str">
        <f t="shared" si="19"/>
        <v/>
      </c>
      <c r="C114" s="507">
        <f>IF(D93="","-",+C113+1)</f>
        <v>2022</v>
      </c>
      <c r="D114" s="374">
        <f>IF(F113+SUM(E$99:E113)=D$92,F113,D$92-SUM(E$99:E113))</f>
        <v>24405249.53455979</v>
      </c>
      <c r="E114" s="522">
        <f t="shared" si="24"/>
        <v>693032.42857142852</v>
      </c>
      <c r="F114" s="523">
        <f t="shared" si="25"/>
        <v>23712217.105988361</v>
      </c>
      <c r="G114" s="523">
        <f t="shared" si="26"/>
        <v>24058733.320274077</v>
      </c>
      <c r="H114" s="526">
        <f t="shared" si="27"/>
        <v>3281122.5769465053</v>
      </c>
      <c r="I114" s="577">
        <f t="shared" si="28"/>
        <v>3281122.5769465053</v>
      </c>
      <c r="J114" s="514">
        <f t="shared" si="23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</row>
    <row r="115" spans="2:16" ht="12.5">
      <c r="B115" s="195" t="str">
        <f t="shared" si="19"/>
        <v/>
      </c>
      <c r="C115" s="507">
        <f>IF(D93="","-",+C114+1)</f>
        <v>2023</v>
      </c>
      <c r="D115" s="374">
        <f>IF(F114+SUM(E$99:E114)=D$92,F114,D$92-SUM(E$99:E114))</f>
        <v>23712217.105988361</v>
      </c>
      <c r="E115" s="522">
        <f t="shared" si="24"/>
        <v>693032.42857142852</v>
      </c>
      <c r="F115" s="523">
        <f t="shared" si="25"/>
        <v>23019184.677416932</v>
      </c>
      <c r="G115" s="523">
        <f t="shared" si="26"/>
        <v>23365700.891702645</v>
      </c>
      <c r="H115" s="526">
        <f t="shared" si="27"/>
        <v>3206570.4225577828</v>
      </c>
      <c r="I115" s="577">
        <f t="shared" si="28"/>
        <v>3206570.4225577828</v>
      </c>
      <c r="J115" s="514">
        <f t="shared" si="23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</row>
    <row r="116" spans="2:16" ht="12.5">
      <c r="B116" s="195" t="str">
        <f t="shared" si="19"/>
        <v/>
      </c>
      <c r="C116" s="507">
        <f>IF(D93="","-",+C115+1)</f>
        <v>2024</v>
      </c>
      <c r="D116" s="374">
        <f>IF(F115+SUM(E$99:E115)=D$92,F115,D$92-SUM(E$99:E115))</f>
        <v>23019184.677416932</v>
      </c>
      <c r="E116" s="522">
        <f t="shared" si="24"/>
        <v>693032.42857142852</v>
      </c>
      <c r="F116" s="523">
        <f t="shared" si="25"/>
        <v>22326152.248845503</v>
      </c>
      <c r="G116" s="523">
        <f t="shared" si="26"/>
        <v>22672668.463131219</v>
      </c>
      <c r="H116" s="526">
        <f t="shared" si="27"/>
        <v>3132018.2681690608</v>
      </c>
      <c r="I116" s="577">
        <f t="shared" si="28"/>
        <v>3132018.2681690608</v>
      </c>
      <c r="J116" s="514">
        <f t="shared" si="23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</row>
    <row r="117" spans="2:16" ht="12.5">
      <c r="B117" s="195" t="str">
        <f t="shared" si="19"/>
        <v/>
      </c>
      <c r="C117" s="507">
        <f>IF(D93="","-",+C116+1)</f>
        <v>2025</v>
      </c>
      <c r="D117" s="374">
        <f>IF(F116+SUM(E$99:E116)=D$92,F116,D$92-SUM(E$99:E116))</f>
        <v>22326152.248845503</v>
      </c>
      <c r="E117" s="522">
        <f t="shared" si="24"/>
        <v>693032.42857142852</v>
      </c>
      <c r="F117" s="523">
        <f t="shared" si="25"/>
        <v>21633119.820274074</v>
      </c>
      <c r="G117" s="523">
        <f t="shared" si="26"/>
        <v>21979636.034559786</v>
      </c>
      <c r="H117" s="526">
        <f t="shared" si="27"/>
        <v>3057466.1137803383</v>
      </c>
      <c r="I117" s="577">
        <f t="shared" si="28"/>
        <v>3057466.1137803383</v>
      </c>
      <c r="J117" s="514">
        <f t="shared" si="23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</row>
    <row r="118" spans="2:16" ht="12.5">
      <c r="B118" s="195" t="str">
        <f t="shared" si="19"/>
        <v/>
      </c>
      <c r="C118" s="507">
        <f>IF(D93="","-",+C117+1)</f>
        <v>2026</v>
      </c>
      <c r="D118" s="374">
        <f>IF(F117+SUM(E$99:E117)=D$92,F117,D$92-SUM(E$99:E117))</f>
        <v>21633119.820274074</v>
      </c>
      <c r="E118" s="522">
        <f t="shared" si="24"/>
        <v>693032.42857142852</v>
      </c>
      <c r="F118" s="523">
        <f t="shared" si="25"/>
        <v>20940087.391702645</v>
      </c>
      <c r="G118" s="523">
        <f t="shared" si="26"/>
        <v>21286603.605988361</v>
      </c>
      <c r="H118" s="526">
        <f t="shared" si="27"/>
        <v>2982913.9593916163</v>
      </c>
      <c r="I118" s="577">
        <f t="shared" si="28"/>
        <v>2982913.9593916163</v>
      </c>
      <c r="J118" s="514">
        <f t="shared" si="23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</row>
    <row r="119" spans="2:16" ht="12.5">
      <c r="B119" s="195" t="str">
        <f t="shared" si="19"/>
        <v/>
      </c>
      <c r="C119" s="507">
        <f>IF(D93="","-",+C118+1)</f>
        <v>2027</v>
      </c>
      <c r="D119" s="374">
        <f>IF(F118+SUM(E$99:E118)=D$92,F118,D$92-SUM(E$99:E118))</f>
        <v>20940087.391702645</v>
      </c>
      <c r="E119" s="522">
        <f t="shared" si="24"/>
        <v>693032.42857142852</v>
      </c>
      <c r="F119" s="523">
        <f t="shared" si="25"/>
        <v>20247054.963131215</v>
      </c>
      <c r="G119" s="523">
        <f t="shared" si="26"/>
        <v>20593571.177416928</v>
      </c>
      <c r="H119" s="526">
        <f t="shared" si="27"/>
        <v>2908361.8050028938</v>
      </c>
      <c r="I119" s="577">
        <f t="shared" si="28"/>
        <v>2908361.8050028938</v>
      </c>
      <c r="J119" s="514">
        <f t="shared" si="23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</row>
    <row r="120" spans="2:16" ht="12.5">
      <c r="B120" s="195" t="str">
        <f t="shared" si="19"/>
        <v/>
      </c>
      <c r="C120" s="507">
        <f>IF(D93="","-",+C119+1)</f>
        <v>2028</v>
      </c>
      <c r="D120" s="374">
        <f>IF(F119+SUM(E$99:E119)=D$92,F119,D$92-SUM(E$99:E119))</f>
        <v>20247054.963131215</v>
      </c>
      <c r="E120" s="522">
        <f t="shared" si="24"/>
        <v>693032.42857142852</v>
      </c>
      <c r="F120" s="523">
        <f t="shared" si="25"/>
        <v>19554022.534559786</v>
      </c>
      <c r="G120" s="523">
        <f t="shared" si="26"/>
        <v>19900538.748845503</v>
      </c>
      <c r="H120" s="526">
        <f t="shared" si="27"/>
        <v>2833809.6506141718</v>
      </c>
      <c r="I120" s="577">
        <f t="shared" si="28"/>
        <v>2833809.6506141718</v>
      </c>
      <c r="J120" s="514">
        <f t="shared" si="23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</row>
    <row r="121" spans="2:16" ht="12.5">
      <c r="B121" s="195" t="str">
        <f t="shared" si="19"/>
        <v/>
      </c>
      <c r="C121" s="507">
        <f>IF(D93="","-",+C120+1)</f>
        <v>2029</v>
      </c>
      <c r="D121" s="374">
        <f>IF(F120+SUM(E$99:E120)=D$92,F120,D$92-SUM(E$99:E120))</f>
        <v>19554022.534559786</v>
      </c>
      <c r="E121" s="522">
        <f t="shared" si="24"/>
        <v>693032.42857142852</v>
      </c>
      <c r="F121" s="523">
        <f t="shared" si="25"/>
        <v>18860990.105988357</v>
      </c>
      <c r="G121" s="523">
        <f t="shared" si="26"/>
        <v>19207506.32027407</v>
      </c>
      <c r="H121" s="526">
        <f t="shared" si="27"/>
        <v>2759257.4962254493</v>
      </c>
      <c r="I121" s="577">
        <f t="shared" si="28"/>
        <v>2759257.4962254493</v>
      </c>
      <c r="J121" s="514">
        <f t="shared" si="23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</row>
    <row r="122" spans="2:16" ht="12.5">
      <c r="B122" s="195" t="str">
        <f t="shared" si="19"/>
        <v/>
      </c>
      <c r="C122" s="507">
        <f>IF(D93="","-",+C121+1)</f>
        <v>2030</v>
      </c>
      <c r="D122" s="374">
        <f>IF(F121+SUM(E$99:E121)=D$92,F121,D$92-SUM(E$99:E121))</f>
        <v>18860990.105988357</v>
      </c>
      <c r="E122" s="522">
        <f t="shared" si="24"/>
        <v>693032.42857142852</v>
      </c>
      <c r="F122" s="523">
        <f t="shared" si="25"/>
        <v>18167957.677416928</v>
      </c>
      <c r="G122" s="523">
        <f t="shared" si="26"/>
        <v>18514473.891702645</v>
      </c>
      <c r="H122" s="526">
        <f t="shared" si="27"/>
        <v>2684705.3418367272</v>
      </c>
      <c r="I122" s="577">
        <f t="shared" si="28"/>
        <v>2684705.3418367272</v>
      </c>
      <c r="J122" s="514">
        <f t="shared" si="23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</row>
    <row r="123" spans="2:16" ht="12.5">
      <c r="B123" s="195" t="str">
        <f t="shared" si="19"/>
        <v/>
      </c>
      <c r="C123" s="507">
        <f>IF(D93="","-",+C122+1)</f>
        <v>2031</v>
      </c>
      <c r="D123" s="374">
        <f>IF(F122+SUM(E$99:E122)=D$92,F122,D$92-SUM(E$99:E122))</f>
        <v>18167957.677416928</v>
      </c>
      <c r="E123" s="522">
        <f t="shared" si="24"/>
        <v>693032.42857142852</v>
      </c>
      <c r="F123" s="523">
        <f t="shared" si="25"/>
        <v>17474925.248845499</v>
      </c>
      <c r="G123" s="523">
        <f t="shared" si="26"/>
        <v>17821441.463131212</v>
      </c>
      <c r="H123" s="526">
        <f t="shared" si="27"/>
        <v>2610153.1874480043</v>
      </c>
      <c r="I123" s="577">
        <f t="shared" si="28"/>
        <v>2610153.1874480043</v>
      </c>
      <c r="J123" s="514">
        <f t="shared" si="23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</row>
    <row r="124" spans="2:16" ht="12.5">
      <c r="B124" s="195" t="str">
        <f t="shared" si="19"/>
        <v/>
      </c>
      <c r="C124" s="507">
        <f>IF(D93="","-",+C123+1)</f>
        <v>2032</v>
      </c>
      <c r="D124" s="374">
        <f>IF(F123+SUM(E$99:E123)=D$92,F123,D$92-SUM(E$99:E123))</f>
        <v>17474925.248845499</v>
      </c>
      <c r="E124" s="522">
        <f t="shared" si="24"/>
        <v>693032.42857142852</v>
      </c>
      <c r="F124" s="523">
        <f t="shared" si="25"/>
        <v>16781892.82027407</v>
      </c>
      <c r="G124" s="523">
        <f t="shared" si="26"/>
        <v>17128409.034559786</v>
      </c>
      <c r="H124" s="526">
        <f t="shared" si="27"/>
        <v>2535601.0330592827</v>
      </c>
      <c r="I124" s="577">
        <f t="shared" si="28"/>
        <v>2535601.0330592827</v>
      </c>
      <c r="J124" s="514">
        <f t="shared" si="23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</row>
    <row r="125" spans="2:16" ht="12.5">
      <c r="B125" s="195" t="str">
        <f t="shared" si="19"/>
        <v/>
      </c>
      <c r="C125" s="507">
        <f>IF(D93="","-",+C124+1)</f>
        <v>2033</v>
      </c>
      <c r="D125" s="374">
        <f>IF(F124+SUM(E$99:E124)=D$92,F124,D$92-SUM(E$99:E124))</f>
        <v>16781892.82027407</v>
      </c>
      <c r="E125" s="522">
        <f t="shared" si="24"/>
        <v>693032.42857142852</v>
      </c>
      <c r="F125" s="523">
        <f t="shared" si="25"/>
        <v>16088860.391702641</v>
      </c>
      <c r="G125" s="523">
        <f t="shared" si="26"/>
        <v>16435376.605988355</v>
      </c>
      <c r="H125" s="526">
        <f t="shared" si="27"/>
        <v>2461048.8786705602</v>
      </c>
      <c r="I125" s="577">
        <f t="shared" si="28"/>
        <v>2461048.8786705602</v>
      </c>
      <c r="J125" s="514">
        <f t="shared" si="23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</row>
    <row r="126" spans="2:16" ht="12.5">
      <c r="B126" s="195" t="str">
        <f t="shared" si="19"/>
        <v/>
      </c>
      <c r="C126" s="507">
        <f>IF(D93="","-",+C125+1)</f>
        <v>2034</v>
      </c>
      <c r="D126" s="374">
        <f>IF(F125+SUM(E$99:E125)=D$92,F125,D$92-SUM(E$99:E125))</f>
        <v>16088860.391702641</v>
      </c>
      <c r="E126" s="522">
        <f t="shared" si="24"/>
        <v>693032.42857142852</v>
      </c>
      <c r="F126" s="523">
        <f t="shared" si="25"/>
        <v>15395827.963131212</v>
      </c>
      <c r="G126" s="523">
        <f t="shared" si="26"/>
        <v>15742344.177416926</v>
      </c>
      <c r="H126" s="526">
        <f t="shared" si="27"/>
        <v>2386496.7242818377</v>
      </c>
      <c r="I126" s="577">
        <f t="shared" si="28"/>
        <v>2386496.7242818377</v>
      </c>
      <c r="J126" s="514">
        <f t="shared" si="23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</row>
    <row r="127" spans="2:16" ht="12.5">
      <c r="B127" s="195" t="str">
        <f t="shared" si="19"/>
        <v/>
      </c>
      <c r="C127" s="507">
        <f>IF(D93="","-",+C126+1)</f>
        <v>2035</v>
      </c>
      <c r="D127" s="374">
        <f>IF(F126+SUM(E$99:E126)=D$92,F126,D$92-SUM(E$99:E126))</f>
        <v>15395827.963131212</v>
      </c>
      <c r="E127" s="522">
        <f t="shared" si="24"/>
        <v>693032.42857142852</v>
      </c>
      <c r="F127" s="523">
        <f t="shared" si="25"/>
        <v>14702795.534559783</v>
      </c>
      <c r="G127" s="523">
        <f t="shared" si="26"/>
        <v>15049311.748845497</v>
      </c>
      <c r="H127" s="526">
        <f t="shared" si="27"/>
        <v>2311944.5698931157</v>
      </c>
      <c r="I127" s="577">
        <f t="shared" si="28"/>
        <v>2311944.5698931157</v>
      </c>
      <c r="J127" s="514">
        <f t="shared" si="23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</row>
    <row r="128" spans="2:16" ht="12.5">
      <c r="B128" s="195" t="str">
        <f t="shared" si="19"/>
        <v/>
      </c>
      <c r="C128" s="507">
        <f>IF(D93="","-",+C127+1)</f>
        <v>2036</v>
      </c>
      <c r="D128" s="374">
        <f>IF(F127+SUM(E$99:E127)=D$92,F127,D$92-SUM(E$99:E127))</f>
        <v>14702795.534559783</v>
      </c>
      <c r="E128" s="522">
        <f t="shared" si="24"/>
        <v>693032.42857142852</v>
      </c>
      <c r="F128" s="523">
        <f t="shared" si="25"/>
        <v>14009763.105988353</v>
      </c>
      <c r="G128" s="523">
        <f t="shared" si="26"/>
        <v>14356279.320274068</v>
      </c>
      <c r="H128" s="526">
        <f t="shared" si="27"/>
        <v>2237392.4155043932</v>
      </c>
      <c r="I128" s="577">
        <f t="shared" si="28"/>
        <v>2237392.4155043932</v>
      </c>
      <c r="J128" s="514">
        <f t="shared" si="23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</row>
    <row r="129" spans="2:16" ht="12.5">
      <c r="B129" s="195" t="str">
        <f t="shared" si="19"/>
        <v/>
      </c>
      <c r="C129" s="507">
        <f>IF(D93="","-",+C128+1)</f>
        <v>2037</v>
      </c>
      <c r="D129" s="374">
        <f>IF(F128+SUM(E$99:E128)=D$92,F128,D$92-SUM(E$99:E128))</f>
        <v>14009763.105988353</v>
      </c>
      <c r="E129" s="522">
        <f t="shared" si="24"/>
        <v>693032.42857142852</v>
      </c>
      <c r="F129" s="523">
        <f t="shared" si="25"/>
        <v>13316730.677416924</v>
      </c>
      <c r="G129" s="523">
        <f t="shared" si="26"/>
        <v>13663246.891702639</v>
      </c>
      <c r="H129" s="526">
        <f t="shared" si="27"/>
        <v>2162840.2611156711</v>
      </c>
      <c r="I129" s="577">
        <f t="shared" si="28"/>
        <v>2162840.2611156711</v>
      </c>
      <c r="J129" s="514">
        <f t="shared" si="23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</row>
    <row r="130" spans="2:16" ht="12.5">
      <c r="B130" s="195" t="str">
        <f t="shared" si="19"/>
        <v/>
      </c>
      <c r="C130" s="507">
        <f>IF(D93="","-",+C129+1)</f>
        <v>2038</v>
      </c>
      <c r="D130" s="374">
        <f>IF(F129+SUM(E$99:E129)=D$92,F129,D$92-SUM(E$99:E129))</f>
        <v>13316730.677416924</v>
      </c>
      <c r="E130" s="522">
        <f t="shared" si="24"/>
        <v>693032.42857142852</v>
      </c>
      <c r="F130" s="523">
        <f t="shared" si="25"/>
        <v>12623698.248845495</v>
      </c>
      <c r="G130" s="523">
        <f t="shared" si="26"/>
        <v>12970214.46313121</v>
      </c>
      <c r="H130" s="526">
        <f t="shared" si="27"/>
        <v>2088288.1067269486</v>
      </c>
      <c r="I130" s="577">
        <f t="shared" si="28"/>
        <v>2088288.1067269486</v>
      </c>
      <c r="J130" s="514">
        <f t="shared" si="23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</row>
    <row r="131" spans="2:16" ht="12.5">
      <c r="B131" s="195" t="str">
        <f t="shared" si="19"/>
        <v/>
      </c>
      <c r="C131" s="507">
        <f>IF(D93="","-",+C130+1)</f>
        <v>2039</v>
      </c>
      <c r="D131" s="374">
        <f>IF(F130+SUM(E$99:E130)=D$92,F130,D$92-SUM(E$99:E130))</f>
        <v>12623698.248845495</v>
      </c>
      <c r="E131" s="522">
        <f t="shared" si="24"/>
        <v>693032.42857142852</v>
      </c>
      <c r="F131" s="523">
        <f t="shared" si="25"/>
        <v>11930665.820274066</v>
      </c>
      <c r="G131" s="523">
        <f t="shared" si="26"/>
        <v>12277182.034559781</v>
      </c>
      <c r="H131" s="526">
        <f t="shared" si="27"/>
        <v>2013735.9523382266</v>
      </c>
      <c r="I131" s="577">
        <f t="shared" si="28"/>
        <v>2013735.9523382266</v>
      </c>
      <c r="J131" s="514">
        <f t="shared" si="23"/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 ht="12.5">
      <c r="B132" s="195" t="str">
        <f t="shared" si="19"/>
        <v/>
      </c>
      <c r="C132" s="507">
        <f>IF(D93="","-",+C131+1)</f>
        <v>2040</v>
      </c>
      <c r="D132" s="374">
        <f>IF(F131+SUM(E$99:E131)=D$92,F131,D$92-SUM(E$99:E131))</f>
        <v>11930665.820274066</v>
      </c>
      <c r="E132" s="522">
        <f t="shared" si="24"/>
        <v>693032.42857142852</v>
      </c>
      <c r="F132" s="523">
        <f t="shared" si="25"/>
        <v>11237633.391702637</v>
      </c>
      <c r="G132" s="523">
        <f t="shared" si="26"/>
        <v>11584149.605988352</v>
      </c>
      <c r="H132" s="526">
        <f t="shared" si="27"/>
        <v>1939183.7979495041</v>
      </c>
      <c r="I132" s="577">
        <f t="shared" si="28"/>
        <v>1939183.7979495041</v>
      </c>
      <c r="J132" s="514">
        <f t="shared" si="23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 ht="12.5">
      <c r="B133" s="195" t="str">
        <f t="shared" si="19"/>
        <v/>
      </c>
      <c r="C133" s="507">
        <f>IF(D93="","-",+C132+1)</f>
        <v>2041</v>
      </c>
      <c r="D133" s="374">
        <f>IF(F132+SUM(E$99:E132)=D$92,F132,D$92-SUM(E$99:E132))</f>
        <v>11237633.391702637</v>
      </c>
      <c r="E133" s="522">
        <f t="shared" si="24"/>
        <v>693032.42857142852</v>
      </c>
      <c r="F133" s="523">
        <f t="shared" si="25"/>
        <v>10544600.963131208</v>
      </c>
      <c r="G133" s="523">
        <f t="shared" si="26"/>
        <v>10891117.177416923</v>
      </c>
      <c r="H133" s="526">
        <f t="shared" si="27"/>
        <v>1864631.6435607821</v>
      </c>
      <c r="I133" s="577">
        <f t="shared" si="28"/>
        <v>1864631.6435607821</v>
      </c>
      <c r="J133" s="514">
        <f t="shared" si="23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 ht="12.5">
      <c r="B134" s="195" t="str">
        <f t="shared" si="19"/>
        <v/>
      </c>
      <c r="C134" s="507">
        <f>IF(D93="","-",+C133+1)</f>
        <v>2042</v>
      </c>
      <c r="D134" s="374">
        <f>IF(F133+SUM(E$99:E133)=D$92,F133,D$92-SUM(E$99:E133))</f>
        <v>10544600.963131208</v>
      </c>
      <c r="E134" s="522">
        <f t="shared" si="24"/>
        <v>693032.42857142852</v>
      </c>
      <c r="F134" s="523">
        <f t="shared" si="25"/>
        <v>9851568.5345597789</v>
      </c>
      <c r="G134" s="523">
        <f t="shared" si="26"/>
        <v>10198084.748845493</v>
      </c>
      <c r="H134" s="526">
        <f t="shared" si="27"/>
        <v>1790079.4891720596</v>
      </c>
      <c r="I134" s="577">
        <f t="shared" si="28"/>
        <v>1790079.4891720596</v>
      </c>
      <c r="J134" s="514">
        <f t="shared" si="23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 ht="12.5">
      <c r="B135" s="195" t="str">
        <f t="shared" si="19"/>
        <v/>
      </c>
      <c r="C135" s="507">
        <f>IF(D93="","-",+C134+1)</f>
        <v>2043</v>
      </c>
      <c r="D135" s="374">
        <f>IF(F134+SUM(E$99:E134)=D$92,F134,D$92-SUM(E$99:E134))</f>
        <v>9851568.5345597789</v>
      </c>
      <c r="E135" s="522">
        <f t="shared" si="24"/>
        <v>693032.42857142852</v>
      </c>
      <c r="F135" s="523">
        <f t="shared" si="25"/>
        <v>9158536.1059883498</v>
      </c>
      <c r="G135" s="523">
        <f t="shared" si="26"/>
        <v>9505052.3202740643</v>
      </c>
      <c r="H135" s="526">
        <f t="shared" si="27"/>
        <v>1715527.3347833375</v>
      </c>
      <c r="I135" s="577">
        <f t="shared" si="28"/>
        <v>1715527.3347833375</v>
      </c>
      <c r="J135" s="514">
        <f t="shared" si="23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 ht="12.5">
      <c r="B136" s="195" t="str">
        <f t="shared" si="19"/>
        <v/>
      </c>
      <c r="C136" s="507">
        <f>IF(D93="","-",+C135+1)</f>
        <v>2044</v>
      </c>
      <c r="D136" s="374">
        <f>IF(F135+SUM(E$99:E135)=D$92,F135,D$92-SUM(E$99:E135))</f>
        <v>9158536.1059883498</v>
      </c>
      <c r="E136" s="522">
        <f t="shared" si="24"/>
        <v>693032.42857142852</v>
      </c>
      <c r="F136" s="523">
        <f t="shared" si="25"/>
        <v>8465503.6774169207</v>
      </c>
      <c r="G136" s="523">
        <f t="shared" si="26"/>
        <v>8812019.8917026352</v>
      </c>
      <c r="H136" s="526">
        <f t="shared" si="27"/>
        <v>1640975.180394615</v>
      </c>
      <c r="I136" s="577">
        <f t="shared" si="28"/>
        <v>1640975.180394615</v>
      </c>
      <c r="J136" s="514">
        <f t="shared" si="23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 ht="12.5">
      <c r="B137" s="195" t="str">
        <f t="shared" si="19"/>
        <v/>
      </c>
      <c r="C137" s="507">
        <f>IF(D93="","-",+C136+1)</f>
        <v>2045</v>
      </c>
      <c r="D137" s="374">
        <f>IF(F136+SUM(E$99:E136)=D$92,F136,D$92-SUM(E$99:E136))</f>
        <v>8465503.6774169207</v>
      </c>
      <c r="E137" s="522">
        <f t="shared" si="24"/>
        <v>693032.42857142852</v>
      </c>
      <c r="F137" s="523">
        <f t="shared" si="25"/>
        <v>7772471.2488454925</v>
      </c>
      <c r="G137" s="523">
        <f t="shared" si="26"/>
        <v>8118987.4631312061</v>
      </c>
      <c r="H137" s="526">
        <f t="shared" si="27"/>
        <v>1566423.026005893</v>
      </c>
      <c r="I137" s="577">
        <f t="shared" si="28"/>
        <v>1566423.026005893</v>
      </c>
      <c r="J137" s="514">
        <f t="shared" si="23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 ht="12.5">
      <c r="B138" s="195" t="str">
        <f t="shared" si="19"/>
        <v/>
      </c>
      <c r="C138" s="507">
        <f>IF(D93="","-",+C137+1)</f>
        <v>2046</v>
      </c>
      <c r="D138" s="374">
        <f>IF(F137+SUM(E$99:E137)=D$92,F137,D$92-SUM(E$99:E137))</f>
        <v>7772471.2488454925</v>
      </c>
      <c r="E138" s="522">
        <f t="shared" si="24"/>
        <v>693032.42857142852</v>
      </c>
      <c r="F138" s="523">
        <f t="shared" si="25"/>
        <v>7079438.8202740643</v>
      </c>
      <c r="G138" s="523">
        <f t="shared" si="26"/>
        <v>7425955.0345597789</v>
      </c>
      <c r="H138" s="526">
        <f t="shared" si="27"/>
        <v>1491870.871617171</v>
      </c>
      <c r="I138" s="577">
        <f t="shared" si="28"/>
        <v>1491870.871617171</v>
      </c>
      <c r="J138" s="514">
        <f t="shared" si="23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 ht="12.5">
      <c r="B139" s="195" t="str">
        <f t="shared" si="19"/>
        <v/>
      </c>
      <c r="C139" s="507">
        <f>IF(D93="","-",+C138+1)</f>
        <v>2047</v>
      </c>
      <c r="D139" s="374">
        <f>IF(F138+SUM(E$99:E138)=D$92,F138,D$92-SUM(E$99:E138))</f>
        <v>7079438.8202740643</v>
      </c>
      <c r="E139" s="522">
        <f t="shared" si="24"/>
        <v>693032.42857142852</v>
      </c>
      <c r="F139" s="523">
        <f t="shared" si="25"/>
        <v>6386406.3917026361</v>
      </c>
      <c r="G139" s="523">
        <f t="shared" si="26"/>
        <v>6732922.6059883498</v>
      </c>
      <c r="H139" s="526">
        <f t="shared" si="27"/>
        <v>1417318.7172284485</v>
      </c>
      <c r="I139" s="577">
        <f t="shared" si="28"/>
        <v>1417318.7172284485</v>
      </c>
      <c r="J139" s="514">
        <f t="shared" si="23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 ht="12.5">
      <c r="B140" s="195" t="str">
        <f t="shared" si="19"/>
        <v/>
      </c>
      <c r="C140" s="507">
        <f>IF(D93="","-",+C139+1)</f>
        <v>2048</v>
      </c>
      <c r="D140" s="374">
        <f>IF(F139+SUM(E$99:E139)=D$92,F139,D$92-SUM(E$99:E139))</f>
        <v>6386406.3917026361</v>
      </c>
      <c r="E140" s="522">
        <f t="shared" si="24"/>
        <v>693032.42857142852</v>
      </c>
      <c r="F140" s="523">
        <f t="shared" si="25"/>
        <v>5693373.963131208</v>
      </c>
      <c r="G140" s="523">
        <f t="shared" si="26"/>
        <v>6039890.1774169225</v>
      </c>
      <c r="H140" s="526">
        <f t="shared" si="27"/>
        <v>1342766.5628397265</v>
      </c>
      <c r="I140" s="577">
        <f t="shared" si="28"/>
        <v>1342766.5628397265</v>
      </c>
      <c r="J140" s="514">
        <f t="shared" si="23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 ht="12.5">
      <c r="B141" s="195" t="str">
        <f t="shared" si="19"/>
        <v/>
      </c>
      <c r="C141" s="507">
        <f>IF(D93="","-",+C140+1)</f>
        <v>2049</v>
      </c>
      <c r="D141" s="374">
        <f>IF(F140+SUM(E$99:E140)=D$92,F140,D$92-SUM(E$99:E140))</f>
        <v>5693373.963131208</v>
      </c>
      <c r="E141" s="522">
        <f t="shared" si="24"/>
        <v>693032.42857142852</v>
      </c>
      <c r="F141" s="523">
        <f t="shared" si="25"/>
        <v>5000341.5345597798</v>
      </c>
      <c r="G141" s="523">
        <f t="shared" si="26"/>
        <v>5346857.7488454934</v>
      </c>
      <c r="H141" s="526">
        <f t="shared" si="27"/>
        <v>1268214.4084510042</v>
      </c>
      <c r="I141" s="577">
        <f t="shared" si="28"/>
        <v>1268214.4084510042</v>
      </c>
      <c r="J141" s="514">
        <f t="shared" si="23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 ht="12.5">
      <c r="B142" s="195" t="str">
        <f t="shared" si="19"/>
        <v/>
      </c>
      <c r="C142" s="507">
        <f>IF(D93="","-",+C141+1)</f>
        <v>2050</v>
      </c>
      <c r="D142" s="374">
        <f>IF(F141+SUM(E$99:E141)=D$92,F141,D$92-SUM(E$99:E141))</f>
        <v>5000341.5345597798</v>
      </c>
      <c r="E142" s="522">
        <f t="shared" si="24"/>
        <v>693032.42857142852</v>
      </c>
      <c r="F142" s="523">
        <f t="shared" si="25"/>
        <v>4307309.1059883516</v>
      </c>
      <c r="G142" s="523">
        <f t="shared" si="26"/>
        <v>4653825.3202740662</v>
      </c>
      <c r="H142" s="526">
        <f t="shared" si="27"/>
        <v>1193662.2540622822</v>
      </c>
      <c r="I142" s="577">
        <f t="shared" si="28"/>
        <v>1193662.2540622822</v>
      </c>
      <c r="J142" s="514">
        <f t="shared" si="23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 ht="12.5">
      <c r="B143" s="195" t="str">
        <f t="shared" si="19"/>
        <v/>
      </c>
      <c r="C143" s="507">
        <f>IF(D93="","-",+C142+1)</f>
        <v>2051</v>
      </c>
      <c r="D143" s="374">
        <f>IF(F142+SUM(E$99:E142)=D$92,F142,D$92-SUM(E$99:E142))</f>
        <v>4307309.1059883516</v>
      </c>
      <c r="E143" s="522">
        <f t="shared" si="24"/>
        <v>693032.42857142852</v>
      </c>
      <c r="F143" s="523">
        <f t="shared" si="25"/>
        <v>3614276.677416923</v>
      </c>
      <c r="G143" s="523">
        <f t="shared" si="26"/>
        <v>3960792.8917026371</v>
      </c>
      <c r="H143" s="526">
        <f t="shared" si="27"/>
        <v>1119110.0996735599</v>
      </c>
      <c r="I143" s="577">
        <f t="shared" si="28"/>
        <v>1119110.0996735599</v>
      </c>
      <c r="J143" s="514">
        <f t="shared" si="23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 ht="12.5">
      <c r="B144" s="195" t="str">
        <f t="shared" si="19"/>
        <v/>
      </c>
      <c r="C144" s="507">
        <f>IF(D93="","-",+C143+1)</f>
        <v>2052</v>
      </c>
      <c r="D144" s="374">
        <f>IF(F143+SUM(E$99:E143)=D$92,F143,D$92-SUM(E$99:E143))</f>
        <v>3614276.677416923</v>
      </c>
      <c r="E144" s="522">
        <f t="shared" si="24"/>
        <v>693032.42857142852</v>
      </c>
      <c r="F144" s="523">
        <f t="shared" si="25"/>
        <v>2921244.2488454944</v>
      </c>
      <c r="G144" s="523">
        <f t="shared" si="26"/>
        <v>3267760.4631312089</v>
      </c>
      <c r="H144" s="526">
        <f t="shared" si="27"/>
        <v>1044557.9452848377</v>
      </c>
      <c r="I144" s="577">
        <f t="shared" si="28"/>
        <v>1044557.9452848377</v>
      </c>
      <c r="J144" s="514">
        <f t="shared" si="23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 ht="12.5">
      <c r="B145" s="195" t="str">
        <f t="shared" si="19"/>
        <v/>
      </c>
      <c r="C145" s="507">
        <f>IF(D93="","-",+C144+1)</f>
        <v>2053</v>
      </c>
      <c r="D145" s="374">
        <f>IF(F144+SUM(E$99:E144)=D$92,F144,D$92-SUM(E$99:E144))</f>
        <v>2921244.2488454944</v>
      </c>
      <c r="E145" s="522">
        <f t="shared" si="24"/>
        <v>693032.42857142852</v>
      </c>
      <c r="F145" s="523">
        <f t="shared" si="25"/>
        <v>2228211.8202740657</v>
      </c>
      <c r="G145" s="523">
        <f t="shared" si="26"/>
        <v>2574728.0345597798</v>
      </c>
      <c r="H145" s="526">
        <f t="shared" si="27"/>
        <v>970005.79089611548</v>
      </c>
      <c r="I145" s="577">
        <f t="shared" si="28"/>
        <v>970005.79089611548</v>
      </c>
      <c r="J145" s="514">
        <f t="shared" si="23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 ht="12.5">
      <c r="B146" s="195" t="str">
        <f t="shared" si="19"/>
        <v/>
      </c>
      <c r="C146" s="507">
        <f>IF(D93="","-",+C145+1)</f>
        <v>2054</v>
      </c>
      <c r="D146" s="374">
        <f>IF(F145+SUM(E$99:E145)=D$92,F145,D$92-SUM(E$99:E145))</f>
        <v>2228211.8202740657</v>
      </c>
      <c r="E146" s="522">
        <f t="shared" si="24"/>
        <v>693032.42857142852</v>
      </c>
      <c r="F146" s="523">
        <f t="shared" si="25"/>
        <v>1535179.3917026371</v>
      </c>
      <c r="G146" s="523">
        <f t="shared" si="26"/>
        <v>1881695.6059883514</v>
      </c>
      <c r="H146" s="526">
        <f t="shared" si="27"/>
        <v>895453.63650739333</v>
      </c>
      <c r="I146" s="577">
        <f t="shared" si="28"/>
        <v>895453.63650739333</v>
      </c>
      <c r="J146" s="514">
        <f t="shared" si="23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 ht="12.5">
      <c r="B147" s="195" t="str">
        <f t="shared" si="19"/>
        <v/>
      </c>
      <c r="C147" s="507">
        <f>IF(D93="","-",+C146+1)</f>
        <v>2055</v>
      </c>
      <c r="D147" s="374">
        <f>IF(F146+SUM(E$99:E146)=D$92,F146,D$92-SUM(E$99:E146))</f>
        <v>1535179.3917026371</v>
      </c>
      <c r="E147" s="522">
        <f t="shared" si="24"/>
        <v>693032.42857142852</v>
      </c>
      <c r="F147" s="523">
        <f t="shared" si="25"/>
        <v>842146.96313120855</v>
      </c>
      <c r="G147" s="523">
        <f t="shared" si="26"/>
        <v>1188663.1774169228</v>
      </c>
      <c r="H147" s="526">
        <f t="shared" si="27"/>
        <v>820901.48211867106</v>
      </c>
      <c r="I147" s="577">
        <f t="shared" si="28"/>
        <v>820901.48211867106</v>
      </c>
      <c r="J147" s="514">
        <f t="shared" si="23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 ht="12.5">
      <c r="B148" s="195" t="str">
        <f t="shared" si="19"/>
        <v/>
      </c>
      <c r="C148" s="507">
        <f>IF(D93="","-",+C147+1)</f>
        <v>2056</v>
      </c>
      <c r="D148" s="374">
        <f>IF(F147+SUM(E$99:E147)=D$92,F147,D$92-SUM(E$99:E147))</f>
        <v>842146.96313120855</v>
      </c>
      <c r="E148" s="522">
        <f t="shared" si="24"/>
        <v>693032.42857142852</v>
      </c>
      <c r="F148" s="523">
        <f t="shared" si="25"/>
        <v>149114.53455978003</v>
      </c>
      <c r="G148" s="523">
        <f t="shared" si="26"/>
        <v>495630.74884549429</v>
      </c>
      <c r="H148" s="526">
        <f t="shared" si="27"/>
        <v>746349.3277299488</v>
      </c>
      <c r="I148" s="577">
        <f t="shared" si="28"/>
        <v>746349.3277299488</v>
      </c>
      <c r="J148" s="514">
        <f t="shared" si="23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 ht="12.5">
      <c r="B149" s="195" t="str">
        <f t="shared" si="19"/>
        <v/>
      </c>
      <c r="C149" s="507">
        <f>IF(D93="","-",+C148+1)</f>
        <v>2057</v>
      </c>
      <c r="D149" s="374">
        <f>IF(F148+SUM(E$99:E148)=D$92,F148,D$92-SUM(E$99:E148))</f>
        <v>149114.53455978003</v>
      </c>
      <c r="E149" s="522">
        <f t="shared" si="24"/>
        <v>149114.53455978003</v>
      </c>
      <c r="F149" s="523">
        <f t="shared" si="25"/>
        <v>0</v>
      </c>
      <c r="G149" s="523">
        <f t="shared" si="26"/>
        <v>74557.267279890017</v>
      </c>
      <c r="H149" s="526">
        <f t="shared" si="27"/>
        <v>157134.94554185963</v>
      </c>
      <c r="I149" s="577">
        <f t="shared" si="28"/>
        <v>157134.94554185963</v>
      </c>
      <c r="J149" s="514">
        <f t="shared" si="23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 ht="12.5">
      <c r="B150" s="195" t="str">
        <f t="shared" si="19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 t="shared" si="24"/>
        <v>0</v>
      </c>
      <c r="F150" s="523">
        <f t="shared" si="25"/>
        <v>0</v>
      </c>
      <c r="G150" s="523">
        <f t="shared" si="26"/>
        <v>0</v>
      </c>
      <c r="H150" s="526">
        <f t="shared" si="27"/>
        <v>0</v>
      </c>
      <c r="I150" s="577">
        <f t="shared" si="28"/>
        <v>0</v>
      </c>
      <c r="J150" s="514">
        <f t="shared" si="23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 ht="12.5">
      <c r="B151" s="195" t="str">
        <f t="shared" si="19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 t="shared" si="24"/>
        <v>0</v>
      </c>
      <c r="F151" s="523">
        <f t="shared" si="25"/>
        <v>0</v>
      </c>
      <c r="G151" s="523">
        <f t="shared" si="26"/>
        <v>0</v>
      </c>
      <c r="H151" s="526">
        <f t="shared" si="27"/>
        <v>0</v>
      </c>
      <c r="I151" s="577">
        <f t="shared" si="28"/>
        <v>0</v>
      </c>
      <c r="J151" s="514">
        <f t="shared" si="23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 ht="12.5">
      <c r="B152" s="195" t="str">
        <f t="shared" si="19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 t="shared" si="24"/>
        <v>0</v>
      </c>
      <c r="F152" s="523">
        <f t="shared" si="25"/>
        <v>0</v>
      </c>
      <c r="G152" s="523">
        <f t="shared" si="26"/>
        <v>0</v>
      </c>
      <c r="H152" s="526">
        <f t="shared" si="27"/>
        <v>0</v>
      </c>
      <c r="I152" s="577">
        <f t="shared" si="28"/>
        <v>0</v>
      </c>
      <c r="J152" s="514">
        <f t="shared" si="23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 ht="12.5">
      <c r="B153" s="195" t="str">
        <f t="shared" si="19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 t="shared" si="24"/>
        <v>0</v>
      </c>
      <c r="F153" s="523">
        <f t="shared" si="25"/>
        <v>0</v>
      </c>
      <c r="G153" s="523">
        <f t="shared" si="26"/>
        <v>0</v>
      </c>
      <c r="H153" s="526">
        <f t="shared" si="27"/>
        <v>0</v>
      </c>
      <c r="I153" s="577">
        <f t="shared" si="28"/>
        <v>0</v>
      </c>
      <c r="J153" s="514">
        <f t="shared" si="23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" thickBot="1">
      <c r="B154" s="195" t="str">
        <f t="shared" si="19"/>
        <v/>
      </c>
      <c r="C154" s="527">
        <f>IF(D93="","-",+C153+1)</f>
        <v>2062</v>
      </c>
      <c r="D154" s="374">
        <f>IF(F153+SUM(E$99:E153)=D$92,F153,D$92-SUM(E$99:E153))</f>
        <v>0</v>
      </c>
      <c r="E154" s="522">
        <f t="shared" si="24"/>
        <v>0</v>
      </c>
      <c r="F154" s="523">
        <f t="shared" si="25"/>
        <v>0</v>
      </c>
      <c r="G154" s="523">
        <f t="shared" si="26"/>
        <v>0</v>
      </c>
      <c r="H154" s="526">
        <f t="shared" si="27"/>
        <v>0</v>
      </c>
      <c r="I154" s="577">
        <f t="shared" si="28"/>
        <v>0</v>
      </c>
      <c r="J154" s="514">
        <f t="shared" si="23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 ht="12.5">
      <c r="C155" s="374" t="s">
        <v>78</v>
      </c>
      <c r="D155" s="375"/>
      <c r="E155" s="375">
        <f>SUM(E99:E154)</f>
        <v>29107362</v>
      </c>
      <c r="F155" s="375"/>
      <c r="G155" s="375"/>
      <c r="H155" s="375">
        <f>SUM(H99:H154)</f>
        <v>96439661.495249927</v>
      </c>
      <c r="I155" s="375">
        <f>SUM(I99:I154)</f>
        <v>96439661.495249927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2" priority="1" stopIfTrue="1" operator="equal">
      <formula>$I$10</formula>
    </cfRule>
  </conditionalFormatting>
  <conditionalFormatting sqref="C99:C154">
    <cfRule type="cellIs" dxfId="7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theme="9" tint="-0.249977111117893"/>
  </sheetPr>
  <dimension ref="A1:P162"/>
  <sheetViews>
    <sheetView view="pageBreakPreview" topLeftCell="A79" zoomScale="82" zoomScaleNormal="100" zoomScaleSheetLayoutView="82" workbookViewId="0">
      <selection activeCell="F107" sqref="F10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45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250823.33283113065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250823.33283113065</v>
      </c>
      <c r="O6" s="269"/>
      <c r="P6" s="269"/>
    </row>
    <row r="7" spans="1:16" ht="13.5" thickBot="1">
      <c r="C7" s="467" t="s">
        <v>48</v>
      </c>
      <c r="D7" s="624" t="s">
        <v>334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333</v>
      </c>
      <c r="E9" s="637"/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2658452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63296.476190476191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629">
        <v>2658452</v>
      </c>
      <c r="E17" s="638">
        <v>47472.357142857138</v>
      </c>
      <c r="F17" s="629">
        <v>2610979.6428571427</v>
      </c>
      <c r="G17" s="638">
        <v>399720.94779110374</v>
      </c>
      <c r="H17" s="639">
        <v>399720.94779110374</v>
      </c>
      <c r="I17" s="511">
        <v>0</v>
      </c>
      <c r="J17" s="511"/>
      <c r="K17" s="512">
        <f>G17</f>
        <v>399720.94779110374</v>
      </c>
      <c r="L17" s="597">
        <f>IF(K17&lt;&gt;0,+G17-K17,0)</f>
        <v>0</v>
      </c>
      <c r="M17" s="512">
        <f>H17</f>
        <v>399720.94779110374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631">
        <v>2610979.6428571427</v>
      </c>
      <c r="E18" s="630">
        <v>63296.476190476191</v>
      </c>
      <c r="F18" s="631">
        <v>2547683.1666666665</v>
      </c>
      <c r="G18" s="630">
        <v>407005.70706543193</v>
      </c>
      <c r="H18" s="639">
        <v>407005.70706543193</v>
      </c>
      <c r="I18" s="511">
        <v>0</v>
      </c>
      <c r="J18" s="511"/>
      <c r="K18" s="518">
        <f>G18</f>
        <v>407005.70706543193</v>
      </c>
      <c r="L18" s="519">
        <f>IF(K18&lt;&gt;0,+G18-K18,0)</f>
        <v>0</v>
      </c>
      <c r="M18" s="518">
        <f>H18</f>
        <v>407005.70706543193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2009</v>
      </c>
      <c r="D19" s="631">
        <v>2547683.1666666665</v>
      </c>
      <c r="E19" s="630">
        <v>63296.476190476191</v>
      </c>
      <c r="F19" s="631">
        <v>2484386.6904761903</v>
      </c>
      <c r="G19" s="630">
        <v>398466.34729214112</v>
      </c>
      <c r="H19" s="639">
        <v>398466.34729214112</v>
      </c>
      <c r="I19" s="511">
        <v>0</v>
      </c>
      <c r="J19" s="511"/>
      <c r="K19" s="518">
        <f t="shared" ref="K19:K24" si="0">G19</f>
        <v>398466.34729214112</v>
      </c>
      <c r="L19" s="519">
        <f t="shared" ref="L19:L24" si="1">IF(K19&lt;&gt;0,+G19-K19,0)</f>
        <v>0</v>
      </c>
      <c r="M19" s="518">
        <f t="shared" ref="M19:M24" si="2">H19</f>
        <v>398466.34729214112</v>
      </c>
      <c r="N19" s="514">
        <f t="shared" ref="N19:N24" si="3">IF(M19&lt;&gt;0,+H19-M19,0)</f>
        <v>0</v>
      </c>
      <c r="O19" s="514">
        <f t="shared" ref="O19:O24" si="4">+N19-L19</f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2010</v>
      </c>
      <c r="D20" s="631">
        <v>2484386.6904761903</v>
      </c>
      <c r="E20" s="630">
        <v>63296.476190476191</v>
      </c>
      <c r="F20" s="631">
        <v>2421090.2142857141</v>
      </c>
      <c r="G20" s="630">
        <v>389926.98751885031</v>
      </c>
      <c r="H20" s="639">
        <v>389926.98751885031</v>
      </c>
      <c r="I20" s="511">
        <v>0</v>
      </c>
      <c r="J20" s="511"/>
      <c r="K20" s="518">
        <f t="shared" si="0"/>
        <v>389926.98751885031</v>
      </c>
      <c r="L20" s="519">
        <f t="shared" si="1"/>
        <v>0</v>
      </c>
      <c r="M20" s="518">
        <f t="shared" si="2"/>
        <v>389926.98751885031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2011</v>
      </c>
      <c r="D21" s="631">
        <v>2421090.2142857141</v>
      </c>
      <c r="E21" s="630">
        <v>63296.476190476191</v>
      </c>
      <c r="F21" s="631">
        <v>2357793.7380952379</v>
      </c>
      <c r="G21" s="630">
        <v>381387.62774555944</v>
      </c>
      <c r="H21" s="639">
        <v>381387.62774555944</v>
      </c>
      <c r="I21" s="511">
        <v>0</v>
      </c>
      <c r="J21" s="511"/>
      <c r="K21" s="518">
        <f t="shared" si="0"/>
        <v>381387.62774555944</v>
      </c>
      <c r="L21" s="519">
        <f t="shared" si="1"/>
        <v>0</v>
      </c>
      <c r="M21" s="518">
        <f t="shared" si="2"/>
        <v>381387.62774555944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2012</v>
      </c>
      <c r="D22" s="631">
        <v>2357793.7380952379</v>
      </c>
      <c r="E22" s="630">
        <v>63296.476190476191</v>
      </c>
      <c r="F22" s="631">
        <v>2294497.2619047617</v>
      </c>
      <c r="G22" s="630">
        <v>372848.26797226863</v>
      </c>
      <c r="H22" s="639">
        <v>372848.26797226863</v>
      </c>
      <c r="I22" s="511">
        <v>0</v>
      </c>
      <c r="J22" s="511"/>
      <c r="K22" s="518">
        <f t="shared" si="0"/>
        <v>372848.26797226863</v>
      </c>
      <c r="L22" s="519">
        <f t="shared" si="1"/>
        <v>0</v>
      </c>
      <c r="M22" s="518">
        <f t="shared" si="2"/>
        <v>372848.26797226863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2013</v>
      </c>
      <c r="D23" s="631">
        <v>2294497.2619047617</v>
      </c>
      <c r="E23" s="630">
        <v>63296.476190476191</v>
      </c>
      <c r="F23" s="631">
        <v>2231200.7857142854</v>
      </c>
      <c r="G23" s="630">
        <v>364308.90819897782</v>
      </c>
      <c r="H23" s="639">
        <v>364308.90819897782</v>
      </c>
      <c r="I23" s="511">
        <v>0</v>
      </c>
      <c r="J23" s="511"/>
      <c r="K23" s="518">
        <f t="shared" si="0"/>
        <v>364308.90819897782</v>
      </c>
      <c r="L23" s="519">
        <f t="shared" si="1"/>
        <v>0</v>
      </c>
      <c r="M23" s="518">
        <f t="shared" si="2"/>
        <v>364308.90819897782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5"/>
        <v/>
      </c>
      <c r="C24" s="507">
        <f>IF(D11="","-",+C23+1)</f>
        <v>2014</v>
      </c>
      <c r="D24" s="631">
        <v>2231200.7857142854</v>
      </c>
      <c r="E24" s="630">
        <v>63296.476190476191</v>
      </c>
      <c r="F24" s="631">
        <v>2167904.3095238092</v>
      </c>
      <c r="G24" s="630">
        <v>355769.54842568695</v>
      </c>
      <c r="H24" s="639">
        <v>355769.54842568695</v>
      </c>
      <c r="I24" s="511">
        <v>0</v>
      </c>
      <c r="J24" s="511"/>
      <c r="K24" s="518">
        <f t="shared" si="0"/>
        <v>355769.54842568695</v>
      </c>
      <c r="L24" s="519">
        <f t="shared" si="1"/>
        <v>0</v>
      </c>
      <c r="M24" s="518">
        <f t="shared" si="2"/>
        <v>355769.54842568695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2015</v>
      </c>
      <c r="D25" s="631">
        <v>2167904.3095238092</v>
      </c>
      <c r="E25" s="630">
        <v>63296.476190476191</v>
      </c>
      <c r="F25" s="631">
        <v>2104607.833333333</v>
      </c>
      <c r="G25" s="630">
        <v>340483.43201030308</v>
      </c>
      <c r="H25" s="639">
        <v>340483.43201030308</v>
      </c>
      <c r="I25" s="511">
        <v>0</v>
      </c>
      <c r="J25" s="511"/>
      <c r="K25" s="518">
        <f t="shared" ref="K25:K30" si="6">G25</f>
        <v>340483.43201030308</v>
      </c>
      <c r="L25" s="519">
        <f t="shared" ref="L25:L30" si="7">IF(K25&lt;&gt;0,+G25-K25,0)</f>
        <v>0</v>
      </c>
      <c r="M25" s="518">
        <f t="shared" ref="M25:M30" si="8">H25</f>
        <v>340483.43201030308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2016</v>
      </c>
      <c r="D26" s="631">
        <v>2104607.833333333</v>
      </c>
      <c r="E26" s="630">
        <v>63296.476190476191</v>
      </c>
      <c r="F26" s="631">
        <v>2041311.3571428568</v>
      </c>
      <c r="G26" s="630">
        <v>328830.20653345349</v>
      </c>
      <c r="H26" s="639">
        <v>328830.20653345349</v>
      </c>
      <c r="I26" s="511">
        <f>H26-G26</f>
        <v>0</v>
      </c>
      <c r="J26" s="511"/>
      <c r="K26" s="518">
        <f t="shared" si="6"/>
        <v>328830.20653345349</v>
      </c>
      <c r="L26" s="519">
        <f t="shared" si="7"/>
        <v>0</v>
      </c>
      <c r="M26" s="518">
        <f t="shared" si="8"/>
        <v>328830.20653345349</v>
      </c>
      <c r="N26" s="514">
        <f>IF(M26&lt;&gt;0,+H26-M26,0)</f>
        <v>0</v>
      </c>
      <c r="O26" s="514">
        <f>+N26-L26</f>
        <v>0</v>
      </c>
      <c r="P26" s="272"/>
    </row>
    <row r="27" spans="2:16" ht="12.5">
      <c r="B27" s="195" t="str">
        <f t="shared" si="5"/>
        <v/>
      </c>
      <c r="C27" s="507">
        <f>IF(D11="","-",+C26+1)</f>
        <v>2017</v>
      </c>
      <c r="D27" s="631">
        <v>2041311.3571428568</v>
      </c>
      <c r="E27" s="630">
        <v>61824.465116279069</v>
      </c>
      <c r="F27" s="631">
        <v>1979486.8920265778</v>
      </c>
      <c r="G27" s="630">
        <v>310897.9062413022</v>
      </c>
      <c r="H27" s="639">
        <v>310897.9062413022</v>
      </c>
      <c r="I27" s="511">
        <f t="shared" ref="I27:I72" si="9">H27-G27</f>
        <v>0</v>
      </c>
      <c r="J27" s="511"/>
      <c r="K27" s="518">
        <f t="shared" si="6"/>
        <v>310897.9062413022</v>
      </c>
      <c r="L27" s="519">
        <f t="shared" si="7"/>
        <v>0</v>
      </c>
      <c r="M27" s="518">
        <f t="shared" si="8"/>
        <v>310897.9062413022</v>
      </c>
      <c r="N27" s="514">
        <f>IF(M27&lt;&gt;0,+H27-M27,0)</f>
        <v>0</v>
      </c>
      <c r="O27" s="514">
        <f>+N27-L27</f>
        <v>0</v>
      </c>
      <c r="P27" s="272"/>
    </row>
    <row r="28" spans="2:16" ht="12.5">
      <c r="B28" s="195" t="str">
        <f t="shared" si="5"/>
        <v/>
      </c>
      <c r="C28" s="507">
        <f>IF(D11="","-",+C27+1)</f>
        <v>2018</v>
      </c>
      <c r="D28" s="631">
        <v>1979486.8920265778</v>
      </c>
      <c r="E28" s="630">
        <v>64840.292682926833</v>
      </c>
      <c r="F28" s="631">
        <v>1914646.599343651</v>
      </c>
      <c r="G28" s="630">
        <v>312300.98627895484</v>
      </c>
      <c r="H28" s="639">
        <v>312300.98627895484</v>
      </c>
      <c r="I28" s="511">
        <f t="shared" si="9"/>
        <v>0</v>
      </c>
      <c r="J28" s="511"/>
      <c r="K28" s="518">
        <f t="shared" si="6"/>
        <v>312300.98627895484</v>
      </c>
      <c r="L28" s="519">
        <f t="shared" si="7"/>
        <v>0</v>
      </c>
      <c r="M28" s="518">
        <f t="shared" si="8"/>
        <v>312300.98627895484</v>
      </c>
      <c r="N28" s="514">
        <f>IF(M28&lt;&gt;0,+H28-M28,0)</f>
        <v>0</v>
      </c>
      <c r="O28" s="514">
        <f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2019</v>
      </c>
      <c r="D29" s="631">
        <v>1914646.599343651</v>
      </c>
      <c r="E29" s="630">
        <v>64840.292682926833</v>
      </c>
      <c r="F29" s="631">
        <v>1849806.3066607241</v>
      </c>
      <c r="G29" s="630">
        <v>304060.16770617355</v>
      </c>
      <c r="H29" s="639">
        <v>304060.16770617355</v>
      </c>
      <c r="I29" s="511">
        <f t="shared" si="9"/>
        <v>0</v>
      </c>
      <c r="J29" s="511"/>
      <c r="K29" s="518">
        <f t="shared" si="6"/>
        <v>304060.16770617355</v>
      </c>
      <c r="L29" s="519">
        <f t="shared" si="7"/>
        <v>0</v>
      </c>
      <c r="M29" s="518">
        <f t="shared" si="8"/>
        <v>304060.16770617355</v>
      </c>
      <c r="N29" s="514">
        <f t="shared" ref="N29:N72" si="10">IF(M29&lt;&gt;0,+H29-M29,0)</f>
        <v>0</v>
      </c>
      <c r="O29" s="514">
        <f t="shared" ref="O29:O72" si="11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2020</v>
      </c>
      <c r="D30" s="631">
        <v>1849806.3066607241</v>
      </c>
      <c r="E30" s="630">
        <v>64840.292682926833</v>
      </c>
      <c r="F30" s="631">
        <v>1784966.0139777972</v>
      </c>
      <c r="G30" s="630">
        <v>250823.33283113065</v>
      </c>
      <c r="H30" s="639">
        <v>250823.33283113065</v>
      </c>
      <c r="I30" s="511">
        <f t="shared" si="9"/>
        <v>0</v>
      </c>
      <c r="J30" s="511"/>
      <c r="K30" s="518">
        <f t="shared" si="6"/>
        <v>250823.33283113065</v>
      </c>
      <c r="L30" s="519">
        <f t="shared" si="7"/>
        <v>0</v>
      </c>
      <c r="M30" s="518">
        <f t="shared" si="8"/>
        <v>250823.33283113065</v>
      </c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2021</v>
      </c>
      <c r="D31" s="523">
        <f>IF(F30+SUM(E$17:E30)=D$10,F30,D$10-SUM(E$17:E30))</f>
        <v>1784966.0139777972</v>
      </c>
      <c r="E31" s="522">
        <f>IF(+I14&lt;F30,I14,D31)</f>
        <v>63296.476190476191</v>
      </c>
      <c r="F31" s="523">
        <f t="shared" ref="F31:F72" si="12">+D31-E31</f>
        <v>1721669.537787321</v>
      </c>
      <c r="G31" s="524">
        <f t="shared" ref="G31:G72" si="13">+I$12*((D31+F31)/2)+E31</f>
        <v>250582.32836852016</v>
      </c>
      <c r="H31" s="491">
        <f t="shared" ref="H31:H72" si="14">+I$13*((D31+F31)/2)+E31</f>
        <v>250582.32836852016</v>
      </c>
      <c r="I31" s="511">
        <f t="shared" si="9"/>
        <v>0</v>
      </c>
      <c r="J31" s="511"/>
      <c r="K31" s="525"/>
      <c r="L31" s="514">
        <f t="shared" ref="L31:L72" si="15">IF(K31&lt;&gt;0,+G31-K31,0)</f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2022</v>
      </c>
      <c r="D32" s="523">
        <f>IF(F31+SUM(E$17:E31)=D$10,F31,D$10-SUM(E$17:E31))</f>
        <v>1721669.537787321</v>
      </c>
      <c r="E32" s="522">
        <f>IF(+I14&lt;F31,I14,D32)</f>
        <v>63296.476190476191</v>
      </c>
      <c r="F32" s="523">
        <f t="shared" si="12"/>
        <v>1658373.0615968448</v>
      </c>
      <c r="G32" s="524">
        <f t="shared" si="13"/>
        <v>243821.12703567368</v>
      </c>
      <c r="H32" s="491">
        <f t="shared" si="14"/>
        <v>243821.12703567368</v>
      </c>
      <c r="I32" s="511">
        <f t="shared" si="9"/>
        <v>0</v>
      </c>
      <c r="J32" s="511"/>
      <c r="K32" s="525"/>
      <c r="L32" s="514">
        <f t="shared" si="1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2023</v>
      </c>
      <c r="D33" s="523">
        <f>IF(F32+SUM(E$17:E32)=D$10,F32,D$10-SUM(E$17:E32))</f>
        <v>1658373.0615968448</v>
      </c>
      <c r="E33" s="522">
        <f>IF(+I14&lt;F32,I14,D33)</f>
        <v>63296.476190476191</v>
      </c>
      <c r="F33" s="523">
        <f t="shared" si="12"/>
        <v>1595076.5854063686</v>
      </c>
      <c r="G33" s="524">
        <f t="shared" si="13"/>
        <v>237059.9257028272</v>
      </c>
      <c r="H33" s="491">
        <f t="shared" si="14"/>
        <v>237059.9257028272</v>
      </c>
      <c r="I33" s="511">
        <f t="shared" si="9"/>
        <v>0</v>
      </c>
      <c r="J33" s="511"/>
      <c r="K33" s="525"/>
      <c r="L33" s="514">
        <f t="shared" si="1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2024</v>
      </c>
      <c r="D34" s="523">
        <f>IF(F33+SUM(E$17:E33)=D$10,F33,D$10-SUM(E$17:E33))</f>
        <v>1595076.5854063686</v>
      </c>
      <c r="E34" s="522">
        <f>IF(+I14&lt;F33,I14,D34)</f>
        <v>63296.476190476191</v>
      </c>
      <c r="F34" s="523">
        <f t="shared" si="12"/>
        <v>1531780.1092158924</v>
      </c>
      <c r="G34" s="524">
        <f t="shared" si="13"/>
        <v>230298.72436998069</v>
      </c>
      <c r="H34" s="491">
        <f t="shared" si="14"/>
        <v>230298.72436998069</v>
      </c>
      <c r="I34" s="511">
        <f t="shared" si="9"/>
        <v>0</v>
      </c>
      <c r="J34" s="511"/>
      <c r="K34" s="525"/>
      <c r="L34" s="514">
        <f t="shared" si="1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2025</v>
      </c>
      <c r="D35" s="523">
        <f>IF(F34+SUM(E$17:E34)=D$10,F34,D$10-SUM(E$17:E34))</f>
        <v>1531780.1092158924</v>
      </c>
      <c r="E35" s="522">
        <f>IF(+I14&lt;F34,I14,D35)</f>
        <v>63296.476190476191</v>
      </c>
      <c r="F35" s="523">
        <f t="shared" si="12"/>
        <v>1468483.6330254162</v>
      </c>
      <c r="G35" s="524">
        <f t="shared" si="13"/>
        <v>223537.5230371342</v>
      </c>
      <c r="H35" s="491">
        <f t="shared" si="14"/>
        <v>223537.5230371342</v>
      </c>
      <c r="I35" s="511">
        <f t="shared" si="9"/>
        <v>0</v>
      </c>
      <c r="J35" s="511"/>
      <c r="K35" s="525"/>
      <c r="L35" s="514">
        <f t="shared" si="1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2026</v>
      </c>
      <c r="D36" s="523">
        <f>IF(F35+SUM(E$17:E35)=D$10,F35,D$10-SUM(E$17:E35))</f>
        <v>1468483.6330254162</v>
      </c>
      <c r="E36" s="522">
        <f>IF(+I14&lt;F35,I14,D36)</f>
        <v>63296.476190476191</v>
      </c>
      <c r="F36" s="523">
        <f t="shared" si="12"/>
        <v>1405187.15683494</v>
      </c>
      <c r="G36" s="524">
        <f t="shared" si="13"/>
        <v>216776.32170428769</v>
      </c>
      <c r="H36" s="491">
        <f t="shared" si="14"/>
        <v>216776.32170428769</v>
      </c>
      <c r="I36" s="511">
        <f t="shared" si="9"/>
        <v>0</v>
      </c>
      <c r="J36" s="511"/>
      <c r="K36" s="525"/>
      <c r="L36" s="514">
        <f t="shared" si="1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2027</v>
      </c>
      <c r="D37" s="523">
        <f>IF(F36+SUM(E$17:E36)=D$10,F36,D$10-SUM(E$17:E36))</f>
        <v>1405187.15683494</v>
      </c>
      <c r="E37" s="522">
        <f>IF(+I14&lt;F36,I14,D37)</f>
        <v>63296.476190476191</v>
      </c>
      <c r="F37" s="523">
        <f t="shared" si="12"/>
        <v>1341890.6806444637</v>
      </c>
      <c r="G37" s="524">
        <f t="shared" si="13"/>
        <v>210015.12037144121</v>
      </c>
      <c r="H37" s="491">
        <f t="shared" si="14"/>
        <v>210015.12037144121</v>
      </c>
      <c r="I37" s="511">
        <f t="shared" si="9"/>
        <v>0</v>
      </c>
      <c r="J37" s="511"/>
      <c r="K37" s="525"/>
      <c r="L37" s="514">
        <f t="shared" si="1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2028</v>
      </c>
      <c r="D38" s="523">
        <f>IF(F37+SUM(E$17:E37)=D$10,F37,D$10-SUM(E$17:E37))</f>
        <v>1341890.6806444637</v>
      </c>
      <c r="E38" s="522">
        <f>IF(+I14&lt;F37,I14,D38)</f>
        <v>63296.476190476191</v>
      </c>
      <c r="F38" s="523">
        <f t="shared" si="12"/>
        <v>1278594.2044539875</v>
      </c>
      <c r="G38" s="524">
        <f t="shared" si="13"/>
        <v>203253.91903859473</v>
      </c>
      <c r="H38" s="491">
        <f t="shared" si="14"/>
        <v>203253.91903859473</v>
      </c>
      <c r="I38" s="511">
        <f t="shared" si="9"/>
        <v>0</v>
      </c>
      <c r="J38" s="511"/>
      <c r="K38" s="525"/>
      <c r="L38" s="514">
        <f t="shared" si="1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2029</v>
      </c>
      <c r="D39" s="523">
        <f>IF(F38+SUM(E$17:E38)=D$10,F38,D$10-SUM(E$17:E38))</f>
        <v>1278594.2044539875</v>
      </c>
      <c r="E39" s="522">
        <f>IF(+I14&lt;F38,I14,D39)</f>
        <v>63296.476190476191</v>
      </c>
      <c r="F39" s="523">
        <f t="shared" si="12"/>
        <v>1215297.7282635113</v>
      </c>
      <c r="G39" s="524">
        <f t="shared" si="13"/>
        <v>196492.71770574822</v>
      </c>
      <c r="H39" s="491">
        <f t="shared" si="14"/>
        <v>196492.71770574822</v>
      </c>
      <c r="I39" s="511">
        <f t="shared" si="9"/>
        <v>0</v>
      </c>
      <c r="J39" s="511"/>
      <c r="K39" s="525"/>
      <c r="L39" s="514">
        <f t="shared" si="1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2030</v>
      </c>
      <c r="D40" s="523">
        <f>IF(F39+SUM(E$17:E39)=D$10,F39,D$10-SUM(E$17:E39))</f>
        <v>1215297.7282635113</v>
      </c>
      <c r="E40" s="522">
        <f>IF(+I14&lt;F39,I14,D40)</f>
        <v>63296.476190476191</v>
      </c>
      <c r="F40" s="523">
        <f t="shared" si="12"/>
        <v>1152001.2520730351</v>
      </c>
      <c r="G40" s="524">
        <f t="shared" si="13"/>
        <v>189731.51637290174</v>
      </c>
      <c r="H40" s="491">
        <f t="shared" si="14"/>
        <v>189731.51637290174</v>
      </c>
      <c r="I40" s="511">
        <f t="shared" si="9"/>
        <v>0</v>
      </c>
      <c r="J40" s="511"/>
      <c r="K40" s="525"/>
      <c r="L40" s="514">
        <f t="shared" si="1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2031</v>
      </c>
      <c r="D41" s="523">
        <f>IF(F40+SUM(E$17:E40)=D$10,F40,D$10-SUM(E$17:E40))</f>
        <v>1152001.2520730351</v>
      </c>
      <c r="E41" s="522">
        <f>IF(+I14&lt;F40,I14,D41)</f>
        <v>63296.476190476191</v>
      </c>
      <c r="F41" s="523">
        <f t="shared" si="12"/>
        <v>1088704.7758825589</v>
      </c>
      <c r="G41" s="524">
        <f t="shared" si="13"/>
        <v>182970.31504005525</v>
      </c>
      <c r="H41" s="491">
        <f t="shared" si="14"/>
        <v>182970.31504005525</v>
      </c>
      <c r="I41" s="511">
        <f t="shared" si="9"/>
        <v>0</v>
      </c>
      <c r="J41" s="511"/>
      <c r="K41" s="525"/>
      <c r="L41" s="514">
        <f t="shared" si="1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2032</v>
      </c>
      <c r="D42" s="523">
        <f>IF(F41+SUM(E$17:E41)=D$10,F41,D$10-SUM(E$17:E41))</f>
        <v>1088704.7758825589</v>
      </c>
      <c r="E42" s="522">
        <f>IF(+I14&lt;F41,I14,D42)</f>
        <v>63296.476190476191</v>
      </c>
      <c r="F42" s="523">
        <f t="shared" si="12"/>
        <v>1025408.2996920827</v>
      </c>
      <c r="G42" s="524">
        <f t="shared" si="13"/>
        <v>176209.11370720874</v>
      </c>
      <c r="H42" s="491">
        <f t="shared" si="14"/>
        <v>176209.11370720874</v>
      </c>
      <c r="I42" s="511">
        <f t="shared" si="9"/>
        <v>0</v>
      </c>
      <c r="J42" s="511"/>
      <c r="K42" s="525"/>
      <c r="L42" s="514">
        <f t="shared" si="1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2033</v>
      </c>
      <c r="D43" s="523">
        <f>IF(F42+SUM(E$17:E42)=D$10,F42,D$10-SUM(E$17:E42))</f>
        <v>1025408.2996920827</v>
      </c>
      <c r="E43" s="522">
        <f>IF(+I14&lt;F42,I14,D43)</f>
        <v>63296.476190476191</v>
      </c>
      <c r="F43" s="523">
        <f t="shared" si="12"/>
        <v>962111.82350160647</v>
      </c>
      <c r="G43" s="524">
        <f t="shared" si="13"/>
        <v>169447.91237436226</v>
      </c>
      <c r="H43" s="491">
        <f t="shared" si="14"/>
        <v>169447.91237436226</v>
      </c>
      <c r="I43" s="511">
        <f t="shared" si="9"/>
        <v>0</v>
      </c>
      <c r="J43" s="511"/>
      <c r="K43" s="525"/>
      <c r="L43" s="514">
        <f t="shared" si="1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2034</v>
      </c>
      <c r="D44" s="523">
        <f>IF(F43+SUM(E$17:E43)=D$10,F43,D$10-SUM(E$17:E43))</f>
        <v>962111.82350160647</v>
      </c>
      <c r="E44" s="522">
        <f>IF(+I14&lt;F43,I14,D44)</f>
        <v>63296.476190476191</v>
      </c>
      <c r="F44" s="523">
        <f t="shared" si="12"/>
        <v>898815.34731113026</v>
      </c>
      <c r="G44" s="524">
        <f t="shared" si="13"/>
        <v>162686.71104151575</v>
      </c>
      <c r="H44" s="491">
        <f t="shared" si="14"/>
        <v>162686.71104151575</v>
      </c>
      <c r="I44" s="511">
        <f t="shared" si="9"/>
        <v>0</v>
      </c>
      <c r="J44" s="511"/>
      <c r="K44" s="525"/>
      <c r="L44" s="514">
        <f t="shared" si="1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2035</v>
      </c>
      <c r="D45" s="523">
        <f>IF(F44+SUM(E$17:E44)=D$10,F44,D$10-SUM(E$17:E44))</f>
        <v>898815.34731113026</v>
      </c>
      <c r="E45" s="522">
        <f>IF(+I14&lt;F44,I14,D45)</f>
        <v>63296.476190476191</v>
      </c>
      <c r="F45" s="523">
        <f t="shared" si="12"/>
        <v>835518.87112065405</v>
      </c>
      <c r="G45" s="524">
        <f t="shared" si="13"/>
        <v>155925.50970866927</v>
      </c>
      <c r="H45" s="491">
        <f t="shared" si="14"/>
        <v>155925.50970866927</v>
      </c>
      <c r="I45" s="511">
        <f t="shared" si="9"/>
        <v>0</v>
      </c>
      <c r="J45" s="511"/>
      <c r="K45" s="525"/>
      <c r="L45" s="514">
        <f t="shared" si="1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2036</v>
      </c>
      <c r="D46" s="523">
        <f>IF(F45+SUM(E$17:E45)=D$10,F45,D$10-SUM(E$17:E45))</f>
        <v>835518.87112065405</v>
      </c>
      <c r="E46" s="522">
        <f>IF(+I14&lt;F45,I14,D46)</f>
        <v>63296.476190476191</v>
      </c>
      <c r="F46" s="523">
        <f t="shared" si="12"/>
        <v>772222.39493017783</v>
      </c>
      <c r="G46" s="524">
        <f t="shared" si="13"/>
        <v>149164.30837582276</v>
      </c>
      <c r="H46" s="491">
        <f t="shared" si="14"/>
        <v>149164.30837582276</v>
      </c>
      <c r="I46" s="511">
        <f t="shared" si="9"/>
        <v>0</v>
      </c>
      <c r="J46" s="511"/>
      <c r="K46" s="525"/>
      <c r="L46" s="514">
        <f t="shared" si="1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2037</v>
      </c>
      <c r="D47" s="523">
        <f>IF(F46+SUM(E$17:E46)=D$10,F46,D$10-SUM(E$17:E46))</f>
        <v>772222.39493017783</v>
      </c>
      <c r="E47" s="522">
        <f>IF(+I14&lt;F46,I14,D47)</f>
        <v>63296.476190476191</v>
      </c>
      <c r="F47" s="523">
        <f t="shared" si="12"/>
        <v>708925.91873970162</v>
      </c>
      <c r="G47" s="524">
        <f t="shared" si="13"/>
        <v>142403.10704297628</v>
      </c>
      <c r="H47" s="491">
        <f t="shared" si="14"/>
        <v>142403.10704297628</v>
      </c>
      <c r="I47" s="511">
        <f t="shared" si="9"/>
        <v>0</v>
      </c>
      <c r="J47" s="511"/>
      <c r="K47" s="525"/>
      <c r="L47" s="514">
        <f t="shared" si="1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2038</v>
      </c>
      <c r="D48" s="523">
        <f>IF(F47+SUM(E$17:E47)=D$10,F47,D$10-SUM(E$17:E47))</f>
        <v>708925.91873970162</v>
      </c>
      <c r="E48" s="522">
        <f>IF(+I14&lt;F47,I14,D48)</f>
        <v>63296.476190476191</v>
      </c>
      <c r="F48" s="523">
        <f t="shared" si="12"/>
        <v>645629.44254922541</v>
      </c>
      <c r="G48" s="524">
        <f t="shared" si="13"/>
        <v>135641.90571012979</v>
      </c>
      <c r="H48" s="491">
        <f t="shared" si="14"/>
        <v>135641.90571012979</v>
      </c>
      <c r="I48" s="511">
        <f t="shared" si="9"/>
        <v>0</v>
      </c>
      <c r="J48" s="511"/>
      <c r="K48" s="525"/>
      <c r="L48" s="514">
        <f t="shared" si="1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2039</v>
      </c>
      <c r="D49" s="523">
        <f>IF(F48+SUM(E$17:E48)=D$10,F48,D$10-SUM(E$17:E48))</f>
        <v>645629.44254922541</v>
      </c>
      <c r="E49" s="522">
        <f>IF(+I14&lt;F48,I14,D49)</f>
        <v>63296.476190476191</v>
      </c>
      <c r="F49" s="523">
        <f t="shared" si="12"/>
        <v>582332.9663587492</v>
      </c>
      <c r="G49" s="524">
        <f t="shared" si="13"/>
        <v>128880.70437728328</v>
      </c>
      <c r="H49" s="491">
        <f t="shared" si="14"/>
        <v>128880.70437728328</v>
      </c>
      <c r="I49" s="511">
        <f t="shared" si="9"/>
        <v>0</v>
      </c>
      <c r="J49" s="511"/>
      <c r="K49" s="525"/>
      <c r="L49" s="514">
        <f t="shared" si="1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2040</v>
      </c>
      <c r="D50" s="523">
        <f>IF(F49+SUM(E$17:E49)=D$10,F49,D$10-SUM(E$17:E49))</f>
        <v>582332.9663587492</v>
      </c>
      <c r="E50" s="522">
        <f>IF(+I14&lt;F49,I14,D50)</f>
        <v>63296.476190476191</v>
      </c>
      <c r="F50" s="523">
        <f t="shared" si="12"/>
        <v>519036.49016827298</v>
      </c>
      <c r="G50" s="524">
        <f t="shared" si="13"/>
        <v>122119.5030444368</v>
      </c>
      <c r="H50" s="491">
        <f t="shared" si="14"/>
        <v>122119.5030444368</v>
      </c>
      <c r="I50" s="511">
        <f t="shared" si="9"/>
        <v>0</v>
      </c>
      <c r="J50" s="511"/>
      <c r="K50" s="525"/>
      <c r="L50" s="514">
        <f t="shared" si="1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2041</v>
      </c>
      <c r="D51" s="523">
        <f>IF(F50+SUM(E$17:E50)=D$10,F50,D$10-SUM(E$17:E50))</f>
        <v>519036.49016827298</v>
      </c>
      <c r="E51" s="522">
        <f>IF(+I14&lt;F50,I14,D51)</f>
        <v>63296.476190476191</v>
      </c>
      <c r="F51" s="523">
        <f t="shared" si="12"/>
        <v>455740.01397779677</v>
      </c>
      <c r="G51" s="524">
        <f t="shared" si="13"/>
        <v>115358.30171159031</v>
      </c>
      <c r="H51" s="491">
        <f t="shared" si="14"/>
        <v>115358.30171159031</v>
      </c>
      <c r="I51" s="511">
        <f t="shared" si="9"/>
        <v>0</v>
      </c>
      <c r="J51" s="511"/>
      <c r="K51" s="525"/>
      <c r="L51" s="514">
        <f t="shared" si="1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2042</v>
      </c>
      <c r="D52" s="523">
        <f>IF(F51+SUM(E$17:E51)=D$10,F51,D$10-SUM(E$17:E51))</f>
        <v>455740.01397779677</v>
      </c>
      <c r="E52" s="522">
        <f>IF(+I14&lt;F51,I14,D52)</f>
        <v>63296.476190476191</v>
      </c>
      <c r="F52" s="523">
        <f t="shared" si="12"/>
        <v>392443.53778732056</v>
      </c>
      <c r="G52" s="524">
        <f t="shared" si="13"/>
        <v>108597.10037874381</v>
      </c>
      <c r="H52" s="491">
        <f t="shared" si="14"/>
        <v>108597.10037874381</v>
      </c>
      <c r="I52" s="511">
        <f t="shared" si="9"/>
        <v>0</v>
      </c>
      <c r="J52" s="511"/>
      <c r="K52" s="525"/>
      <c r="L52" s="514">
        <f t="shared" si="1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2043</v>
      </c>
      <c r="D53" s="523">
        <f>IF(F52+SUM(E$17:E52)=D$10,F52,D$10-SUM(E$17:E52))</f>
        <v>392443.53778732056</v>
      </c>
      <c r="E53" s="522">
        <f>IF(+I14&lt;F52,I14,D53)</f>
        <v>63296.476190476191</v>
      </c>
      <c r="F53" s="523">
        <f t="shared" si="12"/>
        <v>329147.06159684435</v>
      </c>
      <c r="G53" s="524">
        <f t="shared" si="13"/>
        <v>101835.89904589731</v>
      </c>
      <c r="H53" s="491">
        <f t="shared" si="14"/>
        <v>101835.89904589731</v>
      </c>
      <c r="I53" s="511">
        <f t="shared" si="9"/>
        <v>0</v>
      </c>
      <c r="J53" s="511"/>
      <c r="K53" s="525"/>
      <c r="L53" s="514">
        <f t="shared" si="1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2044</v>
      </c>
      <c r="D54" s="523">
        <f>IF(F53+SUM(E$17:E53)=D$10,F53,D$10-SUM(E$17:E53))</f>
        <v>329147.06159684435</v>
      </c>
      <c r="E54" s="522">
        <f>IF(+I14&lt;F53,I14,D54)</f>
        <v>63296.476190476191</v>
      </c>
      <c r="F54" s="523">
        <f t="shared" si="12"/>
        <v>265850.58540636813</v>
      </c>
      <c r="G54" s="524">
        <f t="shared" si="13"/>
        <v>95074.697713050817</v>
      </c>
      <c r="H54" s="491">
        <f t="shared" si="14"/>
        <v>95074.697713050817</v>
      </c>
      <c r="I54" s="511">
        <f t="shared" si="9"/>
        <v>0</v>
      </c>
      <c r="J54" s="511"/>
      <c r="K54" s="525"/>
      <c r="L54" s="514">
        <f t="shared" si="1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2045</v>
      </c>
      <c r="D55" s="523">
        <f>IF(F54+SUM(E$17:E54)=D$10,F54,D$10-SUM(E$17:E54))</f>
        <v>265850.58540636813</v>
      </c>
      <c r="E55" s="522">
        <f>IF(+I14&lt;F54,I14,D55)</f>
        <v>63296.476190476191</v>
      </c>
      <c r="F55" s="523">
        <f t="shared" si="12"/>
        <v>202554.10921589195</v>
      </c>
      <c r="G55" s="524">
        <f t="shared" si="13"/>
        <v>88313.496380204335</v>
      </c>
      <c r="H55" s="491">
        <f t="shared" si="14"/>
        <v>88313.496380204335</v>
      </c>
      <c r="I55" s="511">
        <f t="shared" si="9"/>
        <v>0</v>
      </c>
      <c r="J55" s="511"/>
      <c r="K55" s="525"/>
      <c r="L55" s="514">
        <f t="shared" si="1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2046</v>
      </c>
      <c r="D56" s="523">
        <f>IF(F55+SUM(E$17:E55)=D$10,F55,D$10-SUM(E$17:E55))</f>
        <v>202554.10921589195</v>
      </c>
      <c r="E56" s="522">
        <f>IF(+I14&lt;F55,I14,D56)</f>
        <v>63296.476190476191</v>
      </c>
      <c r="F56" s="523">
        <f t="shared" si="12"/>
        <v>139257.63302541577</v>
      </c>
      <c r="G56" s="524">
        <f t="shared" si="13"/>
        <v>81552.295047357838</v>
      </c>
      <c r="H56" s="491">
        <f t="shared" si="14"/>
        <v>81552.295047357838</v>
      </c>
      <c r="I56" s="511">
        <f t="shared" si="9"/>
        <v>0</v>
      </c>
      <c r="J56" s="511"/>
      <c r="K56" s="525"/>
      <c r="L56" s="514">
        <f t="shared" si="1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2047</v>
      </c>
      <c r="D57" s="523">
        <f>IF(F56+SUM(E$17:E56)=D$10,F56,D$10-SUM(E$17:E56))</f>
        <v>139257.63302541577</v>
      </c>
      <c r="E57" s="522">
        <f>IF(+I14&lt;F56,I14,D57)</f>
        <v>63296.476190476191</v>
      </c>
      <c r="F57" s="523">
        <f t="shared" si="12"/>
        <v>75961.156834939582</v>
      </c>
      <c r="G57" s="524">
        <f t="shared" si="13"/>
        <v>74791.093714511342</v>
      </c>
      <c r="H57" s="491">
        <f t="shared" si="14"/>
        <v>74791.093714511342</v>
      </c>
      <c r="I57" s="511">
        <f t="shared" si="9"/>
        <v>0</v>
      </c>
      <c r="J57" s="511"/>
      <c r="K57" s="525"/>
      <c r="L57" s="514">
        <f t="shared" si="1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2048</v>
      </c>
      <c r="D58" s="523">
        <f>IF(F57+SUM(E$17:E57)=D$10,F57,D$10-SUM(E$17:E57))</f>
        <v>75961.156834939582</v>
      </c>
      <c r="E58" s="522">
        <f>IF(+I14&lt;F57,I14,D58)</f>
        <v>63296.476190476191</v>
      </c>
      <c r="F58" s="523">
        <f t="shared" si="12"/>
        <v>12664.680644463391</v>
      </c>
      <c r="G58" s="524">
        <f t="shared" si="13"/>
        <v>68029.89238166486</v>
      </c>
      <c r="H58" s="491">
        <f t="shared" si="14"/>
        <v>68029.89238166486</v>
      </c>
      <c r="I58" s="511">
        <f t="shared" si="9"/>
        <v>0</v>
      </c>
      <c r="J58" s="511"/>
      <c r="K58" s="525"/>
      <c r="L58" s="514">
        <f t="shared" si="15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2049</v>
      </c>
      <c r="D59" s="523">
        <f>IF(F58+SUM(E$17:E58)=D$10,F58,D$10-SUM(E$17:E58))</f>
        <v>12664.680644463391</v>
      </c>
      <c r="E59" s="522">
        <f>IF(+I14&lt;F58,I14,D59)</f>
        <v>12664.680644463391</v>
      </c>
      <c r="F59" s="523">
        <f t="shared" si="12"/>
        <v>0</v>
      </c>
      <c r="G59" s="524">
        <f t="shared" si="13"/>
        <v>13341.088406846102</v>
      </c>
      <c r="H59" s="491">
        <f t="shared" si="14"/>
        <v>13341.088406846102</v>
      </c>
      <c r="I59" s="511">
        <f t="shared" si="9"/>
        <v>0</v>
      </c>
      <c r="J59" s="511"/>
      <c r="K59" s="525"/>
      <c r="L59" s="514">
        <f t="shared" si="1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2"/>
        <v>0</v>
      </c>
      <c r="G60" s="524">
        <f t="shared" si="13"/>
        <v>0</v>
      </c>
      <c r="H60" s="491">
        <f t="shared" si="14"/>
        <v>0</v>
      </c>
      <c r="I60" s="511">
        <f t="shared" si="9"/>
        <v>0</v>
      </c>
      <c r="J60" s="511"/>
      <c r="K60" s="525"/>
      <c r="L60" s="514">
        <f t="shared" si="1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2"/>
        <v>0</v>
      </c>
      <c r="G61" s="524">
        <f t="shared" si="13"/>
        <v>0</v>
      </c>
      <c r="H61" s="491">
        <f t="shared" si="14"/>
        <v>0</v>
      </c>
      <c r="I61" s="511">
        <f t="shared" si="9"/>
        <v>0</v>
      </c>
      <c r="J61" s="511"/>
      <c r="K61" s="525"/>
      <c r="L61" s="514">
        <f t="shared" si="1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2"/>
        <v>0</v>
      </c>
      <c r="G62" s="524">
        <f t="shared" si="13"/>
        <v>0</v>
      </c>
      <c r="H62" s="491">
        <f t="shared" si="14"/>
        <v>0</v>
      </c>
      <c r="I62" s="511">
        <f t="shared" si="9"/>
        <v>0</v>
      </c>
      <c r="J62" s="511"/>
      <c r="K62" s="525"/>
      <c r="L62" s="514">
        <f t="shared" si="1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2"/>
        <v>0</v>
      </c>
      <c r="G63" s="524">
        <f t="shared" si="13"/>
        <v>0</v>
      </c>
      <c r="H63" s="491">
        <f t="shared" si="14"/>
        <v>0</v>
      </c>
      <c r="I63" s="511">
        <f t="shared" si="9"/>
        <v>0</v>
      </c>
      <c r="J63" s="511"/>
      <c r="K63" s="525"/>
      <c r="L63" s="514">
        <f t="shared" si="1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2"/>
        <v>0</v>
      </c>
      <c r="G64" s="524">
        <f t="shared" si="13"/>
        <v>0</v>
      </c>
      <c r="H64" s="491">
        <f t="shared" si="14"/>
        <v>0</v>
      </c>
      <c r="I64" s="511">
        <f t="shared" si="9"/>
        <v>0</v>
      </c>
      <c r="J64" s="511"/>
      <c r="K64" s="525"/>
      <c r="L64" s="514">
        <f t="shared" si="1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2"/>
        <v>0</v>
      </c>
      <c r="G65" s="524">
        <f t="shared" si="13"/>
        <v>0</v>
      </c>
      <c r="H65" s="491">
        <f t="shared" si="14"/>
        <v>0</v>
      </c>
      <c r="I65" s="511">
        <f t="shared" si="9"/>
        <v>0</v>
      </c>
      <c r="J65" s="511"/>
      <c r="K65" s="525"/>
      <c r="L65" s="514">
        <f t="shared" si="1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2"/>
        <v>0</v>
      </c>
      <c r="G66" s="524">
        <f t="shared" si="13"/>
        <v>0</v>
      </c>
      <c r="H66" s="491">
        <f t="shared" si="14"/>
        <v>0</v>
      </c>
      <c r="I66" s="511">
        <f t="shared" si="9"/>
        <v>0</v>
      </c>
      <c r="J66" s="511"/>
      <c r="K66" s="525"/>
      <c r="L66" s="514">
        <f t="shared" si="1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2"/>
        <v>0</v>
      </c>
      <c r="G67" s="524">
        <f t="shared" si="13"/>
        <v>0</v>
      </c>
      <c r="H67" s="491">
        <f t="shared" si="14"/>
        <v>0</v>
      </c>
      <c r="I67" s="511">
        <f t="shared" si="9"/>
        <v>0</v>
      </c>
      <c r="J67" s="511"/>
      <c r="K67" s="525"/>
      <c r="L67" s="514">
        <f t="shared" si="1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2"/>
        <v>0</v>
      </c>
      <c r="G68" s="524">
        <f t="shared" si="13"/>
        <v>0</v>
      </c>
      <c r="H68" s="491">
        <f t="shared" si="14"/>
        <v>0</v>
      </c>
      <c r="I68" s="511">
        <f t="shared" si="9"/>
        <v>0</v>
      </c>
      <c r="J68" s="511"/>
      <c r="K68" s="525"/>
      <c r="L68" s="514">
        <f t="shared" si="1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2"/>
        <v>0</v>
      </c>
      <c r="G69" s="524">
        <f t="shared" si="13"/>
        <v>0</v>
      </c>
      <c r="H69" s="491">
        <f t="shared" si="14"/>
        <v>0</v>
      </c>
      <c r="I69" s="511">
        <f t="shared" si="9"/>
        <v>0</v>
      </c>
      <c r="J69" s="511"/>
      <c r="K69" s="525"/>
      <c r="L69" s="514">
        <f t="shared" si="1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2"/>
        <v>0</v>
      </c>
      <c r="G70" s="524">
        <f t="shared" si="13"/>
        <v>0</v>
      </c>
      <c r="H70" s="491">
        <f t="shared" si="14"/>
        <v>0</v>
      </c>
      <c r="I70" s="511">
        <f t="shared" si="9"/>
        <v>0</v>
      </c>
      <c r="J70" s="511"/>
      <c r="K70" s="525"/>
      <c r="L70" s="514">
        <f t="shared" si="1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2"/>
        <v>0</v>
      </c>
      <c r="G71" s="524">
        <f t="shared" si="13"/>
        <v>0</v>
      </c>
      <c r="H71" s="491">
        <f t="shared" si="14"/>
        <v>0</v>
      </c>
      <c r="I71" s="511">
        <f t="shared" si="9"/>
        <v>0</v>
      </c>
      <c r="J71" s="511"/>
      <c r="K71" s="525"/>
      <c r="L71" s="514">
        <f t="shared" si="1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2"/>
        <v>0</v>
      </c>
      <c r="G72" s="524">
        <f t="shared" si="13"/>
        <v>0</v>
      </c>
      <c r="H72" s="491">
        <f t="shared" si="14"/>
        <v>0</v>
      </c>
      <c r="I72" s="531">
        <f t="shared" si="9"/>
        <v>0</v>
      </c>
      <c r="J72" s="511"/>
      <c r="K72" s="532"/>
      <c r="L72" s="533">
        <f t="shared" si="1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2658451.9999999995</v>
      </c>
      <c r="F73" s="375"/>
      <c r="G73" s="375">
        <f>SUM(G17:G72)</f>
        <v>9390742.5525207743</v>
      </c>
      <c r="H73" s="375">
        <f>SUM(H17:H72)</f>
        <v>9390742.5525207743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45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250823.33283113065</v>
      </c>
      <c r="N87" s="546">
        <f>IF(J92&lt;D11,0,VLOOKUP(J92,C17:O72,11))</f>
        <v>250823.33283113065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313399.73202884034</v>
      </c>
      <c r="N88" s="550">
        <f>IF(J92&lt;D11,0,VLOOKUP(J92,C99:P154,7))</f>
        <v>313399.73202884034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TONTITOWN 161KV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62576.399197709688</v>
      </c>
      <c r="N89" s="555">
        <f>+N88-N87</f>
        <v>62576.399197709688</v>
      </c>
      <c r="O89" s="556">
        <f>+O88-O87</f>
        <v>0</v>
      </c>
      <c r="P89" s="269"/>
    </row>
    <row r="90" spans="1:16" ht="13.5" thickBot="1">
      <c r="C90" s="534"/>
      <c r="D90" s="646" t="str">
        <f>+S.044!D90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TP2005152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2658452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3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63296.476190476191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2007</v>
      </c>
      <c r="D99" s="374"/>
      <c r="E99" s="524"/>
      <c r="F99" s="523"/>
      <c r="G99" s="603"/>
      <c r="H99" s="604"/>
      <c r="I99" s="605"/>
      <c r="J99" s="514">
        <f t="shared" ref="J99:J108" si="16">+I99-H99</f>
        <v>0</v>
      </c>
      <c r="K99" s="514"/>
      <c r="L99" s="512"/>
      <c r="M99" s="513">
        <f t="shared" ref="M99:M130" si="17">IF(L99&lt;&gt;0,+H99-L99,0)</f>
        <v>0</v>
      </c>
      <c r="N99" s="512"/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 ht="12.5">
      <c r="B100" s="195" t="str">
        <f>IF(D100=F99,"","IU")</f>
        <v/>
      </c>
      <c r="C100" s="507">
        <f>IF(D93="","-",+C99+1)</f>
        <v>2008</v>
      </c>
      <c r="D100" s="374"/>
      <c r="E100" s="522"/>
      <c r="F100" s="523"/>
      <c r="G100" s="523"/>
      <c r="H100" s="526"/>
      <c r="I100" s="577"/>
      <c r="J100" s="514">
        <f t="shared" si="16"/>
        <v>0</v>
      </c>
      <c r="K100" s="514"/>
      <c r="L100" s="518"/>
      <c r="M100" s="514">
        <f t="shared" si="17"/>
        <v>0</v>
      </c>
      <c r="N100" s="518"/>
      <c r="O100" s="514">
        <f t="shared" si="18"/>
        <v>0</v>
      </c>
      <c r="P100" s="514">
        <f t="shared" si="19"/>
        <v>0</v>
      </c>
    </row>
    <row r="101" spans="1:16" ht="12.5">
      <c r="B101" s="195" t="str">
        <f t="shared" ref="B101:B154" si="20">IF(D101=F100,"","IU")</f>
        <v/>
      </c>
      <c r="C101" s="507">
        <f>IF(D93="","-",+C100+1)</f>
        <v>2009</v>
      </c>
      <c r="D101" s="374"/>
      <c r="E101" s="522"/>
      <c r="F101" s="523"/>
      <c r="G101" s="523"/>
      <c r="H101" s="526"/>
      <c r="I101" s="577"/>
      <c r="J101" s="514">
        <f t="shared" si="16"/>
        <v>0</v>
      </c>
      <c r="K101" s="514"/>
      <c r="L101" s="518"/>
      <c r="M101" s="514">
        <f t="shared" si="17"/>
        <v>0</v>
      </c>
      <c r="N101" s="518"/>
      <c r="O101" s="514">
        <f t="shared" si="18"/>
        <v>0</v>
      </c>
      <c r="P101" s="514">
        <f t="shared" si="19"/>
        <v>0</v>
      </c>
    </row>
    <row r="102" spans="1:16" ht="12.5">
      <c r="B102" s="195" t="str">
        <f t="shared" si="20"/>
        <v/>
      </c>
      <c r="C102" s="507">
        <f>IF(D93="","-",+C101+1)</f>
        <v>2010</v>
      </c>
      <c r="D102" s="374"/>
      <c r="E102" s="522"/>
      <c r="F102" s="523"/>
      <c r="G102" s="523"/>
      <c r="H102" s="526"/>
      <c r="I102" s="577"/>
      <c r="J102" s="514">
        <f t="shared" si="16"/>
        <v>0</v>
      </c>
      <c r="K102" s="514"/>
      <c r="L102" s="518"/>
      <c r="M102" s="514">
        <f t="shared" si="17"/>
        <v>0</v>
      </c>
      <c r="N102" s="518"/>
      <c r="O102" s="514">
        <f t="shared" si="18"/>
        <v>0</v>
      </c>
      <c r="P102" s="514">
        <f t="shared" si="19"/>
        <v>0</v>
      </c>
    </row>
    <row r="103" spans="1:16" ht="12.5">
      <c r="B103" s="195" t="str">
        <f t="shared" si="20"/>
        <v/>
      </c>
      <c r="C103" s="507">
        <f>IF(D93="","-",+C102+1)</f>
        <v>2011</v>
      </c>
      <c r="D103" s="374"/>
      <c r="E103" s="522"/>
      <c r="F103" s="523"/>
      <c r="G103" s="523"/>
      <c r="H103" s="526"/>
      <c r="I103" s="577"/>
      <c r="J103" s="514">
        <f t="shared" si="16"/>
        <v>0</v>
      </c>
      <c r="K103" s="514"/>
      <c r="L103" s="518"/>
      <c r="M103" s="514">
        <f t="shared" si="17"/>
        <v>0</v>
      </c>
      <c r="N103" s="518"/>
      <c r="O103" s="514">
        <f t="shared" si="18"/>
        <v>0</v>
      </c>
      <c r="P103" s="514">
        <f t="shared" si="19"/>
        <v>0</v>
      </c>
    </row>
    <row r="104" spans="1:16" ht="12.5">
      <c r="B104" s="195" t="str">
        <f t="shared" si="20"/>
        <v/>
      </c>
      <c r="C104" s="507">
        <f>IF(D93="","-",+C103+1)</f>
        <v>2012</v>
      </c>
      <c r="D104" s="374"/>
      <c r="E104" s="522"/>
      <c r="F104" s="523"/>
      <c r="G104" s="523"/>
      <c r="H104" s="526"/>
      <c r="I104" s="577"/>
      <c r="J104" s="514">
        <f t="shared" si="16"/>
        <v>0</v>
      </c>
      <c r="K104" s="514"/>
      <c r="L104" s="518"/>
      <c r="M104" s="514">
        <f t="shared" si="17"/>
        <v>0</v>
      </c>
      <c r="N104" s="518"/>
      <c r="O104" s="514">
        <f t="shared" si="18"/>
        <v>0</v>
      </c>
      <c r="P104" s="514">
        <f t="shared" si="19"/>
        <v>0</v>
      </c>
    </row>
    <row r="105" spans="1:16" ht="12.5">
      <c r="B105" s="195" t="str">
        <f t="shared" si="20"/>
        <v/>
      </c>
      <c r="C105" s="507">
        <f>IF(D93="","-",+C104+1)</f>
        <v>2013</v>
      </c>
      <c r="D105" s="374"/>
      <c r="E105" s="522"/>
      <c r="F105" s="523"/>
      <c r="G105" s="523"/>
      <c r="H105" s="526"/>
      <c r="I105" s="577"/>
      <c r="J105" s="514">
        <f t="shared" si="16"/>
        <v>0</v>
      </c>
      <c r="K105" s="514"/>
      <c r="L105" s="518"/>
      <c r="M105" s="514">
        <f t="shared" si="17"/>
        <v>0</v>
      </c>
      <c r="N105" s="518"/>
      <c r="O105" s="514">
        <f t="shared" si="18"/>
        <v>0</v>
      </c>
      <c r="P105" s="514">
        <f t="shared" si="19"/>
        <v>0</v>
      </c>
    </row>
    <row r="106" spans="1:16" ht="12.5">
      <c r="B106" s="195" t="str">
        <f t="shared" si="20"/>
        <v/>
      </c>
      <c r="C106" s="507">
        <f>IF(D93="","-",+C105+1)</f>
        <v>2014</v>
      </c>
      <c r="D106" s="374"/>
      <c r="E106" s="522"/>
      <c r="F106" s="523"/>
      <c r="G106" s="523"/>
      <c r="H106" s="526"/>
      <c r="I106" s="577"/>
      <c r="J106" s="514">
        <f t="shared" si="16"/>
        <v>0</v>
      </c>
      <c r="K106" s="514"/>
      <c r="L106" s="518"/>
      <c r="M106" s="514">
        <f t="shared" si="17"/>
        <v>0</v>
      </c>
      <c r="N106" s="518"/>
      <c r="O106" s="514">
        <f t="shared" si="18"/>
        <v>0</v>
      </c>
      <c r="P106" s="514">
        <f t="shared" si="19"/>
        <v>0</v>
      </c>
    </row>
    <row r="107" spans="1:16" ht="12.5">
      <c r="B107" s="195" t="str">
        <f t="shared" si="20"/>
        <v>IU</v>
      </c>
      <c r="C107" s="507">
        <f>IF(D93="","-",+C106+1)</f>
        <v>2015</v>
      </c>
      <c r="D107" s="629">
        <v>2167904.3095238092</v>
      </c>
      <c r="E107" s="630">
        <v>51616.769274376413</v>
      </c>
      <c r="F107" s="631">
        <v>2116287.5402494329</v>
      </c>
      <c r="G107" s="631">
        <v>2142095.9248866211</v>
      </c>
      <c r="H107" s="633">
        <v>333878.34559727815</v>
      </c>
      <c r="I107" s="634">
        <v>333878.34559727815</v>
      </c>
      <c r="J107" s="514">
        <f t="shared" si="16"/>
        <v>0</v>
      </c>
      <c r="K107" s="514"/>
      <c r="L107" s="518">
        <f>+H107</f>
        <v>333878.34559727815</v>
      </c>
      <c r="M107" s="514">
        <f t="shared" si="17"/>
        <v>0</v>
      </c>
      <c r="N107" s="518">
        <f>+I107</f>
        <v>333878.34559727815</v>
      </c>
      <c r="O107" s="514">
        <f t="shared" si="18"/>
        <v>0</v>
      </c>
      <c r="P107" s="514">
        <f t="shared" si="19"/>
        <v>0</v>
      </c>
    </row>
    <row r="108" spans="1:16" ht="12.5">
      <c r="B108" s="195" t="str">
        <f t="shared" si="20"/>
        <v>IU</v>
      </c>
      <c r="C108" s="507">
        <f>IF(D93="","-",+C107+1)</f>
        <v>2016</v>
      </c>
      <c r="D108" s="629">
        <v>2606835.2307256237</v>
      </c>
      <c r="E108" s="630">
        <v>61824.465116279069</v>
      </c>
      <c r="F108" s="631">
        <v>2545010.7656093445</v>
      </c>
      <c r="G108" s="631">
        <v>2575922.9981674841</v>
      </c>
      <c r="H108" s="633">
        <v>388837.85956536332</v>
      </c>
      <c r="I108" s="634">
        <v>388837.85956536332</v>
      </c>
      <c r="J108" s="514">
        <f t="shared" si="16"/>
        <v>0</v>
      </c>
      <c r="K108" s="514"/>
      <c r="L108" s="518">
        <f>+H108</f>
        <v>388837.85956536332</v>
      </c>
      <c r="M108" s="514">
        <f>IF(L108&lt;&gt;0,+H108-L108,0)</f>
        <v>0</v>
      </c>
      <c r="N108" s="518">
        <f>+I108</f>
        <v>388837.85956536332</v>
      </c>
      <c r="O108" s="514">
        <f>IF(N108&lt;&gt;0,+I108-N108,0)</f>
        <v>0</v>
      </c>
      <c r="P108" s="514">
        <f>+O108-M108</f>
        <v>0</v>
      </c>
    </row>
    <row r="109" spans="1:16" ht="12.5">
      <c r="B109" s="195" t="str">
        <f t="shared" si="20"/>
        <v/>
      </c>
      <c r="C109" s="507">
        <f>IF(D93="","-",+C108+1)</f>
        <v>2017</v>
      </c>
      <c r="D109" s="629">
        <v>2545010.7656093445</v>
      </c>
      <c r="E109" s="630">
        <v>63296.476190476191</v>
      </c>
      <c r="F109" s="631">
        <v>2481714.2894188683</v>
      </c>
      <c r="G109" s="631">
        <v>2513362.5275141066</v>
      </c>
      <c r="H109" s="633">
        <v>368598.28609591222</v>
      </c>
      <c r="I109" s="634">
        <v>368598.28609591222</v>
      </c>
      <c r="J109" s="514">
        <f t="shared" ref="J109:J154" si="21">+I109-H109</f>
        <v>0</v>
      </c>
      <c r="K109" s="514"/>
      <c r="L109" s="518">
        <f>+H109</f>
        <v>368598.28609591222</v>
      </c>
      <c r="M109" s="514">
        <f>IF(L109&lt;&gt;0,+H109-L109,0)</f>
        <v>0</v>
      </c>
      <c r="N109" s="518">
        <f>+I109</f>
        <v>368598.28609591222</v>
      </c>
      <c r="O109" s="514">
        <f>IF(N109&lt;&gt;0,+I109-N109,0)</f>
        <v>0</v>
      </c>
      <c r="P109" s="514">
        <f>+O109-M109</f>
        <v>0</v>
      </c>
    </row>
    <row r="110" spans="1:16" ht="12.5">
      <c r="B110" s="195" t="str">
        <f t="shared" si="20"/>
        <v/>
      </c>
      <c r="C110" s="507">
        <f>IF(D93="","-",+C109+1)</f>
        <v>2018</v>
      </c>
      <c r="D110" s="629">
        <v>2481714.2894188683</v>
      </c>
      <c r="E110" s="630">
        <v>63296.476190476191</v>
      </c>
      <c r="F110" s="631">
        <v>2418417.813228392</v>
      </c>
      <c r="G110" s="631">
        <v>2450066.0513236299</v>
      </c>
      <c r="H110" s="633">
        <v>322034.68677163479</v>
      </c>
      <c r="I110" s="634">
        <v>322034.68677163479</v>
      </c>
      <c r="J110" s="514">
        <f t="shared" si="21"/>
        <v>0</v>
      </c>
      <c r="K110" s="514"/>
      <c r="L110" s="518">
        <f>+H110</f>
        <v>322034.68677163479</v>
      </c>
      <c r="M110" s="514">
        <f>IF(L110&lt;&gt;0,+H110-L110,0)</f>
        <v>0</v>
      </c>
      <c r="N110" s="518">
        <f>+I110</f>
        <v>322034.68677163479</v>
      </c>
      <c r="O110" s="514">
        <f>IF(N110&lt;&gt;0,+I110-N110,0)</f>
        <v>0</v>
      </c>
      <c r="P110" s="514">
        <f t="shared" si="19"/>
        <v>0</v>
      </c>
    </row>
    <row r="111" spans="1:16" ht="12.5">
      <c r="B111" s="195" t="str">
        <f t="shared" si="20"/>
        <v/>
      </c>
      <c r="C111" s="507">
        <f>IF(D93="","-",+C110+1)</f>
        <v>2019</v>
      </c>
      <c r="D111" s="629">
        <v>2418417.813228392</v>
      </c>
      <c r="E111" s="630">
        <v>61824.465116279069</v>
      </c>
      <c r="F111" s="631">
        <v>2356593.3481121128</v>
      </c>
      <c r="G111" s="631">
        <v>2387505.5806702524</v>
      </c>
      <c r="H111" s="633">
        <v>317384.36734344519</v>
      </c>
      <c r="I111" s="634">
        <v>317384.36734344519</v>
      </c>
      <c r="J111" s="514">
        <f t="shared" si="21"/>
        <v>0</v>
      </c>
      <c r="K111" s="514"/>
      <c r="L111" s="518">
        <f>+H111</f>
        <v>317384.36734344519</v>
      </c>
      <c r="M111" s="514">
        <f>IF(L111&lt;&gt;0,+H111-L111,0)</f>
        <v>0</v>
      </c>
      <c r="N111" s="518">
        <f>+I111</f>
        <v>317384.36734344519</v>
      </c>
      <c r="O111" s="514">
        <f t="shared" si="18"/>
        <v>0</v>
      </c>
      <c r="P111" s="514">
        <f t="shared" si="19"/>
        <v>0</v>
      </c>
    </row>
    <row r="112" spans="1:16" ht="12.5">
      <c r="B112" s="195" t="str">
        <f t="shared" si="20"/>
        <v/>
      </c>
      <c r="C112" s="507">
        <f>IF(D93="","-",+C111+1)</f>
        <v>2020</v>
      </c>
      <c r="D112" s="374">
        <f>IF(F111+SUM(E$99:E111)=D$92,F111,D$92-SUM(E$99:E111))</f>
        <v>2356593.3481121128</v>
      </c>
      <c r="E112" s="522">
        <f t="shared" ref="E112:E154" si="22">IF(+$J$96&lt;F111,$J$96,D112)</f>
        <v>63296.476190476191</v>
      </c>
      <c r="F112" s="523">
        <f t="shared" ref="F112:F154" si="23">+D112-E112</f>
        <v>2293296.8719216366</v>
      </c>
      <c r="G112" s="523">
        <f t="shared" ref="G112:G154" si="24">+(F112+D112)/2</f>
        <v>2324945.110016875</v>
      </c>
      <c r="H112" s="526">
        <f t="shared" ref="H112:H154" si="25">+J$94*G112+E112</f>
        <v>313399.73202884034</v>
      </c>
      <c r="I112" s="577">
        <f t="shared" ref="I112:I154" si="26">+J$95*G112+E112</f>
        <v>313399.73202884034</v>
      </c>
      <c r="J112" s="514">
        <f t="shared" si="21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 ht="12.5">
      <c r="B113" s="195" t="str">
        <f t="shared" si="20"/>
        <v/>
      </c>
      <c r="C113" s="507">
        <f>IF(D93="","-",+C112+1)</f>
        <v>2021</v>
      </c>
      <c r="D113" s="374">
        <f>IF(F112+SUM(E$99:E112)=D$92,F112,D$92-SUM(E$99:E112))</f>
        <v>2293296.8719216366</v>
      </c>
      <c r="E113" s="522">
        <f t="shared" si="22"/>
        <v>63296.476190476191</v>
      </c>
      <c r="F113" s="523">
        <f t="shared" si="23"/>
        <v>2230000.3957311604</v>
      </c>
      <c r="G113" s="523">
        <f t="shared" si="24"/>
        <v>2261648.6338263983</v>
      </c>
      <c r="H113" s="526">
        <f t="shared" si="25"/>
        <v>306590.68750123907</v>
      </c>
      <c r="I113" s="577">
        <f t="shared" si="26"/>
        <v>306590.68750123907</v>
      </c>
      <c r="J113" s="514">
        <f t="shared" si="21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 ht="12.5">
      <c r="B114" s="195" t="str">
        <f t="shared" si="20"/>
        <v/>
      </c>
      <c r="C114" s="507">
        <f>IF(D93="","-",+C113+1)</f>
        <v>2022</v>
      </c>
      <c r="D114" s="374">
        <f>IF(F113+SUM(E$99:E113)=D$92,F113,D$92-SUM(E$99:E113))</f>
        <v>2230000.3957311604</v>
      </c>
      <c r="E114" s="522">
        <f t="shared" si="22"/>
        <v>63296.476190476191</v>
      </c>
      <c r="F114" s="523">
        <f t="shared" si="23"/>
        <v>2166703.9195406842</v>
      </c>
      <c r="G114" s="523">
        <f t="shared" si="24"/>
        <v>2198352.1576359225</v>
      </c>
      <c r="H114" s="526">
        <f t="shared" si="25"/>
        <v>299781.64297363791</v>
      </c>
      <c r="I114" s="577">
        <f t="shared" si="26"/>
        <v>299781.64297363791</v>
      </c>
      <c r="J114" s="514">
        <f t="shared" si="21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 ht="12.5">
      <c r="B115" s="195" t="str">
        <f t="shared" si="20"/>
        <v/>
      </c>
      <c r="C115" s="507">
        <f>IF(D93="","-",+C114+1)</f>
        <v>2023</v>
      </c>
      <c r="D115" s="374">
        <f>IF(F114+SUM(E$99:E114)=D$92,F114,D$92-SUM(E$99:E114))</f>
        <v>2166703.9195406842</v>
      </c>
      <c r="E115" s="522">
        <f t="shared" si="22"/>
        <v>63296.476190476191</v>
      </c>
      <c r="F115" s="523">
        <f t="shared" si="23"/>
        <v>2103407.443350208</v>
      </c>
      <c r="G115" s="523">
        <f t="shared" si="24"/>
        <v>2135055.6814454459</v>
      </c>
      <c r="H115" s="526">
        <f t="shared" si="25"/>
        <v>292972.59844603663</v>
      </c>
      <c r="I115" s="577">
        <f t="shared" si="26"/>
        <v>292972.59844603663</v>
      </c>
      <c r="J115" s="514">
        <f t="shared" si="21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 ht="12.5">
      <c r="B116" s="195" t="str">
        <f t="shared" si="20"/>
        <v/>
      </c>
      <c r="C116" s="507">
        <f>IF(D93="","-",+C115+1)</f>
        <v>2024</v>
      </c>
      <c r="D116" s="374">
        <f>IF(F115+SUM(E$99:E115)=D$92,F115,D$92-SUM(E$99:E115))</f>
        <v>2103407.443350208</v>
      </c>
      <c r="E116" s="522">
        <f t="shared" si="22"/>
        <v>63296.476190476191</v>
      </c>
      <c r="F116" s="523">
        <f t="shared" si="23"/>
        <v>2040110.9671597318</v>
      </c>
      <c r="G116" s="523">
        <f t="shared" si="24"/>
        <v>2071759.2052549699</v>
      </c>
      <c r="H116" s="526">
        <f t="shared" si="25"/>
        <v>286163.55391843547</v>
      </c>
      <c r="I116" s="577">
        <f t="shared" si="26"/>
        <v>286163.55391843547</v>
      </c>
      <c r="J116" s="514">
        <f t="shared" si="21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 ht="12.5">
      <c r="B117" s="195" t="str">
        <f t="shared" si="20"/>
        <v/>
      </c>
      <c r="C117" s="507">
        <f>IF(D93="","-",+C116+1)</f>
        <v>2025</v>
      </c>
      <c r="D117" s="374">
        <f>IF(F116+SUM(E$99:E116)=D$92,F116,D$92-SUM(E$99:E116))</f>
        <v>2040110.9671597318</v>
      </c>
      <c r="E117" s="522">
        <f t="shared" si="22"/>
        <v>63296.476190476191</v>
      </c>
      <c r="F117" s="523">
        <f t="shared" si="23"/>
        <v>1976814.4909692556</v>
      </c>
      <c r="G117" s="523">
        <f t="shared" si="24"/>
        <v>2008462.7290644937</v>
      </c>
      <c r="H117" s="526">
        <f t="shared" si="25"/>
        <v>279354.50939083425</v>
      </c>
      <c r="I117" s="577">
        <f t="shared" si="26"/>
        <v>279354.50939083425</v>
      </c>
      <c r="J117" s="514">
        <f t="shared" si="21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 ht="12.5">
      <c r="B118" s="195" t="str">
        <f t="shared" si="20"/>
        <v/>
      </c>
      <c r="C118" s="507">
        <f>IF(D93="","-",+C117+1)</f>
        <v>2026</v>
      </c>
      <c r="D118" s="374">
        <f>IF(F117+SUM(E$99:E117)=D$92,F117,D$92-SUM(E$99:E117))</f>
        <v>1976814.4909692556</v>
      </c>
      <c r="E118" s="522">
        <f t="shared" si="22"/>
        <v>63296.476190476191</v>
      </c>
      <c r="F118" s="523">
        <f t="shared" si="23"/>
        <v>1913518.0147787794</v>
      </c>
      <c r="G118" s="523">
        <f t="shared" si="24"/>
        <v>1945166.2528740175</v>
      </c>
      <c r="H118" s="526">
        <f t="shared" si="25"/>
        <v>272545.46486323304</v>
      </c>
      <c r="I118" s="577">
        <f t="shared" si="26"/>
        <v>272545.46486323304</v>
      </c>
      <c r="J118" s="514">
        <f t="shared" si="21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 ht="12.5">
      <c r="B119" s="195" t="str">
        <f t="shared" si="20"/>
        <v/>
      </c>
      <c r="C119" s="507">
        <f>IF(D93="","-",+C118+1)</f>
        <v>2027</v>
      </c>
      <c r="D119" s="374">
        <f>IF(F118+SUM(E$99:E118)=D$92,F118,D$92-SUM(E$99:E118))</f>
        <v>1913518.0147787794</v>
      </c>
      <c r="E119" s="522">
        <f t="shared" si="22"/>
        <v>63296.476190476191</v>
      </c>
      <c r="F119" s="523">
        <f t="shared" si="23"/>
        <v>1850221.5385883031</v>
      </c>
      <c r="G119" s="523">
        <f t="shared" si="24"/>
        <v>1881869.7766835412</v>
      </c>
      <c r="H119" s="526">
        <f t="shared" si="25"/>
        <v>265736.42033563182</v>
      </c>
      <c r="I119" s="577">
        <f t="shared" si="26"/>
        <v>265736.42033563182</v>
      </c>
      <c r="J119" s="514">
        <f t="shared" si="21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 ht="12.5">
      <c r="B120" s="195" t="str">
        <f t="shared" si="20"/>
        <v/>
      </c>
      <c r="C120" s="507">
        <f>IF(D93="","-",+C119+1)</f>
        <v>2028</v>
      </c>
      <c r="D120" s="374">
        <f>IF(F119+SUM(E$99:E119)=D$92,F119,D$92-SUM(E$99:E119))</f>
        <v>1850221.5385883031</v>
      </c>
      <c r="E120" s="522">
        <f t="shared" si="22"/>
        <v>63296.476190476191</v>
      </c>
      <c r="F120" s="523">
        <f t="shared" si="23"/>
        <v>1786925.0623978269</v>
      </c>
      <c r="G120" s="523">
        <f t="shared" si="24"/>
        <v>1818573.300493065</v>
      </c>
      <c r="H120" s="526">
        <f t="shared" si="25"/>
        <v>258927.3758080306</v>
      </c>
      <c r="I120" s="577">
        <f t="shared" si="26"/>
        <v>258927.3758080306</v>
      </c>
      <c r="J120" s="514">
        <f t="shared" si="21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 ht="12.5">
      <c r="B121" s="195" t="str">
        <f t="shared" si="20"/>
        <v/>
      </c>
      <c r="C121" s="507">
        <f>IF(D93="","-",+C120+1)</f>
        <v>2029</v>
      </c>
      <c r="D121" s="374">
        <f>IF(F120+SUM(E$99:E120)=D$92,F120,D$92-SUM(E$99:E120))</f>
        <v>1786925.0623978269</v>
      </c>
      <c r="E121" s="522">
        <f t="shared" si="22"/>
        <v>63296.476190476191</v>
      </c>
      <c r="F121" s="523">
        <f t="shared" si="23"/>
        <v>1723628.5862073507</v>
      </c>
      <c r="G121" s="523">
        <f t="shared" si="24"/>
        <v>1755276.8243025888</v>
      </c>
      <c r="H121" s="526">
        <f t="shared" si="25"/>
        <v>252118.33128042938</v>
      </c>
      <c r="I121" s="577">
        <f t="shared" si="26"/>
        <v>252118.33128042938</v>
      </c>
      <c r="J121" s="514">
        <f t="shared" si="21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 ht="12.5">
      <c r="B122" s="195" t="str">
        <f t="shared" si="20"/>
        <v/>
      </c>
      <c r="C122" s="507">
        <f>IF(D93="","-",+C121+1)</f>
        <v>2030</v>
      </c>
      <c r="D122" s="374">
        <f>IF(F121+SUM(E$99:E121)=D$92,F121,D$92-SUM(E$99:E121))</f>
        <v>1723628.5862073507</v>
      </c>
      <c r="E122" s="522">
        <f t="shared" si="22"/>
        <v>63296.476190476191</v>
      </c>
      <c r="F122" s="523">
        <f t="shared" si="23"/>
        <v>1660332.1100168745</v>
      </c>
      <c r="G122" s="523">
        <f t="shared" si="24"/>
        <v>1691980.3481121126</v>
      </c>
      <c r="H122" s="526">
        <f t="shared" si="25"/>
        <v>245309.28675282819</v>
      </c>
      <c r="I122" s="577">
        <f t="shared" si="26"/>
        <v>245309.28675282819</v>
      </c>
      <c r="J122" s="514">
        <f t="shared" si="21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 ht="12.5">
      <c r="B123" s="195" t="str">
        <f t="shared" si="20"/>
        <v/>
      </c>
      <c r="C123" s="507">
        <f>IF(D93="","-",+C122+1)</f>
        <v>2031</v>
      </c>
      <c r="D123" s="374">
        <f>IF(F122+SUM(E$99:E122)=D$92,F122,D$92-SUM(E$99:E122))</f>
        <v>1660332.1100168745</v>
      </c>
      <c r="E123" s="522">
        <f t="shared" si="22"/>
        <v>63296.476190476191</v>
      </c>
      <c r="F123" s="523">
        <f t="shared" si="23"/>
        <v>1597035.6338263983</v>
      </c>
      <c r="G123" s="523">
        <f t="shared" si="24"/>
        <v>1628683.8719216364</v>
      </c>
      <c r="H123" s="526">
        <f t="shared" si="25"/>
        <v>238500.24222522698</v>
      </c>
      <c r="I123" s="577">
        <f t="shared" si="26"/>
        <v>238500.24222522698</v>
      </c>
      <c r="J123" s="514">
        <f t="shared" si="21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 ht="12.5">
      <c r="B124" s="195" t="str">
        <f t="shared" si="20"/>
        <v/>
      </c>
      <c r="C124" s="507">
        <f>IF(D93="","-",+C123+1)</f>
        <v>2032</v>
      </c>
      <c r="D124" s="374">
        <f>IF(F123+SUM(E$99:E123)=D$92,F123,D$92-SUM(E$99:E123))</f>
        <v>1597035.6338263983</v>
      </c>
      <c r="E124" s="522">
        <f t="shared" si="22"/>
        <v>63296.476190476191</v>
      </c>
      <c r="F124" s="523">
        <f t="shared" si="23"/>
        <v>1533739.1576359221</v>
      </c>
      <c r="G124" s="523">
        <f t="shared" si="24"/>
        <v>1565387.3957311602</v>
      </c>
      <c r="H124" s="526">
        <f t="shared" si="25"/>
        <v>231691.19769762576</v>
      </c>
      <c r="I124" s="577">
        <f t="shared" si="26"/>
        <v>231691.19769762576</v>
      </c>
      <c r="J124" s="514">
        <f t="shared" si="21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 ht="12.5">
      <c r="B125" s="195" t="str">
        <f t="shared" si="20"/>
        <v/>
      </c>
      <c r="C125" s="507">
        <f>IF(D93="","-",+C124+1)</f>
        <v>2033</v>
      </c>
      <c r="D125" s="374">
        <f>IF(F124+SUM(E$99:E124)=D$92,F124,D$92-SUM(E$99:E124))</f>
        <v>1533739.1576359221</v>
      </c>
      <c r="E125" s="522">
        <f t="shared" si="22"/>
        <v>63296.476190476191</v>
      </c>
      <c r="F125" s="523">
        <f t="shared" si="23"/>
        <v>1470442.6814454459</v>
      </c>
      <c r="G125" s="523">
        <f t="shared" si="24"/>
        <v>1502090.919540684</v>
      </c>
      <c r="H125" s="526">
        <f t="shared" si="25"/>
        <v>224882.15317002457</v>
      </c>
      <c r="I125" s="577">
        <f t="shared" si="26"/>
        <v>224882.15317002457</v>
      </c>
      <c r="J125" s="514">
        <f t="shared" si="21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 ht="12.5">
      <c r="B126" s="195" t="str">
        <f t="shared" si="20"/>
        <v/>
      </c>
      <c r="C126" s="507">
        <f>IF(D93="","-",+C125+1)</f>
        <v>2034</v>
      </c>
      <c r="D126" s="374">
        <f>IF(F125+SUM(E$99:E125)=D$92,F125,D$92-SUM(E$99:E125))</f>
        <v>1470442.6814454459</v>
      </c>
      <c r="E126" s="522">
        <f t="shared" si="22"/>
        <v>63296.476190476191</v>
      </c>
      <c r="F126" s="523">
        <f t="shared" si="23"/>
        <v>1407146.2052549697</v>
      </c>
      <c r="G126" s="523">
        <f t="shared" si="24"/>
        <v>1438794.4433502078</v>
      </c>
      <c r="H126" s="526">
        <f t="shared" si="25"/>
        <v>218073.10864242335</v>
      </c>
      <c r="I126" s="577">
        <f t="shared" si="26"/>
        <v>218073.10864242335</v>
      </c>
      <c r="J126" s="514">
        <f t="shared" si="21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 ht="12.5">
      <c r="B127" s="195" t="str">
        <f t="shared" si="20"/>
        <v/>
      </c>
      <c r="C127" s="507">
        <f>IF(D93="","-",+C126+1)</f>
        <v>2035</v>
      </c>
      <c r="D127" s="374">
        <f>IF(F126+SUM(E$99:E126)=D$92,F126,D$92-SUM(E$99:E126))</f>
        <v>1407146.2052549697</v>
      </c>
      <c r="E127" s="522">
        <f t="shared" si="22"/>
        <v>63296.476190476191</v>
      </c>
      <c r="F127" s="523">
        <f t="shared" si="23"/>
        <v>1343849.7290644934</v>
      </c>
      <c r="G127" s="523">
        <f t="shared" si="24"/>
        <v>1375497.9671597315</v>
      </c>
      <c r="H127" s="526">
        <f t="shared" si="25"/>
        <v>211264.06411482213</v>
      </c>
      <c r="I127" s="577">
        <f t="shared" si="26"/>
        <v>211264.06411482213</v>
      </c>
      <c r="J127" s="514">
        <f t="shared" si="21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 ht="12.5">
      <c r="B128" s="195" t="str">
        <f t="shared" si="20"/>
        <v/>
      </c>
      <c r="C128" s="507">
        <f>IF(D93="","-",+C127+1)</f>
        <v>2036</v>
      </c>
      <c r="D128" s="374">
        <f>IF(F127+SUM(E$99:E127)=D$92,F127,D$92-SUM(E$99:E127))</f>
        <v>1343849.7290644934</v>
      </c>
      <c r="E128" s="522">
        <f t="shared" si="22"/>
        <v>63296.476190476191</v>
      </c>
      <c r="F128" s="523">
        <f t="shared" si="23"/>
        <v>1280553.2528740172</v>
      </c>
      <c r="G128" s="523">
        <f t="shared" si="24"/>
        <v>1312201.4909692553</v>
      </c>
      <c r="H128" s="526">
        <f t="shared" si="25"/>
        <v>204455.01958722092</v>
      </c>
      <c r="I128" s="577">
        <f t="shared" si="26"/>
        <v>204455.01958722092</v>
      </c>
      <c r="J128" s="514">
        <f t="shared" si="21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 ht="12.5">
      <c r="B129" s="195" t="str">
        <f t="shared" si="20"/>
        <v/>
      </c>
      <c r="C129" s="507">
        <f>IF(D93="","-",+C128+1)</f>
        <v>2037</v>
      </c>
      <c r="D129" s="374">
        <f>IF(F128+SUM(E$99:E128)=D$92,F128,D$92-SUM(E$99:E128))</f>
        <v>1280553.2528740172</v>
      </c>
      <c r="E129" s="522">
        <f t="shared" si="22"/>
        <v>63296.476190476191</v>
      </c>
      <c r="F129" s="523">
        <f t="shared" si="23"/>
        <v>1217256.776683541</v>
      </c>
      <c r="G129" s="523">
        <f t="shared" si="24"/>
        <v>1248905.0147787791</v>
      </c>
      <c r="H129" s="526">
        <f t="shared" si="25"/>
        <v>197645.97505961973</v>
      </c>
      <c r="I129" s="577">
        <f t="shared" si="26"/>
        <v>197645.97505961973</v>
      </c>
      <c r="J129" s="514">
        <f t="shared" si="21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 ht="12.5">
      <c r="B130" s="195" t="str">
        <f t="shared" si="20"/>
        <v/>
      </c>
      <c r="C130" s="507">
        <f>IF(D93="","-",+C129+1)</f>
        <v>2038</v>
      </c>
      <c r="D130" s="374">
        <f>IF(F129+SUM(E$99:E129)=D$92,F129,D$92-SUM(E$99:E129))</f>
        <v>1217256.776683541</v>
      </c>
      <c r="E130" s="522">
        <f t="shared" si="22"/>
        <v>63296.476190476191</v>
      </c>
      <c r="F130" s="523">
        <f t="shared" si="23"/>
        <v>1153960.3004930648</v>
      </c>
      <c r="G130" s="523">
        <f t="shared" si="24"/>
        <v>1185608.5385883029</v>
      </c>
      <c r="H130" s="526">
        <f t="shared" si="25"/>
        <v>190836.93053201851</v>
      </c>
      <c r="I130" s="577">
        <f t="shared" si="26"/>
        <v>190836.93053201851</v>
      </c>
      <c r="J130" s="514">
        <f t="shared" si="21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 ht="12.5">
      <c r="B131" s="195" t="str">
        <f t="shared" si="20"/>
        <v/>
      </c>
      <c r="C131" s="507">
        <f>IF(D93="","-",+C130+1)</f>
        <v>2039</v>
      </c>
      <c r="D131" s="374">
        <f>IF(F130+SUM(E$99:E130)=D$92,F130,D$92-SUM(E$99:E130))</f>
        <v>1153960.3004930648</v>
      </c>
      <c r="E131" s="522">
        <f t="shared" si="22"/>
        <v>63296.476190476191</v>
      </c>
      <c r="F131" s="523">
        <f t="shared" si="23"/>
        <v>1090663.8243025886</v>
      </c>
      <c r="G131" s="523">
        <f t="shared" si="24"/>
        <v>1122312.0623978267</v>
      </c>
      <c r="H131" s="526">
        <f t="shared" si="25"/>
        <v>184027.88600441729</v>
      </c>
      <c r="I131" s="577">
        <f t="shared" si="26"/>
        <v>184027.88600441729</v>
      </c>
      <c r="J131" s="514">
        <f t="shared" si="21"/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 ht="12.5">
      <c r="B132" s="195" t="str">
        <f t="shared" si="20"/>
        <v/>
      </c>
      <c r="C132" s="507">
        <f>IF(D93="","-",+C131+1)</f>
        <v>2040</v>
      </c>
      <c r="D132" s="374">
        <f>IF(F131+SUM(E$99:E131)=D$92,F131,D$92-SUM(E$99:E131))</f>
        <v>1090663.8243025886</v>
      </c>
      <c r="E132" s="522">
        <f t="shared" si="22"/>
        <v>63296.476190476191</v>
      </c>
      <c r="F132" s="523">
        <f t="shared" si="23"/>
        <v>1027367.3481121124</v>
      </c>
      <c r="G132" s="523">
        <f t="shared" si="24"/>
        <v>1059015.5862073505</v>
      </c>
      <c r="H132" s="526">
        <f t="shared" si="25"/>
        <v>177218.8414768161</v>
      </c>
      <c r="I132" s="577">
        <f t="shared" si="26"/>
        <v>177218.8414768161</v>
      </c>
      <c r="J132" s="514">
        <f t="shared" si="21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 ht="12.5">
      <c r="B133" s="195" t="str">
        <f t="shared" si="20"/>
        <v/>
      </c>
      <c r="C133" s="507">
        <f>IF(D93="","-",+C132+1)</f>
        <v>2041</v>
      </c>
      <c r="D133" s="374">
        <f>IF(F132+SUM(E$99:E132)=D$92,F132,D$92-SUM(E$99:E132))</f>
        <v>1027367.3481121124</v>
      </c>
      <c r="E133" s="522">
        <f t="shared" si="22"/>
        <v>63296.476190476191</v>
      </c>
      <c r="F133" s="523">
        <f t="shared" si="23"/>
        <v>964070.87192163616</v>
      </c>
      <c r="G133" s="523">
        <f t="shared" si="24"/>
        <v>995719.11001687427</v>
      </c>
      <c r="H133" s="526">
        <f t="shared" si="25"/>
        <v>170409.79694921488</v>
      </c>
      <c r="I133" s="577">
        <f t="shared" si="26"/>
        <v>170409.79694921488</v>
      </c>
      <c r="J133" s="514">
        <f t="shared" si="21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 ht="12.5">
      <c r="B134" s="195" t="str">
        <f t="shared" si="20"/>
        <v/>
      </c>
      <c r="C134" s="507">
        <f>IF(D93="","-",+C133+1)</f>
        <v>2042</v>
      </c>
      <c r="D134" s="374">
        <f>IF(F133+SUM(E$99:E133)=D$92,F133,D$92-SUM(E$99:E133))</f>
        <v>964070.87192163616</v>
      </c>
      <c r="E134" s="522">
        <f t="shared" si="22"/>
        <v>63296.476190476191</v>
      </c>
      <c r="F134" s="523">
        <f t="shared" si="23"/>
        <v>900774.39573115995</v>
      </c>
      <c r="G134" s="523">
        <f t="shared" si="24"/>
        <v>932422.63382639806</v>
      </c>
      <c r="H134" s="526">
        <f t="shared" si="25"/>
        <v>163600.75242161367</v>
      </c>
      <c r="I134" s="577">
        <f t="shared" si="26"/>
        <v>163600.75242161367</v>
      </c>
      <c r="J134" s="514">
        <f t="shared" si="21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 ht="12.5">
      <c r="B135" s="195" t="str">
        <f t="shared" si="20"/>
        <v/>
      </c>
      <c r="C135" s="507">
        <f>IF(D93="","-",+C134+1)</f>
        <v>2043</v>
      </c>
      <c r="D135" s="374">
        <f>IF(F134+SUM(E$99:E134)=D$92,F134,D$92-SUM(E$99:E134))</f>
        <v>900774.39573115995</v>
      </c>
      <c r="E135" s="522">
        <f t="shared" si="22"/>
        <v>63296.476190476191</v>
      </c>
      <c r="F135" s="523">
        <f t="shared" si="23"/>
        <v>837477.91954068374</v>
      </c>
      <c r="G135" s="523">
        <f t="shared" si="24"/>
        <v>869126.15763592185</v>
      </c>
      <c r="H135" s="526">
        <f t="shared" si="25"/>
        <v>156791.70789401245</v>
      </c>
      <c r="I135" s="577">
        <f t="shared" si="26"/>
        <v>156791.70789401245</v>
      </c>
      <c r="J135" s="514">
        <f t="shared" si="21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 ht="12.5">
      <c r="B136" s="195" t="str">
        <f t="shared" si="20"/>
        <v/>
      </c>
      <c r="C136" s="507">
        <f>IF(D93="","-",+C135+1)</f>
        <v>2044</v>
      </c>
      <c r="D136" s="374">
        <f>IF(F135+SUM(E$99:E135)=D$92,F135,D$92-SUM(E$99:E135))</f>
        <v>837477.91954068374</v>
      </c>
      <c r="E136" s="522">
        <f t="shared" si="22"/>
        <v>63296.476190476191</v>
      </c>
      <c r="F136" s="523">
        <f t="shared" si="23"/>
        <v>774181.44335020753</v>
      </c>
      <c r="G136" s="523">
        <f t="shared" si="24"/>
        <v>805829.68144544563</v>
      </c>
      <c r="H136" s="526">
        <f t="shared" si="25"/>
        <v>149982.66336641126</v>
      </c>
      <c r="I136" s="577">
        <f t="shared" si="26"/>
        <v>149982.66336641126</v>
      </c>
      <c r="J136" s="514">
        <f t="shared" si="21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 ht="12.5">
      <c r="B137" s="195" t="str">
        <f t="shared" si="20"/>
        <v/>
      </c>
      <c r="C137" s="507">
        <f>IF(D93="","-",+C136+1)</f>
        <v>2045</v>
      </c>
      <c r="D137" s="374">
        <f>IF(F136+SUM(E$99:E136)=D$92,F136,D$92-SUM(E$99:E136))</f>
        <v>774181.44335020753</v>
      </c>
      <c r="E137" s="522">
        <f t="shared" si="22"/>
        <v>63296.476190476191</v>
      </c>
      <c r="F137" s="523">
        <f t="shared" si="23"/>
        <v>710884.96715973131</v>
      </c>
      <c r="G137" s="523">
        <f t="shared" si="24"/>
        <v>742533.20525496942</v>
      </c>
      <c r="H137" s="526">
        <f t="shared" si="25"/>
        <v>143173.61883881004</v>
      </c>
      <c r="I137" s="577">
        <f t="shared" si="26"/>
        <v>143173.61883881004</v>
      </c>
      <c r="J137" s="514">
        <f t="shared" si="21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 ht="12.5">
      <c r="B138" s="195" t="str">
        <f t="shared" si="20"/>
        <v/>
      </c>
      <c r="C138" s="507">
        <f>IF(D93="","-",+C137+1)</f>
        <v>2046</v>
      </c>
      <c r="D138" s="374">
        <f>IF(F137+SUM(E$99:E137)=D$92,F137,D$92-SUM(E$99:E137))</f>
        <v>710884.96715973131</v>
      </c>
      <c r="E138" s="522">
        <f t="shared" si="22"/>
        <v>63296.476190476191</v>
      </c>
      <c r="F138" s="523">
        <f t="shared" si="23"/>
        <v>647588.4909692551</v>
      </c>
      <c r="G138" s="523">
        <f t="shared" si="24"/>
        <v>679236.72906449321</v>
      </c>
      <c r="H138" s="526">
        <f t="shared" si="25"/>
        <v>136364.57431120882</v>
      </c>
      <c r="I138" s="577">
        <f t="shared" si="26"/>
        <v>136364.57431120882</v>
      </c>
      <c r="J138" s="514">
        <f t="shared" si="21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 ht="12.5">
      <c r="B139" s="195" t="str">
        <f t="shared" si="20"/>
        <v/>
      </c>
      <c r="C139" s="507">
        <f>IF(D93="","-",+C138+1)</f>
        <v>2047</v>
      </c>
      <c r="D139" s="374">
        <f>IF(F138+SUM(E$99:E138)=D$92,F138,D$92-SUM(E$99:E138))</f>
        <v>647588.4909692551</v>
      </c>
      <c r="E139" s="522">
        <f t="shared" si="22"/>
        <v>63296.476190476191</v>
      </c>
      <c r="F139" s="523">
        <f t="shared" si="23"/>
        <v>584292.01477877889</v>
      </c>
      <c r="G139" s="523">
        <f t="shared" si="24"/>
        <v>615940.25287401699</v>
      </c>
      <c r="H139" s="526">
        <f t="shared" si="25"/>
        <v>129555.52978360764</v>
      </c>
      <c r="I139" s="577">
        <f t="shared" si="26"/>
        <v>129555.52978360764</v>
      </c>
      <c r="J139" s="514">
        <f t="shared" si="21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 ht="12.5">
      <c r="B140" s="195" t="str">
        <f t="shared" si="20"/>
        <v/>
      </c>
      <c r="C140" s="507">
        <f>IF(D93="","-",+C139+1)</f>
        <v>2048</v>
      </c>
      <c r="D140" s="374">
        <f>IF(F139+SUM(E$99:E139)=D$92,F139,D$92-SUM(E$99:E139))</f>
        <v>584292.01477877889</v>
      </c>
      <c r="E140" s="522">
        <f t="shared" si="22"/>
        <v>63296.476190476191</v>
      </c>
      <c r="F140" s="523">
        <f t="shared" si="23"/>
        <v>520995.53858830268</v>
      </c>
      <c r="G140" s="523">
        <f t="shared" si="24"/>
        <v>552643.77668354078</v>
      </c>
      <c r="H140" s="526">
        <f t="shared" si="25"/>
        <v>122746.48525600642</v>
      </c>
      <c r="I140" s="577">
        <f t="shared" si="26"/>
        <v>122746.48525600642</v>
      </c>
      <c r="J140" s="514">
        <f t="shared" si="21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 ht="12.5">
      <c r="B141" s="195" t="str">
        <f t="shared" si="20"/>
        <v/>
      </c>
      <c r="C141" s="507">
        <f>IF(D93="","-",+C140+1)</f>
        <v>2049</v>
      </c>
      <c r="D141" s="374">
        <f>IF(F140+SUM(E$99:E140)=D$92,F140,D$92-SUM(E$99:E140))</f>
        <v>520995.53858830268</v>
      </c>
      <c r="E141" s="522">
        <f t="shared" si="22"/>
        <v>63296.476190476191</v>
      </c>
      <c r="F141" s="523">
        <f t="shared" si="23"/>
        <v>457699.06239782646</v>
      </c>
      <c r="G141" s="523">
        <f t="shared" si="24"/>
        <v>489347.30049306457</v>
      </c>
      <c r="H141" s="526">
        <f t="shared" si="25"/>
        <v>115937.4407284052</v>
      </c>
      <c r="I141" s="577">
        <f t="shared" si="26"/>
        <v>115937.4407284052</v>
      </c>
      <c r="J141" s="514">
        <f t="shared" si="21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 ht="12.5">
      <c r="B142" s="195" t="str">
        <f t="shared" si="20"/>
        <v/>
      </c>
      <c r="C142" s="507">
        <f>IF(D93="","-",+C141+1)</f>
        <v>2050</v>
      </c>
      <c r="D142" s="374">
        <f>IF(F141+SUM(E$99:E141)=D$92,F141,D$92-SUM(E$99:E141))</f>
        <v>457699.06239782646</v>
      </c>
      <c r="E142" s="522">
        <f t="shared" si="22"/>
        <v>63296.476190476191</v>
      </c>
      <c r="F142" s="523">
        <f t="shared" si="23"/>
        <v>394402.58620735025</v>
      </c>
      <c r="G142" s="523">
        <f t="shared" si="24"/>
        <v>426050.82430258836</v>
      </c>
      <c r="H142" s="526">
        <f t="shared" si="25"/>
        <v>109128.39620080398</v>
      </c>
      <c r="I142" s="577">
        <f t="shared" si="26"/>
        <v>109128.39620080398</v>
      </c>
      <c r="J142" s="514">
        <f t="shared" si="21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 ht="12.5">
      <c r="B143" s="195" t="str">
        <f t="shared" si="20"/>
        <v/>
      </c>
      <c r="C143" s="507">
        <f>IF(D93="","-",+C142+1)</f>
        <v>2051</v>
      </c>
      <c r="D143" s="374">
        <f>IF(F142+SUM(E$99:E142)=D$92,F142,D$92-SUM(E$99:E142))</f>
        <v>394402.58620735025</v>
      </c>
      <c r="E143" s="522">
        <f t="shared" si="22"/>
        <v>63296.476190476191</v>
      </c>
      <c r="F143" s="523">
        <f t="shared" si="23"/>
        <v>331106.11001687404</v>
      </c>
      <c r="G143" s="523">
        <f t="shared" si="24"/>
        <v>362754.34811211214</v>
      </c>
      <c r="H143" s="526">
        <f t="shared" si="25"/>
        <v>102319.35167320278</v>
      </c>
      <c r="I143" s="577">
        <f t="shared" si="26"/>
        <v>102319.35167320278</v>
      </c>
      <c r="J143" s="514">
        <f t="shared" si="21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 ht="12.5">
      <c r="B144" s="195" t="str">
        <f t="shared" si="20"/>
        <v/>
      </c>
      <c r="C144" s="507">
        <f>IF(D93="","-",+C143+1)</f>
        <v>2052</v>
      </c>
      <c r="D144" s="374">
        <f>IF(F143+SUM(E$99:E143)=D$92,F143,D$92-SUM(E$99:E143))</f>
        <v>331106.11001687404</v>
      </c>
      <c r="E144" s="522">
        <f t="shared" si="22"/>
        <v>63296.476190476191</v>
      </c>
      <c r="F144" s="523">
        <f t="shared" si="23"/>
        <v>267809.63382639783</v>
      </c>
      <c r="G144" s="523">
        <f t="shared" si="24"/>
        <v>299457.87192163593</v>
      </c>
      <c r="H144" s="526">
        <f t="shared" si="25"/>
        <v>95510.307145601575</v>
      </c>
      <c r="I144" s="577">
        <f t="shared" si="26"/>
        <v>95510.307145601575</v>
      </c>
      <c r="J144" s="514">
        <f t="shared" si="21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 ht="12.5">
      <c r="B145" s="195" t="str">
        <f t="shared" si="20"/>
        <v/>
      </c>
      <c r="C145" s="507">
        <f>IF(D93="","-",+C144+1)</f>
        <v>2053</v>
      </c>
      <c r="D145" s="374">
        <f>IF(F144+SUM(E$99:E144)=D$92,F144,D$92-SUM(E$99:E144))</f>
        <v>267809.63382639783</v>
      </c>
      <c r="E145" s="522">
        <f t="shared" si="22"/>
        <v>63296.476190476191</v>
      </c>
      <c r="F145" s="523">
        <f t="shared" si="23"/>
        <v>204513.15763592164</v>
      </c>
      <c r="G145" s="523">
        <f t="shared" si="24"/>
        <v>236161.39573115972</v>
      </c>
      <c r="H145" s="526">
        <f t="shared" si="25"/>
        <v>88701.262618000357</v>
      </c>
      <c r="I145" s="577">
        <f t="shared" si="26"/>
        <v>88701.262618000357</v>
      </c>
      <c r="J145" s="514">
        <f t="shared" si="21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 ht="12.5">
      <c r="B146" s="195" t="str">
        <f t="shared" si="20"/>
        <v/>
      </c>
      <c r="C146" s="507">
        <f>IF(D93="","-",+C145+1)</f>
        <v>2054</v>
      </c>
      <c r="D146" s="374">
        <f>IF(F145+SUM(E$99:E145)=D$92,F145,D$92-SUM(E$99:E145))</f>
        <v>204513.15763592164</v>
      </c>
      <c r="E146" s="522">
        <f t="shared" si="22"/>
        <v>63296.476190476191</v>
      </c>
      <c r="F146" s="523">
        <f t="shared" si="23"/>
        <v>141216.68144544546</v>
      </c>
      <c r="G146" s="523">
        <f t="shared" si="24"/>
        <v>172864.91954068356</v>
      </c>
      <c r="H146" s="526">
        <f t="shared" si="25"/>
        <v>81892.218090399154</v>
      </c>
      <c r="I146" s="577">
        <f t="shared" si="26"/>
        <v>81892.218090399154</v>
      </c>
      <c r="J146" s="514">
        <f t="shared" si="21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 ht="12.5">
      <c r="B147" s="195" t="str">
        <f t="shared" si="20"/>
        <v/>
      </c>
      <c r="C147" s="507">
        <f>IF(D93="","-",+C146+1)</f>
        <v>2055</v>
      </c>
      <c r="D147" s="374">
        <f>IF(F146+SUM(E$99:E146)=D$92,F146,D$92-SUM(E$99:E146))</f>
        <v>141216.68144544546</v>
      </c>
      <c r="E147" s="522">
        <f t="shared" si="22"/>
        <v>63296.476190476191</v>
      </c>
      <c r="F147" s="523">
        <f t="shared" si="23"/>
        <v>77920.205254969274</v>
      </c>
      <c r="G147" s="523">
        <f t="shared" si="24"/>
        <v>109568.44335020737</v>
      </c>
      <c r="H147" s="526">
        <f t="shared" si="25"/>
        <v>75083.173562797951</v>
      </c>
      <c r="I147" s="577">
        <f t="shared" si="26"/>
        <v>75083.173562797951</v>
      </c>
      <c r="J147" s="514">
        <f t="shared" si="21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 ht="12.5">
      <c r="B148" s="195" t="str">
        <f t="shared" si="20"/>
        <v/>
      </c>
      <c r="C148" s="507">
        <f>IF(D93="","-",+C147+1)</f>
        <v>2056</v>
      </c>
      <c r="D148" s="374">
        <f>IF(F147+SUM(E$99:E147)=D$92,F147,D$92-SUM(E$99:E147))</f>
        <v>77920.205254969274</v>
      </c>
      <c r="E148" s="522">
        <f t="shared" si="22"/>
        <v>63296.476190476191</v>
      </c>
      <c r="F148" s="523">
        <f t="shared" si="23"/>
        <v>14623.729064493084</v>
      </c>
      <c r="G148" s="523">
        <f t="shared" si="24"/>
        <v>46271.967159731183</v>
      </c>
      <c r="H148" s="526">
        <f t="shared" si="25"/>
        <v>68274.129035196747</v>
      </c>
      <c r="I148" s="577">
        <f t="shared" si="26"/>
        <v>68274.129035196747</v>
      </c>
      <c r="J148" s="514">
        <f t="shared" si="21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 ht="12.5">
      <c r="B149" s="195" t="str">
        <f t="shared" si="20"/>
        <v/>
      </c>
      <c r="C149" s="507">
        <f>IF(D93="","-",+C148+1)</f>
        <v>2057</v>
      </c>
      <c r="D149" s="374">
        <f>IF(F148+SUM(E$99:E148)=D$92,F148,D$92-SUM(E$99:E148))</f>
        <v>14623.729064493084</v>
      </c>
      <c r="E149" s="522">
        <f t="shared" si="22"/>
        <v>14623.729064493084</v>
      </c>
      <c r="F149" s="523">
        <f t="shared" si="23"/>
        <v>0</v>
      </c>
      <c r="G149" s="523">
        <f t="shared" si="24"/>
        <v>7311.8645322465418</v>
      </c>
      <c r="H149" s="526">
        <f t="shared" si="25"/>
        <v>15410.294354953057</v>
      </c>
      <c r="I149" s="577">
        <f t="shared" si="26"/>
        <v>15410.294354953057</v>
      </c>
      <c r="J149" s="514">
        <f t="shared" si="21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 ht="12.5">
      <c r="B150" s="195" t="str">
        <f t="shared" si="20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 t="shared" si="22"/>
        <v>0</v>
      </c>
      <c r="F150" s="523">
        <f t="shared" si="23"/>
        <v>0</v>
      </c>
      <c r="G150" s="523">
        <f t="shared" si="24"/>
        <v>0</v>
      </c>
      <c r="H150" s="526">
        <f t="shared" si="25"/>
        <v>0</v>
      </c>
      <c r="I150" s="577">
        <f t="shared" si="26"/>
        <v>0</v>
      </c>
      <c r="J150" s="514">
        <f t="shared" si="21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 ht="12.5">
      <c r="B151" s="195" t="str">
        <f t="shared" si="20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 t="shared" si="22"/>
        <v>0</v>
      </c>
      <c r="F151" s="523">
        <f t="shared" si="23"/>
        <v>0</v>
      </c>
      <c r="G151" s="523">
        <f t="shared" si="24"/>
        <v>0</v>
      </c>
      <c r="H151" s="526">
        <f t="shared" si="25"/>
        <v>0</v>
      </c>
      <c r="I151" s="577">
        <f t="shared" si="26"/>
        <v>0</v>
      </c>
      <c r="J151" s="514">
        <f t="shared" si="21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 ht="12.5">
      <c r="B152" s="195" t="str">
        <f t="shared" si="20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 t="shared" si="22"/>
        <v>0</v>
      </c>
      <c r="F152" s="523">
        <f t="shared" si="23"/>
        <v>0</v>
      </c>
      <c r="G152" s="523">
        <f t="shared" si="24"/>
        <v>0</v>
      </c>
      <c r="H152" s="526">
        <f t="shared" si="25"/>
        <v>0</v>
      </c>
      <c r="I152" s="577">
        <f t="shared" si="26"/>
        <v>0</v>
      </c>
      <c r="J152" s="514">
        <f t="shared" si="21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 ht="12.5">
      <c r="B153" s="195" t="str">
        <f t="shared" si="20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 t="shared" si="22"/>
        <v>0</v>
      </c>
      <c r="F153" s="523">
        <f t="shared" si="23"/>
        <v>0</v>
      </c>
      <c r="G153" s="523">
        <f t="shared" si="24"/>
        <v>0</v>
      </c>
      <c r="H153" s="526">
        <f t="shared" si="25"/>
        <v>0</v>
      </c>
      <c r="I153" s="577">
        <f t="shared" si="26"/>
        <v>0</v>
      </c>
      <c r="J153" s="514">
        <f t="shared" si="21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" thickBot="1">
      <c r="B154" s="195" t="str">
        <f t="shared" si="20"/>
        <v/>
      </c>
      <c r="C154" s="527">
        <f>IF(D93="","-",+C153+1)</f>
        <v>2062</v>
      </c>
      <c r="D154" s="374">
        <f>IF(F153+SUM(E$99:E153)=D$92,F153,D$92-SUM(E$99:E153))</f>
        <v>0</v>
      </c>
      <c r="E154" s="522">
        <f t="shared" si="22"/>
        <v>0</v>
      </c>
      <c r="F154" s="523">
        <f t="shared" si="23"/>
        <v>0</v>
      </c>
      <c r="G154" s="523">
        <f t="shared" si="24"/>
        <v>0</v>
      </c>
      <c r="H154" s="526">
        <f t="shared" si="25"/>
        <v>0</v>
      </c>
      <c r="I154" s="577">
        <f t="shared" si="26"/>
        <v>0</v>
      </c>
      <c r="J154" s="514">
        <f t="shared" si="21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 ht="12.5">
      <c r="C155" s="374" t="s">
        <v>78</v>
      </c>
      <c r="D155" s="375"/>
      <c r="E155" s="375">
        <f>SUM(E99:E154)</f>
        <v>2658451.9999999995</v>
      </c>
      <c r="F155" s="375"/>
      <c r="G155" s="375"/>
      <c r="H155" s="375">
        <f>SUM(H99:H154)</f>
        <v>8807110.2694132701</v>
      </c>
      <c r="I155" s="375">
        <f>SUM(I99:I154)</f>
        <v>8807110.2694132701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0" priority="1" stopIfTrue="1" operator="equal">
      <formula>$I$10</formula>
    </cfRule>
  </conditionalFormatting>
  <conditionalFormatting sqref="C99:C154">
    <cfRule type="cellIs" dxfId="6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theme="9" tint="-0.249977111117893"/>
  </sheetPr>
  <dimension ref="A1:P162"/>
  <sheetViews>
    <sheetView view="pageBreakPreview" topLeftCell="A79" zoomScale="82" zoomScaleNormal="100" zoomScaleSheetLayoutView="82" workbookViewId="0">
      <selection activeCell="D105" sqref="D105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46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1586061.814731969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1586061.814731969</v>
      </c>
      <c r="O6" s="269"/>
      <c r="P6" s="269"/>
    </row>
    <row r="7" spans="1:16" ht="13.5" thickBot="1">
      <c r="C7" s="467" t="s">
        <v>48</v>
      </c>
      <c r="D7" s="624" t="s">
        <v>336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335</v>
      </c>
      <c r="E9" s="637"/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16318844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388543.90476190473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629">
        <v>16318844</v>
      </c>
      <c r="E17" s="638">
        <v>226650.61111111109</v>
      </c>
      <c r="F17" s="629">
        <v>16092193.388888888</v>
      </c>
      <c r="G17" s="638">
        <v>2397656.6000633142</v>
      </c>
      <c r="H17" s="639">
        <v>2397656.6000633142</v>
      </c>
      <c r="I17" s="511">
        <v>0</v>
      </c>
      <c r="J17" s="511"/>
      <c r="K17" s="512">
        <f t="shared" ref="K17:K23" si="0">G17</f>
        <v>2397656.6000633142</v>
      </c>
      <c r="L17" s="597">
        <f t="shared" ref="L17:L23" si="1">IF(K17&lt;&gt;0,+G17-K17,0)</f>
        <v>0</v>
      </c>
      <c r="M17" s="512">
        <f t="shared" ref="M17:M23" si="2">H17</f>
        <v>2397656.6000633142</v>
      </c>
      <c r="N17" s="513">
        <f t="shared" ref="N17:N23" si="3">IF(M17&lt;&gt;0,+H17-M17,0)</f>
        <v>0</v>
      </c>
      <c r="O17" s="514">
        <f t="shared" ref="O17:O23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2009</v>
      </c>
      <c r="D18" s="631">
        <v>16092193.388888888</v>
      </c>
      <c r="E18" s="630">
        <v>388543.90476190473</v>
      </c>
      <c r="F18" s="631">
        <v>15703649.484126983</v>
      </c>
      <c r="G18" s="630">
        <v>2507131.2380452421</v>
      </c>
      <c r="H18" s="639">
        <v>2507131.2380452421</v>
      </c>
      <c r="I18" s="511">
        <v>0</v>
      </c>
      <c r="J18" s="511"/>
      <c r="K18" s="518">
        <f t="shared" si="0"/>
        <v>2507131.2380452421</v>
      </c>
      <c r="L18" s="519">
        <f t="shared" si="1"/>
        <v>0</v>
      </c>
      <c r="M18" s="518">
        <f t="shared" si="2"/>
        <v>2507131.2380452421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2010</v>
      </c>
      <c r="D19" s="631">
        <v>15703649.484126983</v>
      </c>
      <c r="E19" s="630">
        <v>388543.90476190473</v>
      </c>
      <c r="F19" s="631">
        <v>15315105.579365078</v>
      </c>
      <c r="G19" s="630">
        <v>2454712.5823763758</v>
      </c>
      <c r="H19" s="639">
        <v>2454712.5823763758</v>
      </c>
      <c r="I19" s="511">
        <v>0</v>
      </c>
      <c r="J19" s="511"/>
      <c r="K19" s="518">
        <f t="shared" si="0"/>
        <v>2454712.5823763758</v>
      </c>
      <c r="L19" s="519">
        <f t="shared" si="1"/>
        <v>0</v>
      </c>
      <c r="M19" s="518">
        <f t="shared" si="2"/>
        <v>2454712.5823763758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2011</v>
      </c>
      <c r="D20" s="631">
        <v>15315105.579365078</v>
      </c>
      <c r="E20" s="630">
        <v>388543.90476190473</v>
      </c>
      <c r="F20" s="631">
        <v>14926561.674603174</v>
      </c>
      <c r="G20" s="630">
        <v>2402293.9267075099</v>
      </c>
      <c r="H20" s="639">
        <v>2402293.9267075099</v>
      </c>
      <c r="I20" s="511">
        <v>0</v>
      </c>
      <c r="J20" s="511"/>
      <c r="K20" s="518">
        <f t="shared" si="0"/>
        <v>2402293.9267075099</v>
      </c>
      <c r="L20" s="519">
        <f t="shared" si="1"/>
        <v>0</v>
      </c>
      <c r="M20" s="518">
        <f t="shared" si="2"/>
        <v>2402293.9267075099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2012</v>
      </c>
      <c r="D21" s="631">
        <v>14926561.674603174</v>
      </c>
      <c r="E21" s="630">
        <v>388543.90476190473</v>
      </c>
      <c r="F21" s="631">
        <v>14538017.769841269</v>
      </c>
      <c r="G21" s="630">
        <v>2349875.2710386436</v>
      </c>
      <c r="H21" s="639">
        <v>2349875.2710386436</v>
      </c>
      <c r="I21" s="511">
        <v>0</v>
      </c>
      <c r="J21" s="511"/>
      <c r="K21" s="518">
        <f t="shared" si="0"/>
        <v>2349875.2710386436</v>
      </c>
      <c r="L21" s="519">
        <f t="shared" si="1"/>
        <v>0</v>
      </c>
      <c r="M21" s="518">
        <f t="shared" si="2"/>
        <v>2349875.2710386436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2013</v>
      </c>
      <c r="D22" s="631">
        <v>14538017.769841269</v>
      </c>
      <c r="E22" s="630">
        <v>388543.90476190473</v>
      </c>
      <c r="F22" s="631">
        <v>14149473.865079364</v>
      </c>
      <c r="G22" s="630">
        <v>2297456.6153697777</v>
      </c>
      <c r="H22" s="639">
        <v>2297456.6153697777</v>
      </c>
      <c r="I22" s="511">
        <v>0</v>
      </c>
      <c r="J22" s="511"/>
      <c r="K22" s="518">
        <f t="shared" si="0"/>
        <v>2297456.6153697777</v>
      </c>
      <c r="L22" s="519">
        <f t="shared" si="1"/>
        <v>0</v>
      </c>
      <c r="M22" s="518">
        <f t="shared" si="2"/>
        <v>2297456.6153697777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2014</v>
      </c>
      <c r="D23" s="631">
        <v>14149473.865079364</v>
      </c>
      <c r="E23" s="630">
        <v>388543.90476190473</v>
      </c>
      <c r="F23" s="631">
        <v>13760929.960317459</v>
      </c>
      <c r="G23" s="630">
        <v>2245037.9597009113</v>
      </c>
      <c r="H23" s="639">
        <v>2245037.9597009113</v>
      </c>
      <c r="I23" s="511">
        <v>0</v>
      </c>
      <c r="J23" s="511"/>
      <c r="K23" s="518">
        <f t="shared" si="0"/>
        <v>2245037.9597009113</v>
      </c>
      <c r="L23" s="519">
        <f t="shared" si="1"/>
        <v>0</v>
      </c>
      <c r="M23" s="518">
        <f t="shared" si="2"/>
        <v>2245037.9597009113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5"/>
        <v/>
      </c>
      <c r="C24" s="507">
        <f>IF(D11="","-",+C23+1)</f>
        <v>2015</v>
      </c>
      <c r="D24" s="631">
        <v>13760929.960317459</v>
      </c>
      <c r="E24" s="630">
        <v>388543.90476190473</v>
      </c>
      <c r="F24" s="631">
        <v>13372386.055555554</v>
      </c>
      <c r="G24" s="630">
        <v>2149751.3487712028</v>
      </c>
      <c r="H24" s="639">
        <v>2149751.3487712028</v>
      </c>
      <c r="I24" s="511">
        <v>0</v>
      </c>
      <c r="J24" s="511"/>
      <c r="K24" s="518">
        <f t="shared" ref="K24:K29" si="6">G24</f>
        <v>2149751.3487712028</v>
      </c>
      <c r="L24" s="519">
        <f t="shared" ref="L24:L29" si="7">IF(K24&lt;&gt;0,+G24-K24,0)</f>
        <v>0</v>
      </c>
      <c r="M24" s="518">
        <f t="shared" ref="M24:M29" si="8">H24</f>
        <v>2149751.3487712028</v>
      </c>
      <c r="N24" s="514">
        <f>IF(M24&lt;&gt;0,+H24-M24,0)</f>
        <v>0</v>
      </c>
      <c r="O24" s="514">
        <f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2016</v>
      </c>
      <c r="D25" s="631">
        <v>13372386.055555554</v>
      </c>
      <c r="E25" s="630">
        <v>388543.90476190473</v>
      </c>
      <c r="F25" s="631">
        <v>12983842.150793649</v>
      </c>
      <c r="G25" s="630">
        <v>2077481.7673867224</v>
      </c>
      <c r="H25" s="639">
        <v>2077481.7673867224</v>
      </c>
      <c r="I25" s="511">
        <f t="shared" ref="I25:I33" si="9">H25-G25</f>
        <v>0</v>
      </c>
      <c r="J25" s="511"/>
      <c r="K25" s="518">
        <f t="shared" si="6"/>
        <v>2077481.7673867224</v>
      </c>
      <c r="L25" s="519">
        <f t="shared" si="7"/>
        <v>0</v>
      </c>
      <c r="M25" s="518">
        <f t="shared" si="8"/>
        <v>2077481.7673867224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2017</v>
      </c>
      <c r="D26" s="631">
        <v>12983842.150793649</v>
      </c>
      <c r="E26" s="630">
        <v>379508</v>
      </c>
      <c r="F26" s="631">
        <v>12604334.150793649</v>
      </c>
      <c r="G26" s="630">
        <v>1964599.9963135775</v>
      </c>
      <c r="H26" s="639">
        <v>1964599.9963135775</v>
      </c>
      <c r="I26" s="511">
        <f t="shared" si="9"/>
        <v>0</v>
      </c>
      <c r="J26" s="511"/>
      <c r="K26" s="518">
        <f t="shared" si="6"/>
        <v>1964599.9963135775</v>
      </c>
      <c r="L26" s="519">
        <f t="shared" si="7"/>
        <v>0</v>
      </c>
      <c r="M26" s="518">
        <f t="shared" si="8"/>
        <v>1964599.9963135775</v>
      </c>
      <c r="N26" s="514">
        <f>IF(M26&lt;&gt;0,+H26-M26,0)</f>
        <v>0</v>
      </c>
      <c r="O26" s="514">
        <f>+N26-L26</f>
        <v>0</v>
      </c>
      <c r="P26" s="272"/>
    </row>
    <row r="27" spans="2:16" ht="12.5">
      <c r="B27" s="195" t="str">
        <f t="shared" si="5"/>
        <v/>
      </c>
      <c r="C27" s="507">
        <f>IF(D11="","-",+C26+1)</f>
        <v>2018</v>
      </c>
      <c r="D27" s="631">
        <v>12604334.150793649</v>
      </c>
      <c r="E27" s="630">
        <v>398020.58536585368</v>
      </c>
      <c r="F27" s="631">
        <v>12206313.565427795</v>
      </c>
      <c r="G27" s="630">
        <v>1974664.0430256741</v>
      </c>
      <c r="H27" s="639">
        <v>1974664.0430256741</v>
      </c>
      <c r="I27" s="511">
        <f t="shared" si="9"/>
        <v>0</v>
      </c>
      <c r="J27" s="511"/>
      <c r="K27" s="518">
        <f t="shared" si="6"/>
        <v>1974664.0430256741</v>
      </c>
      <c r="L27" s="519">
        <f t="shared" si="7"/>
        <v>0</v>
      </c>
      <c r="M27" s="518">
        <f t="shared" si="8"/>
        <v>1974664.0430256741</v>
      </c>
      <c r="N27" s="514">
        <f>IF(M27&lt;&gt;0,+H27-M27,0)</f>
        <v>0</v>
      </c>
      <c r="O27" s="514">
        <f>+N27-L27</f>
        <v>0</v>
      </c>
      <c r="P27" s="272"/>
    </row>
    <row r="28" spans="2:16" ht="12.5">
      <c r="B28" s="195" t="str">
        <f t="shared" si="5"/>
        <v/>
      </c>
      <c r="C28" s="507">
        <f>IF(D11="","-",+C27+1)</f>
        <v>2019</v>
      </c>
      <c r="D28" s="631">
        <v>12206313.565427795</v>
      </c>
      <c r="E28" s="630">
        <v>398020.58536585368</v>
      </c>
      <c r="F28" s="631">
        <v>11808292.980061941</v>
      </c>
      <c r="G28" s="630">
        <v>1924077.9753737026</v>
      </c>
      <c r="H28" s="639">
        <v>1924077.9753737026</v>
      </c>
      <c r="I28" s="511">
        <f t="shared" si="9"/>
        <v>0</v>
      </c>
      <c r="J28" s="511"/>
      <c r="K28" s="518">
        <f t="shared" si="6"/>
        <v>1924077.9753737026</v>
      </c>
      <c r="L28" s="519">
        <f t="shared" si="7"/>
        <v>0</v>
      </c>
      <c r="M28" s="518">
        <f t="shared" si="8"/>
        <v>1924077.9753737026</v>
      </c>
      <c r="N28" s="514">
        <f t="shared" ref="N28:N72" si="10">IF(M28&lt;&gt;0,+H28-M28,0)</f>
        <v>0</v>
      </c>
      <c r="O28" s="514">
        <f t="shared" ref="O28:O72" si="11"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2020</v>
      </c>
      <c r="D29" s="631">
        <v>11808292.980061941</v>
      </c>
      <c r="E29" s="630">
        <v>398020.58536585368</v>
      </c>
      <c r="F29" s="631">
        <v>11410272.394696087</v>
      </c>
      <c r="G29" s="630">
        <v>1586061.814731969</v>
      </c>
      <c r="H29" s="639">
        <v>1586061.814731969</v>
      </c>
      <c r="I29" s="511">
        <f t="shared" si="9"/>
        <v>0</v>
      </c>
      <c r="J29" s="511"/>
      <c r="K29" s="518">
        <f t="shared" si="6"/>
        <v>1586061.814731969</v>
      </c>
      <c r="L29" s="519">
        <f t="shared" si="7"/>
        <v>0</v>
      </c>
      <c r="M29" s="518">
        <f t="shared" si="8"/>
        <v>1586061.814731969</v>
      </c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2021</v>
      </c>
      <c r="D30" s="523">
        <f>IF(F29+SUM(E$17:E29)=D$10,F29,D$10-SUM(E$17:E29))</f>
        <v>11410272.394696087</v>
      </c>
      <c r="E30" s="522">
        <f>IF(+I14&lt;F29,I14,D30)</f>
        <v>388543.90476190473</v>
      </c>
      <c r="F30" s="523">
        <f t="shared" ref="F30:F33" si="12">+D30-E30</f>
        <v>11021728.489934182</v>
      </c>
      <c r="G30" s="524">
        <f t="shared" ref="G30:G72" si="13">+I$12*((D30+F30)/2)+E30</f>
        <v>1586614.3457068955</v>
      </c>
      <c r="H30" s="491">
        <f t="shared" ref="H30:H72" si="14">+I$13*((D30+F30)/2)+E30</f>
        <v>1586614.3457068955</v>
      </c>
      <c r="I30" s="511">
        <f t="shared" si="9"/>
        <v>0</v>
      </c>
      <c r="J30" s="511"/>
      <c r="K30" s="525"/>
      <c r="L30" s="514">
        <f t="shared" ref="L30:L72" si="15">IF(K30&lt;&gt;0,+G30-K30,0)</f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2022</v>
      </c>
      <c r="D31" s="523">
        <f>IF(F30+SUM(E$17:E30)=D$10,F30,D$10-SUM(E$17:E30))</f>
        <v>11021728.489934182</v>
      </c>
      <c r="E31" s="522">
        <f>IF(+I14&lt;F30,I14,D31)</f>
        <v>388543.90476190473</v>
      </c>
      <c r="F31" s="523">
        <f t="shared" si="12"/>
        <v>10633184.585172277</v>
      </c>
      <c r="G31" s="524">
        <f t="shared" si="13"/>
        <v>1545110.8730832357</v>
      </c>
      <c r="H31" s="491">
        <f t="shared" si="14"/>
        <v>1545110.8730832357</v>
      </c>
      <c r="I31" s="511">
        <f t="shared" si="9"/>
        <v>0</v>
      </c>
      <c r="J31" s="511"/>
      <c r="K31" s="525"/>
      <c r="L31" s="514">
        <f t="shared" si="1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2023</v>
      </c>
      <c r="D32" s="523">
        <f>IF(F31+SUM(E$17:E31)=D$10,F31,D$10-SUM(E$17:E31))</f>
        <v>10633184.585172277</v>
      </c>
      <c r="E32" s="522">
        <f>IF(+I14&lt;F31,I14,D32)</f>
        <v>388543.90476190473</v>
      </c>
      <c r="F32" s="523">
        <f t="shared" si="12"/>
        <v>10244640.680410372</v>
      </c>
      <c r="G32" s="524">
        <f t="shared" si="13"/>
        <v>1503607.4004595759</v>
      </c>
      <c r="H32" s="491">
        <f t="shared" si="14"/>
        <v>1503607.4004595759</v>
      </c>
      <c r="I32" s="511">
        <f t="shared" si="9"/>
        <v>0</v>
      </c>
      <c r="J32" s="511"/>
      <c r="K32" s="525"/>
      <c r="L32" s="514">
        <f t="shared" si="1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2024</v>
      </c>
      <c r="D33" s="523">
        <f>IF(F32+SUM(E$17:E32)=D$10,F32,D$10-SUM(E$17:E32))</f>
        <v>10244640.680410372</v>
      </c>
      <c r="E33" s="522">
        <f>IF(+I14&lt;F32,I14,D33)</f>
        <v>388543.90476190473</v>
      </c>
      <c r="F33" s="523">
        <f t="shared" si="12"/>
        <v>9856096.7756484672</v>
      </c>
      <c r="G33" s="524">
        <f t="shared" si="13"/>
        <v>1462103.9278359157</v>
      </c>
      <c r="H33" s="491">
        <f t="shared" si="14"/>
        <v>1462103.9278359157</v>
      </c>
      <c r="I33" s="511">
        <f t="shared" si="9"/>
        <v>0</v>
      </c>
      <c r="J33" s="511"/>
      <c r="K33" s="525"/>
      <c r="L33" s="514">
        <f t="shared" si="1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2025</v>
      </c>
      <c r="D34" s="523">
        <f>IF(F33+SUM(E$17:E33)=D$10,F33,D$10-SUM(E$17:E33))</f>
        <v>9856096.7756484672</v>
      </c>
      <c r="E34" s="522">
        <f>IF(+I14&lt;F33,I14,D34)</f>
        <v>388543.90476190473</v>
      </c>
      <c r="F34" s="523">
        <f t="shared" ref="F34:F72" si="16">+D34-E34</f>
        <v>9467552.8708865624</v>
      </c>
      <c r="G34" s="524">
        <f t="shared" si="13"/>
        <v>1420600.4552122559</v>
      </c>
      <c r="H34" s="491">
        <f t="shared" si="14"/>
        <v>1420600.4552122559</v>
      </c>
      <c r="I34" s="511">
        <f t="shared" ref="I34:I72" si="17">H34-G34</f>
        <v>0</v>
      </c>
      <c r="J34" s="511"/>
      <c r="K34" s="525"/>
      <c r="L34" s="514">
        <f t="shared" si="1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2026</v>
      </c>
      <c r="D35" s="523">
        <f>IF(F34+SUM(E$17:E34)=D$10,F34,D$10-SUM(E$17:E34))</f>
        <v>9467552.8708865624</v>
      </c>
      <c r="E35" s="522">
        <f>IF(+I14&lt;F34,I14,D35)</f>
        <v>388543.90476190473</v>
      </c>
      <c r="F35" s="523">
        <f t="shared" si="16"/>
        <v>9079008.9661246575</v>
      </c>
      <c r="G35" s="524">
        <f t="shared" si="13"/>
        <v>1379096.9825885957</v>
      </c>
      <c r="H35" s="491">
        <f t="shared" si="14"/>
        <v>1379096.9825885957</v>
      </c>
      <c r="I35" s="511">
        <f t="shared" si="17"/>
        <v>0</v>
      </c>
      <c r="J35" s="511"/>
      <c r="K35" s="525"/>
      <c r="L35" s="514">
        <f t="shared" si="1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2027</v>
      </c>
      <c r="D36" s="523">
        <f>IF(F35+SUM(E$17:E35)=D$10,F35,D$10-SUM(E$17:E35))</f>
        <v>9079008.9661246575</v>
      </c>
      <c r="E36" s="522">
        <f>IF(+I14&lt;F35,I14,D36)</f>
        <v>388543.90476190473</v>
      </c>
      <c r="F36" s="523">
        <f t="shared" si="16"/>
        <v>8690465.0613627527</v>
      </c>
      <c r="G36" s="524">
        <f t="shared" si="13"/>
        <v>1337593.5099649359</v>
      </c>
      <c r="H36" s="491">
        <f t="shared" si="14"/>
        <v>1337593.5099649359</v>
      </c>
      <c r="I36" s="511">
        <f t="shared" si="17"/>
        <v>0</v>
      </c>
      <c r="J36" s="511"/>
      <c r="K36" s="525"/>
      <c r="L36" s="514">
        <f t="shared" si="1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2028</v>
      </c>
      <c r="D37" s="523">
        <f>IF(F36+SUM(E$17:E36)=D$10,F36,D$10-SUM(E$17:E36))</f>
        <v>8690465.0613627527</v>
      </c>
      <c r="E37" s="522">
        <f>IF(+I14&lt;F36,I14,D37)</f>
        <v>388543.90476190473</v>
      </c>
      <c r="F37" s="523">
        <f t="shared" si="16"/>
        <v>8301921.1566008478</v>
      </c>
      <c r="G37" s="524">
        <f t="shared" si="13"/>
        <v>1296090.037341276</v>
      </c>
      <c r="H37" s="491">
        <f t="shared" si="14"/>
        <v>1296090.037341276</v>
      </c>
      <c r="I37" s="511">
        <f t="shared" si="17"/>
        <v>0</v>
      </c>
      <c r="J37" s="511"/>
      <c r="K37" s="525"/>
      <c r="L37" s="514">
        <f t="shared" si="1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2029</v>
      </c>
      <c r="D38" s="523">
        <f>IF(F37+SUM(E$17:E37)=D$10,F37,D$10-SUM(E$17:E37))</f>
        <v>8301921.1566008478</v>
      </c>
      <c r="E38" s="522">
        <f>IF(+I14&lt;F37,I14,D38)</f>
        <v>388543.90476190473</v>
      </c>
      <c r="F38" s="523">
        <f t="shared" si="16"/>
        <v>7913377.251838943</v>
      </c>
      <c r="G38" s="524">
        <f t="shared" si="13"/>
        <v>1254586.564717616</v>
      </c>
      <c r="H38" s="491">
        <f t="shared" si="14"/>
        <v>1254586.564717616</v>
      </c>
      <c r="I38" s="511">
        <f t="shared" si="17"/>
        <v>0</v>
      </c>
      <c r="J38" s="511"/>
      <c r="K38" s="525"/>
      <c r="L38" s="514">
        <f t="shared" si="1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2030</v>
      </c>
      <c r="D39" s="523">
        <f>IF(F38+SUM(E$17:E38)=D$10,F38,D$10-SUM(E$17:E38))</f>
        <v>7913377.251838943</v>
      </c>
      <c r="E39" s="522">
        <f>IF(+I14&lt;F38,I14,D39)</f>
        <v>388543.90476190473</v>
      </c>
      <c r="F39" s="523">
        <f t="shared" si="16"/>
        <v>7524833.3470770381</v>
      </c>
      <c r="G39" s="524">
        <f t="shared" si="13"/>
        <v>1213083.0920939562</v>
      </c>
      <c r="H39" s="491">
        <f t="shared" si="14"/>
        <v>1213083.0920939562</v>
      </c>
      <c r="I39" s="511">
        <f t="shared" si="17"/>
        <v>0</v>
      </c>
      <c r="J39" s="511"/>
      <c r="K39" s="525"/>
      <c r="L39" s="514">
        <f t="shared" si="1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2031</v>
      </c>
      <c r="D40" s="523">
        <f>IF(F39+SUM(E$17:E39)=D$10,F39,D$10-SUM(E$17:E39))</f>
        <v>7524833.3470770381</v>
      </c>
      <c r="E40" s="522">
        <f>IF(+I14&lt;F39,I14,D40)</f>
        <v>388543.90476190473</v>
      </c>
      <c r="F40" s="523">
        <f t="shared" si="16"/>
        <v>7136289.4423151333</v>
      </c>
      <c r="G40" s="524">
        <f t="shared" si="13"/>
        <v>1171579.6194702962</v>
      </c>
      <c r="H40" s="491">
        <f t="shared" si="14"/>
        <v>1171579.6194702962</v>
      </c>
      <c r="I40" s="511">
        <f t="shared" si="17"/>
        <v>0</v>
      </c>
      <c r="J40" s="511"/>
      <c r="K40" s="525"/>
      <c r="L40" s="514">
        <f t="shared" si="1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2032</v>
      </c>
      <c r="D41" s="523">
        <f>IF(F40+SUM(E$17:E40)=D$10,F40,D$10-SUM(E$17:E40))</f>
        <v>7136289.4423151333</v>
      </c>
      <c r="E41" s="522">
        <f>IF(+I14&lt;F40,I14,D41)</f>
        <v>388543.90476190473</v>
      </c>
      <c r="F41" s="523">
        <f t="shared" si="16"/>
        <v>6747745.5375532284</v>
      </c>
      <c r="G41" s="524">
        <f t="shared" si="13"/>
        <v>1130076.1468466362</v>
      </c>
      <c r="H41" s="491">
        <f t="shared" si="14"/>
        <v>1130076.1468466362</v>
      </c>
      <c r="I41" s="511">
        <f t="shared" si="17"/>
        <v>0</v>
      </c>
      <c r="J41" s="511"/>
      <c r="K41" s="525"/>
      <c r="L41" s="514">
        <f t="shared" si="1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2033</v>
      </c>
      <c r="D42" s="523">
        <f>IF(F41+SUM(E$17:E41)=D$10,F41,D$10-SUM(E$17:E41))</f>
        <v>6747745.5375532284</v>
      </c>
      <c r="E42" s="522">
        <f>IF(+I14&lt;F41,I14,D42)</f>
        <v>388543.90476190473</v>
      </c>
      <c r="F42" s="523">
        <f t="shared" si="16"/>
        <v>6359201.6327913236</v>
      </c>
      <c r="G42" s="524">
        <f t="shared" si="13"/>
        <v>1088572.6742229764</v>
      </c>
      <c r="H42" s="491">
        <f t="shared" si="14"/>
        <v>1088572.6742229764</v>
      </c>
      <c r="I42" s="511">
        <f t="shared" si="17"/>
        <v>0</v>
      </c>
      <c r="J42" s="511"/>
      <c r="K42" s="525"/>
      <c r="L42" s="514">
        <f t="shared" si="1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2034</v>
      </c>
      <c r="D43" s="523">
        <f>IF(F42+SUM(E$17:E42)=D$10,F42,D$10-SUM(E$17:E42))</f>
        <v>6359201.6327913236</v>
      </c>
      <c r="E43" s="522">
        <f>IF(+I14&lt;F42,I14,D43)</f>
        <v>388543.90476190473</v>
      </c>
      <c r="F43" s="523">
        <f t="shared" si="16"/>
        <v>5970657.7280294187</v>
      </c>
      <c r="G43" s="524">
        <f t="shared" si="13"/>
        <v>1047069.2015993164</v>
      </c>
      <c r="H43" s="491">
        <f t="shared" si="14"/>
        <v>1047069.2015993164</v>
      </c>
      <c r="I43" s="511">
        <f t="shared" si="17"/>
        <v>0</v>
      </c>
      <c r="J43" s="511"/>
      <c r="K43" s="525"/>
      <c r="L43" s="514">
        <f t="shared" si="1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2035</v>
      </c>
      <c r="D44" s="523">
        <f>IF(F43+SUM(E$17:E43)=D$10,F43,D$10-SUM(E$17:E43))</f>
        <v>5970657.7280294187</v>
      </c>
      <c r="E44" s="522">
        <f>IF(+I14&lt;F43,I14,D44)</f>
        <v>388543.90476190473</v>
      </c>
      <c r="F44" s="523">
        <f t="shared" si="16"/>
        <v>5582113.8232675139</v>
      </c>
      <c r="G44" s="524">
        <f t="shared" si="13"/>
        <v>1005565.7289756566</v>
      </c>
      <c r="H44" s="491">
        <f t="shared" si="14"/>
        <v>1005565.7289756566</v>
      </c>
      <c r="I44" s="511">
        <f t="shared" si="17"/>
        <v>0</v>
      </c>
      <c r="J44" s="511"/>
      <c r="K44" s="525"/>
      <c r="L44" s="514">
        <f t="shared" si="1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2036</v>
      </c>
      <c r="D45" s="523">
        <f>IF(F44+SUM(E$17:E44)=D$10,F44,D$10-SUM(E$17:E44))</f>
        <v>5582113.8232675139</v>
      </c>
      <c r="E45" s="522">
        <f>IF(+I14&lt;F44,I14,D45)</f>
        <v>388543.90476190473</v>
      </c>
      <c r="F45" s="523">
        <f t="shared" si="16"/>
        <v>5193569.918505609</v>
      </c>
      <c r="G45" s="524">
        <f t="shared" si="13"/>
        <v>964062.25635199656</v>
      </c>
      <c r="H45" s="491">
        <f t="shared" si="14"/>
        <v>964062.25635199656</v>
      </c>
      <c r="I45" s="511">
        <f t="shared" si="17"/>
        <v>0</v>
      </c>
      <c r="J45" s="511"/>
      <c r="K45" s="525"/>
      <c r="L45" s="514">
        <f t="shared" si="1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2037</v>
      </c>
      <c r="D46" s="523">
        <f>IF(F45+SUM(E$17:E45)=D$10,F45,D$10-SUM(E$17:E45))</f>
        <v>5193569.918505609</v>
      </c>
      <c r="E46" s="522">
        <f>IF(+I14&lt;F45,I14,D46)</f>
        <v>388543.90476190473</v>
      </c>
      <c r="F46" s="523">
        <f t="shared" si="16"/>
        <v>4805026.0137437042</v>
      </c>
      <c r="G46" s="524">
        <f t="shared" si="13"/>
        <v>922558.78372833668</v>
      </c>
      <c r="H46" s="491">
        <f t="shared" si="14"/>
        <v>922558.78372833668</v>
      </c>
      <c r="I46" s="511">
        <f t="shared" si="17"/>
        <v>0</v>
      </c>
      <c r="J46" s="511"/>
      <c r="K46" s="525"/>
      <c r="L46" s="514">
        <f t="shared" si="1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2038</v>
      </c>
      <c r="D47" s="523">
        <f>IF(F46+SUM(E$17:E46)=D$10,F46,D$10-SUM(E$17:E46))</f>
        <v>4805026.0137437042</v>
      </c>
      <c r="E47" s="522">
        <f>IF(+I14&lt;F46,I14,D47)</f>
        <v>388543.90476190473</v>
      </c>
      <c r="F47" s="523">
        <f t="shared" si="16"/>
        <v>4416482.1089817993</v>
      </c>
      <c r="G47" s="524">
        <f t="shared" si="13"/>
        <v>881055.31110467669</v>
      </c>
      <c r="H47" s="491">
        <f t="shared" si="14"/>
        <v>881055.31110467669</v>
      </c>
      <c r="I47" s="511">
        <f t="shared" si="17"/>
        <v>0</v>
      </c>
      <c r="J47" s="511"/>
      <c r="K47" s="525"/>
      <c r="L47" s="514">
        <f t="shared" si="1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2039</v>
      </c>
      <c r="D48" s="523">
        <f>IF(F47+SUM(E$17:E47)=D$10,F47,D$10-SUM(E$17:E47))</f>
        <v>4416482.1089817993</v>
      </c>
      <c r="E48" s="522">
        <f>IF(+I14&lt;F47,I14,D48)</f>
        <v>388543.90476190473</v>
      </c>
      <c r="F48" s="523">
        <f t="shared" si="16"/>
        <v>4027938.2042198945</v>
      </c>
      <c r="G48" s="524">
        <f t="shared" si="13"/>
        <v>839551.83848101669</v>
      </c>
      <c r="H48" s="491">
        <f t="shared" si="14"/>
        <v>839551.83848101669</v>
      </c>
      <c r="I48" s="511">
        <f t="shared" si="17"/>
        <v>0</v>
      </c>
      <c r="J48" s="511"/>
      <c r="K48" s="525"/>
      <c r="L48" s="514">
        <f t="shared" si="1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2040</v>
      </c>
      <c r="D49" s="523">
        <f>IF(F48+SUM(E$17:E48)=D$10,F48,D$10-SUM(E$17:E48))</f>
        <v>4027938.2042198945</v>
      </c>
      <c r="E49" s="522">
        <f>IF(+I14&lt;F48,I14,D49)</f>
        <v>388543.90476190473</v>
      </c>
      <c r="F49" s="523">
        <f t="shared" si="16"/>
        <v>3639394.2994579896</v>
      </c>
      <c r="G49" s="524">
        <f t="shared" si="13"/>
        <v>798048.36585735693</v>
      </c>
      <c r="H49" s="491">
        <f t="shared" si="14"/>
        <v>798048.36585735693</v>
      </c>
      <c r="I49" s="511">
        <f t="shared" si="17"/>
        <v>0</v>
      </c>
      <c r="J49" s="511"/>
      <c r="K49" s="525"/>
      <c r="L49" s="514">
        <f t="shared" si="1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2041</v>
      </c>
      <c r="D50" s="523">
        <f>IF(F49+SUM(E$17:E49)=D$10,F49,D$10-SUM(E$17:E49))</f>
        <v>3639394.2994579896</v>
      </c>
      <c r="E50" s="522">
        <f>IF(+I14&lt;F49,I14,D50)</f>
        <v>388543.90476190473</v>
      </c>
      <c r="F50" s="523">
        <f t="shared" si="16"/>
        <v>3250850.3946960848</v>
      </c>
      <c r="G50" s="524">
        <f t="shared" si="13"/>
        <v>756544.89323369693</v>
      </c>
      <c r="H50" s="491">
        <f t="shared" si="14"/>
        <v>756544.89323369693</v>
      </c>
      <c r="I50" s="511">
        <f t="shared" si="17"/>
        <v>0</v>
      </c>
      <c r="J50" s="511"/>
      <c r="K50" s="525"/>
      <c r="L50" s="514">
        <f t="shared" si="1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2042</v>
      </c>
      <c r="D51" s="523">
        <f>IF(F50+SUM(E$17:E50)=D$10,F50,D$10-SUM(E$17:E50))</f>
        <v>3250850.3946960848</v>
      </c>
      <c r="E51" s="522">
        <f>IF(+I14&lt;F50,I14,D51)</f>
        <v>388543.90476190473</v>
      </c>
      <c r="F51" s="523">
        <f t="shared" si="16"/>
        <v>2862306.4899341799</v>
      </c>
      <c r="G51" s="524">
        <f t="shared" si="13"/>
        <v>715041.42061003693</v>
      </c>
      <c r="H51" s="491">
        <f t="shared" si="14"/>
        <v>715041.42061003693</v>
      </c>
      <c r="I51" s="511">
        <f t="shared" si="17"/>
        <v>0</v>
      </c>
      <c r="J51" s="511"/>
      <c r="K51" s="525"/>
      <c r="L51" s="514">
        <f t="shared" si="1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2043</v>
      </c>
      <c r="D52" s="523">
        <f>IF(F51+SUM(E$17:E51)=D$10,F51,D$10-SUM(E$17:E51))</f>
        <v>2862306.4899341799</v>
      </c>
      <c r="E52" s="522">
        <f>IF(+I14&lt;F51,I14,D52)</f>
        <v>388543.90476190473</v>
      </c>
      <c r="F52" s="523">
        <f t="shared" si="16"/>
        <v>2473762.5851722751</v>
      </c>
      <c r="G52" s="524">
        <f t="shared" si="13"/>
        <v>673537.94798637705</v>
      </c>
      <c r="H52" s="491">
        <f t="shared" si="14"/>
        <v>673537.94798637705</v>
      </c>
      <c r="I52" s="511">
        <f t="shared" si="17"/>
        <v>0</v>
      </c>
      <c r="J52" s="511"/>
      <c r="K52" s="525"/>
      <c r="L52" s="514">
        <f t="shared" si="1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2044</v>
      </c>
      <c r="D53" s="523">
        <f>IF(F52+SUM(E$17:E52)=D$10,F52,D$10-SUM(E$17:E52))</f>
        <v>2473762.5851722751</v>
      </c>
      <c r="E53" s="522">
        <f>IF(+I14&lt;F52,I14,D53)</f>
        <v>388543.90476190473</v>
      </c>
      <c r="F53" s="523">
        <f t="shared" si="16"/>
        <v>2085218.6804103702</v>
      </c>
      <c r="G53" s="524">
        <f t="shared" si="13"/>
        <v>632034.47536271717</v>
      </c>
      <c r="H53" s="491">
        <f t="shared" si="14"/>
        <v>632034.47536271717</v>
      </c>
      <c r="I53" s="511">
        <f t="shared" si="17"/>
        <v>0</v>
      </c>
      <c r="J53" s="511"/>
      <c r="K53" s="525"/>
      <c r="L53" s="514">
        <f t="shared" si="1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2045</v>
      </c>
      <c r="D54" s="523">
        <f>IF(F53+SUM(E$17:E53)=D$10,F53,D$10-SUM(E$17:E53))</f>
        <v>2085218.6804103702</v>
      </c>
      <c r="E54" s="522">
        <f>IF(+I14&lt;F53,I14,D54)</f>
        <v>388543.90476190473</v>
      </c>
      <c r="F54" s="523">
        <f t="shared" si="16"/>
        <v>1696674.7756484654</v>
      </c>
      <c r="G54" s="524">
        <f t="shared" si="13"/>
        <v>590531.00273905718</v>
      </c>
      <c r="H54" s="491">
        <f t="shared" si="14"/>
        <v>590531.00273905718</v>
      </c>
      <c r="I54" s="511">
        <f t="shared" si="17"/>
        <v>0</v>
      </c>
      <c r="J54" s="511"/>
      <c r="K54" s="525"/>
      <c r="L54" s="514">
        <f t="shared" si="1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2046</v>
      </c>
      <c r="D55" s="523">
        <f>IF(F54+SUM(E$17:E54)=D$10,F54,D$10-SUM(E$17:E54))</f>
        <v>1696674.7756484654</v>
      </c>
      <c r="E55" s="522">
        <f>IF(+I14&lt;F54,I14,D55)</f>
        <v>388543.90476190473</v>
      </c>
      <c r="F55" s="523">
        <f t="shared" si="16"/>
        <v>1308130.8708865605</v>
      </c>
      <c r="G55" s="524">
        <f t="shared" si="13"/>
        <v>549027.53011539718</v>
      </c>
      <c r="H55" s="491">
        <f t="shared" si="14"/>
        <v>549027.53011539718</v>
      </c>
      <c r="I55" s="511">
        <f t="shared" si="17"/>
        <v>0</v>
      </c>
      <c r="J55" s="511"/>
      <c r="K55" s="525"/>
      <c r="L55" s="514">
        <f t="shared" si="1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2047</v>
      </c>
      <c r="D56" s="523">
        <f>IF(F55+SUM(E$17:E55)=D$10,F55,D$10-SUM(E$17:E55))</f>
        <v>1308130.8708865605</v>
      </c>
      <c r="E56" s="522">
        <f>IF(+I14&lt;F55,I14,D56)</f>
        <v>388543.90476190473</v>
      </c>
      <c r="F56" s="523">
        <f t="shared" si="16"/>
        <v>919586.9661246558</v>
      </c>
      <c r="G56" s="524">
        <f t="shared" si="13"/>
        <v>507524.0574917373</v>
      </c>
      <c r="H56" s="491">
        <f t="shared" si="14"/>
        <v>507524.0574917373</v>
      </c>
      <c r="I56" s="511">
        <f t="shared" si="17"/>
        <v>0</v>
      </c>
      <c r="J56" s="511"/>
      <c r="K56" s="525"/>
      <c r="L56" s="514">
        <f t="shared" si="1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2048</v>
      </c>
      <c r="D57" s="523">
        <f>IF(F56+SUM(E$17:E56)=D$10,F56,D$10-SUM(E$17:E56))</f>
        <v>919586.9661246558</v>
      </c>
      <c r="E57" s="522">
        <f>IF(+I14&lt;F56,I14,D57)</f>
        <v>388543.90476190473</v>
      </c>
      <c r="F57" s="523">
        <f t="shared" si="16"/>
        <v>531043.06136275106</v>
      </c>
      <c r="G57" s="524">
        <f t="shared" si="13"/>
        <v>466020.58486807742</v>
      </c>
      <c r="H57" s="491">
        <f t="shared" si="14"/>
        <v>466020.58486807742</v>
      </c>
      <c r="I57" s="511">
        <f t="shared" si="17"/>
        <v>0</v>
      </c>
      <c r="J57" s="511"/>
      <c r="K57" s="525"/>
      <c r="L57" s="514">
        <f t="shared" si="1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2049</v>
      </c>
      <c r="D58" s="523">
        <f>IF(F57+SUM(E$17:E57)=D$10,F57,D$10-SUM(E$17:E57))</f>
        <v>531043.06136275106</v>
      </c>
      <c r="E58" s="522">
        <f>IF(+I14&lt;F57,I14,D58)</f>
        <v>388543.90476190473</v>
      </c>
      <c r="F58" s="523">
        <f t="shared" si="16"/>
        <v>142499.15660084633</v>
      </c>
      <c r="G58" s="524">
        <f t="shared" si="13"/>
        <v>424517.11224441748</v>
      </c>
      <c r="H58" s="491">
        <f t="shared" si="14"/>
        <v>424517.11224441748</v>
      </c>
      <c r="I58" s="511">
        <f t="shared" si="17"/>
        <v>0</v>
      </c>
      <c r="J58" s="511"/>
      <c r="K58" s="525"/>
      <c r="L58" s="514">
        <f t="shared" si="15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2050</v>
      </c>
      <c r="D59" s="523">
        <f>IF(F58+SUM(E$17:E58)=D$10,F58,D$10-SUM(E$17:E58))</f>
        <v>142499.15660084633</v>
      </c>
      <c r="E59" s="522">
        <f>IF(+I14&lt;F58,I14,D59)</f>
        <v>142499.15660084633</v>
      </c>
      <c r="F59" s="523">
        <f t="shared" si="16"/>
        <v>0</v>
      </c>
      <c r="G59" s="524">
        <f t="shared" si="13"/>
        <v>150109.89218618773</v>
      </c>
      <c r="H59" s="491">
        <f t="shared" si="14"/>
        <v>150109.89218618773</v>
      </c>
      <c r="I59" s="511">
        <f t="shared" si="17"/>
        <v>0</v>
      </c>
      <c r="J59" s="511"/>
      <c r="K59" s="525"/>
      <c r="L59" s="514">
        <f t="shared" si="1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6"/>
        <v>0</v>
      </c>
      <c r="G60" s="524">
        <f t="shared" si="13"/>
        <v>0</v>
      </c>
      <c r="H60" s="491">
        <f t="shared" si="14"/>
        <v>0</v>
      </c>
      <c r="I60" s="511">
        <f t="shared" si="17"/>
        <v>0</v>
      </c>
      <c r="J60" s="511"/>
      <c r="K60" s="525"/>
      <c r="L60" s="514">
        <f t="shared" si="1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6"/>
        <v>0</v>
      </c>
      <c r="G61" s="524">
        <f t="shared" si="13"/>
        <v>0</v>
      </c>
      <c r="H61" s="491">
        <f t="shared" si="14"/>
        <v>0</v>
      </c>
      <c r="I61" s="511">
        <f t="shared" si="17"/>
        <v>0</v>
      </c>
      <c r="J61" s="511"/>
      <c r="K61" s="525"/>
      <c r="L61" s="514">
        <f t="shared" si="1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4">
        <f t="shared" si="13"/>
        <v>0</v>
      </c>
      <c r="H62" s="491">
        <f t="shared" si="14"/>
        <v>0</v>
      </c>
      <c r="I62" s="511">
        <f t="shared" si="17"/>
        <v>0</v>
      </c>
      <c r="J62" s="511"/>
      <c r="K62" s="525"/>
      <c r="L62" s="514">
        <f t="shared" si="1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4">
        <f t="shared" si="13"/>
        <v>0</v>
      </c>
      <c r="H63" s="491">
        <f t="shared" si="14"/>
        <v>0</v>
      </c>
      <c r="I63" s="511">
        <f t="shared" si="17"/>
        <v>0</v>
      </c>
      <c r="J63" s="511"/>
      <c r="K63" s="525"/>
      <c r="L63" s="514">
        <f t="shared" si="1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4">
        <f t="shared" si="13"/>
        <v>0</v>
      </c>
      <c r="H64" s="491">
        <f t="shared" si="14"/>
        <v>0</v>
      </c>
      <c r="I64" s="511">
        <f t="shared" si="17"/>
        <v>0</v>
      </c>
      <c r="J64" s="511"/>
      <c r="K64" s="525"/>
      <c r="L64" s="514">
        <f t="shared" si="1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4">
        <f t="shared" si="13"/>
        <v>0</v>
      </c>
      <c r="H65" s="491">
        <f t="shared" si="14"/>
        <v>0</v>
      </c>
      <c r="I65" s="511">
        <f t="shared" si="17"/>
        <v>0</v>
      </c>
      <c r="J65" s="511"/>
      <c r="K65" s="525"/>
      <c r="L65" s="514">
        <f t="shared" si="1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4">
        <f t="shared" si="13"/>
        <v>0</v>
      </c>
      <c r="H66" s="491">
        <f t="shared" si="14"/>
        <v>0</v>
      </c>
      <c r="I66" s="511">
        <f t="shared" si="17"/>
        <v>0</v>
      </c>
      <c r="J66" s="511"/>
      <c r="K66" s="525"/>
      <c r="L66" s="514">
        <f t="shared" si="1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4">
        <f t="shared" si="13"/>
        <v>0</v>
      </c>
      <c r="H67" s="491">
        <f t="shared" si="14"/>
        <v>0</v>
      </c>
      <c r="I67" s="511">
        <f t="shared" si="17"/>
        <v>0</v>
      </c>
      <c r="J67" s="511"/>
      <c r="K67" s="525"/>
      <c r="L67" s="514">
        <f t="shared" si="1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4">
        <f t="shared" si="13"/>
        <v>0</v>
      </c>
      <c r="H68" s="491">
        <f t="shared" si="14"/>
        <v>0</v>
      </c>
      <c r="I68" s="511">
        <f t="shared" si="17"/>
        <v>0</v>
      </c>
      <c r="J68" s="511"/>
      <c r="K68" s="525"/>
      <c r="L68" s="514">
        <f t="shared" si="1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4">
        <f t="shared" si="13"/>
        <v>0</v>
      </c>
      <c r="H69" s="491">
        <f t="shared" si="14"/>
        <v>0</v>
      </c>
      <c r="I69" s="511">
        <f t="shared" si="17"/>
        <v>0</v>
      </c>
      <c r="J69" s="511"/>
      <c r="K69" s="525"/>
      <c r="L69" s="514">
        <f t="shared" si="1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4">
        <f t="shared" si="13"/>
        <v>0</v>
      </c>
      <c r="H70" s="491">
        <f t="shared" si="14"/>
        <v>0</v>
      </c>
      <c r="I70" s="511">
        <f t="shared" si="17"/>
        <v>0</v>
      </c>
      <c r="J70" s="511"/>
      <c r="K70" s="525"/>
      <c r="L70" s="514">
        <f t="shared" si="1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4">
        <f t="shared" si="13"/>
        <v>0</v>
      </c>
      <c r="H71" s="491">
        <f t="shared" si="14"/>
        <v>0</v>
      </c>
      <c r="I71" s="511">
        <f t="shared" si="17"/>
        <v>0</v>
      </c>
      <c r="J71" s="511"/>
      <c r="K71" s="525"/>
      <c r="L71" s="514">
        <f t="shared" si="1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24">
        <f t="shared" si="13"/>
        <v>0</v>
      </c>
      <c r="H72" s="491">
        <f t="shared" si="14"/>
        <v>0</v>
      </c>
      <c r="I72" s="531">
        <f t="shared" si="17"/>
        <v>0</v>
      </c>
      <c r="J72" s="511"/>
      <c r="K72" s="532"/>
      <c r="L72" s="533">
        <f t="shared" si="1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16318843.999999996</v>
      </c>
      <c r="F73" s="375"/>
      <c r="G73" s="375">
        <f>SUM(G17:G72)</f>
        <v>57642317.171384864</v>
      </c>
      <c r="H73" s="375">
        <f>SUM(H17:H72)</f>
        <v>57642317.171384864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46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1586061.814731969</v>
      </c>
      <c r="N87" s="546">
        <f>IF(J92&lt;D11,0,VLOOKUP(J92,C17:O72,11))</f>
        <v>1586061.814731969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1922635.7250061021</v>
      </c>
      <c r="N88" s="550">
        <f>IF(J92&lt;D11,0,VLOOKUP(J92,C99:P154,7))</f>
        <v>1922635.7250061021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TONTITOWN 345KV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336573.91027413309</v>
      </c>
      <c r="N89" s="555">
        <f>+N88-N87</f>
        <v>336573.91027413309</v>
      </c>
      <c r="O89" s="556">
        <f>+O88-O87</f>
        <v>0</v>
      </c>
      <c r="P89" s="269"/>
    </row>
    <row r="90" spans="1:16" ht="13.5" thickBot="1">
      <c r="C90" s="534"/>
      <c r="D90" s="646" t="str">
        <f>S.045!D90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TP2002123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16318844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5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388543.90476190473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2008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18">IF(L99&lt;&gt;0,+H99-L99,0)</f>
        <v>0</v>
      </c>
      <c r="N99" s="512"/>
      <c r="O99" s="513">
        <f t="shared" ref="O99:O130" si="19">IF(N99&lt;&gt;0,+I99-N99,0)</f>
        <v>0</v>
      </c>
      <c r="P99" s="513">
        <f t="shared" ref="P99:P130" si="20">+O99-M99</f>
        <v>0</v>
      </c>
    </row>
    <row r="100" spans="1:16" ht="12.5">
      <c r="B100" s="195" t="str">
        <f>IF(D100=F99,"","IU")</f>
        <v/>
      </c>
      <c r="C100" s="507">
        <f>IF(D93="","-",+C99+1)</f>
        <v>2009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18"/>
        <v>0</v>
      </c>
      <c r="N100" s="518"/>
      <c r="O100" s="514">
        <f t="shared" si="19"/>
        <v>0</v>
      </c>
      <c r="P100" s="514">
        <f t="shared" si="20"/>
        <v>0</v>
      </c>
    </row>
    <row r="101" spans="1:16" ht="12.5">
      <c r="B101" s="195" t="str">
        <f t="shared" ref="B101:B154" si="21">IF(D101=F100,"","IU")</f>
        <v/>
      </c>
      <c r="C101" s="507">
        <f>IF(D93="","-",+C100+1)</f>
        <v>2010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18"/>
        <v>0</v>
      </c>
      <c r="N101" s="518"/>
      <c r="O101" s="514">
        <f t="shared" si="19"/>
        <v>0</v>
      </c>
      <c r="P101" s="514">
        <f t="shared" si="20"/>
        <v>0</v>
      </c>
    </row>
    <row r="102" spans="1:16" ht="12.5">
      <c r="B102" s="195" t="str">
        <f t="shared" si="21"/>
        <v/>
      </c>
      <c r="C102" s="507">
        <f>IF(D93="","-",+C101+1)</f>
        <v>2011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18"/>
        <v>0</v>
      </c>
      <c r="N102" s="518"/>
      <c r="O102" s="514">
        <f t="shared" si="19"/>
        <v>0</v>
      </c>
      <c r="P102" s="514">
        <f t="shared" si="20"/>
        <v>0</v>
      </c>
    </row>
    <row r="103" spans="1:16" ht="12.5">
      <c r="B103" s="195" t="str">
        <f t="shared" si="21"/>
        <v/>
      </c>
      <c r="C103" s="507">
        <f>IF(D93="","-",+C102+1)</f>
        <v>2012</v>
      </c>
      <c r="D103" s="374"/>
      <c r="E103" s="522"/>
      <c r="F103" s="523"/>
      <c r="G103" s="523"/>
      <c r="H103" s="526"/>
      <c r="I103" s="577"/>
      <c r="J103" s="514"/>
      <c r="K103" s="514"/>
      <c r="L103" s="518"/>
      <c r="M103" s="514">
        <f t="shared" si="18"/>
        <v>0</v>
      </c>
      <c r="N103" s="518"/>
      <c r="O103" s="514">
        <f t="shared" si="19"/>
        <v>0</v>
      </c>
      <c r="P103" s="514">
        <f t="shared" si="20"/>
        <v>0</v>
      </c>
    </row>
    <row r="104" spans="1:16" ht="12.5">
      <c r="B104" s="195" t="str">
        <f t="shared" si="21"/>
        <v/>
      </c>
      <c r="C104" s="507">
        <f>IF(D93="","-",+C103+1)</f>
        <v>2013</v>
      </c>
      <c r="D104" s="374"/>
      <c r="E104" s="522"/>
      <c r="F104" s="523"/>
      <c r="G104" s="523"/>
      <c r="H104" s="526"/>
      <c r="I104" s="577"/>
      <c r="J104" s="514"/>
      <c r="K104" s="514"/>
      <c r="L104" s="518"/>
      <c r="M104" s="514">
        <f t="shared" si="18"/>
        <v>0</v>
      </c>
      <c r="N104" s="518"/>
      <c r="O104" s="514">
        <f t="shared" si="19"/>
        <v>0</v>
      </c>
      <c r="P104" s="514">
        <f t="shared" si="20"/>
        <v>0</v>
      </c>
    </row>
    <row r="105" spans="1:16" ht="12.5">
      <c r="B105" s="195" t="str">
        <f t="shared" si="21"/>
        <v/>
      </c>
      <c r="C105" s="507">
        <f>IF(D93="","-",+C104+1)</f>
        <v>2014</v>
      </c>
      <c r="D105" s="374"/>
      <c r="E105" s="522"/>
      <c r="F105" s="523"/>
      <c r="G105" s="523"/>
      <c r="H105" s="526"/>
      <c r="I105" s="577"/>
      <c r="J105" s="514"/>
      <c r="K105" s="514"/>
      <c r="L105" s="518"/>
      <c r="M105" s="514">
        <f t="shared" si="18"/>
        <v>0</v>
      </c>
      <c r="N105" s="518"/>
      <c r="O105" s="514">
        <f t="shared" si="19"/>
        <v>0</v>
      </c>
      <c r="P105" s="514">
        <f t="shared" si="20"/>
        <v>0</v>
      </c>
    </row>
    <row r="106" spans="1:16" ht="12.5">
      <c r="B106" s="195" t="str">
        <f t="shared" si="21"/>
        <v>IU</v>
      </c>
      <c r="C106" s="507">
        <f>IF(D93="","-",+C105+1)</f>
        <v>2015</v>
      </c>
      <c r="D106" s="629">
        <v>13760929.960317459</v>
      </c>
      <c r="E106" s="630">
        <v>327641.18953136809</v>
      </c>
      <c r="F106" s="631">
        <v>13433288.770786092</v>
      </c>
      <c r="G106" s="631">
        <v>13597109.365551775</v>
      </c>
      <c r="H106" s="633">
        <v>2119317.0329736611</v>
      </c>
      <c r="I106" s="634">
        <v>2119317.0329736611</v>
      </c>
      <c r="J106" s="514">
        <f>+I106-H106</f>
        <v>0</v>
      </c>
      <c r="K106" s="514"/>
      <c r="L106" s="518">
        <f>+H106</f>
        <v>2119317.0329736611</v>
      </c>
      <c r="M106" s="514">
        <f t="shared" si="18"/>
        <v>0</v>
      </c>
      <c r="N106" s="518">
        <f>+I106</f>
        <v>2119317.0329736611</v>
      </c>
      <c r="O106" s="514">
        <f t="shared" si="19"/>
        <v>0</v>
      </c>
      <c r="P106" s="514">
        <f t="shared" si="20"/>
        <v>0</v>
      </c>
    </row>
    <row r="107" spans="1:16" ht="12.5">
      <c r="B107" s="195" t="str">
        <f t="shared" si="21"/>
        <v>IU</v>
      </c>
      <c r="C107" s="507">
        <f>IF(D93="","-",+C106+1)</f>
        <v>2016</v>
      </c>
      <c r="D107" s="629">
        <v>15991202.810468633</v>
      </c>
      <c r="E107" s="630">
        <v>379508</v>
      </c>
      <c r="F107" s="631">
        <v>15611694.810468633</v>
      </c>
      <c r="G107" s="631">
        <v>15801448.810468633</v>
      </c>
      <c r="H107" s="633">
        <v>2385501.7414281433</v>
      </c>
      <c r="I107" s="634">
        <v>2385501.7414281433</v>
      </c>
      <c r="J107" s="514">
        <f>+I107-H107</f>
        <v>0</v>
      </c>
      <c r="K107" s="514"/>
      <c r="L107" s="518">
        <f>+H107</f>
        <v>2385501.7414281433</v>
      </c>
      <c r="M107" s="514">
        <f>IF(L107&lt;&gt;0,+H107-L107,0)</f>
        <v>0</v>
      </c>
      <c r="N107" s="518">
        <f>+I107</f>
        <v>2385501.7414281433</v>
      </c>
      <c r="O107" s="514">
        <f>IF(N107&lt;&gt;0,+I107-N107,0)</f>
        <v>0</v>
      </c>
      <c r="P107" s="514">
        <f>+O107-M107</f>
        <v>0</v>
      </c>
    </row>
    <row r="108" spans="1:16" ht="12.5">
      <c r="B108" s="195" t="str">
        <f t="shared" si="21"/>
        <v/>
      </c>
      <c r="C108" s="507">
        <f>IF(D93="","-",+C107+1)</f>
        <v>2017</v>
      </c>
      <c r="D108" s="629">
        <v>15611694.810468633</v>
      </c>
      <c r="E108" s="630">
        <v>388543.90476190473</v>
      </c>
      <c r="F108" s="631">
        <v>15223150.905706728</v>
      </c>
      <c r="G108" s="631">
        <v>15417422.858087681</v>
      </c>
      <c r="H108" s="633">
        <v>2261320.7330641602</v>
      </c>
      <c r="I108" s="634">
        <v>2261320.7330641602</v>
      </c>
      <c r="J108" s="514">
        <f t="shared" ref="J108:J154" si="22">+I108-H108</f>
        <v>0</v>
      </c>
      <c r="K108" s="514"/>
      <c r="L108" s="518">
        <f>+H108</f>
        <v>2261320.7330641602</v>
      </c>
      <c r="M108" s="514">
        <f>IF(L108&lt;&gt;0,+H108-L108,0)</f>
        <v>0</v>
      </c>
      <c r="N108" s="518">
        <f>+I108</f>
        <v>2261320.7330641602</v>
      </c>
      <c r="O108" s="514">
        <f>IF(N108&lt;&gt;0,+I108-N108,0)</f>
        <v>0</v>
      </c>
      <c r="P108" s="514">
        <f>+O108-M108</f>
        <v>0</v>
      </c>
    </row>
    <row r="109" spans="1:16" ht="12.5">
      <c r="B109" s="195" t="str">
        <f t="shared" si="21"/>
        <v/>
      </c>
      <c r="C109" s="507">
        <f>IF(D93="","-",+C108+1)</f>
        <v>2018</v>
      </c>
      <c r="D109" s="629">
        <v>15223150.905706728</v>
      </c>
      <c r="E109" s="630">
        <v>388543.90476190473</v>
      </c>
      <c r="F109" s="631">
        <v>14834607.000944823</v>
      </c>
      <c r="G109" s="631">
        <v>15028878.953325775</v>
      </c>
      <c r="H109" s="633">
        <v>1975662.4419636219</v>
      </c>
      <c r="I109" s="634">
        <v>1975662.4419636219</v>
      </c>
      <c r="J109" s="514">
        <f t="shared" si="22"/>
        <v>0</v>
      </c>
      <c r="K109" s="514"/>
      <c r="L109" s="518">
        <f>+H109</f>
        <v>1975662.4419636219</v>
      </c>
      <c r="M109" s="514">
        <f>IF(L109&lt;&gt;0,+H109-L109,0)</f>
        <v>0</v>
      </c>
      <c r="N109" s="518">
        <f>+I109</f>
        <v>1975662.4419636219</v>
      </c>
      <c r="O109" s="514">
        <f>IF(N109&lt;&gt;0,+I109-N109,0)</f>
        <v>0</v>
      </c>
      <c r="P109" s="514">
        <f>+O109-M109</f>
        <v>0</v>
      </c>
    </row>
    <row r="110" spans="1:16" ht="12.5">
      <c r="B110" s="195" t="str">
        <f t="shared" si="21"/>
        <v/>
      </c>
      <c r="C110" s="507">
        <f>IF(D93="","-",+C109+1)</f>
        <v>2019</v>
      </c>
      <c r="D110" s="629">
        <v>14834607.000944823</v>
      </c>
      <c r="E110" s="630">
        <v>379508</v>
      </c>
      <c r="F110" s="631">
        <v>14455099.000944823</v>
      </c>
      <c r="G110" s="631">
        <v>14644853.000944823</v>
      </c>
      <c r="H110" s="633">
        <v>1947101.0692492859</v>
      </c>
      <c r="I110" s="634">
        <v>1947101.0692492859</v>
      </c>
      <c r="J110" s="514">
        <f t="shared" si="22"/>
        <v>0</v>
      </c>
      <c r="K110" s="514"/>
      <c r="L110" s="518">
        <f>+H110</f>
        <v>1947101.0692492859</v>
      </c>
      <c r="M110" s="514">
        <f>IF(L110&lt;&gt;0,+H110-L110,0)</f>
        <v>0</v>
      </c>
      <c r="N110" s="518">
        <f>+I110</f>
        <v>1947101.0692492859</v>
      </c>
      <c r="O110" s="514">
        <f t="shared" si="19"/>
        <v>0</v>
      </c>
      <c r="P110" s="514">
        <f t="shared" si="20"/>
        <v>0</v>
      </c>
    </row>
    <row r="111" spans="1:16" ht="12.5">
      <c r="B111" s="195" t="str">
        <f t="shared" si="21"/>
        <v/>
      </c>
      <c r="C111" s="507">
        <f>IF(D93="","-",+C110+1)</f>
        <v>2020</v>
      </c>
      <c r="D111" s="374">
        <f>IF(F110+SUM(E$99:E110)=D$92,F110,D$92-SUM(E$99:E110))</f>
        <v>14455099.000944823</v>
      </c>
      <c r="E111" s="522">
        <f t="shared" ref="E111:E154" si="23">IF(+$J$96&lt;F110,$J$96,D111)</f>
        <v>388543.90476190473</v>
      </c>
      <c r="F111" s="523">
        <f t="shared" ref="F111:F154" si="24">+D111-E111</f>
        <v>14066555.096182918</v>
      </c>
      <c r="G111" s="523">
        <f t="shared" ref="G111:G154" si="25">+(F111+D111)/2</f>
        <v>14260827.048563872</v>
      </c>
      <c r="H111" s="526">
        <f t="shared" ref="H111:H154" si="26">+J$94*G111+E111</f>
        <v>1922635.7250061021</v>
      </c>
      <c r="I111" s="577">
        <f t="shared" ref="I111:I154" si="27">+J$95*G111+E111</f>
        <v>1922635.7250061021</v>
      </c>
      <c r="J111" s="514">
        <f t="shared" si="22"/>
        <v>0</v>
      </c>
      <c r="K111" s="514"/>
      <c r="L111" s="525"/>
      <c r="M111" s="514">
        <f t="shared" si="18"/>
        <v>0</v>
      </c>
      <c r="N111" s="525"/>
      <c r="O111" s="514">
        <f t="shared" si="19"/>
        <v>0</v>
      </c>
      <c r="P111" s="514">
        <f t="shared" si="20"/>
        <v>0</v>
      </c>
    </row>
    <row r="112" spans="1:16" ht="12.5">
      <c r="B112" s="195" t="str">
        <f t="shared" si="21"/>
        <v/>
      </c>
      <c r="C112" s="507">
        <f>IF(D93="","-",+C111+1)</f>
        <v>2021</v>
      </c>
      <c r="D112" s="374">
        <f>IF(F111+SUM(E$99:E111)=D$92,F111,D$92-SUM(E$99:E111))</f>
        <v>14066555.096182918</v>
      </c>
      <c r="E112" s="522">
        <f t="shared" si="23"/>
        <v>388543.90476190473</v>
      </c>
      <c r="F112" s="523">
        <f t="shared" si="24"/>
        <v>13678011.191421013</v>
      </c>
      <c r="G112" s="523">
        <f t="shared" si="25"/>
        <v>13872283.143801965</v>
      </c>
      <c r="H112" s="526">
        <f t="shared" si="26"/>
        <v>1880838.568076062</v>
      </c>
      <c r="I112" s="577">
        <f t="shared" si="27"/>
        <v>1880838.568076062</v>
      </c>
      <c r="J112" s="514">
        <f t="shared" si="22"/>
        <v>0</v>
      </c>
      <c r="K112" s="514"/>
      <c r="L112" s="525"/>
      <c r="M112" s="514">
        <f t="shared" si="18"/>
        <v>0</v>
      </c>
      <c r="N112" s="525"/>
      <c r="O112" s="514">
        <f t="shared" si="19"/>
        <v>0</v>
      </c>
      <c r="P112" s="514">
        <f t="shared" si="20"/>
        <v>0</v>
      </c>
    </row>
    <row r="113" spans="2:16" ht="12.5">
      <c r="B113" s="195" t="str">
        <f t="shared" si="21"/>
        <v/>
      </c>
      <c r="C113" s="507">
        <f>IF(D93="","-",+C112+1)</f>
        <v>2022</v>
      </c>
      <c r="D113" s="374">
        <f>IF(F112+SUM(E$99:E112)=D$92,F112,D$92-SUM(E$99:E112))</f>
        <v>13678011.191421013</v>
      </c>
      <c r="E113" s="522">
        <f t="shared" si="23"/>
        <v>388543.90476190473</v>
      </c>
      <c r="F113" s="523">
        <f t="shared" si="24"/>
        <v>13289467.286659108</v>
      </c>
      <c r="G113" s="523">
        <f t="shared" si="25"/>
        <v>13483739.239040062</v>
      </c>
      <c r="H113" s="526">
        <f t="shared" si="26"/>
        <v>1839041.4111460228</v>
      </c>
      <c r="I113" s="577">
        <f t="shared" si="27"/>
        <v>1839041.4111460228</v>
      </c>
      <c r="J113" s="514">
        <f t="shared" si="22"/>
        <v>0</v>
      </c>
      <c r="K113" s="514"/>
      <c r="L113" s="525"/>
      <c r="M113" s="514">
        <f t="shared" si="18"/>
        <v>0</v>
      </c>
      <c r="N113" s="525"/>
      <c r="O113" s="514">
        <f t="shared" si="19"/>
        <v>0</v>
      </c>
      <c r="P113" s="514">
        <f t="shared" si="20"/>
        <v>0</v>
      </c>
    </row>
    <row r="114" spans="2:16" ht="12.5">
      <c r="B114" s="195" t="str">
        <f t="shared" si="21"/>
        <v/>
      </c>
      <c r="C114" s="507">
        <f>IF(D93="","-",+C113+1)</f>
        <v>2023</v>
      </c>
      <c r="D114" s="374">
        <f>IF(F113+SUM(E$99:E113)=D$92,F113,D$92-SUM(E$99:E113))</f>
        <v>13289467.286659108</v>
      </c>
      <c r="E114" s="522">
        <f t="shared" si="23"/>
        <v>388543.90476190473</v>
      </c>
      <c r="F114" s="523">
        <f t="shared" si="24"/>
        <v>12900923.381897204</v>
      </c>
      <c r="G114" s="523">
        <f t="shared" si="25"/>
        <v>13095195.334278155</v>
      </c>
      <c r="H114" s="526">
        <f t="shared" si="26"/>
        <v>1797244.2542159827</v>
      </c>
      <c r="I114" s="577">
        <f t="shared" si="27"/>
        <v>1797244.2542159827</v>
      </c>
      <c r="J114" s="514">
        <f t="shared" si="22"/>
        <v>0</v>
      </c>
      <c r="K114" s="514"/>
      <c r="L114" s="525"/>
      <c r="M114" s="514">
        <f t="shared" si="18"/>
        <v>0</v>
      </c>
      <c r="N114" s="525"/>
      <c r="O114" s="514">
        <f t="shared" si="19"/>
        <v>0</v>
      </c>
      <c r="P114" s="514">
        <f t="shared" si="20"/>
        <v>0</v>
      </c>
    </row>
    <row r="115" spans="2:16" ht="12.5">
      <c r="B115" s="195" t="str">
        <f t="shared" si="21"/>
        <v/>
      </c>
      <c r="C115" s="507">
        <f>IF(D93="","-",+C114+1)</f>
        <v>2024</v>
      </c>
      <c r="D115" s="374">
        <f>IF(F114+SUM(E$99:E114)=D$92,F114,D$92-SUM(E$99:E114))</f>
        <v>12900923.381897204</v>
      </c>
      <c r="E115" s="522">
        <f t="shared" si="23"/>
        <v>388543.90476190473</v>
      </c>
      <c r="F115" s="523">
        <f t="shared" si="24"/>
        <v>12512379.477135299</v>
      </c>
      <c r="G115" s="523">
        <f t="shared" si="25"/>
        <v>12706651.429516252</v>
      </c>
      <c r="H115" s="526">
        <f t="shared" si="26"/>
        <v>1755447.0972859431</v>
      </c>
      <c r="I115" s="577">
        <f t="shared" si="27"/>
        <v>1755447.0972859431</v>
      </c>
      <c r="J115" s="514">
        <f t="shared" si="22"/>
        <v>0</v>
      </c>
      <c r="K115" s="514"/>
      <c r="L115" s="525"/>
      <c r="M115" s="514">
        <f t="shared" si="18"/>
        <v>0</v>
      </c>
      <c r="N115" s="525"/>
      <c r="O115" s="514">
        <f t="shared" si="19"/>
        <v>0</v>
      </c>
      <c r="P115" s="514">
        <f t="shared" si="20"/>
        <v>0</v>
      </c>
    </row>
    <row r="116" spans="2:16" ht="12.5">
      <c r="B116" s="195" t="str">
        <f t="shared" si="21"/>
        <v/>
      </c>
      <c r="C116" s="507">
        <f>IF(D93="","-",+C115+1)</f>
        <v>2025</v>
      </c>
      <c r="D116" s="374">
        <f>IF(F115+SUM(E$99:E115)=D$92,F115,D$92-SUM(E$99:E115))</f>
        <v>12512379.477135299</v>
      </c>
      <c r="E116" s="522">
        <f t="shared" si="23"/>
        <v>388543.90476190473</v>
      </c>
      <c r="F116" s="523">
        <f t="shared" si="24"/>
        <v>12123835.572373394</v>
      </c>
      <c r="G116" s="523">
        <f t="shared" si="25"/>
        <v>12318107.524754345</v>
      </c>
      <c r="H116" s="526">
        <f t="shared" si="26"/>
        <v>1713649.9403559035</v>
      </c>
      <c r="I116" s="577">
        <f t="shared" si="27"/>
        <v>1713649.9403559035</v>
      </c>
      <c r="J116" s="514">
        <f t="shared" si="22"/>
        <v>0</v>
      </c>
      <c r="K116" s="514"/>
      <c r="L116" s="525"/>
      <c r="M116" s="514">
        <f t="shared" si="18"/>
        <v>0</v>
      </c>
      <c r="N116" s="525"/>
      <c r="O116" s="514">
        <f t="shared" si="19"/>
        <v>0</v>
      </c>
      <c r="P116" s="514">
        <f t="shared" si="20"/>
        <v>0</v>
      </c>
    </row>
    <row r="117" spans="2:16" ht="12.5">
      <c r="B117" s="195" t="str">
        <f t="shared" si="21"/>
        <v/>
      </c>
      <c r="C117" s="507">
        <f>IF(D93="","-",+C116+1)</f>
        <v>2026</v>
      </c>
      <c r="D117" s="374">
        <f>IF(F116+SUM(E$99:E116)=D$92,F116,D$92-SUM(E$99:E116))</f>
        <v>12123835.572373394</v>
      </c>
      <c r="E117" s="522">
        <f t="shared" si="23"/>
        <v>388543.90476190473</v>
      </c>
      <c r="F117" s="523">
        <f t="shared" si="24"/>
        <v>11735291.667611489</v>
      </c>
      <c r="G117" s="523">
        <f t="shared" si="25"/>
        <v>11929563.619992442</v>
      </c>
      <c r="H117" s="526">
        <f t="shared" si="26"/>
        <v>1671852.7834258638</v>
      </c>
      <c r="I117" s="577">
        <f t="shared" si="27"/>
        <v>1671852.7834258638</v>
      </c>
      <c r="J117" s="514">
        <f t="shared" si="22"/>
        <v>0</v>
      </c>
      <c r="K117" s="514"/>
      <c r="L117" s="525"/>
      <c r="M117" s="514">
        <f t="shared" si="18"/>
        <v>0</v>
      </c>
      <c r="N117" s="525"/>
      <c r="O117" s="514">
        <f t="shared" si="19"/>
        <v>0</v>
      </c>
      <c r="P117" s="514">
        <f t="shared" si="20"/>
        <v>0</v>
      </c>
    </row>
    <row r="118" spans="2:16" ht="12.5">
      <c r="B118" s="195" t="str">
        <f t="shared" si="21"/>
        <v/>
      </c>
      <c r="C118" s="507">
        <f>IF(D93="","-",+C117+1)</f>
        <v>2027</v>
      </c>
      <c r="D118" s="374">
        <f>IF(F117+SUM(E$99:E117)=D$92,F117,D$92-SUM(E$99:E117))</f>
        <v>11735291.667611489</v>
      </c>
      <c r="E118" s="522">
        <f t="shared" si="23"/>
        <v>388543.90476190473</v>
      </c>
      <c r="F118" s="523">
        <f t="shared" si="24"/>
        <v>11346747.762849584</v>
      </c>
      <c r="G118" s="523">
        <f t="shared" si="25"/>
        <v>11541019.715230536</v>
      </c>
      <c r="H118" s="526">
        <f t="shared" si="26"/>
        <v>1630055.6264958242</v>
      </c>
      <c r="I118" s="577">
        <f t="shared" si="27"/>
        <v>1630055.6264958242</v>
      </c>
      <c r="J118" s="514">
        <f t="shared" si="22"/>
        <v>0</v>
      </c>
      <c r="K118" s="514"/>
      <c r="L118" s="525"/>
      <c r="M118" s="514">
        <f t="shared" si="18"/>
        <v>0</v>
      </c>
      <c r="N118" s="525"/>
      <c r="O118" s="514">
        <f t="shared" si="19"/>
        <v>0</v>
      </c>
      <c r="P118" s="514">
        <f t="shared" si="20"/>
        <v>0</v>
      </c>
    </row>
    <row r="119" spans="2:16" ht="12.5">
      <c r="B119" s="195" t="str">
        <f t="shared" si="21"/>
        <v/>
      </c>
      <c r="C119" s="507">
        <f>IF(D93="","-",+C118+1)</f>
        <v>2028</v>
      </c>
      <c r="D119" s="374">
        <f>IF(F118+SUM(E$99:E118)=D$92,F118,D$92-SUM(E$99:E118))</f>
        <v>11346747.762849584</v>
      </c>
      <c r="E119" s="522">
        <f t="shared" si="23"/>
        <v>388543.90476190473</v>
      </c>
      <c r="F119" s="523">
        <f t="shared" si="24"/>
        <v>10958203.858087679</v>
      </c>
      <c r="G119" s="523">
        <f t="shared" si="25"/>
        <v>11152475.810468633</v>
      </c>
      <c r="H119" s="526">
        <f t="shared" si="26"/>
        <v>1588258.4695657846</v>
      </c>
      <c r="I119" s="577">
        <f t="shared" si="27"/>
        <v>1588258.4695657846</v>
      </c>
      <c r="J119" s="514">
        <f t="shared" si="22"/>
        <v>0</v>
      </c>
      <c r="K119" s="514"/>
      <c r="L119" s="525"/>
      <c r="M119" s="514">
        <f t="shared" si="18"/>
        <v>0</v>
      </c>
      <c r="N119" s="525"/>
      <c r="O119" s="514">
        <f t="shared" si="19"/>
        <v>0</v>
      </c>
      <c r="P119" s="514">
        <f t="shared" si="20"/>
        <v>0</v>
      </c>
    </row>
    <row r="120" spans="2:16" ht="12.5">
      <c r="B120" s="195" t="str">
        <f t="shared" si="21"/>
        <v/>
      </c>
      <c r="C120" s="507">
        <f>IF(D93="","-",+C119+1)</f>
        <v>2029</v>
      </c>
      <c r="D120" s="374">
        <f>IF(F119+SUM(E$99:E119)=D$92,F119,D$92-SUM(E$99:E119))</f>
        <v>10958203.858087679</v>
      </c>
      <c r="E120" s="522">
        <f t="shared" si="23"/>
        <v>388543.90476190473</v>
      </c>
      <c r="F120" s="523">
        <f t="shared" si="24"/>
        <v>10569659.953325775</v>
      </c>
      <c r="G120" s="523">
        <f t="shared" si="25"/>
        <v>10763931.905706726</v>
      </c>
      <c r="H120" s="526">
        <f t="shared" si="26"/>
        <v>1546461.3126357449</v>
      </c>
      <c r="I120" s="577">
        <f t="shared" si="27"/>
        <v>1546461.3126357449</v>
      </c>
      <c r="J120" s="514">
        <f t="shared" si="22"/>
        <v>0</v>
      </c>
      <c r="K120" s="514"/>
      <c r="L120" s="525"/>
      <c r="M120" s="514">
        <f t="shared" si="18"/>
        <v>0</v>
      </c>
      <c r="N120" s="525"/>
      <c r="O120" s="514">
        <f t="shared" si="19"/>
        <v>0</v>
      </c>
      <c r="P120" s="514">
        <f t="shared" si="20"/>
        <v>0</v>
      </c>
    </row>
    <row r="121" spans="2:16" ht="12.5">
      <c r="B121" s="195" t="str">
        <f t="shared" si="21"/>
        <v/>
      </c>
      <c r="C121" s="507">
        <f>IF(D93="","-",+C120+1)</f>
        <v>2030</v>
      </c>
      <c r="D121" s="374">
        <f>IF(F120+SUM(E$99:E120)=D$92,F120,D$92-SUM(E$99:E120))</f>
        <v>10569659.953325775</v>
      </c>
      <c r="E121" s="522">
        <f t="shared" si="23"/>
        <v>388543.90476190473</v>
      </c>
      <c r="F121" s="523">
        <f t="shared" si="24"/>
        <v>10181116.04856387</v>
      </c>
      <c r="G121" s="523">
        <f t="shared" si="25"/>
        <v>10375388.000944823</v>
      </c>
      <c r="H121" s="526">
        <f t="shared" si="26"/>
        <v>1504664.1557057053</v>
      </c>
      <c r="I121" s="577">
        <f t="shared" si="27"/>
        <v>1504664.1557057053</v>
      </c>
      <c r="J121" s="514">
        <f t="shared" si="22"/>
        <v>0</v>
      </c>
      <c r="K121" s="514"/>
      <c r="L121" s="525"/>
      <c r="M121" s="514">
        <f t="shared" si="18"/>
        <v>0</v>
      </c>
      <c r="N121" s="525"/>
      <c r="O121" s="514">
        <f t="shared" si="19"/>
        <v>0</v>
      </c>
      <c r="P121" s="514">
        <f t="shared" si="20"/>
        <v>0</v>
      </c>
    </row>
    <row r="122" spans="2:16" ht="12.5">
      <c r="B122" s="195" t="str">
        <f t="shared" si="21"/>
        <v/>
      </c>
      <c r="C122" s="507">
        <f>IF(D93="","-",+C121+1)</f>
        <v>2031</v>
      </c>
      <c r="D122" s="374">
        <f>IF(F121+SUM(E$99:E121)=D$92,F121,D$92-SUM(E$99:E121))</f>
        <v>10181116.04856387</v>
      </c>
      <c r="E122" s="522">
        <f t="shared" si="23"/>
        <v>388543.90476190473</v>
      </c>
      <c r="F122" s="523">
        <f t="shared" si="24"/>
        <v>9792572.1438019648</v>
      </c>
      <c r="G122" s="523">
        <f t="shared" si="25"/>
        <v>9986844.0961829163</v>
      </c>
      <c r="H122" s="526">
        <f t="shared" si="26"/>
        <v>1462866.9987756652</v>
      </c>
      <c r="I122" s="577">
        <f t="shared" si="27"/>
        <v>1462866.9987756652</v>
      </c>
      <c r="J122" s="514">
        <f t="shared" si="22"/>
        <v>0</v>
      </c>
      <c r="K122" s="514"/>
      <c r="L122" s="525"/>
      <c r="M122" s="514">
        <f t="shared" si="18"/>
        <v>0</v>
      </c>
      <c r="N122" s="525"/>
      <c r="O122" s="514">
        <f t="shared" si="19"/>
        <v>0</v>
      </c>
      <c r="P122" s="514">
        <f t="shared" si="20"/>
        <v>0</v>
      </c>
    </row>
    <row r="123" spans="2:16" ht="12.5">
      <c r="B123" s="195" t="str">
        <f t="shared" si="21"/>
        <v/>
      </c>
      <c r="C123" s="507">
        <f>IF(D93="","-",+C122+1)</f>
        <v>2032</v>
      </c>
      <c r="D123" s="374">
        <f>IF(F122+SUM(E$99:E122)=D$92,F122,D$92-SUM(E$99:E122))</f>
        <v>9792572.1438019648</v>
      </c>
      <c r="E123" s="522">
        <f t="shared" si="23"/>
        <v>388543.90476190473</v>
      </c>
      <c r="F123" s="523">
        <f t="shared" si="24"/>
        <v>9404028.23904006</v>
      </c>
      <c r="G123" s="523">
        <f t="shared" si="25"/>
        <v>9598300.1914210133</v>
      </c>
      <c r="H123" s="526">
        <f t="shared" si="26"/>
        <v>1421069.841845626</v>
      </c>
      <c r="I123" s="577">
        <f t="shared" si="27"/>
        <v>1421069.841845626</v>
      </c>
      <c r="J123" s="514">
        <f t="shared" si="22"/>
        <v>0</v>
      </c>
      <c r="K123" s="514"/>
      <c r="L123" s="525"/>
      <c r="M123" s="514">
        <f t="shared" si="18"/>
        <v>0</v>
      </c>
      <c r="N123" s="525"/>
      <c r="O123" s="514">
        <f t="shared" si="19"/>
        <v>0</v>
      </c>
      <c r="P123" s="514">
        <f t="shared" si="20"/>
        <v>0</v>
      </c>
    </row>
    <row r="124" spans="2:16" ht="12.5">
      <c r="B124" s="195" t="str">
        <f t="shared" si="21"/>
        <v/>
      </c>
      <c r="C124" s="507">
        <f>IF(D93="","-",+C123+1)</f>
        <v>2033</v>
      </c>
      <c r="D124" s="374">
        <f>IF(F123+SUM(E$99:E123)=D$92,F123,D$92-SUM(E$99:E123))</f>
        <v>9404028.23904006</v>
      </c>
      <c r="E124" s="522">
        <f t="shared" si="23"/>
        <v>388543.90476190473</v>
      </c>
      <c r="F124" s="523">
        <f t="shared" si="24"/>
        <v>9015484.3342781551</v>
      </c>
      <c r="G124" s="523">
        <f t="shared" si="25"/>
        <v>9209756.2866591066</v>
      </c>
      <c r="H124" s="526">
        <f t="shared" si="26"/>
        <v>1379272.6849155859</v>
      </c>
      <c r="I124" s="577">
        <f t="shared" si="27"/>
        <v>1379272.6849155859</v>
      </c>
      <c r="J124" s="514">
        <f t="shared" si="22"/>
        <v>0</v>
      </c>
      <c r="K124" s="514"/>
      <c r="L124" s="525"/>
      <c r="M124" s="514">
        <f t="shared" si="18"/>
        <v>0</v>
      </c>
      <c r="N124" s="525"/>
      <c r="O124" s="514">
        <f t="shared" si="19"/>
        <v>0</v>
      </c>
      <c r="P124" s="514">
        <f t="shared" si="20"/>
        <v>0</v>
      </c>
    </row>
    <row r="125" spans="2:16" ht="12.5">
      <c r="B125" s="195" t="str">
        <f t="shared" si="21"/>
        <v/>
      </c>
      <c r="C125" s="507">
        <f>IF(D93="","-",+C124+1)</f>
        <v>2034</v>
      </c>
      <c r="D125" s="374">
        <f>IF(F124+SUM(E$99:E124)=D$92,F124,D$92-SUM(E$99:E124))</f>
        <v>9015484.3342781551</v>
      </c>
      <c r="E125" s="522">
        <f t="shared" si="23"/>
        <v>388543.90476190473</v>
      </c>
      <c r="F125" s="523">
        <f t="shared" si="24"/>
        <v>8626940.4295162503</v>
      </c>
      <c r="G125" s="523">
        <f t="shared" si="25"/>
        <v>8821212.3818972036</v>
      </c>
      <c r="H125" s="526">
        <f t="shared" si="26"/>
        <v>1337475.5279855467</v>
      </c>
      <c r="I125" s="577">
        <f t="shared" si="27"/>
        <v>1337475.5279855467</v>
      </c>
      <c r="J125" s="514">
        <f t="shared" si="22"/>
        <v>0</v>
      </c>
      <c r="K125" s="514"/>
      <c r="L125" s="525"/>
      <c r="M125" s="514">
        <f t="shared" si="18"/>
        <v>0</v>
      </c>
      <c r="N125" s="525"/>
      <c r="O125" s="514">
        <f t="shared" si="19"/>
        <v>0</v>
      </c>
      <c r="P125" s="514">
        <f t="shared" si="20"/>
        <v>0</v>
      </c>
    </row>
    <row r="126" spans="2:16" ht="12.5">
      <c r="B126" s="195" t="str">
        <f t="shared" si="21"/>
        <v/>
      </c>
      <c r="C126" s="507">
        <f>IF(D93="","-",+C125+1)</f>
        <v>2035</v>
      </c>
      <c r="D126" s="374">
        <f>IF(F125+SUM(E$99:E125)=D$92,F125,D$92-SUM(E$99:E125))</f>
        <v>8626940.4295162503</v>
      </c>
      <c r="E126" s="522">
        <f t="shared" si="23"/>
        <v>388543.90476190473</v>
      </c>
      <c r="F126" s="523">
        <f t="shared" si="24"/>
        <v>8238396.5247543454</v>
      </c>
      <c r="G126" s="523">
        <f t="shared" si="25"/>
        <v>8432668.4771352969</v>
      </c>
      <c r="H126" s="526">
        <f t="shared" si="26"/>
        <v>1295678.3710555066</v>
      </c>
      <c r="I126" s="577">
        <f t="shared" si="27"/>
        <v>1295678.3710555066</v>
      </c>
      <c r="J126" s="514">
        <f t="shared" si="22"/>
        <v>0</v>
      </c>
      <c r="K126" s="514"/>
      <c r="L126" s="525"/>
      <c r="M126" s="514">
        <f t="shared" si="18"/>
        <v>0</v>
      </c>
      <c r="N126" s="525"/>
      <c r="O126" s="514">
        <f t="shared" si="19"/>
        <v>0</v>
      </c>
      <c r="P126" s="514">
        <f t="shared" si="20"/>
        <v>0</v>
      </c>
    </row>
    <row r="127" spans="2:16" ht="12.5">
      <c r="B127" s="195" t="str">
        <f t="shared" si="21"/>
        <v/>
      </c>
      <c r="C127" s="507">
        <f>IF(D93="","-",+C126+1)</f>
        <v>2036</v>
      </c>
      <c r="D127" s="374">
        <f>IF(F126+SUM(E$99:E126)=D$92,F126,D$92-SUM(E$99:E126))</f>
        <v>8238396.5247543454</v>
      </c>
      <c r="E127" s="522">
        <f t="shared" si="23"/>
        <v>388543.90476190473</v>
      </c>
      <c r="F127" s="523">
        <f t="shared" si="24"/>
        <v>7849852.6199924406</v>
      </c>
      <c r="G127" s="523">
        <f t="shared" si="25"/>
        <v>8044124.572373393</v>
      </c>
      <c r="H127" s="526">
        <f t="shared" si="26"/>
        <v>1253881.214125467</v>
      </c>
      <c r="I127" s="577">
        <f t="shared" si="27"/>
        <v>1253881.214125467</v>
      </c>
      <c r="J127" s="514">
        <f t="shared" si="22"/>
        <v>0</v>
      </c>
      <c r="K127" s="514"/>
      <c r="L127" s="525"/>
      <c r="M127" s="514">
        <f t="shared" si="18"/>
        <v>0</v>
      </c>
      <c r="N127" s="525"/>
      <c r="O127" s="514">
        <f t="shared" si="19"/>
        <v>0</v>
      </c>
      <c r="P127" s="514">
        <f t="shared" si="20"/>
        <v>0</v>
      </c>
    </row>
    <row r="128" spans="2:16" ht="12.5">
      <c r="B128" s="195" t="str">
        <f t="shared" si="21"/>
        <v/>
      </c>
      <c r="C128" s="507">
        <f>IF(D93="","-",+C127+1)</f>
        <v>2037</v>
      </c>
      <c r="D128" s="374">
        <f>IF(F127+SUM(E$99:E127)=D$92,F127,D$92-SUM(E$99:E127))</f>
        <v>7849852.6199924406</v>
      </c>
      <c r="E128" s="522">
        <f t="shared" si="23"/>
        <v>388543.90476190473</v>
      </c>
      <c r="F128" s="523">
        <f t="shared" si="24"/>
        <v>7461308.7152305357</v>
      </c>
      <c r="G128" s="523">
        <f t="shared" si="25"/>
        <v>7655580.6676114881</v>
      </c>
      <c r="H128" s="526">
        <f t="shared" si="26"/>
        <v>1212084.0571954274</v>
      </c>
      <c r="I128" s="577">
        <f t="shared" si="27"/>
        <v>1212084.0571954274</v>
      </c>
      <c r="J128" s="514">
        <f t="shared" si="22"/>
        <v>0</v>
      </c>
      <c r="K128" s="514"/>
      <c r="L128" s="525"/>
      <c r="M128" s="514">
        <f t="shared" si="18"/>
        <v>0</v>
      </c>
      <c r="N128" s="525"/>
      <c r="O128" s="514">
        <f t="shared" si="19"/>
        <v>0</v>
      </c>
      <c r="P128" s="514">
        <f t="shared" si="20"/>
        <v>0</v>
      </c>
    </row>
    <row r="129" spans="2:16" ht="12.5">
      <c r="B129" s="195" t="str">
        <f t="shared" si="21"/>
        <v/>
      </c>
      <c r="C129" s="507">
        <f>IF(D93="","-",+C128+1)</f>
        <v>2038</v>
      </c>
      <c r="D129" s="374">
        <f>IF(F128+SUM(E$99:E128)=D$92,F128,D$92-SUM(E$99:E128))</f>
        <v>7461308.7152305357</v>
      </c>
      <c r="E129" s="522">
        <f t="shared" si="23"/>
        <v>388543.90476190473</v>
      </c>
      <c r="F129" s="523">
        <f t="shared" si="24"/>
        <v>7072764.8104686309</v>
      </c>
      <c r="G129" s="523">
        <f t="shared" si="25"/>
        <v>7267036.7628495833</v>
      </c>
      <c r="H129" s="526">
        <f t="shared" si="26"/>
        <v>1170286.9002653877</v>
      </c>
      <c r="I129" s="577">
        <f t="shared" si="27"/>
        <v>1170286.9002653877</v>
      </c>
      <c r="J129" s="514">
        <f t="shared" si="22"/>
        <v>0</v>
      </c>
      <c r="K129" s="514"/>
      <c r="L129" s="525"/>
      <c r="M129" s="514">
        <f t="shared" si="18"/>
        <v>0</v>
      </c>
      <c r="N129" s="525"/>
      <c r="O129" s="514">
        <f t="shared" si="19"/>
        <v>0</v>
      </c>
      <c r="P129" s="514">
        <f t="shared" si="20"/>
        <v>0</v>
      </c>
    </row>
    <row r="130" spans="2:16" ht="12.5">
      <c r="B130" s="195" t="str">
        <f t="shared" si="21"/>
        <v/>
      </c>
      <c r="C130" s="507">
        <f>IF(D93="","-",+C129+1)</f>
        <v>2039</v>
      </c>
      <c r="D130" s="374">
        <f>IF(F129+SUM(E$99:E129)=D$92,F129,D$92-SUM(E$99:E129))</f>
        <v>7072764.8104686309</v>
      </c>
      <c r="E130" s="522">
        <f t="shared" si="23"/>
        <v>388543.90476190473</v>
      </c>
      <c r="F130" s="523">
        <f t="shared" si="24"/>
        <v>6684220.905706726</v>
      </c>
      <c r="G130" s="523">
        <f t="shared" si="25"/>
        <v>6878492.8580876784</v>
      </c>
      <c r="H130" s="526">
        <f t="shared" si="26"/>
        <v>1128489.7433353481</v>
      </c>
      <c r="I130" s="577">
        <f t="shared" si="27"/>
        <v>1128489.7433353481</v>
      </c>
      <c r="J130" s="514">
        <f t="shared" si="22"/>
        <v>0</v>
      </c>
      <c r="K130" s="514"/>
      <c r="L130" s="525"/>
      <c r="M130" s="514">
        <f t="shared" si="18"/>
        <v>0</v>
      </c>
      <c r="N130" s="525"/>
      <c r="O130" s="514">
        <f t="shared" si="19"/>
        <v>0</v>
      </c>
      <c r="P130" s="514">
        <f t="shared" si="20"/>
        <v>0</v>
      </c>
    </row>
    <row r="131" spans="2:16" ht="12.5">
      <c r="B131" s="195" t="str">
        <f t="shared" si="21"/>
        <v/>
      </c>
      <c r="C131" s="507">
        <f>IF(D93="","-",+C130+1)</f>
        <v>2040</v>
      </c>
      <c r="D131" s="374">
        <f>IF(F130+SUM(E$99:E130)=D$92,F130,D$92-SUM(E$99:E130))</f>
        <v>6684220.905706726</v>
      </c>
      <c r="E131" s="522">
        <f t="shared" si="23"/>
        <v>388543.90476190473</v>
      </c>
      <c r="F131" s="523">
        <f t="shared" si="24"/>
        <v>6295677.0009448212</v>
      </c>
      <c r="G131" s="523">
        <f t="shared" si="25"/>
        <v>6489948.9533257736</v>
      </c>
      <c r="H131" s="526">
        <f t="shared" si="26"/>
        <v>1086692.5864053085</v>
      </c>
      <c r="I131" s="577">
        <f t="shared" si="27"/>
        <v>1086692.5864053085</v>
      </c>
      <c r="J131" s="514">
        <f t="shared" si="22"/>
        <v>0</v>
      </c>
      <c r="K131" s="514"/>
      <c r="L131" s="525"/>
      <c r="M131" s="514">
        <f t="shared" ref="M131:M154" si="28">IF(L541&lt;&gt;0,+H541-L541,0)</f>
        <v>0</v>
      </c>
      <c r="N131" s="525"/>
      <c r="O131" s="514">
        <f t="shared" ref="O131:O154" si="29">IF(N541&lt;&gt;0,+I541-N541,0)</f>
        <v>0</v>
      </c>
      <c r="P131" s="514">
        <f t="shared" ref="P131:P154" si="30">+O541-M541</f>
        <v>0</v>
      </c>
    </row>
    <row r="132" spans="2:16" ht="12.5">
      <c r="B132" s="195" t="str">
        <f t="shared" si="21"/>
        <v/>
      </c>
      <c r="C132" s="507">
        <f>IF(D93="","-",+C131+1)</f>
        <v>2041</v>
      </c>
      <c r="D132" s="374">
        <f>IF(F131+SUM(E$99:E131)=D$92,F131,D$92-SUM(E$99:E131))</f>
        <v>6295677.0009448212</v>
      </c>
      <c r="E132" s="522">
        <f t="shared" si="23"/>
        <v>388543.90476190473</v>
      </c>
      <c r="F132" s="523">
        <f t="shared" si="24"/>
        <v>5907133.0961829163</v>
      </c>
      <c r="G132" s="523">
        <f t="shared" si="25"/>
        <v>6101405.0485638687</v>
      </c>
      <c r="H132" s="526">
        <f t="shared" si="26"/>
        <v>1044895.4294752688</v>
      </c>
      <c r="I132" s="577">
        <f t="shared" si="27"/>
        <v>1044895.4294752688</v>
      </c>
      <c r="J132" s="514">
        <f t="shared" si="22"/>
        <v>0</v>
      </c>
      <c r="K132" s="514"/>
      <c r="L132" s="525"/>
      <c r="M132" s="514">
        <f t="shared" si="28"/>
        <v>0</v>
      </c>
      <c r="N132" s="525"/>
      <c r="O132" s="514">
        <f t="shared" si="29"/>
        <v>0</v>
      </c>
      <c r="P132" s="514">
        <f t="shared" si="30"/>
        <v>0</v>
      </c>
    </row>
    <row r="133" spans="2:16" ht="12.5">
      <c r="B133" s="195" t="str">
        <f t="shared" si="21"/>
        <v/>
      </c>
      <c r="C133" s="507">
        <f>IF(D93="","-",+C132+1)</f>
        <v>2042</v>
      </c>
      <c r="D133" s="374">
        <f>IF(F132+SUM(E$99:E132)=D$92,F132,D$92-SUM(E$99:E132))</f>
        <v>5907133.0961829163</v>
      </c>
      <c r="E133" s="522">
        <f t="shared" si="23"/>
        <v>388543.90476190473</v>
      </c>
      <c r="F133" s="523">
        <f t="shared" si="24"/>
        <v>5518589.1914210115</v>
      </c>
      <c r="G133" s="523">
        <f t="shared" si="25"/>
        <v>5712861.1438019639</v>
      </c>
      <c r="H133" s="526">
        <f t="shared" si="26"/>
        <v>1003098.2725452291</v>
      </c>
      <c r="I133" s="577">
        <f t="shared" si="27"/>
        <v>1003098.2725452291</v>
      </c>
      <c r="J133" s="514">
        <f t="shared" si="22"/>
        <v>0</v>
      </c>
      <c r="K133" s="514"/>
      <c r="L133" s="525"/>
      <c r="M133" s="514">
        <f t="shared" si="28"/>
        <v>0</v>
      </c>
      <c r="N133" s="525"/>
      <c r="O133" s="514">
        <f t="shared" si="29"/>
        <v>0</v>
      </c>
      <c r="P133" s="514">
        <f t="shared" si="30"/>
        <v>0</v>
      </c>
    </row>
    <row r="134" spans="2:16" ht="12.5">
      <c r="B134" s="195" t="str">
        <f t="shared" si="21"/>
        <v/>
      </c>
      <c r="C134" s="507">
        <f>IF(D93="","-",+C133+1)</f>
        <v>2043</v>
      </c>
      <c r="D134" s="374">
        <f>IF(F133+SUM(E$99:E133)=D$92,F133,D$92-SUM(E$99:E133))</f>
        <v>5518589.1914210115</v>
      </c>
      <c r="E134" s="522">
        <f t="shared" si="23"/>
        <v>388543.90476190473</v>
      </c>
      <c r="F134" s="523">
        <f t="shared" si="24"/>
        <v>5130045.2866591066</v>
      </c>
      <c r="G134" s="523">
        <f t="shared" si="25"/>
        <v>5324317.239040059</v>
      </c>
      <c r="H134" s="526">
        <f t="shared" si="26"/>
        <v>961301.11561518942</v>
      </c>
      <c r="I134" s="577">
        <f t="shared" si="27"/>
        <v>961301.11561518942</v>
      </c>
      <c r="J134" s="514">
        <f t="shared" si="22"/>
        <v>0</v>
      </c>
      <c r="K134" s="514"/>
      <c r="L134" s="525"/>
      <c r="M134" s="514">
        <f t="shared" si="28"/>
        <v>0</v>
      </c>
      <c r="N134" s="525"/>
      <c r="O134" s="514">
        <f t="shared" si="29"/>
        <v>0</v>
      </c>
      <c r="P134" s="514">
        <f t="shared" si="30"/>
        <v>0</v>
      </c>
    </row>
    <row r="135" spans="2:16" ht="12.5">
      <c r="B135" s="195" t="str">
        <f t="shared" si="21"/>
        <v/>
      </c>
      <c r="C135" s="507">
        <f>IF(D93="","-",+C134+1)</f>
        <v>2044</v>
      </c>
      <c r="D135" s="374">
        <f>IF(F134+SUM(E$99:E134)=D$92,F134,D$92-SUM(E$99:E134))</f>
        <v>5130045.2866591066</v>
      </c>
      <c r="E135" s="522">
        <f t="shared" si="23"/>
        <v>388543.90476190473</v>
      </c>
      <c r="F135" s="523">
        <f t="shared" si="24"/>
        <v>4741501.3818972018</v>
      </c>
      <c r="G135" s="523">
        <f t="shared" si="25"/>
        <v>4935773.3342781542</v>
      </c>
      <c r="H135" s="526">
        <f t="shared" si="26"/>
        <v>919503.95868514979</v>
      </c>
      <c r="I135" s="577">
        <f t="shared" si="27"/>
        <v>919503.95868514979</v>
      </c>
      <c r="J135" s="514">
        <f t="shared" si="22"/>
        <v>0</v>
      </c>
      <c r="K135" s="514"/>
      <c r="L135" s="525"/>
      <c r="M135" s="514">
        <f t="shared" si="28"/>
        <v>0</v>
      </c>
      <c r="N135" s="525"/>
      <c r="O135" s="514">
        <f t="shared" si="29"/>
        <v>0</v>
      </c>
      <c r="P135" s="514">
        <f t="shared" si="30"/>
        <v>0</v>
      </c>
    </row>
    <row r="136" spans="2:16" ht="12.5">
      <c r="B136" s="195" t="str">
        <f t="shared" si="21"/>
        <v/>
      </c>
      <c r="C136" s="507">
        <f>IF(D93="","-",+C135+1)</f>
        <v>2045</v>
      </c>
      <c r="D136" s="374">
        <f>IF(F135+SUM(E$99:E135)=D$92,F135,D$92-SUM(E$99:E135))</f>
        <v>4741501.3818972018</v>
      </c>
      <c r="E136" s="522">
        <f t="shared" si="23"/>
        <v>388543.90476190473</v>
      </c>
      <c r="F136" s="523">
        <f t="shared" si="24"/>
        <v>4352957.4771352969</v>
      </c>
      <c r="G136" s="523">
        <f t="shared" si="25"/>
        <v>4547229.4295162493</v>
      </c>
      <c r="H136" s="526">
        <f t="shared" si="26"/>
        <v>877706.80175511003</v>
      </c>
      <c r="I136" s="577">
        <f t="shared" si="27"/>
        <v>877706.80175511003</v>
      </c>
      <c r="J136" s="514">
        <f t="shared" si="22"/>
        <v>0</v>
      </c>
      <c r="K136" s="514"/>
      <c r="L136" s="525"/>
      <c r="M136" s="514">
        <f t="shared" si="28"/>
        <v>0</v>
      </c>
      <c r="N136" s="525"/>
      <c r="O136" s="514">
        <f t="shared" si="29"/>
        <v>0</v>
      </c>
      <c r="P136" s="514">
        <f t="shared" si="30"/>
        <v>0</v>
      </c>
    </row>
    <row r="137" spans="2:16" ht="12.5">
      <c r="B137" s="195" t="str">
        <f t="shared" si="21"/>
        <v/>
      </c>
      <c r="C137" s="507">
        <f>IF(D93="","-",+C136+1)</f>
        <v>2046</v>
      </c>
      <c r="D137" s="374">
        <f>IF(F136+SUM(E$99:E136)=D$92,F136,D$92-SUM(E$99:E136))</f>
        <v>4352957.4771352969</v>
      </c>
      <c r="E137" s="522">
        <f t="shared" si="23"/>
        <v>388543.90476190473</v>
      </c>
      <c r="F137" s="523">
        <f t="shared" si="24"/>
        <v>3964413.5723733921</v>
      </c>
      <c r="G137" s="523">
        <f t="shared" si="25"/>
        <v>4158685.5247543445</v>
      </c>
      <c r="H137" s="526">
        <f t="shared" si="26"/>
        <v>835909.6448250704</v>
      </c>
      <c r="I137" s="577">
        <f t="shared" si="27"/>
        <v>835909.6448250704</v>
      </c>
      <c r="J137" s="514">
        <f t="shared" si="22"/>
        <v>0</v>
      </c>
      <c r="K137" s="514"/>
      <c r="L137" s="525"/>
      <c r="M137" s="514">
        <f t="shared" si="28"/>
        <v>0</v>
      </c>
      <c r="N137" s="525"/>
      <c r="O137" s="514">
        <f t="shared" si="29"/>
        <v>0</v>
      </c>
      <c r="P137" s="514">
        <f t="shared" si="30"/>
        <v>0</v>
      </c>
    </row>
    <row r="138" spans="2:16" ht="12.5">
      <c r="B138" s="195" t="str">
        <f t="shared" si="21"/>
        <v/>
      </c>
      <c r="C138" s="507">
        <f>IF(D93="","-",+C137+1)</f>
        <v>2047</v>
      </c>
      <c r="D138" s="374">
        <f>IF(F137+SUM(E$99:E137)=D$92,F137,D$92-SUM(E$99:E137))</f>
        <v>3964413.5723733921</v>
      </c>
      <c r="E138" s="522">
        <f t="shared" si="23"/>
        <v>388543.90476190473</v>
      </c>
      <c r="F138" s="523">
        <f t="shared" si="24"/>
        <v>3575869.6676114872</v>
      </c>
      <c r="G138" s="523">
        <f t="shared" si="25"/>
        <v>3770141.6199924396</v>
      </c>
      <c r="H138" s="526">
        <f t="shared" si="26"/>
        <v>794112.48789503076</v>
      </c>
      <c r="I138" s="577">
        <f t="shared" si="27"/>
        <v>794112.48789503076</v>
      </c>
      <c r="J138" s="514">
        <f t="shared" si="22"/>
        <v>0</v>
      </c>
      <c r="K138" s="514"/>
      <c r="L138" s="525"/>
      <c r="M138" s="514">
        <f t="shared" si="28"/>
        <v>0</v>
      </c>
      <c r="N138" s="525"/>
      <c r="O138" s="514">
        <f t="shared" si="29"/>
        <v>0</v>
      </c>
      <c r="P138" s="514">
        <f t="shared" si="30"/>
        <v>0</v>
      </c>
    </row>
    <row r="139" spans="2:16" ht="12.5">
      <c r="B139" s="195" t="str">
        <f t="shared" si="21"/>
        <v/>
      </c>
      <c r="C139" s="507">
        <f>IF(D93="","-",+C138+1)</f>
        <v>2048</v>
      </c>
      <c r="D139" s="374">
        <f>IF(F138+SUM(E$99:E138)=D$92,F138,D$92-SUM(E$99:E138))</f>
        <v>3575869.6676114872</v>
      </c>
      <c r="E139" s="522">
        <f t="shared" si="23"/>
        <v>388543.90476190473</v>
      </c>
      <c r="F139" s="523">
        <f t="shared" si="24"/>
        <v>3187325.7628495824</v>
      </c>
      <c r="G139" s="523">
        <f t="shared" si="25"/>
        <v>3381597.7152305348</v>
      </c>
      <c r="H139" s="526">
        <f t="shared" si="26"/>
        <v>752315.33096499112</v>
      </c>
      <c r="I139" s="577">
        <f t="shared" si="27"/>
        <v>752315.33096499112</v>
      </c>
      <c r="J139" s="514">
        <f t="shared" si="22"/>
        <v>0</v>
      </c>
      <c r="K139" s="514"/>
      <c r="L139" s="525"/>
      <c r="M139" s="514">
        <f t="shared" si="28"/>
        <v>0</v>
      </c>
      <c r="N139" s="525"/>
      <c r="O139" s="514">
        <f t="shared" si="29"/>
        <v>0</v>
      </c>
      <c r="P139" s="514">
        <f t="shared" si="30"/>
        <v>0</v>
      </c>
    </row>
    <row r="140" spans="2:16" ht="12.5">
      <c r="B140" s="195" t="str">
        <f t="shared" si="21"/>
        <v/>
      </c>
      <c r="C140" s="507">
        <f>IF(D93="","-",+C139+1)</f>
        <v>2049</v>
      </c>
      <c r="D140" s="374">
        <f>IF(F139+SUM(E$99:E139)=D$92,F139,D$92-SUM(E$99:E139))</f>
        <v>3187325.7628495824</v>
      </c>
      <c r="E140" s="522">
        <f t="shared" si="23"/>
        <v>388543.90476190473</v>
      </c>
      <c r="F140" s="523">
        <f t="shared" si="24"/>
        <v>2798781.8580876775</v>
      </c>
      <c r="G140" s="523">
        <f t="shared" si="25"/>
        <v>2993053.8104686299</v>
      </c>
      <c r="H140" s="526">
        <f t="shared" si="26"/>
        <v>710518.17403495137</v>
      </c>
      <c r="I140" s="577">
        <f t="shared" si="27"/>
        <v>710518.17403495137</v>
      </c>
      <c r="J140" s="514">
        <f t="shared" si="22"/>
        <v>0</v>
      </c>
      <c r="K140" s="514"/>
      <c r="L140" s="525"/>
      <c r="M140" s="514">
        <f t="shared" si="28"/>
        <v>0</v>
      </c>
      <c r="N140" s="525"/>
      <c r="O140" s="514">
        <f t="shared" si="29"/>
        <v>0</v>
      </c>
      <c r="P140" s="514">
        <f t="shared" si="30"/>
        <v>0</v>
      </c>
    </row>
    <row r="141" spans="2:16" ht="12.5">
      <c r="B141" s="195" t="str">
        <f t="shared" si="21"/>
        <v/>
      </c>
      <c r="C141" s="507">
        <f>IF(D93="","-",+C140+1)</f>
        <v>2050</v>
      </c>
      <c r="D141" s="374">
        <f>IF(F140+SUM(E$99:E140)=D$92,F140,D$92-SUM(E$99:E140))</f>
        <v>2798781.8580876775</v>
      </c>
      <c r="E141" s="522">
        <f t="shared" si="23"/>
        <v>388543.90476190473</v>
      </c>
      <c r="F141" s="523">
        <f t="shared" si="24"/>
        <v>2410237.9533257727</v>
      </c>
      <c r="G141" s="523">
        <f t="shared" si="25"/>
        <v>2604509.9057067251</v>
      </c>
      <c r="H141" s="526">
        <f t="shared" si="26"/>
        <v>668721.01710491173</v>
      </c>
      <c r="I141" s="577">
        <f t="shared" si="27"/>
        <v>668721.01710491173</v>
      </c>
      <c r="J141" s="514">
        <f t="shared" si="22"/>
        <v>0</v>
      </c>
      <c r="K141" s="514"/>
      <c r="L141" s="525"/>
      <c r="M141" s="514">
        <f t="shared" si="28"/>
        <v>0</v>
      </c>
      <c r="N141" s="525"/>
      <c r="O141" s="514">
        <f t="shared" si="29"/>
        <v>0</v>
      </c>
      <c r="P141" s="514">
        <f t="shared" si="30"/>
        <v>0</v>
      </c>
    </row>
    <row r="142" spans="2:16" ht="12.5">
      <c r="B142" s="195" t="str">
        <f t="shared" si="21"/>
        <v/>
      </c>
      <c r="C142" s="507">
        <f>IF(D93="","-",+C141+1)</f>
        <v>2051</v>
      </c>
      <c r="D142" s="374">
        <f>IF(F141+SUM(E$99:E141)=D$92,F141,D$92-SUM(E$99:E141))</f>
        <v>2410237.9533257727</v>
      </c>
      <c r="E142" s="522">
        <f t="shared" si="23"/>
        <v>388543.90476190473</v>
      </c>
      <c r="F142" s="523">
        <f t="shared" si="24"/>
        <v>2021694.0485638678</v>
      </c>
      <c r="G142" s="523">
        <f t="shared" si="25"/>
        <v>2215966.0009448202</v>
      </c>
      <c r="H142" s="526">
        <f t="shared" si="26"/>
        <v>626923.86017487198</v>
      </c>
      <c r="I142" s="577">
        <f t="shared" si="27"/>
        <v>626923.86017487198</v>
      </c>
      <c r="J142" s="514">
        <f t="shared" si="22"/>
        <v>0</v>
      </c>
      <c r="K142" s="514"/>
      <c r="L142" s="525"/>
      <c r="M142" s="514">
        <f t="shared" si="28"/>
        <v>0</v>
      </c>
      <c r="N142" s="525"/>
      <c r="O142" s="514">
        <f t="shared" si="29"/>
        <v>0</v>
      </c>
      <c r="P142" s="514">
        <f t="shared" si="30"/>
        <v>0</v>
      </c>
    </row>
    <row r="143" spans="2:16" ht="12.5">
      <c r="B143" s="195" t="str">
        <f t="shared" si="21"/>
        <v/>
      </c>
      <c r="C143" s="507">
        <f>IF(D93="","-",+C142+1)</f>
        <v>2052</v>
      </c>
      <c r="D143" s="374">
        <f>IF(F142+SUM(E$99:E142)=D$92,F142,D$92-SUM(E$99:E142))</f>
        <v>2021694.0485638678</v>
      </c>
      <c r="E143" s="522">
        <f t="shared" si="23"/>
        <v>388543.90476190473</v>
      </c>
      <c r="F143" s="523">
        <f t="shared" si="24"/>
        <v>1633150.143801963</v>
      </c>
      <c r="G143" s="523">
        <f t="shared" si="25"/>
        <v>1827422.0961829154</v>
      </c>
      <c r="H143" s="526">
        <f t="shared" si="26"/>
        <v>585126.70324483234</v>
      </c>
      <c r="I143" s="577">
        <f t="shared" si="27"/>
        <v>585126.70324483234</v>
      </c>
      <c r="J143" s="514">
        <f t="shared" si="22"/>
        <v>0</v>
      </c>
      <c r="K143" s="514"/>
      <c r="L143" s="525"/>
      <c r="M143" s="514">
        <f t="shared" si="28"/>
        <v>0</v>
      </c>
      <c r="N143" s="525"/>
      <c r="O143" s="514">
        <f t="shared" si="29"/>
        <v>0</v>
      </c>
      <c r="P143" s="514">
        <f t="shared" si="30"/>
        <v>0</v>
      </c>
    </row>
    <row r="144" spans="2:16" ht="12.5">
      <c r="B144" s="195" t="str">
        <f t="shared" si="21"/>
        <v/>
      </c>
      <c r="C144" s="507">
        <f>IF(D93="","-",+C143+1)</f>
        <v>2053</v>
      </c>
      <c r="D144" s="374">
        <f>IF(F143+SUM(E$99:E143)=D$92,F143,D$92-SUM(E$99:E143))</f>
        <v>1633150.143801963</v>
      </c>
      <c r="E144" s="522">
        <f t="shared" si="23"/>
        <v>388543.90476190473</v>
      </c>
      <c r="F144" s="523">
        <f t="shared" si="24"/>
        <v>1244606.2390400581</v>
      </c>
      <c r="G144" s="523">
        <f t="shared" si="25"/>
        <v>1438878.1914210105</v>
      </c>
      <c r="H144" s="526">
        <f t="shared" si="26"/>
        <v>543329.54631479271</v>
      </c>
      <c r="I144" s="577">
        <f t="shared" si="27"/>
        <v>543329.54631479271</v>
      </c>
      <c r="J144" s="514">
        <f t="shared" si="22"/>
        <v>0</v>
      </c>
      <c r="K144" s="514"/>
      <c r="L144" s="525"/>
      <c r="M144" s="514">
        <f t="shared" si="28"/>
        <v>0</v>
      </c>
      <c r="N144" s="525"/>
      <c r="O144" s="514">
        <f t="shared" si="29"/>
        <v>0</v>
      </c>
      <c r="P144" s="514">
        <f t="shared" si="30"/>
        <v>0</v>
      </c>
    </row>
    <row r="145" spans="2:16" ht="12.5">
      <c r="B145" s="195" t="str">
        <f t="shared" si="21"/>
        <v/>
      </c>
      <c r="C145" s="507">
        <f>IF(D93="","-",+C144+1)</f>
        <v>2054</v>
      </c>
      <c r="D145" s="374">
        <f>IF(F144+SUM(E$99:E144)=D$92,F144,D$92-SUM(E$99:E144))</f>
        <v>1244606.2390400581</v>
      </c>
      <c r="E145" s="522">
        <f t="shared" si="23"/>
        <v>388543.90476190473</v>
      </c>
      <c r="F145" s="523">
        <f t="shared" si="24"/>
        <v>856062.33427815337</v>
      </c>
      <c r="G145" s="523">
        <f t="shared" si="25"/>
        <v>1050334.2866591057</v>
      </c>
      <c r="H145" s="526">
        <f t="shared" si="26"/>
        <v>501532.38938475301</v>
      </c>
      <c r="I145" s="577">
        <f t="shared" si="27"/>
        <v>501532.38938475301</v>
      </c>
      <c r="J145" s="514">
        <f t="shared" si="22"/>
        <v>0</v>
      </c>
      <c r="K145" s="514"/>
      <c r="L145" s="525"/>
      <c r="M145" s="514">
        <f t="shared" si="28"/>
        <v>0</v>
      </c>
      <c r="N145" s="525"/>
      <c r="O145" s="514">
        <f t="shared" si="29"/>
        <v>0</v>
      </c>
      <c r="P145" s="514">
        <f t="shared" si="30"/>
        <v>0</v>
      </c>
    </row>
    <row r="146" spans="2:16" ht="12.5">
      <c r="B146" s="195" t="str">
        <f t="shared" si="21"/>
        <v/>
      </c>
      <c r="C146" s="507">
        <f>IF(D93="","-",+C145+1)</f>
        <v>2055</v>
      </c>
      <c r="D146" s="374">
        <f>IF(F145+SUM(E$99:E145)=D$92,F145,D$92-SUM(E$99:E145))</f>
        <v>856062.33427815337</v>
      </c>
      <c r="E146" s="522">
        <f t="shared" si="23"/>
        <v>388543.90476190473</v>
      </c>
      <c r="F146" s="523">
        <f t="shared" si="24"/>
        <v>467518.42951624864</v>
      </c>
      <c r="G146" s="523">
        <f t="shared" si="25"/>
        <v>661790.38189720106</v>
      </c>
      <c r="H146" s="526">
        <f t="shared" si="26"/>
        <v>459735.23245471338</v>
      </c>
      <c r="I146" s="577">
        <f t="shared" si="27"/>
        <v>459735.23245471338</v>
      </c>
      <c r="J146" s="514">
        <f t="shared" si="22"/>
        <v>0</v>
      </c>
      <c r="K146" s="514"/>
      <c r="L146" s="525"/>
      <c r="M146" s="514">
        <f t="shared" si="28"/>
        <v>0</v>
      </c>
      <c r="N146" s="525"/>
      <c r="O146" s="514">
        <f t="shared" si="29"/>
        <v>0</v>
      </c>
      <c r="P146" s="514">
        <f t="shared" si="30"/>
        <v>0</v>
      </c>
    </row>
    <row r="147" spans="2:16" ht="12.5">
      <c r="B147" s="195" t="str">
        <f t="shared" si="21"/>
        <v/>
      </c>
      <c r="C147" s="507">
        <f>IF(D93="","-",+C146+1)</f>
        <v>2056</v>
      </c>
      <c r="D147" s="374">
        <f>IF(F146+SUM(E$99:E146)=D$92,F146,D$92-SUM(E$99:E146))</f>
        <v>467518.42951624864</v>
      </c>
      <c r="E147" s="522">
        <f t="shared" si="23"/>
        <v>388543.90476190473</v>
      </c>
      <c r="F147" s="523">
        <f t="shared" si="24"/>
        <v>78974.524754343904</v>
      </c>
      <c r="G147" s="523">
        <f t="shared" si="25"/>
        <v>273246.47713529627</v>
      </c>
      <c r="H147" s="526">
        <f t="shared" si="26"/>
        <v>417938.07552467368</v>
      </c>
      <c r="I147" s="577">
        <f t="shared" si="27"/>
        <v>417938.07552467368</v>
      </c>
      <c r="J147" s="514">
        <f t="shared" si="22"/>
        <v>0</v>
      </c>
      <c r="K147" s="514"/>
      <c r="L147" s="525"/>
      <c r="M147" s="514">
        <f t="shared" si="28"/>
        <v>0</v>
      </c>
      <c r="N147" s="525"/>
      <c r="O147" s="514">
        <f t="shared" si="29"/>
        <v>0</v>
      </c>
      <c r="P147" s="514">
        <f t="shared" si="30"/>
        <v>0</v>
      </c>
    </row>
    <row r="148" spans="2:16" ht="12.5">
      <c r="B148" s="195" t="str">
        <f t="shared" si="21"/>
        <v/>
      </c>
      <c r="C148" s="507">
        <f>IF(D93="","-",+C147+1)</f>
        <v>2057</v>
      </c>
      <c r="D148" s="374">
        <f>IF(F147+SUM(E$99:E147)=D$92,F147,D$92-SUM(E$99:E147))</f>
        <v>78974.524754343904</v>
      </c>
      <c r="E148" s="522">
        <f t="shared" si="23"/>
        <v>78974.524754343904</v>
      </c>
      <c r="F148" s="523">
        <f t="shared" si="24"/>
        <v>0</v>
      </c>
      <c r="G148" s="523">
        <f t="shared" si="25"/>
        <v>39487.262377171952</v>
      </c>
      <c r="H148" s="526">
        <f t="shared" si="26"/>
        <v>83222.320903218468</v>
      </c>
      <c r="I148" s="577">
        <f t="shared" si="27"/>
        <v>83222.320903218468</v>
      </c>
      <c r="J148" s="514">
        <f t="shared" si="22"/>
        <v>0</v>
      </c>
      <c r="K148" s="514"/>
      <c r="L148" s="525"/>
      <c r="M148" s="514">
        <f t="shared" si="28"/>
        <v>0</v>
      </c>
      <c r="N148" s="525"/>
      <c r="O148" s="514">
        <f t="shared" si="29"/>
        <v>0</v>
      </c>
      <c r="P148" s="514">
        <f t="shared" si="30"/>
        <v>0</v>
      </c>
    </row>
    <row r="149" spans="2:16" ht="12.5">
      <c r="B149" s="195" t="str">
        <f t="shared" si="21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 t="shared" si="23"/>
        <v>0</v>
      </c>
      <c r="F149" s="523">
        <f t="shared" si="24"/>
        <v>0</v>
      </c>
      <c r="G149" s="523">
        <f t="shared" si="25"/>
        <v>0</v>
      </c>
      <c r="H149" s="526">
        <f t="shared" si="26"/>
        <v>0</v>
      </c>
      <c r="I149" s="577">
        <f t="shared" si="27"/>
        <v>0</v>
      </c>
      <c r="J149" s="514">
        <f t="shared" si="22"/>
        <v>0</v>
      </c>
      <c r="K149" s="514"/>
      <c r="L149" s="525"/>
      <c r="M149" s="514">
        <f t="shared" si="28"/>
        <v>0</v>
      </c>
      <c r="N149" s="525"/>
      <c r="O149" s="514">
        <f t="shared" si="29"/>
        <v>0</v>
      </c>
      <c r="P149" s="514">
        <f t="shared" si="30"/>
        <v>0</v>
      </c>
    </row>
    <row r="150" spans="2:16" ht="12.5">
      <c r="B150" s="195" t="str">
        <f t="shared" si="21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 t="shared" si="23"/>
        <v>0</v>
      </c>
      <c r="F150" s="523">
        <f t="shared" si="24"/>
        <v>0</v>
      </c>
      <c r="G150" s="523">
        <f t="shared" si="25"/>
        <v>0</v>
      </c>
      <c r="H150" s="526">
        <f t="shared" si="26"/>
        <v>0</v>
      </c>
      <c r="I150" s="577">
        <f t="shared" si="27"/>
        <v>0</v>
      </c>
      <c r="J150" s="514">
        <f t="shared" si="22"/>
        <v>0</v>
      </c>
      <c r="K150" s="514"/>
      <c r="L150" s="525"/>
      <c r="M150" s="514">
        <f t="shared" si="28"/>
        <v>0</v>
      </c>
      <c r="N150" s="525"/>
      <c r="O150" s="514">
        <f t="shared" si="29"/>
        <v>0</v>
      </c>
      <c r="P150" s="514">
        <f t="shared" si="30"/>
        <v>0</v>
      </c>
    </row>
    <row r="151" spans="2:16" ht="12.5">
      <c r="B151" s="195" t="str">
        <f t="shared" si="21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 t="shared" si="23"/>
        <v>0</v>
      </c>
      <c r="F151" s="523">
        <f t="shared" si="24"/>
        <v>0</v>
      </c>
      <c r="G151" s="523">
        <f t="shared" si="25"/>
        <v>0</v>
      </c>
      <c r="H151" s="526">
        <f t="shared" si="26"/>
        <v>0</v>
      </c>
      <c r="I151" s="577">
        <f t="shared" si="27"/>
        <v>0</v>
      </c>
      <c r="J151" s="514">
        <f t="shared" si="22"/>
        <v>0</v>
      </c>
      <c r="K151" s="514"/>
      <c r="L151" s="525"/>
      <c r="M151" s="514">
        <f t="shared" si="28"/>
        <v>0</v>
      </c>
      <c r="N151" s="525"/>
      <c r="O151" s="514">
        <f t="shared" si="29"/>
        <v>0</v>
      </c>
      <c r="P151" s="514">
        <f t="shared" si="30"/>
        <v>0</v>
      </c>
    </row>
    <row r="152" spans="2:16" ht="12.5">
      <c r="B152" s="195" t="str">
        <f t="shared" si="21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 t="shared" si="23"/>
        <v>0</v>
      </c>
      <c r="F152" s="523">
        <f t="shared" si="24"/>
        <v>0</v>
      </c>
      <c r="G152" s="523">
        <f t="shared" si="25"/>
        <v>0</v>
      </c>
      <c r="H152" s="526">
        <f t="shared" si="26"/>
        <v>0</v>
      </c>
      <c r="I152" s="577">
        <f t="shared" si="27"/>
        <v>0</v>
      </c>
      <c r="J152" s="514">
        <f t="shared" si="22"/>
        <v>0</v>
      </c>
      <c r="K152" s="514"/>
      <c r="L152" s="525"/>
      <c r="M152" s="514">
        <f t="shared" si="28"/>
        <v>0</v>
      </c>
      <c r="N152" s="525"/>
      <c r="O152" s="514">
        <f t="shared" si="29"/>
        <v>0</v>
      </c>
      <c r="P152" s="514">
        <f t="shared" si="30"/>
        <v>0</v>
      </c>
    </row>
    <row r="153" spans="2:16" ht="12.5">
      <c r="B153" s="195" t="str">
        <f t="shared" si="21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 t="shared" si="23"/>
        <v>0</v>
      </c>
      <c r="F153" s="523">
        <f t="shared" si="24"/>
        <v>0</v>
      </c>
      <c r="G153" s="523">
        <f t="shared" si="25"/>
        <v>0</v>
      </c>
      <c r="H153" s="526">
        <f t="shared" si="26"/>
        <v>0</v>
      </c>
      <c r="I153" s="577">
        <f t="shared" si="27"/>
        <v>0</v>
      </c>
      <c r="J153" s="514">
        <f t="shared" si="22"/>
        <v>0</v>
      </c>
      <c r="K153" s="514"/>
      <c r="L153" s="525"/>
      <c r="M153" s="514">
        <f t="shared" si="28"/>
        <v>0</v>
      </c>
      <c r="N153" s="525"/>
      <c r="O153" s="514">
        <f t="shared" si="29"/>
        <v>0</v>
      </c>
      <c r="P153" s="514">
        <f t="shared" si="30"/>
        <v>0</v>
      </c>
    </row>
    <row r="154" spans="2:16" ht="13" thickBot="1">
      <c r="B154" s="195" t="str">
        <f t="shared" si="21"/>
        <v/>
      </c>
      <c r="C154" s="527">
        <f>IF(D93="","-",+C153+1)</f>
        <v>2063</v>
      </c>
      <c r="D154" s="374">
        <f>IF(F153+SUM(E$99:E153)=D$92,F153,D$92-SUM(E$99:E153))</f>
        <v>0</v>
      </c>
      <c r="E154" s="522">
        <f t="shared" si="23"/>
        <v>0</v>
      </c>
      <c r="F154" s="523">
        <f t="shared" si="24"/>
        <v>0</v>
      </c>
      <c r="G154" s="523">
        <f t="shared" si="25"/>
        <v>0</v>
      </c>
      <c r="H154" s="526">
        <f t="shared" si="26"/>
        <v>0</v>
      </c>
      <c r="I154" s="577">
        <f t="shared" si="27"/>
        <v>0</v>
      </c>
      <c r="J154" s="514">
        <f t="shared" si="22"/>
        <v>0</v>
      </c>
      <c r="K154" s="514"/>
      <c r="L154" s="532"/>
      <c r="M154" s="533">
        <f t="shared" si="28"/>
        <v>0</v>
      </c>
      <c r="N154" s="532"/>
      <c r="O154" s="533">
        <f t="shared" si="29"/>
        <v>0</v>
      </c>
      <c r="P154" s="533">
        <f t="shared" si="30"/>
        <v>0</v>
      </c>
    </row>
    <row r="155" spans="2:16" ht="12.5">
      <c r="C155" s="374" t="s">
        <v>78</v>
      </c>
      <c r="D155" s="375"/>
      <c r="E155" s="375">
        <f>SUM(E99:E154)</f>
        <v>16318844</v>
      </c>
      <c r="F155" s="375"/>
      <c r="G155" s="375"/>
      <c r="H155" s="375">
        <f>SUM(H99:H154)</f>
        <v>54072740.649401441</v>
      </c>
      <c r="I155" s="375">
        <f>SUM(I99:I154)</f>
        <v>54072740.649401441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8" priority="1" stopIfTrue="1" operator="equal">
      <formula>$I$10</formula>
    </cfRule>
  </conditionalFormatting>
  <conditionalFormatting sqref="C99:C154">
    <cfRule type="cellIs" dxfId="6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Q162"/>
  <sheetViews>
    <sheetView view="pageBreakPreview" topLeftCell="A79" zoomScale="82" zoomScaleNormal="100" zoomScaleSheetLayoutView="82" workbookViewId="0">
      <selection activeCell="D33" sqref="D33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2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816064.49414072814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816064.49414072814</v>
      </c>
      <c r="O6" s="269"/>
      <c r="P6" s="269"/>
    </row>
    <row r="7" spans="1:17" ht="13.5" thickBot="1">
      <c r="C7" s="467" t="s">
        <v>48</v>
      </c>
      <c r="D7" s="468" t="s">
        <v>226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141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8402687.4800000004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200063.98761904764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11979500</v>
      </c>
      <c r="E17" s="509">
        <v>296789</v>
      </c>
      <c r="F17" s="508">
        <v>11682711</v>
      </c>
      <c r="G17" s="509">
        <v>2087310</v>
      </c>
      <c r="H17" s="510">
        <v>2087310</v>
      </c>
      <c r="I17" s="511">
        <f>H17-G17</f>
        <v>0</v>
      </c>
      <c r="J17" s="511"/>
      <c r="K17" s="512">
        <v>2087310</v>
      </c>
      <c r="L17" s="513">
        <f t="shared" ref="L17:L48" si="0">IF(K17&lt;&gt;0,+G17-K17,0)</f>
        <v>0</v>
      </c>
      <c r="M17" s="512">
        <v>2087310</v>
      </c>
      <c r="N17" s="513">
        <f t="shared" ref="N17:N48" si="1">IF(M17&lt;&gt;0,+H17-M17,0)</f>
        <v>0</v>
      </c>
      <c r="O17" s="514">
        <f t="shared" ref="O17:O48" si="2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8105898</v>
      </c>
      <c r="E18" s="516">
        <v>221123</v>
      </c>
      <c r="F18" s="515">
        <v>7884775</v>
      </c>
      <c r="G18" s="516">
        <v>1354678</v>
      </c>
      <c r="H18" s="510">
        <v>1354678</v>
      </c>
      <c r="I18" s="517">
        <v>0</v>
      </c>
      <c r="J18" s="511"/>
      <c r="K18" s="518">
        <f t="shared" ref="K18:K23" si="3">G18</f>
        <v>1354678</v>
      </c>
      <c r="L18" s="519">
        <f t="shared" si="0"/>
        <v>0</v>
      </c>
      <c r="M18" s="518">
        <f t="shared" ref="M18:M23" si="4">H18</f>
        <v>1354678</v>
      </c>
      <c r="N18" s="514">
        <f t="shared" si="1"/>
        <v>0</v>
      </c>
      <c r="O18" s="514">
        <f t="shared" si="2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7884775.4800000004</v>
      </c>
      <c r="E19" s="516">
        <v>204943.59707317073</v>
      </c>
      <c r="F19" s="515">
        <v>7679831.8829268301</v>
      </c>
      <c r="G19" s="516">
        <v>1404473.3146370691</v>
      </c>
      <c r="H19" s="510">
        <v>1404473.3146370691</v>
      </c>
      <c r="I19" s="517">
        <v>0</v>
      </c>
      <c r="J19" s="511"/>
      <c r="K19" s="518">
        <f t="shared" si="3"/>
        <v>1404473.3146370691</v>
      </c>
      <c r="L19" s="519">
        <f t="shared" si="0"/>
        <v>0</v>
      </c>
      <c r="M19" s="518">
        <f t="shared" si="4"/>
        <v>1404473.3146370691</v>
      </c>
      <c r="N19" s="514">
        <f t="shared" si="1"/>
        <v>0</v>
      </c>
      <c r="O19" s="514">
        <f t="shared" si="2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2012</v>
      </c>
      <c r="D20" s="515">
        <v>7679831.8829268301</v>
      </c>
      <c r="E20" s="520">
        <v>200063.98761904764</v>
      </c>
      <c r="F20" s="515">
        <v>7479767.8953077821</v>
      </c>
      <c r="G20" s="516">
        <v>1312456.1166807273</v>
      </c>
      <c r="H20" s="510">
        <v>1312456.1166807273</v>
      </c>
      <c r="I20" s="517">
        <v>0</v>
      </c>
      <c r="J20" s="511"/>
      <c r="K20" s="518">
        <f t="shared" si="3"/>
        <v>1312456.1166807273</v>
      </c>
      <c r="L20" s="519">
        <f t="shared" si="0"/>
        <v>0</v>
      </c>
      <c r="M20" s="518">
        <f t="shared" si="4"/>
        <v>1312456.1166807273</v>
      </c>
      <c r="N20" s="514">
        <f t="shared" si="1"/>
        <v>0</v>
      </c>
      <c r="O20" s="514">
        <f t="shared" si="2"/>
        <v>0</v>
      </c>
      <c r="P20" s="272"/>
    </row>
    <row r="21" spans="2:16" ht="12.5">
      <c r="B21" s="195" t="str">
        <f t="shared" si="5"/>
        <v/>
      </c>
      <c r="C21" s="507">
        <f t="shared" ref="C21:C72" si="6">IF(D12="","-",+C20+1)</f>
        <v>2013</v>
      </c>
      <c r="D21" s="515">
        <v>7479767.8953077821</v>
      </c>
      <c r="E21" s="520">
        <v>200063.98761904764</v>
      </c>
      <c r="F21" s="515">
        <v>7279703.9076887341</v>
      </c>
      <c r="G21" s="516">
        <v>1219128.4960322082</v>
      </c>
      <c r="H21" s="510">
        <v>1219128.4960322082</v>
      </c>
      <c r="I21" s="511">
        <f t="shared" ref="I21:I72" si="7">H21-G21</f>
        <v>0</v>
      </c>
      <c r="J21" s="511"/>
      <c r="K21" s="518">
        <f t="shared" si="3"/>
        <v>1219128.4960322082</v>
      </c>
      <c r="L21" s="519">
        <f t="shared" ref="L21:L26" si="8">IF(K21&lt;&gt;0,+G21-K21,0)</f>
        <v>0</v>
      </c>
      <c r="M21" s="518">
        <f t="shared" si="4"/>
        <v>1219128.4960322082</v>
      </c>
      <c r="N21" s="514">
        <f t="shared" ref="N21:N26" si="9">IF(M21&lt;&gt;0,+H21-M21,0)</f>
        <v>0</v>
      </c>
      <c r="O21" s="514">
        <f t="shared" ref="O21:O26" si="10">+N21-L21</f>
        <v>0</v>
      </c>
      <c r="P21" s="272"/>
    </row>
    <row r="22" spans="2:16" ht="12.5">
      <c r="B22" s="195" t="str">
        <f t="shared" si="5"/>
        <v/>
      </c>
      <c r="C22" s="507">
        <f t="shared" si="6"/>
        <v>2014</v>
      </c>
      <c r="D22" s="515">
        <v>7279703.9076887341</v>
      </c>
      <c r="E22" s="520">
        <v>200063.98761904764</v>
      </c>
      <c r="F22" s="515">
        <v>7079639.9200696861</v>
      </c>
      <c r="G22" s="516">
        <v>1155181.8074626003</v>
      </c>
      <c r="H22" s="510">
        <v>1155181.8074626003</v>
      </c>
      <c r="I22" s="511">
        <v>0</v>
      </c>
      <c r="J22" s="511"/>
      <c r="K22" s="518">
        <f t="shared" si="3"/>
        <v>1155181.8074626003</v>
      </c>
      <c r="L22" s="519">
        <f t="shared" si="8"/>
        <v>0</v>
      </c>
      <c r="M22" s="518">
        <f t="shared" si="4"/>
        <v>1155181.8074626003</v>
      </c>
      <c r="N22" s="514">
        <f t="shared" si="9"/>
        <v>0</v>
      </c>
      <c r="O22" s="514">
        <f t="shared" si="10"/>
        <v>0</v>
      </c>
      <c r="P22" s="272"/>
    </row>
    <row r="23" spans="2:16" ht="12.5">
      <c r="B23" s="195" t="str">
        <f t="shared" si="5"/>
        <v/>
      </c>
      <c r="C23" s="507">
        <f t="shared" si="6"/>
        <v>2015</v>
      </c>
      <c r="D23" s="515">
        <v>7079639.9200696861</v>
      </c>
      <c r="E23" s="520">
        <v>200063.98761904764</v>
      </c>
      <c r="F23" s="515">
        <v>6879575.9324506382</v>
      </c>
      <c r="G23" s="516">
        <v>1106137.1665956248</v>
      </c>
      <c r="H23" s="510">
        <v>1106137.1665956248</v>
      </c>
      <c r="I23" s="511">
        <v>0</v>
      </c>
      <c r="J23" s="511"/>
      <c r="K23" s="518">
        <f t="shared" si="3"/>
        <v>1106137.1665956248</v>
      </c>
      <c r="L23" s="519">
        <f t="shared" si="8"/>
        <v>0</v>
      </c>
      <c r="M23" s="518">
        <f t="shared" si="4"/>
        <v>1106137.1665956248</v>
      </c>
      <c r="N23" s="514">
        <f t="shared" si="9"/>
        <v>0</v>
      </c>
      <c r="O23" s="514">
        <f t="shared" si="10"/>
        <v>0</v>
      </c>
      <c r="P23" s="272"/>
    </row>
    <row r="24" spans="2:16" ht="12.5">
      <c r="B24" s="195" t="str">
        <f t="shared" si="5"/>
        <v/>
      </c>
      <c r="C24" s="507">
        <f t="shared" si="6"/>
        <v>2016</v>
      </c>
      <c r="D24" s="515">
        <v>6879575.9324506382</v>
      </c>
      <c r="E24" s="520">
        <v>200063.98761904764</v>
      </c>
      <c r="F24" s="515">
        <v>6679511.9448315902</v>
      </c>
      <c r="G24" s="516">
        <v>1068934.7345413081</v>
      </c>
      <c r="H24" s="510">
        <v>1068934.7345413081</v>
      </c>
      <c r="I24" s="511">
        <f t="shared" si="7"/>
        <v>0</v>
      </c>
      <c r="J24" s="511"/>
      <c r="K24" s="518">
        <f>G24</f>
        <v>1068934.7345413081</v>
      </c>
      <c r="L24" s="519">
        <f t="shared" si="8"/>
        <v>0</v>
      </c>
      <c r="M24" s="518">
        <f>H24</f>
        <v>1068934.7345413081</v>
      </c>
      <c r="N24" s="514">
        <f t="shared" si="9"/>
        <v>0</v>
      </c>
      <c r="O24" s="514">
        <f t="shared" si="10"/>
        <v>0</v>
      </c>
      <c r="P24" s="272"/>
    </row>
    <row r="25" spans="2:16" ht="12.5">
      <c r="B25" s="195" t="str">
        <f t="shared" si="5"/>
        <v/>
      </c>
      <c r="C25" s="507">
        <f t="shared" si="6"/>
        <v>2017</v>
      </c>
      <c r="D25" s="515">
        <v>6679511.9448315902</v>
      </c>
      <c r="E25" s="520">
        <v>195411.33674418606</v>
      </c>
      <c r="F25" s="515">
        <v>6484100.6080874037</v>
      </c>
      <c r="G25" s="516">
        <v>1010847.9921071748</v>
      </c>
      <c r="H25" s="510">
        <v>1010847.9921071748</v>
      </c>
      <c r="I25" s="511">
        <f t="shared" si="7"/>
        <v>0</v>
      </c>
      <c r="J25" s="511"/>
      <c r="K25" s="518">
        <f>G25</f>
        <v>1010847.9921071748</v>
      </c>
      <c r="L25" s="519">
        <f t="shared" si="8"/>
        <v>0</v>
      </c>
      <c r="M25" s="518">
        <f>H25</f>
        <v>1010847.9921071748</v>
      </c>
      <c r="N25" s="514">
        <f t="shared" si="9"/>
        <v>0</v>
      </c>
      <c r="O25" s="514">
        <f t="shared" si="10"/>
        <v>0</v>
      </c>
      <c r="P25" s="272"/>
    </row>
    <row r="26" spans="2:16" ht="12.5">
      <c r="B26" s="195" t="str">
        <f t="shared" si="5"/>
        <v/>
      </c>
      <c r="C26" s="507">
        <f t="shared" si="6"/>
        <v>2018</v>
      </c>
      <c r="D26" s="515">
        <v>6484100.6080874037</v>
      </c>
      <c r="E26" s="520">
        <v>204943.59707317073</v>
      </c>
      <c r="F26" s="515">
        <v>6279157.0110142333</v>
      </c>
      <c r="G26" s="516">
        <v>1016010.9603176524</v>
      </c>
      <c r="H26" s="510">
        <v>1016010.9603176524</v>
      </c>
      <c r="I26" s="511">
        <f t="shared" si="7"/>
        <v>0</v>
      </c>
      <c r="J26" s="511"/>
      <c r="K26" s="518">
        <f>G26</f>
        <v>1016010.9603176524</v>
      </c>
      <c r="L26" s="519">
        <f t="shared" si="8"/>
        <v>0</v>
      </c>
      <c r="M26" s="518">
        <f>H26</f>
        <v>1016010.9603176524</v>
      </c>
      <c r="N26" s="514">
        <f t="shared" si="9"/>
        <v>0</v>
      </c>
      <c r="O26" s="514">
        <f t="shared" si="10"/>
        <v>0</v>
      </c>
      <c r="P26" s="272"/>
    </row>
    <row r="27" spans="2:16" ht="12.5">
      <c r="B27" s="195" t="str">
        <f t="shared" si="5"/>
        <v/>
      </c>
      <c r="C27" s="507">
        <f t="shared" si="6"/>
        <v>2019</v>
      </c>
      <c r="D27" s="515">
        <v>6279157.0110142333</v>
      </c>
      <c r="E27" s="520">
        <v>204943.59707317073</v>
      </c>
      <c r="F27" s="515">
        <v>6074213.413941063</v>
      </c>
      <c r="G27" s="516">
        <v>989963.83851652173</v>
      </c>
      <c r="H27" s="510">
        <v>989963.83851652173</v>
      </c>
      <c r="I27" s="511">
        <f t="shared" si="7"/>
        <v>0</v>
      </c>
      <c r="J27" s="511"/>
      <c r="K27" s="518">
        <f>G27</f>
        <v>989963.83851652173</v>
      </c>
      <c r="L27" s="519">
        <f t="shared" ref="L27" si="11">IF(K27&lt;&gt;0,+G27-K27,0)</f>
        <v>0</v>
      </c>
      <c r="M27" s="518">
        <f>H27</f>
        <v>989963.83851652173</v>
      </c>
      <c r="N27" s="514">
        <f t="shared" si="1"/>
        <v>0</v>
      </c>
      <c r="O27" s="514">
        <f t="shared" si="2"/>
        <v>0</v>
      </c>
      <c r="P27" s="272"/>
    </row>
    <row r="28" spans="2:16" ht="12.5">
      <c r="B28" s="195" t="str">
        <f t="shared" si="5"/>
        <v/>
      </c>
      <c r="C28" s="507">
        <f t="shared" si="6"/>
        <v>2020</v>
      </c>
      <c r="D28" s="515">
        <v>6074213.413941063</v>
      </c>
      <c r="E28" s="520">
        <v>204943.59707317073</v>
      </c>
      <c r="F28" s="515">
        <v>5869269.8168678926</v>
      </c>
      <c r="G28" s="516">
        <v>816064.49414072814</v>
      </c>
      <c r="H28" s="510">
        <v>816064.49414072814</v>
      </c>
      <c r="I28" s="511">
        <f t="shared" si="7"/>
        <v>0</v>
      </c>
      <c r="J28" s="511"/>
      <c r="K28" s="518">
        <f>G28</f>
        <v>816064.49414072814</v>
      </c>
      <c r="L28" s="519">
        <f t="shared" ref="L28" si="12">IF(K28&lt;&gt;0,+G28-K28,0)</f>
        <v>0</v>
      </c>
      <c r="M28" s="518">
        <f>H28</f>
        <v>816064.49414072814</v>
      </c>
      <c r="N28" s="514">
        <f t="shared" si="1"/>
        <v>0</v>
      </c>
      <c r="O28" s="514">
        <f t="shared" si="2"/>
        <v>0</v>
      </c>
      <c r="P28" s="272"/>
    </row>
    <row r="29" spans="2:16" ht="12.5">
      <c r="B29" s="195" t="str">
        <f t="shared" si="5"/>
        <v/>
      </c>
      <c r="C29" s="507">
        <f t="shared" si="6"/>
        <v>2021</v>
      </c>
      <c r="D29" s="523">
        <f>IF(F28+SUM(E$17:E28)=D$10,F28,D$10-SUM(E$17:E28))</f>
        <v>5869269.8168678926</v>
      </c>
      <c r="E29" s="522">
        <f t="shared" ref="E29:E72" si="13">IF(+I$14&lt;F28,I$14,D29)</f>
        <v>200063.98761904764</v>
      </c>
      <c r="F29" s="523">
        <f t="shared" ref="F29:F72" si="14">+D29-E29</f>
        <v>5669205.8292488446</v>
      </c>
      <c r="G29" s="524">
        <f t="shared" ref="G29:G72" si="15">+I$12*((D29+F29)/2)+E29</f>
        <v>816322.28202058899</v>
      </c>
      <c r="H29" s="491">
        <f t="shared" ref="H29:H72" si="16">+I$13*((D29+F29)/2)+E29</f>
        <v>816322.28202058899</v>
      </c>
      <c r="I29" s="511">
        <f t="shared" si="7"/>
        <v>0</v>
      </c>
      <c r="J29" s="511"/>
      <c r="K29" s="525"/>
      <c r="L29" s="514">
        <f t="shared" si="0"/>
        <v>0</v>
      </c>
      <c r="M29" s="525"/>
      <c r="N29" s="514">
        <f t="shared" si="1"/>
        <v>0</v>
      </c>
      <c r="O29" s="514">
        <f t="shared" si="2"/>
        <v>0</v>
      </c>
      <c r="P29" s="272"/>
    </row>
    <row r="30" spans="2:16" ht="12.5">
      <c r="B30" s="195" t="str">
        <f t="shared" si="5"/>
        <v/>
      </c>
      <c r="C30" s="507">
        <f t="shared" si="6"/>
        <v>2022</v>
      </c>
      <c r="D30" s="523">
        <f>IF(F29+SUM(E$17:E29)=D$10,F29,D$10-SUM(E$17:E29))</f>
        <v>5669205.8292488446</v>
      </c>
      <c r="E30" s="522">
        <f t="shared" si="13"/>
        <v>200063.98761904764</v>
      </c>
      <c r="F30" s="523">
        <f t="shared" si="14"/>
        <v>5469141.8416297967</v>
      </c>
      <c r="G30" s="524">
        <f t="shared" si="15"/>
        <v>794951.85224067629</v>
      </c>
      <c r="H30" s="491">
        <f t="shared" si="16"/>
        <v>794951.85224067629</v>
      </c>
      <c r="I30" s="511">
        <f t="shared" si="7"/>
        <v>0</v>
      </c>
      <c r="J30" s="511"/>
      <c r="K30" s="525"/>
      <c r="L30" s="514">
        <f t="shared" si="0"/>
        <v>0</v>
      </c>
      <c r="M30" s="525"/>
      <c r="N30" s="514">
        <f t="shared" si="1"/>
        <v>0</v>
      </c>
      <c r="O30" s="514">
        <f t="shared" si="2"/>
        <v>0</v>
      </c>
      <c r="P30" s="272"/>
    </row>
    <row r="31" spans="2:16" ht="12.5">
      <c r="B31" s="195"/>
      <c r="C31" s="507">
        <f t="shared" si="6"/>
        <v>2023</v>
      </c>
      <c r="D31" s="523">
        <f>IF(F30+SUM(E$17:E30)=D$10,F30,D$10-SUM(E$17:E30))</f>
        <v>5469141.8416297967</v>
      </c>
      <c r="E31" s="522">
        <f t="shared" si="13"/>
        <v>200063.98761904764</v>
      </c>
      <c r="F31" s="523">
        <f t="shared" si="14"/>
        <v>5269077.8540107487</v>
      </c>
      <c r="G31" s="524">
        <f t="shared" si="15"/>
        <v>773581.42246076348</v>
      </c>
      <c r="H31" s="491">
        <f t="shared" si="16"/>
        <v>773581.42246076348</v>
      </c>
      <c r="I31" s="511">
        <f t="shared" si="7"/>
        <v>0</v>
      </c>
      <c r="J31" s="511"/>
      <c r="K31" s="525"/>
      <c r="L31" s="514">
        <f t="shared" si="0"/>
        <v>0</v>
      </c>
      <c r="M31" s="525"/>
      <c r="N31" s="514">
        <f t="shared" si="1"/>
        <v>0</v>
      </c>
      <c r="O31" s="514">
        <f t="shared" si="2"/>
        <v>0</v>
      </c>
      <c r="P31" s="272"/>
    </row>
    <row r="32" spans="2:16" ht="12.5">
      <c r="B32" s="582" t="str">
        <f t="shared" si="5"/>
        <v/>
      </c>
      <c r="C32" s="507">
        <f t="shared" si="6"/>
        <v>2024</v>
      </c>
      <c r="D32" s="523">
        <f>IF(F31+SUM(E$17:E31)=D$10,F31,D$10-SUM(E$17:E31))</f>
        <v>5269077.8540107487</v>
      </c>
      <c r="E32" s="522">
        <f t="shared" si="13"/>
        <v>200063.98761904764</v>
      </c>
      <c r="F32" s="523">
        <f t="shared" si="14"/>
        <v>5069013.8663917007</v>
      </c>
      <c r="G32" s="524">
        <f t="shared" si="15"/>
        <v>752210.99268085079</v>
      </c>
      <c r="H32" s="491">
        <f t="shared" si="16"/>
        <v>752210.99268085079</v>
      </c>
      <c r="I32" s="511">
        <f t="shared" si="7"/>
        <v>0</v>
      </c>
      <c r="J32" s="511"/>
      <c r="K32" s="525"/>
      <c r="L32" s="514">
        <f t="shared" si="0"/>
        <v>0</v>
      </c>
      <c r="M32" s="525"/>
      <c r="N32" s="514">
        <f t="shared" si="1"/>
        <v>0</v>
      </c>
      <c r="O32" s="514">
        <f t="shared" si="2"/>
        <v>0</v>
      </c>
      <c r="P32" s="272"/>
    </row>
    <row r="33" spans="2:16" ht="12.5">
      <c r="B33" s="195" t="str">
        <f t="shared" si="5"/>
        <v/>
      </c>
      <c r="C33" s="507">
        <f t="shared" si="6"/>
        <v>2025</v>
      </c>
      <c r="D33" s="523">
        <f>IF(F32+SUM(E$17:E32)=D$10,F32,D$10-SUM(E$17:E32))</f>
        <v>5069013.8663917007</v>
      </c>
      <c r="E33" s="522">
        <f t="shared" si="13"/>
        <v>200063.98761904764</v>
      </c>
      <c r="F33" s="523">
        <f t="shared" si="14"/>
        <v>4868949.8787726527</v>
      </c>
      <c r="G33" s="524">
        <f t="shared" si="15"/>
        <v>730840.56290093798</v>
      </c>
      <c r="H33" s="491">
        <f t="shared" si="16"/>
        <v>730840.56290093798</v>
      </c>
      <c r="I33" s="511">
        <f t="shared" si="7"/>
        <v>0</v>
      </c>
      <c r="J33" s="511"/>
      <c r="K33" s="525"/>
      <c r="L33" s="514">
        <f t="shared" si="0"/>
        <v>0</v>
      </c>
      <c r="M33" s="525"/>
      <c r="N33" s="514">
        <f t="shared" si="1"/>
        <v>0</v>
      </c>
      <c r="O33" s="514">
        <f t="shared" si="2"/>
        <v>0</v>
      </c>
      <c r="P33" s="272"/>
    </row>
    <row r="34" spans="2:16" ht="12.5">
      <c r="B34" s="195" t="str">
        <f t="shared" si="5"/>
        <v/>
      </c>
      <c r="C34" s="507">
        <f t="shared" si="6"/>
        <v>2026</v>
      </c>
      <c r="D34" s="523">
        <f>IF(F33+SUM(E$17:E33)=D$10,F33,D$10-SUM(E$17:E33))</f>
        <v>4868949.8787726527</v>
      </c>
      <c r="E34" s="522">
        <f t="shared" si="13"/>
        <v>200063.98761904764</v>
      </c>
      <c r="F34" s="523">
        <f t="shared" si="14"/>
        <v>4668885.8911536047</v>
      </c>
      <c r="G34" s="524">
        <f t="shared" si="15"/>
        <v>709470.13312102528</v>
      </c>
      <c r="H34" s="491">
        <f t="shared" si="16"/>
        <v>709470.13312102528</v>
      </c>
      <c r="I34" s="511">
        <f t="shared" si="7"/>
        <v>0</v>
      </c>
      <c r="J34" s="511"/>
      <c r="K34" s="525"/>
      <c r="L34" s="514">
        <f t="shared" si="0"/>
        <v>0</v>
      </c>
      <c r="M34" s="525"/>
      <c r="N34" s="514">
        <f t="shared" si="1"/>
        <v>0</v>
      </c>
      <c r="O34" s="514">
        <f t="shared" si="2"/>
        <v>0</v>
      </c>
      <c r="P34" s="272"/>
    </row>
    <row r="35" spans="2:16" ht="12.5">
      <c r="B35" s="195" t="str">
        <f t="shared" si="5"/>
        <v/>
      </c>
      <c r="C35" s="507">
        <f t="shared" si="6"/>
        <v>2027</v>
      </c>
      <c r="D35" s="523">
        <f>IF(F34+SUM(E$17:E34)=D$10,F34,D$10-SUM(E$17:E34))</f>
        <v>4668885.8911536047</v>
      </c>
      <c r="E35" s="522">
        <f t="shared" si="13"/>
        <v>200063.98761904764</v>
      </c>
      <c r="F35" s="523">
        <f t="shared" si="14"/>
        <v>4468821.9035345567</v>
      </c>
      <c r="G35" s="524">
        <f t="shared" si="15"/>
        <v>688099.70334111247</v>
      </c>
      <c r="H35" s="491">
        <f t="shared" si="16"/>
        <v>688099.70334111247</v>
      </c>
      <c r="I35" s="511">
        <f t="shared" si="7"/>
        <v>0</v>
      </c>
      <c r="J35" s="511"/>
      <c r="K35" s="525"/>
      <c r="L35" s="514">
        <f t="shared" si="0"/>
        <v>0</v>
      </c>
      <c r="M35" s="525"/>
      <c r="N35" s="514">
        <f t="shared" si="1"/>
        <v>0</v>
      </c>
      <c r="O35" s="514">
        <f t="shared" si="2"/>
        <v>0</v>
      </c>
      <c r="P35" s="272"/>
    </row>
    <row r="36" spans="2:16" ht="12.5">
      <c r="B36" s="195" t="str">
        <f t="shared" si="5"/>
        <v/>
      </c>
      <c r="C36" s="507">
        <f t="shared" si="6"/>
        <v>2028</v>
      </c>
      <c r="D36" s="523">
        <f>IF(F35+SUM(E$17:E35)=D$10,F35,D$10-SUM(E$17:E35))</f>
        <v>4468821.9035345567</v>
      </c>
      <c r="E36" s="522">
        <f t="shared" si="13"/>
        <v>200063.98761904764</v>
      </c>
      <c r="F36" s="523">
        <f t="shared" si="14"/>
        <v>4268757.9159155088</v>
      </c>
      <c r="G36" s="524">
        <f t="shared" si="15"/>
        <v>666729.27356119966</v>
      </c>
      <c r="H36" s="491">
        <f t="shared" si="16"/>
        <v>666729.27356119966</v>
      </c>
      <c r="I36" s="511">
        <f t="shared" si="7"/>
        <v>0</v>
      </c>
      <c r="J36" s="511"/>
      <c r="K36" s="525"/>
      <c r="L36" s="514">
        <f t="shared" si="0"/>
        <v>0</v>
      </c>
      <c r="M36" s="525"/>
      <c r="N36" s="514">
        <f t="shared" si="1"/>
        <v>0</v>
      </c>
      <c r="O36" s="514">
        <f t="shared" si="2"/>
        <v>0</v>
      </c>
      <c r="P36" s="272"/>
    </row>
    <row r="37" spans="2:16" ht="12.5">
      <c r="B37" s="195" t="str">
        <f t="shared" si="5"/>
        <v/>
      </c>
      <c r="C37" s="507">
        <f t="shared" si="6"/>
        <v>2029</v>
      </c>
      <c r="D37" s="523">
        <f>IF(F36+SUM(E$17:E36)=D$10,F36,D$10-SUM(E$17:E36))</f>
        <v>4268757.9159155088</v>
      </c>
      <c r="E37" s="522">
        <f t="shared" si="13"/>
        <v>200063.98761904764</v>
      </c>
      <c r="F37" s="523">
        <f t="shared" si="14"/>
        <v>4068693.9282964612</v>
      </c>
      <c r="G37" s="524">
        <f t="shared" si="15"/>
        <v>645358.84378128697</v>
      </c>
      <c r="H37" s="491">
        <f t="shared" si="16"/>
        <v>645358.84378128697</v>
      </c>
      <c r="I37" s="511">
        <f t="shared" si="7"/>
        <v>0</v>
      </c>
      <c r="J37" s="511"/>
      <c r="K37" s="525"/>
      <c r="L37" s="514">
        <f t="shared" si="0"/>
        <v>0</v>
      </c>
      <c r="M37" s="525"/>
      <c r="N37" s="514">
        <f t="shared" si="1"/>
        <v>0</v>
      </c>
      <c r="O37" s="514">
        <f t="shared" si="2"/>
        <v>0</v>
      </c>
      <c r="P37" s="272"/>
    </row>
    <row r="38" spans="2:16" ht="12.5">
      <c r="B38" s="195" t="str">
        <f t="shared" si="5"/>
        <v/>
      </c>
      <c r="C38" s="507">
        <f t="shared" si="6"/>
        <v>2030</v>
      </c>
      <c r="D38" s="523">
        <f>IF(F37+SUM(E$17:E37)=D$10,F37,D$10-SUM(E$17:E37))</f>
        <v>4068693.9282964612</v>
      </c>
      <c r="E38" s="522">
        <f t="shared" si="13"/>
        <v>200063.98761904764</v>
      </c>
      <c r="F38" s="523">
        <f t="shared" si="14"/>
        <v>3868629.9406774137</v>
      </c>
      <c r="G38" s="524">
        <f t="shared" si="15"/>
        <v>623988.41400137427</v>
      </c>
      <c r="H38" s="491">
        <f t="shared" si="16"/>
        <v>623988.41400137427</v>
      </c>
      <c r="I38" s="511">
        <f t="shared" si="7"/>
        <v>0</v>
      </c>
      <c r="J38" s="511"/>
      <c r="K38" s="525"/>
      <c r="L38" s="514">
        <f t="shared" si="0"/>
        <v>0</v>
      </c>
      <c r="M38" s="525"/>
      <c r="N38" s="514">
        <f t="shared" si="1"/>
        <v>0</v>
      </c>
      <c r="O38" s="514">
        <f t="shared" si="2"/>
        <v>0</v>
      </c>
      <c r="P38" s="272"/>
    </row>
    <row r="39" spans="2:16" ht="12.5">
      <c r="B39" s="195" t="str">
        <f t="shared" si="5"/>
        <v/>
      </c>
      <c r="C39" s="507">
        <f t="shared" si="6"/>
        <v>2031</v>
      </c>
      <c r="D39" s="523">
        <f>IF(F38+SUM(E$17:E38)=D$10,F38,D$10-SUM(E$17:E38))</f>
        <v>3868629.9406774137</v>
      </c>
      <c r="E39" s="522">
        <f t="shared" si="13"/>
        <v>200063.98761904764</v>
      </c>
      <c r="F39" s="523">
        <f t="shared" si="14"/>
        <v>3668565.9530583662</v>
      </c>
      <c r="G39" s="524">
        <f t="shared" si="15"/>
        <v>602617.98422146158</v>
      </c>
      <c r="H39" s="491">
        <f t="shared" si="16"/>
        <v>602617.98422146158</v>
      </c>
      <c r="I39" s="511">
        <f t="shared" si="7"/>
        <v>0</v>
      </c>
      <c r="J39" s="511"/>
      <c r="K39" s="525"/>
      <c r="L39" s="514">
        <f t="shared" si="0"/>
        <v>0</v>
      </c>
      <c r="M39" s="525"/>
      <c r="N39" s="514">
        <f t="shared" si="1"/>
        <v>0</v>
      </c>
      <c r="O39" s="514">
        <f t="shared" si="2"/>
        <v>0</v>
      </c>
      <c r="P39" s="272"/>
    </row>
    <row r="40" spans="2:16" ht="12.5">
      <c r="B40" s="195" t="str">
        <f t="shared" si="5"/>
        <v/>
      </c>
      <c r="C40" s="507">
        <f t="shared" si="6"/>
        <v>2032</v>
      </c>
      <c r="D40" s="523">
        <f>IF(F39+SUM(E$17:E39)=D$10,F39,D$10-SUM(E$17:E39))</f>
        <v>3668565.9530583662</v>
      </c>
      <c r="E40" s="522">
        <f t="shared" si="13"/>
        <v>200063.98761904764</v>
      </c>
      <c r="F40" s="523">
        <f t="shared" si="14"/>
        <v>3468501.9654393187</v>
      </c>
      <c r="G40" s="524">
        <f t="shared" si="15"/>
        <v>581247.55444154888</v>
      </c>
      <c r="H40" s="491">
        <f t="shared" si="16"/>
        <v>581247.55444154888</v>
      </c>
      <c r="I40" s="511">
        <f t="shared" si="7"/>
        <v>0</v>
      </c>
      <c r="J40" s="511"/>
      <c r="K40" s="525"/>
      <c r="L40" s="514">
        <f t="shared" si="0"/>
        <v>0</v>
      </c>
      <c r="M40" s="525"/>
      <c r="N40" s="514">
        <f t="shared" si="1"/>
        <v>0</v>
      </c>
      <c r="O40" s="514">
        <f t="shared" si="2"/>
        <v>0</v>
      </c>
      <c r="P40" s="272"/>
    </row>
    <row r="41" spans="2:16" ht="12.5">
      <c r="B41" s="195" t="str">
        <f t="shared" si="5"/>
        <v/>
      </c>
      <c r="C41" s="507">
        <f t="shared" si="6"/>
        <v>2033</v>
      </c>
      <c r="D41" s="523">
        <f>IF(F40+SUM(E$17:E40)=D$10,F40,D$10-SUM(E$17:E40))</f>
        <v>3468501.9654393187</v>
      </c>
      <c r="E41" s="522">
        <f t="shared" si="13"/>
        <v>200063.98761904764</v>
      </c>
      <c r="F41" s="523">
        <f t="shared" si="14"/>
        <v>3268437.9778202712</v>
      </c>
      <c r="G41" s="524">
        <f t="shared" si="15"/>
        <v>559877.12466163607</v>
      </c>
      <c r="H41" s="491">
        <f t="shared" si="16"/>
        <v>559877.12466163607</v>
      </c>
      <c r="I41" s="511">
        <f t="shared" si="7"/>
        <v>0</v>
      </c>
      <c r="J41" s="511"/>
      <c r="K41" s="525"/>
      <c r="L41" s="514">
        <f t="shared" si="0"/>
        <v>0</v>
      </c>
      <c r="M41" s="525"/>
      <c r="N41" s="514">
        <f t="shared" si="1"/>
        <v>0</v>
      </c>
      <c r="O41" s="514">
        <f t="shared" si="2"/>
        <v>0</v>
      </c>
      <c r="P41" s="272"/>
    </row>
    <row r="42" spans="2:16" ht="12.5">
      <c r="B42" s="195" t="str">
        <f t="shared" si="5"/>
        <v/>
      </c>
      <c r="C42" s="507">
        <f t="shared" si="6"/>
        <v>2034</v>
      </c>
      <c r="D42" s="523">
        <f>IF(F41+SUM(E$17:E41)=D$10,F41,D$10-SUM(E$17:E41))</f>
        <v>3268437.9778202712</v>
      </c>
      <c r="E42" s="522">
        <f t="shared" si="13"/>
        <v>200063.98761904764</v>
      </c>
      <c r="F42" s="523">
        <f t="shared" si="14"/>
        <v>3068373.9902012236</v>
      </c>
      <c r="G42" s="524">
        <f t="shared" si="15"/>
        <v>538506.6948817235</v>
      </c>
      <c r="H42" s="491">
        <f t="shared" si="16"/>
        <v>538506.6948817235</v>
      </c>
      <c r="I42" s="511">
        <f t="shared" si="7"/>
        <v>0</v>
      </c>
      <c r="J42" s="511"/>
      <c r="K42" s="525"/>
      <c r="L42" s="514">
        <f t="shared" si="0"/>
        <v>0</v>
      </c>
      <c r="M42" s="525"/>
      <c r="N42" s="514">
        <f t="shared" si="1"/>
        <v>0</v>
      </c>
      <c r="O42" s="514">
        <f t="shared" si="2"/>
        <v>0</v>
      </c>
      <c r="P42" s="272"/>
    </row>
    <row r="43" spans="2:16" ht="12.5">
      <c r="B43" s="195" t="str">
        <f t="shared" si="5"/>
        <v/>
      </c>
      <c r="C43" s="507">
        <f t="shared" si="6"/>
        <v>2035</v>
      </c>
      <c r="D43" s="523">
        <f>IF(F42+SUM(E$17:E42)=D$10,F42,D$10-SUM(E$17:E42))</f>
        <v>3068373.9902012236</v>
      </c>
      <c r="E43" s="522">
        <f t="shared" si="13"/>
        <v>200063.98761904764</v>
      </c>
      <c r="F43" s="523">
        <f t="shared" si="14"/>
        <v>2868310.0025821761</v>
      </c>
      <c r="G43" s="524">
        <f t="shared" si="15"/>
        <v>517136.26510181074</v>
      </c>
      <c r="H43" s="491">
        <f t="shared" si="16"/>
        <v>517136.26510181074</v>
      </c>
      <c r="I43" s="511">
        <f t="shared" si="7"/>
        <v>0</v>
      </c>
      <c r="J43" s="511"/>
      <c r="K43" s="525"/>
      <c r="L43" s="514">
        <f t="shared" si="0"/>
        <v>0</v>
      </c>
      <c r="M43" s="525"/>
      <c r="N43" s="514">
        <f t="shared" si="1"/>
        <v>0</v>
      </c>
      <c r="O43" s="514">
        <f t="shared" si="2"/>
        <v>0</v>
      </c>
      <c r="P43" s="272"/>
    </row>
    <row r="44" spans="2:16" ht="12.5">
      <c r="B44" s="195" t="str">
        <f t="shared" si="5"/>
        <v/>
      </c>
      <c r="C44" s="507">
        <f t="shared" si="6"/>
        <v>2036</v>
      </c>
      <c r="D44" s="523">
        <f>IF(F43+SUM(E$17:E43)=D$10,F43,D$10-SUM(E$17:E43))</f>
        <v>2868310.0025821761</v>
      </c>
      <c r="E44" s="522">
        <f t="shared" si="13"/>
        <v>200063.98761904764</v>
      </c>
      <c r="F44" s="523">
        <f t="shared" si="14"/>
        <v>2668246.0149631286</v>
      </c>
      <c r="G44" s="524">
        <f t="shared" si="15"/>
        <v>495765.83532189811</v>
      </c>
      <c r="H44" s="491">
        <f t="shared" si="16"/>
        <v>495765.83532189811</v>
      </c>
      <c r="I44" s="511">
        <f t="shared" si="7"/>
        <v>0</v>
      </c>
      <c r="J44" s="511"/>
      <c r="K44" s="525"/>
      <c r="L44" s="514">
        <f t="shared" si="0"/>
        <v>0</v>
      </c>
      <c r="M44" s="525"/>
      <c r="N44" s="514">
        <f t="shared" si="1"/>
        <v>0</v>
      </c>
      <c r="O44" s="514">
        <f t="shared" si="2"/>
        <v>0</v>
      </c>
      <c r="P44" s="272"/>
    </row>
    <row r="45" spans="2:16" ht="12.5">
      <c r="B45" s="195" t="str">
        <f t="shared" si="5"/>
        <v/>
      </c>
      <c r="C45" s="507">
        <f t="shared" si="6"/>
        <v>2037</v>
      </c>
      <c r="D45" s="523">
        <f>IF(F44+SUM(E$17:E44)=D$10,F44,D$10-SUM(E$17:E44))</f>
        <v>2668246.0149631286</v>
      </c>
      <c r="E45" s="522">
        <f t="shared" si="13"/>
        <v>200063.98761904764</v>
      </c>
      <c r="F45" s="523">
        <f t="shared" si="14"/>
        <v>2468182.0273440811</v>
      </c>
      <c r="G45" s="524">
        <f t="shared" si="15"/>
        <v>474395.4055419853</v>
      </c>
      <c r="H45" s="491">
        <f t="shared" si="16"/>
        <v>474395.4055419853</v>
      </c>
      <c r="I45" s="511">
        <f t="shared" si="7"/>
        <v>0</v>
      </c>
      <c r="J45" s="511"/>
      <c r="K45" s="525"/>
      <c r="L45" s="514">
        <f t="shared" si="0"/>
        <v>0</v>
      </c>
      <c r="M45" s="525"/>
      <c r="N45" s="514">
        <f t="shared" si="1"/>
        <v>0</v>
      </c>
      <c r="O45" s="514">
        <f t="shared" si="2"/>
        <v>0</v>
      </c>
      <c r="P45" s="272"/>
    </row>
    <row r="46" spans="2:16" ht="12.5">
      <c r="B46" s="195" t="str">
        <f t="shared" si="5"/>
        <v/>
      </c>
      <c r="C46" s="507">
        <f t="shared" si="6"/>
        <v>2038</v>
      </c>
      <c r="D46" s="523">
        <f>IF(F45+SUM(E$17:E45)=D$10,F45,D$10-SUM(E$17:E45))</f>
        <v>2468182.0273440811</v>
      </c>
      <c r="E46" s="522">
        <f t="shared" si="13"/>
        <v>200063.98761904764</v>
      </c>
      <c r="F46" s="523">
        <f t="shared" si="14"/>
        <v>2268118.0397250336</v>
      </c>
      <c r="G46" s="524">
        <f t="shared" si="15"/>
        <v>453024.97576207266</v>
      </c>
      <c r="H46" s="491">
        <f t="shared" si="16"/>
        <v>453024.97576207266</v>
      </c>
      <c r="I46" s="511">
        <f t="shared" si="7"/>
        <v>0</v>
      </c>
      <c r="J46" s="511"/>
      <c r="K46" s="525"/>
      <c r="L46" s="514">
        <f t="shared" si="0"/>
        <v>0</v>
      </c>
      <c r="M46" s="525"/>
      <c r="N46" s="514">
        <f t="shared" si="1"/>
        <v>0</v>
      </c>
      <c r="O46" s="514">
        <f t="shared" si="2"/>
        <v>0</v>
      </c>
      <c r="P46" s="272"/>
    </row>
    <row r="47" spans="2:16" ht="12.5">
      <c r="B47" s="195" t="str">
        <f t="shared" si="5"/>
        <v/>
      </c>
      <c r="C47" s="507">
        <f t="shared" si="6"/>
        <v>2039</v>
      </c>
      <c r="D47" s="523">
        <f>IF(F46+SUM(E$17:E46)=D$10,F46,D$10-SUM(E$17:E46))</f>
        <v>2268118.0397250336</v>
      </c>
      <c r="E47" s="522">
        <f t="shared" si="13"/>
        <v>200063.98761904764</v>
      </c>
      <c r="F47" s="523">
        <f t="shared" si="14"/>
        <v>2068054.052105986</v>
      </c>
      <c r="G47" s="524">
        <f t="shared" si="15"/>
        <v>431654.54598215991</v>
      </c>
      <c r="H47" s="491">
        <f t="shared" si="16"/>
        <v>431654.54598215991</v>
      </c>
      <c r="I47" s="511">
        <f t="shared" si="7"/>
        <v>0</v>
      </c>
      <c r="J47" s="511"/>
      <c r="K47" s="525"/>
      <c r="L47" s="514">
        <f t="shared" si="0"/>
        <v>0</v>
      </c>
      <c r="M47" s="525"/>
      <c r="N47" s="514">
        <f t="shared" si="1"/>
        <v>0</v>
      </c>
      <c r="O47" s="514">
        <f t="shared" si="2"/>
        <v>0</v>
      </c>
      <c r="P47" s="272"/>
    </row>
    <row r="48" spans="2:16" ht="12.5">
      <c r="B48" s="195" t="str">
        <f t="shared" si="5"/>
        <v/>
      </c>
      <c r="C48" s="507">
        <f t="shared" si="6"/>
        <v>2040</v>
      </c>
      <c r="D48" s="523">
        <f>IF(F47+SUM(E$17:E47)=D$10,F47,D$10-SUM(E$17:E47))</f>
        <v>2068054.052105986</v>
      </c>
      <c r="E48" s="522">
        <f t="shared" si="13"/>
        <v>200063.98761904764</v>
      </c>
      <c r="F48" s="523">
        <f t="shared" si="14"/>
        <v>1867990.0644869385</v>
      </c>
      <c r="G48" s="524">
        <f t="shared" si="15"/>
        <v>410284.11620224721</v>
      </c>
      <c r="H48" s="491">
        <f t="shared" si="16"/>
        <v>410284.11620224721</v>
      </c>
      <c r="I48" s="511">
        <f t="shared" si="7"/>
        <v>0</v>
      </c>
      <c r="J48" s="511"/>
      <c r="K48" s="525"/>
      <c r="L48" s="514">
        <f t="shared" si="0"/>
        <v>0</v>
      </c>
      <c r="M48" s="525"/>
      <c r="N48" s="514">
        <f t="shared" si="1"/>
        <v>0</v>
      </c>
      <c r="O48" s="514">
        <f t="shared" si="2"/>
        <v>0</v>
      </c>
      <c r="P48" s="272"/>
    </row>
    <row r="49" spans="2:17" ht="12.5">
      <c r="B49" s="195" t="str">
        <f t="shared" si="5"/>
        <v/>
      </c>
      <c r="C49" s="507">
        <f t="shared" si="6"/>
        <v>2041</v>
      </c>
      <c r="D49" s="523">
        <f>IF(F48+SUM(E$17:E48)=D$10,F48,D$10-SUM(E$17:E48))</f>
        <v>1867990.0644869385</v>
      </c>
      <c r="E49" s="522">
        <f t="shared" si="13"/>
        <v>200063.98761904764</v>
      </c>
      <c r="F49" s="523">
        <f t="shared" si="14"/>
        <v>1667926.076867891</v>
      </c>
      <c r="G49" s="524">
        <f t="shared" si="15"/>
        <v>388913.68642233452</v>
      </c>
      <c r="H49" s="491">
        <f t="shared" si="16"/>
        <v>388913.68642233452</v>
      </c>
      <c r="I49" s="511">
        <f t="shared" si="7"/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5"/>
        <v/>
      </c>
      <c r="C50" s="507">
        <f t="shared" si="6"/>
        <v>2042</v>
      </c>
      <c r="D50" s="523">
        <f>IF(F49+SUM(E$17:E49)=D$10,F49,D$10-SUM(E$17:E49))</f>
        <v>1667926.076867891</v>
      </c>
      <c r="E50" s="522">
        <f t="shared" si="13"/>
        <v>200063.98761904764</v>
      </c>
      <c r="F50" s="523">
        <f t="shared" si="14"/>
        <v>1467862.0892488435</v>
      </c>
      <c r="G50" s="524">
        <f t="shared" si="15"/>
        <v>367543.25664242182</v>
      </c>
      <c r="H50" s="491">
        <f t="shared" si="16"/>
        <v>367543.25664242182</v>
      </c>
      <c r="I50" s="511">
        <f t="shared" si="7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5"/>
        <v/>
      </c>
      <c r="C51" s="507">
        <f t="shared" si="6"/>
        <v>2043</v>
      </c>
      <c r="D51" s="523">
        <f>IF(F50+SUM(E$17:E50)=D$10,F50,D$10-SUM(E$17:E50))</f>
        <v>1467862.0892488435</v>
      </c>
      <c r="E51" s="522">
        <f t="shared" si="13"/>
        <v>200063.98761904764</v>
      </c>
      <c r="F51" s="523">
        <f t="shared" si="14"/>
        <v>1267798.101629796</v>
      </c>
      <c r="G51" s="524">
        <f t="shared" si="15"/>
        <v>346172.82686250913</v>
      </c>
      <c r="H51" s="491">
        <f t="shared" si="16"/>
        <v>346172.82686250913</v>
      </c>
      <c r="I51" s="511">
        <f t="shared" si="7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5"/>
        <v/>
      </c>
      <c r="C52" s="507">
        <f t="shared" si="6"/>
        <v>2044</v>
      </c>
      <c r="D52" s="523">
        <f>IF(F51+SUM(E$17:E51)=D$10,F51,D$10-SUM(E$17:E51))</f>
        <v>1267798.101629796</v>
      </c>
      <c r="E52" s="522">
        <f t="shared" si="13"/>
        <v>200063.98761904764</v>
      </c>
      <c r="F52" s="523">
        <f t="shared" si="14"/>
        <v>1067734.1140107485</v>
      </c>
      <c r="G52" s="524">
        <f t="shared" si="15"/>
        <v>324802.39708259638</v>
      </c>
      <c r="H52" s="491">
        <f t="shared" si="16"/>
        <v>324802.39708259638</v>
      </c>
      <c r="I52" s="511">
        <f t="shared" si="7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5"/>
        <v/>
      </c>
      <c r="C53" s="507">
        <f t="shared" si="6"/>
        <v>2045</v>
      </c>
      <c r="D53" s="523">
        <f>IF(F52+SUM(E$17:E52)=D$10,F52,D$10-SUM(E$17:E52))</f>
        <v>1067734.1140107485</v>
      </c>
      <c r="E53" s="522">
        <f t="shared" si="13"/>
        <v>200063.98761904764</v>
      </c>
      <c r="F53" s="523">
        <f t="shared" si="14"/>
        <v>867670.12639170082</v>
      </c>
      <c r="G53" s="524">
        <f t="shared" si="15"/>
        <v>303431.96730268368</v>
      </c>
      <c r="H53" s="491">
        <f t="shared" si="16"/>
        <v>303431.96730268368</v>
      </c>
      <c r="I53" s="511">
        <f t="shared" si="7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582" t="str">
        <f t="shared" si="5"/>
        <v/>
      </c>
      <c r="C54" s="507">
        <f t="shared" si="6"/>
        <v>2046</v>
      </c>
      <c r="D54" s="523">
        <f>IF(F53+SUM(E$17:E53)=D$10,F53,D$10-SUM(E$17:E53))</f>
        <v>867670.12639170082</v>
      </c>
      <c r="E54" s="522">
        <f t="shared" si="13"/>
        <v>200063.98761904764</v>
      </c>
      <c r="F54" s="523">
        <f t="shared" si="14"/>
        <v>667606.13877265318</v>
      </c>
      <c r="G54" s="524">
        <f t="shared" si="15"/>
        <v>282061.53752277093</v>
      </c>
      <c r="H54" s="491">
        <f t="shared" si="16"/>
        <v>282061.53752277093</v>
      </c>
      <c r="I54" s="511">
        <f t="shared" si="7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5"/>
        <v/>
      </c>
      <c r="C55" s="507">
        <f t="shared" si="6"/>
        <v>2047</v>
      </c>
      <c r="D55" s="523">
        <f>IF(F54+SUM(E$17:E54)=D$10,F54,D$10-SUM(E$17:E54))</f>
        <v>667606.13877265318</v>
      </c>
      <c r="E55" s="522">
        <f t="shared" si="13"/>
        <v>200063.98761904764</v>
      </c>
      <c r="F55" s="523">
        <f t="shared" si="14"/>
        <v>467542.15115360555</v>
      </c>
      <c r="G55" s="524">
        <f t="shared" si="15"/>
        <v>260691.10774285824</v>
      </c>
      <c r="H55" s="491">
        <f t="shared" si="16"/>
        <v>260691.10774285824</v>
      </c>
      <c r="I55" s="511">
        <f t="shared" si="7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5"/>
        <v/>
      </c>
      <c r="C56" s="507">
        <f t="shared" si="6"/>
        <v>2048</v>
      </c>
      <c r="D56" s="523">
        <f>IF(F55+SUM(E$17:E55)=D$10,F55,D$10-SUM(E$17:E55))</f>
        <v>467542.15115360555</v>
      </c>
      <c r="E56" s="522">
        <f t="shared" si="13"/>
        <v>200063.98761904764</v>
      </c>
      <c r="F56" s="523">
        <f t="shared" si="14"/>
        <v>267478.16353455791</v>
      </c>
      <c r="G56" s="524">
        <f t="shared" si="15"/>
        <v>239320.67796294551</v>
      </c>
      <c r="H56" s="491">
        <f t="shared" si="16"/>
        <v>239320.67796294551</v>
      </c>
      <c r="I56" s="511">
        <f t="shared" si="7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5"/>
        <v/>
      </c>
      <c r="C57" s="507">
        <f t="shared" si="6"/>
        <v>2049</v>
      </c>
      <c r="D57" s="523">
        <f>IF(F56+SUM(E$17:E56)=D$10,F56,D$10-SUM(E$17:E56))</f>
        <v>267478.16353455791</v>
      </c>
      <c r="E57" s="522">
        <f t="shared" si="13"/>
        <v>200063.98761904764</v>
      </c>
      <c r="F57" s="523">
        <f t="shared" si="14"/>
        <v>67414.175915510277</v>
      </c>
      <c r="G57" s="524">
        <f t="shared" si="15"/>
        <v>217950.24818303279</v>
      </c>
      <c r="H57" s="491">
        <f t="shared" si="16"/>
        <v>217950.24818303279</v>
      </c>
      <c r="I57" s="511">
        <f t="shared" si="7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5"/>
        <v/>
      </c>
      <c r="C58" s="507">
        <f t="shared" si="6"/>
        <v>2050</v>
      </c>
      <c r="D58" s="523">
        <f>IF(F57+SUM(E$17:E57)=D$10,F57,D$10-SUM(E$17:E57))</f>
        <v>67414.175915510277</v>
      </c>
      <c r="E58" s="522">
        <f t="shared" si="13"/>
        <v>67414.175915510277</v>
      </c>
      <c r="F58" s="523">
        <f t="shared" si="14"/>
        <v>0</v>
      </c>
      <c r="G58" s="524">
        <f t="shared" si="15"/>
        <v>71014.69875252468</v>
      </c>
      <c r="H58" s="491">
        <f t="shared" si="16"/>
        <v>71014.69875252468</v>
      </c>
      <c r="I58" s="511">
        <f t="shared" si="7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 t="shared" si="6"/>
        <v>2051</v>
      </c>
      <c r="D59" s="523">
        <f>IF(F58+SUM(E$17:E58)=D$10,F58,D$10-SUM(E$17:E58))</f>
        <v>0</v>
      </c>
      <c r="E59" s="522">
        <f t="shared" si="13"/>
        <v>0</v>
      </c>
      <c r="F59" s="523">
        <f t="shared" si="14"/>
        <v>0</v>
      </c>
      <c r="G59" s="524">
        <f t="shared" si="15"/>
        <v>0</v>
      </c>
      <c r="H59" s="491">
        <f t="shared" si="16"/>
        <v>0</v>
      </c>
      <c r="I59" s="511">
        <f t="shared" si="7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5"/>
        <v/>
      </c>
      <c r="C60" s="507">
        <f t="shared" si="6"/>
        <v>2052</v>
      </c>
      <c r="D60" s="523">
        <f>IF(F59+SUM(E$17:E59)=D$10,F59,D$10-SUM(E$17:E59))</f>
        <v>0</v>
      </c>
      <c r="E60" s="522">
        <f t="shared" si="13"/>
        <v>0</v>
      </c>
      <c r="F60" s="523">
        <f t="shared" si="14"/>
        <v>0</v>
      </c>
      <c r="G60" s="524">
        <f t="shared" si="15"/>
        <v>0</v>
      </c>
      <c r="H60" s="491">
        <f t="shared" si="16"/>
        <v>0</v>
      </c>
      <c r="I60" s="511">
        <f t="shared" si="7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5"/>
        <v/>
      </c>
      <c r="C61" s="507">
        <f t="shared" si="6"/>
        <v>2053</v>
      </c>
      <c r="D61" s="523">
        <f>IF(F60+SUM(E$17:E60)=D$10,F60,D$10-SUM(E$17:E60))</f>
        <v>0</v>
      </c>
      <c r="E61" s="522">
        <f t="shared" si="13"/>
        <v>0</v>
      </c>
      <c r="F61" s="523">
        <f t="shared" si="14"/>
        <v>0</v>
      </c>
      <c r="G61" s="526">
        <f t="shared" si="15"/>
        <v>0</v>
      </c>
      <c r="H61" s="491">
        <f t="shared" si="16"/>
        <v>0</v>
      </c>
      <c r="I61" s="511">
        <f t="shared" si="7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5"/>
        <v/>
      </c>
      <c r="C62" s="507">
        <f t="shared" si="6"/>
        <v>2054</v>
      </c>
      <c r="D62" s="523">
        <f>IF(F61+SUM(E$17:E61)=D$10,F61,D$10-SUM(E$17:E61))</f>
        <v>0</v>
      </c>
      <c r="E62" s="522">
        <f t="shared" si="13"/>
        <v>0</v>
      </c>
      <c r="F62" s="523">
        <f t="shared" si="14"/>
        <v>0</v>
      </c>
      <c r="G62" s="526">
        <f t="shared" si="15"/>
        <v>0</v>
      </c>
      <c r="H62" s="491">
        <f t="shared" si="16"/>
        <v>0</v>
      </c>
      <c r="I62" s="511">
        <f t="shared" si="7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5"/>
        <v/>
      </c>
      <c r="C63" s="507">
        <f t="shared" si="6"/>
        <v>2055</v>
      </c>
      <c r="D63" s="523">
        <f>IF(F62+SUM(E$17:E62)=D$10,F62,D$10-SUM(E$17:E62))</f>
        <v>0</v>
      </c>
      <c r="E63" s="522">
        <f t="shared" si="13"/>
        <v>0</v>
      </c>
      <c r="F63" s="523">
        <f t="shared" si="14"/>
        <v>0</v>
      </c>
      <c r="G63" s="526">
        <f t="shared" si="15"/>
        <v>0</v>
      </c>
      <c r="H63" s="491">
        <f t="shared" si="16"/>
        <v>0</v>
      </c>
      <c r="I63" s="511">
        <f t="shared" si="7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5"/>
        <v/>
      </c>
      <c r="C64" s="507">
        <f t="shared" si="6"/>
        <v>2056</v>
      </c>
      <c r="D64" s="523">
        <f>IF(F63+SUM(E$17:E63)=D$10,F63,D$10-SUM(E$17:E63))</f>
        <v>0</v>
      </c>
      <c r="E64" s="522">
        <f t="shared" si="13"/>
        <v>0</v>
      </c>
      <c r="F64" s="523">
        <f t="shared" si="14"/>
        <v>0</v>
      </c>
      <c r="G64" s="526">
        <f t="shared" si="15"/>
        <v>0</v>
      </c>
      <c r="H64" s="491">
        <f t="shared" si="16"/>
        <v>0</v>
      </c>
      <c r="I64" s="511">
        <f t="shared" si="7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5"/>
        <v/>
      </c>
      <c r="C65" s="507">
        <f t="shared" si="6"/>
        <v>2057</v>
      </c>
      <c r="D65" s="523">
        <f>IF(F64+SUM(E$17:E64)=D$10,F64,D$10-SUM(E$17:E64))</f>
        <v>0</v>
      </c>
      <c r="E65" s="522">
        <f t="shared" si="13"/>
        <v>0</v>
      </c>
      <c r="F65" s="523">
        <f t="shared" si="14"/>
        <v>0</v>
      </c>
      <c r="G65" s="526">
        <f t="shared" si="15"/>
        <v>0</v>
      </c>
      <c r="H65" s="491">
        <f t="shared" si="16"/>
        <v>0</v>
      </c>
      <c r="I65" s="511">
        <f t="shared" si="7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5"/>
        <v/>
      </c>
      <c r="C66" s="507">
        <f t="shared" si="6"/>
        <v>2058</v>
      </c>
      <c r="D66" s="523">
        <f>IF(F65+SUM(E$17:E65)=D$10,F65,D$10-SUM(E$17:E65))</f>
        <v>0</v>
      </c>
      <c r="E66" s="522">
        <f t="shared" si="13"/>
        <v>0</v>
      </c>
      <c r="F66" s="523">
        <f t="shared" si="14"/>
        <v>0</v>
      </c>
      <c r="G66" s="526">
        <f t="shared" si="15"/>
        <v>0</v>
      </c>
      <c r="H66" s="491">
        <f t="shared" si="16"/>
        <v>0</v>
      </c>
      <c r="I66" s="511">
        <f t="shared" si="7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5"/>
        <v/>
      </c>
      <c r="C67" s="507">
        <f t="shared" si="6"/>
        <v>2059</v>
      </c>
      <c r="D67" s="523">
        <f>IF(F66+SUM(E$17:E66)=D$10,F66,D$10-SUM(E$17:E66))</f>
        <v>0</v>
      </c>
      <c r="E67" s="522">
        <f t="shared" si="13"/>
        <v>0</v>
      </c>
      <c r="F67" s="523">
        <f t="shared" si="14"/>
        <v>0</v>
      </c>
      <c r="G67" s="526">
        <f t="shared" si="15"/>
        <v>0</v>
      </c>
      <c r="H67" s="491">
        <f t="shared" si="16"/>
        <v>0</v>
      </c>
      <c r="I67" s="511">
        <f t="shared" si="7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5"/>
        <v/>
      </c>
      <c r="C68" s="507">
        <f t="shared" si="6"/>
        <v>2060</v>
      </c>
      <c r="D68" s="523">
        <f>IF(F67+SUM(E$17:E67)=D$10,F67,D$10-SUM(E$17:E67))</f>
        <v>0</v>
      </c>
      <c r="E68" s="522">
        <f t="shared" si="13"/>
        <v>0</v>
      </c>
      <c r="F68" s="523">
        <f t="shared" si="14"/>
        <v>0</v>
      </c>
      <c r="G68" s="526">
        <f t="shared" si="15"/>
        <v>0</v>
      </c>
      <c r="H68" s="491">
        <f t="shared" si="16"/>
        <v>0</v>
      </c>
      <c r="I68" s="511">
        <f t="shared" si="7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5"/>
        <v/>
      </c>
      <c r="C69" s="507">
        <f t="shared" si="6"/>
        <v>2061</v>
      </c>
      <c r="D69" s="523">
        <f>IF(F68+SUM(E$17:E68)=D$10,F68,D$10-SUM(E$17:E68))</f>
        <v>0</v>
      </c>
      <c r="E69" s="522">
        <f t="shared" si="13"/>
        <v>0</v>
      </c>
      <c r="F69" s="523">
        <f t="shared" si="14"/>
        <v>0</v>
      </c>
      <c r="G69" s="526">
        <f t="shared" si="15"/>
        <v>0</v>
      </c>
      <c r="H69" s="491">
        <f t="shared" si="16"/>
        <v>0</v>
      </c>
      <c r="I69" s="511">
        <f t="shared" si="7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5"/>
        <v/>
      </c>
      <c r="C70" s="507">
        <f t="shared" si="6"/>
        <v>2062</v>
      </c>
      <c r="D70" s="523">
        <f>IF(F69+SUM(E$17:E69)=D$10,F69,D$10-SUM(E$17:E69))</f>
        <v>0</v>
      </c>
      <c r="E70" s="522">
        <f t="shared" si="13"/>
        <v>0</v>
      </c>
      <c r="F70" s="523">
        <f t="shared" si="14"/>
        <v>0</v>
      </c>
      <c r="G70" s="526">
        <f t="shared" si="15"/>
        <v>0</v>
      </c>
      <c r="H70" s="491">
        <f t="shared" si="16"/>
        <v>0</v>
      </c>
      <c r="I70" s="511">
        <f t="shared" si="7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5"/>
        <v/>
      </c>
      <c r="C71" s="507">
        <f t="shared" si="6"/>
        <v>2063</v>
      </c>
      <c r="D71" s="523">
        <f>IF(F70+SUM(E$17:E70)=D$10,F70,D$10-SUM(E$17:E70))</f>
        <v>0</v>
      </c>
      <c r="E71" s="522">
        <f t="shared" si="13"/>
        <v>0</v>
      </c>
      <c r="F71" s="523">
        <f t="shared" si="14"/>
        <v>0</v>
      </c>
      <c r="G71" s="526">
        <f t="shared" si="15"/>
        <v>0</v>
      </c>
      <c r="H71" s="491">
        <f t="shared" si="16"/>
        <v>0</v>
      </c>
      <c r="I71" s="511">
        <f t="shared" si="7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5"/>
        <v/>
      </c>
      <c r="C72" s="527">
        <f t="shared" si="6"/>
        <v>2064</v>
      </c>
      <c r="D72" s="528">
        <f>IF(F71+SUM(E$17:E71)=D$10,F71,D$10-SUM(E$17:E71))</f>
        <v>0</v>
      </c>
      <c r="E72" s="529">
        <f t="shared" si="13"/>
        <v>0</v>
      </c>
      <c r="F72" s="528">
        <f t="shared" si="14"/>
        <v>0</v>
      </c>
      <c r="G72" s="530">
        <f t="shared" si="15"/>
        <v>0</v>
      </c>
      <c r="H72" s="471">
        <f t="shared" si="16"/>
        <v>0</v>
      </c>
      <c r="I72" s="531">
        <f t="shared" si="7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8402687.4800000042</v>
      </c>
      <c r="F73" s="375"/>
      <c r="G73" s="375">
        <f>SUM(G17:G72)</f>
        <v>29609153.307736654</v>
      </c>
      <c r="H73" s="375">
        <f>SUM(H17:H72)</f>
        <v>29609153.307736654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816064.49414072814</v>
      </c>
      <c r="N87" s="546">
        <f>IF(J92&lt;D11,0,VLOOKUP(J92,C17:O72,11))</f>
        <v>816064.49414072814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856667.26239535783</v>
      </c>
      <c r="N88" s="550">
        <f>IF(J92&lt;D11,0,VLOOKUP(J92,C99:P154,7))</f>
        <v>856667.26239535783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SW Shreveport (sub work &amp; tap)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40602.768254629686</v>
      </c>
      <c r="N89" s="555">
        <f>+N88-N87</f>
        <v>40602.768254629686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TP2007060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8402687.4800000004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200063.98761904764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202696</v>
      </c>
      <c r="F99" s="515">
        <v>8199991</v>
      </c>
      <c r="G99" s="574">
        <v>4099995</v>
      </c>
      <c r="H99" s="575">
        <v>796120</v>
      </c>
      <c r="I99" s="576">
        <v>796120</v>
      </c>
      <c r="J99" s="514">
        <f t="shared" ref="J99:J130" si="20">+I99-H99</f>
        <v>0</v>
      </c>
      <c r="K99" s="514"/>
      <c r="L99" s="512">
        <f t="shared" ref="L99:L104" si="21">H99</f>
        <v>796120</v>
      </c>
      <c r="M99" s="513">
        <f t="shared" ref="M99:M130" si="22">IF(L99&lt;&gt;0,+H99-L99,0)</f>
        <v>0</v>
      </c>
      <c r="N99" s="512">
        <f t="shared" ref="N99:N104" si="23">I99</f>
        <v>796120</v>
      </c>
      <c r="O99" s="513">
        <f t="shared" ref="O99:O130" si="24">IF(N99&lt;&gt;0,+I99-N99,0)</f>
        <v>0</v>
      </c>
      <c r="P99" s="513">
        <f t="shared" ref="P99:P130" si="25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8199991.4800000004</v>
      </c>
      <c r="E100" s="516">
        <v>204943.59707317073</v>
      </c>
      <c r="F100" s="515">
        <v>7995047.8829268301</v>
      </c>
      <c r="G100" s="515">
        <v>8097519.6814634148</v>
      </c>
      <c r="H100" s="516">
        <v>1541731.3961161568</v>
      </c>
      <c r="I100" s="510">
        <v>1541731.3961161568</v>
      </c>
      <c r="J100" s="514">
        <f t="shared" si="20"/>
        <v>0</v>
      </c>
      <c r="K100" s="514"/>
      <c r="L100" s="518">
        <f t="shared" si="21"/>
        <v>1541731.3961161568</v>
      </c>
      <c r="M100" s="519">
        <f t="shared" si="22"/>
        <v>0</v>
      </c>
      <c r="N100" s="518">
        <f t="shared" si="23"/>
        <v>1541731.3961161568</v>
      </c>
      <c r="O100" s="514">
        <f t="shared" si="24"/>
        <v>0</v>
      </c>
      <c r="P100" s="514">
        <f t="shared" si="25"/>
        <v>0</v>
      </c>
      <c r="Q100" s="269"/>
    </row>
    <row r="101" spans="1:17" ht="12.5">
      <c r="B101" s="195" t="str">
        <f t="shared" ref="B101:B154" si="26">IF(D101=F100,"","IU")</f>
        <v/>
      </c>
      <c r="C101" s="507">
        <f>IF(D93="","-",+C100+1)</f>
        <v>2011</v>
      </c>
      <c r="D101" s="508">
        <v>7995047.8829268301</v>
      </c>
      <c r="E101" s="520">
        <v>200063.98761904764</v>
      </c>
      <c r="F101" s="515">
        <v>7794983.8953077821</v>
      </c>
      <c r="G101" s="515">
        <v>7895015.8891173061</v>
      </c>
      <c r="H101" s="516">
        <v>1387315.6975317788</v>
      </c>
      <c r="I101" s="510">
        <v>1387315.6975317788</v>
      </c>
      <c r="J101" s="514">
        <f t="shared" si="20"/>
        <v>0</v>
      </c>
      <c r="K101" s="514"/>
      <c r="L101" s="518">
        <f t="shared" si="21"/>
        <v>1387315.6975317788</v>
      </c>
      <c r="M101" s="519">
        <f t="shared" si="22"/>
        <v>0</v>
      </c>
      <c r="N101" s="518">
        <f t="shared" si="23"/>
        <v>1387315.6975317788</v>
      </c>
      <c r="O101" s="514">
        <f t="shared" si="24"/>
        <v>0</v>
      </c>
      <c r="P101" s="514">
        <f t="shared" si="25"/>
        <v>0</v>
      </c>
      <c r="Q101" s="269"/>
    </row>
    <row r="102" spans="1:17" ht="12.5">
      <c r="B102" s="195" t="str">
        <f t="shared" si="26"/>
        <v/>
      </c>
      <c r="C102" s="507">
        <f>IF(D93="","-",+C101+1)</f>
        <v>2012</v>
      </c>
      <c r="D102" s="508">
        <v>7794983.8953077821</v>
      </c>
      <c r="E102" s="516">
        <v>200063.98761904764</v>
      </c>
      <c r="F102" s="515">
        <v>7594919.9076887341</v>
      </c>
      <c r="G102" s="515">
        <v>7694951.9014982581</v>
      </c>
      <c r="H102" s="516">
        <v>1332406.4149067886</v>
      </c>
      <c r="I102" s="510">
        <v>1332406.4149067886</v>
      </c>
      <c r="J102" s="514">
        <f t="shared" si="20"/>
        <v>0</v>
      </c>
      <c r="K102" s="514"/>
      <c r="L102" s="518">
        <f t="shared" si="21"/>
        <v>1332406.4149067886</v>
      </c>
      <c r="M102" s="519">
        <f t="shared" si="22"/>
        <v>0</v>
      </c>
      <c r="N102" s="518">
        <f t="shared" si="23"/>
        <v>1332406.4149067886</v>
      </c>
      <c r="O102" s="514">
        <f t="shared" si="24"/>
        <v>0</v>
      </c>
      <c r="P102" s="514">
        <f t="shared" si="25"/>
        <v>0</v>
      </c>
      <c r="Q102" s="269"/>
    </row>
    <row r="103" spans="1:17" ht="12.5">
      <c r="B103" s="195" t="str">
        <f t="shared" si="26"/>
        <v/>
      </c>
      <c r="C103" s="507">
        <f>IF(D93="","-",+C102+1)</f>
        <v>2013</v>
      </c>
      <c r="D103" s="508">
        <v>7594919.9076887341</v>
      </c>
      <c r="E103" s="516">
        <v>200063.98761904764</v>
      </c>
      <c r="F103" s="515">
        <v>7394855.9200696861</v>
      </c>
      <c r="G103" s="515">
        <v>7494887.9138792101</v>
      </c>
      <c r="H103" s="516">
        <v>1214060.1321062704</v>
      </c>
      <c r="I103" s="510">
        <v>1214060.1321062704</v>
      </c>
      <c r="J103" s="514">
        <v>0</v>
      </c>
      <c r="K103" s="514"/>
      <c r="L103" s="518">
        <f t="shared" si="21"/>
        <v>1214060.1321062704</v>
      </c>
      <c r="M103" s="519">
        <f t="shared" ref="M103:M108" si="27">IF(L103&lt;&gt;0,+H103-L103,0)</f>
        <v>0</v>
      </c>
      <c r="N103" s="518">
        <f t="shared" si="23"/>
        <v>1214060.1321062704</v>
      </c>
      <c r="O103" s="514">
        <f t="shared" ref="O103:O108" si="28">IF(N103&lt;&gt;0,+I103-N103,0)</f>
        <v>0</v>
      </c>
      <c r="P103" s="514">
        <f t="shared" ref="P103:P108" si="29">+O103-M103</f>
        <v>0</v>
      </c>
      <c r="Q103" s="269"/>
    </row>
    <row r="104" spans="1:17" ht="12.5">
      <c r="B104" s="195" t="str">
        <f t="shared" si="26"/>
        <v/>
      </c>
      <c r="C104" s="507">
        <f>IF(D93="","-",+C103+1)</f>
        <v>2014</v>
      </c>
      <c r="D104" s="508">
        <v>7394855.9200696861</v>
      </c>
      <c r="E104" s="516">
        <v>200063.98761904764</v>
      </c>
      <c r="F104" s="515">
        <v>7194791.9324506382</v>
      </c>
      <c r="G104" s="515">
        <v>7294823.9262601621</v>
      </c>
      <c r="H104" s="516">
        <v>1191601.6940490135</v>
      </c>
      <c r="I104" s="510">
        <v>1191601.6940490135</v>
      </c>
      <c r="J104" s="514">
        <v>0</v>
      </c>
      <c r="K104" s="514"/>
      <c r="L104" s="518">
        <f t="shared" si="21"/>
        <v>1191601.6940490135</v>
      </c>
      <c r="M104" s="519">
        <f t="shared" si="27"/>
        <v>0</v>
      </c>
      <c r="N104" s="518">
        <f t="shared" si="23"/>
        <v>1191601.6940490135</v>
      </c>
      <c r="O104" s="514">
        <f t="shared" si="28"/>
        <v>0</v>
      </c>
      <c r="P104" s="514">
        <f t="shared" si="29"/>
        <v>0</v>
      </c>
      <c r="Q104" s="269"/>
    </row>
    <row r="105" spans="1:17" ht="12.5">
      <c r="B105" s="195" t="str">
        <f t="shared" si="26"/>
        <v/>
      </c>
      <c r="C105" s="507">
        <f>IF(D93="","-",+C104+1)</f>
        <v>2015</v>
      </c>
      <c r="D105" s="508">
        <v>7194791.9324506382</v>
      </c>
      <c r="E105" s="516">
        <v>200063.98761904764</v>
      </c>
      <c r="F105" s="515">
        <v>6994727.9448315902</v>
      </c>
      <c r="G105" s="515">
        <v>7094759.9386411142</v>
      </c>
      <c r="H105" s="516">
        <v>1134932.5435262297</v>
      </c>
      <c r="I105" s="510">
        <v>1134932.5435262297</v>
      </c>
      <c r="J105" s="514">
        <f t="shared" si="20"/>
        <v>0</v>
      </c>
      <c r="K105" s="514"/>
      <c r="L105" s="518">
        <f>H105</f>
        <v>1134932.5435262297</v>
      </c>
      <c r="M105" s="519">
        <f t="shared" si="27"/>
        <v>0</v>
      </c>
      <c r="N105" s="518">
        <f>I105</f>
        <v>1134932.5435262297</v>
      </c>
      <c r="O105" s="514">
        <f t="shared" si="28"/>
        <v>0</v>
      </c>
      <c r="P105" s="514">
        <f t="shared" si="29"/>
        <v>0</v>
      </c>
      <c r="Q105" s="269"/>
    </row>
    <row r="106" spans="1:17" ht="12.5">
      <c r="B106" s="195" t="str">
        <f t="shared" si="26"/>
        <v/>
      </c>
      <c r="C106" s="507">
        <f>IF(D93="","-",+C105+1)</f>
        <v>2016</v>
      </c>
      <c r="D106" s="508">
        <v>6994727.9448315902</v>
      </c>
      <c r="E106" s="516">
        <v>195411.33674418606</v>
      </c>
      <c r="F106" s="515">
        <v>6799316.6080874037</v>
      </c>
      <c r="G106" s="515">
        <v>6897022.2764594965</v>
      </c>
      <c r="H106" s="516">
        <v>1070988.2339652905</v>
      </c>
      <c r="I106" s="510">
        <v>1070988.2339652905</v>
      </c>
      <c r="J106" s="514">
        <f t="shared" si="20"/>
        <v>0</v>
      </c>
      <c r="K106" s="514"/>
      <c r="L106" s="518">
        <f>H106</f>
        <v>1070988.2339652905</v>
      </c>
      <c r="M106" s="519">
        <f t="shared" si="27"/>
        <v>0</v>
      </c>
      <c r="N106" s="518">
        <f>I106</f>
        <v>1070988.2339652905</v>
      </c>
      <c r="O106" s="514">
        <f t="shared" si="28"/>
        <v>0</v>
      </c>
      <c r="P106" s="514">
        <f t="shared" si="29"/>
        <v>0</v>
      </c>
      <c r="Q106" s="269"/>
    </row>
    <row r="107" spans="1:17" ht="12.5">
      <c r="B107" s="195" t="str">
        <f t="shared" si="26"/>
        <v/>
      </c>
      <c r="C107" s="507">
        <f>IF(D93="","-",+C106+1)</f>
        <v>2017</v>
      </c>
      <c r="D107" s="508">
        <v>6799316.6080874037</v>
      </c>
      <c r="E107" s="516">
        <v>200063.98761904764</v>
      </c>
      <c r="F107" s="515">
        <v>6599252.6204683557</v>
      </c>
      <c r="G107" s="515">
        <v>6699284.6142778797</v>
      </c>
      <c r="H107" s="516">
        <v>1013835.8551552552</v>
      </c>
      <c r="I107" s="510">
        <v>1013835.8551552552</v>
      </c>
      <c r="J107" s="514">
        <f t="shared" si="20"/>
        <v>0</v>
      </c>
      <c r="K107" s="514"/>
      <c r="L107" s="518">
        <f>H107</f>
        <v>1013835.8551552552</v>
      </c>
      <c r="M107" s="519">
        <f t="shared" si="27"/>
        <v>0</v>
      </c>
      <c r="N107" s="518">
        <f>I107</f>
        <v>1013835.8551552552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6"/>
        <v/>
      </c>
      <c r="C108" s="507">
        <f>IF(D93="","-",+C107+1)</f>
        <v>2018</v>
      </c>
      <c r="D108" s="508">
        <v>6599252.6204683557</v>
      </c>
      <c r="E108" s="516">
        <v>200063.98761904764</v>
      </c>
      <c r="F108" s="515">
        <v>6399188.6328493077</v>
      </c>
      <c r="G108" s="515">
        <v>6499220.6266588317</v>
      </c>
      <c r="H108" s="516">
        <v>886411.49004878511</v>
      </c>
      <c r="I108" s="510">
        <v>886411.49004878511</v>
      </c>
      <c r="J108" s="514">
        <f t="shared" si="20"/>
        <v>0</v>
      </c>
      <c r="K108" s="514"/>
      <c r="L108" s="518">
        <f>H108</f>
        <v>886411.49004878511</v>
      </c>
      <c r="M108" s="519">
        <f t="shared" si="27"/>
        <v>0</v>
      </c>
      <c r="N108" s="518">
        <f>I108</f>
        <v>886411.49004878511</v>
      </c>
      <c r="O108" s="514">
        <f t="shared" si="28"/>
        <v>0</v>
      </c>
      <c r="P108" s="514">
        <f t="shared" si="29"/>
        <v>0</v>
      </c>
      <c r="Q108" s="269"/>
    </row>
    <row r="109" spans="1:17" ht="12.5">
      <c r="B109" s="195" t="str">
        <f t="shared" si="26"/>
        <v/>
      </c>
      <c r="C109" s="507">
        <f>IF(D93="","-",+C108+1)</f>
        <v>2019</v>
      </c>
      <c r="D109" s="508">
        <v>6399188.6328493077</v>
      </c>
      <c r="E109" s="516">
        <v>195411.33674418606</v>
      </c>
      <c r="F109" s="515">
        <v>6203777.2961051213</v>
      </c>
      <c r="G109" s="515">
        <v>6301482.964477215</v>
      </c>
      <c r="H109" s="516">
        <v>869925.51728731813</v>
      </c>
      <c r="I109" s="510">
        <v>869925.51728731813</v>
      </c>
      <c r="J109" s="514">
        <f t="shared" si="20"/>
        <v>0</v>
      </c>
      <c r="K109" s="514"/>
      <c r="L109" s="518">
        <f>H109</f>
        <v>869925.51728731813</v>
      </c>
      <c r="M109" s="519">
        <f t="shared" ref="M109" si="30">IF(L109&lt;&gt;0,+H109-L109,0)</f>
        <v>0</v>
      </c>
      <c r="N109" s="518">
        <f>I109</f>
        <v>869925.51728731813</v>
      </c>
      <c r="O109" s="514">
        <f t="shared" si="24"/>
        <v>0</v>
      </c>
      <c r="P109" s="514">
        <f t="shared" si="25"/>
        <v>0</v>
      </c>
      <c r="Q109" s="269"/>
    </row>
    <row r="110" spans="1:17" ht="12.5">
      <c r="B110" s="195" t="str">
        <f t="shared" si="26"/>
        <v/>
      </c>
      <c r="C110" s="507">
        <f>IF(D93="","-",+C109+1)</f>
        <v>2020</v>
      </c>
      <c r="D110" s="374">
        <f>IF(F109+SUM(E$99:E109)=D$92,F109,D$92-SUM(E$99:E109))</f>
        <v>6203777.2961051213</v>
      </c>
      <c r="E110" s="522">
        <f>IF(+J96&lt;F109,J96,D110)</f>
        <v>200063.98761904764</v>
      </c>
      <c r="F110" s="523">
        <f t="shared" ref="F110:F130" si="31">+D110-E110</f>
        <v>6003713.3084860733</v>
      </c>
      <c r="G110" s="523">
        <f t="shared" ref="G110:G130" si="32">+(F110+D110)/2</f>
        <v>6103745.3022955973</v>
      </c>
      <c r="H110" s="526">
        <f>+J$94*G110+E110</f>
        <v>856667.26239535783</v>
      </c>
      <c r="I110" s="577">
        <f>+J$95*G110+E110</f>
        <v>856667.26239535783</v>
      </c>
      <c r="J110" s="514">
        <f t="shared" si="20"/>
        <v>0</v>
      </c>
      <c r="K110" s="514"/>
      <c r="L110" s="525"/>
      <c r="M110" s="514">
        <f t="shared" si="22"/>
        <v>0</v>
      </c>
      <c r="N110" s="525"/>
      <c r="O110" s="514">
        <f t="shared" si="24"/>
        <v>0</v>
      </c>
      <c r="P110" s="514">
        <f t="shared" si="25"/>
        <v>0</v>
      </c>
      <c r="Q110" s="269"/>
    </row>
    <row r="111" spans="1:17" ht="12.5">
      <c r="B111" s="195" t="str">
        <f t="shared" si="26"/>
        <v/>
      </c>
      <c r="C111" s="507">
        <f>IF(D93="","-",+C110+1)</f>
        <v>2021</v>
      </c>
      <c r="D111" s="374">
        <f>IF(F110+SUM(E$99:E110)=D$92,F110,D$92-SUM(E$99:E110))</f>
        <v>6003713.3084860733</v>
      </c>
      <c r="E111" s="522">
        <f>IF(+J96&lt;F110,J96,D111)</f>
        <v>200063.98761904764</v>
      </c>
      <c r="F111" s="523">
        <f t="shared" si="31"/>
        <v>5803649.3208670253</v>
      </c>
      <c r="G111" s="523">
        <f t="shared" si="32"/>
        <v>5903681.3146765493</v>
      </c>
      <c r="H111" s="526">
        <f>+J$94*G111+E111</f>
        <v>835145.6125017968</v>
      </c>
      <c r="I111" s="577">
        <f>+J$95*G111+E111</f>
        <v>835145.6125017968</v>
      </c>
      <c r="J111" s="514">
        <f t="shared" si="20"/>
        <v>0</v>
      </c>
      <c r="K111" s="514"/>
      <c r="L111" s="525"/>
      <c r="M111" s="514">
        <f t="shared" si="22"/>
        <v>0</v>
      </c>
      <c r="N111" s="525"/>
      <c r="O111" s="514">
        <f t="shared" si="24"/>
        <v>0</v>
      </c>
      <c r="P111" s="514">
        <f t="shared" si="25"/>
        <v>0</v>
      </c>
      <c r="Q111" s="269"/>
    </row>
    <row r="112" spans="1:17" ht="12.5">
      <c r="B112" s="195"/>
      <c r="C112" s="507">
        <f>IF(D93="","-",+C111+1)</f>
        <v>2022</v>
      </c>
      <c r="D112" s="374">
        <f>IF(F111+SUM(E$99:E111)=D$92,F111,D$92-SUM(E$99:E111))</f>
        <v>5803649.3208670253</v>
      </c>
      <c r="E112" s="522">
        <f>IF(+J96&lt;F111,J96,D112)</f>
        <v>200063.98761904764</v>
      </c>
      <c r="F112" s="523">
        <f t="shared" si="31"/>
        <v>5603585.3332479773</v>
      </c>
      <c r="G112" s="523">
        <f t="shared" si="32"/>
        <v>5703617.3270575013</v>
      </c>
      <c r="H112" s="526">
        <f>+J$94*G112+E112</f>
        <v>813623.96260823566</v>
      </c>
      <c r="I112" s="577">
        <f>+J$95*G112+E112</f>
        <v>813623.96260823566</v>
      </c>
      <c r="J112" s="514">
        <f t="shared" si="20"/>
        <v>0</v>
      </c>
      <c r="K112" s="514"/>
      <c r="L112" s="525"/>
      <c r="M112" s="514">
        <f t="shared" si="22"/>
        <v>0</v>
      </c>
      <c r="N112" s="525"/>
      <c r="O112" s="514">
        <f t="shared" si="24"/>
        <v>0</v>
      </c>
      <c r="P112" s="514">
        <f t="shared" si="25"/>
        <v>0</v>
      </c>
      <c r="Q112" s="269"/>
    </row>
    <row r="113" spans="2:17" ht="12.5">
      <c r="B113" s="195" t="str">
        <f t="shared" si="26"/>
        <v/>
      </c>
      <c r="C113" s="507">
        <f>IF(D93="","-",+C112+1)</f>
        <v>2023</v>
      </c>
      <c r="D113" s="374">
        <f>IF(F112+SUM(E$99:E112)=D$92,F112,D$92-SUM(E$99:E112))</f>
        <v>5603585.3332479773</v>
      </c>
      <c r="E113" s="522">
        <f>IF(+J96&lt;F112,J96,D113)</f>
        <v>200063.98761904764</v>
      </c>
      <c r="F113" s="523">
        <f t="shared" si="31"/>
        <v>5403521.3456289293</v>
      </c>
      <c r="G113" s="523">
        <f t="shared" si="32"/>
        <v>5503553.3394384533</v>
      </c>
      <c r="H113" s="526">
        <f t="shared" ref="H113:H154" si="33">+J$94*G113+E113</f>
        <v>792102.31271467451</v>
      </c>
      <c r="I113" s="577">
        <f t="shared" ref="I113:I154" si="34">+J$95*G113+E113</f>
        <v>792102.31271467451</v>
      </c>
      <c r="J113" s="514">
        <f t="shared" si="20"/>
        <v>0</v>
      </c>
      <c r="K113" s="514"/>
      <c r="L113" s="525"/>
      <c r="M113" s="514">
        <f t="shared" si="22"/>
        <v>0</v>
      </c>
      <c r="N113" s="525"/>
      <c r="O113" s="514">
        <f t="shared" si="24"/>
        <v>0</v>
      </c>
      <c r="P113" s="514">
        <f t="shared" si="25"/>
        <v>0</v>
      </c>
      <c r="Q113" s="269"/>
    </row>
    <row r="114" spans="2:17" ht="12.5">
      <c r="B114" s="195" t="str">
        <f t="shared" si="26"/>
        <v/>
      </c>
      <c r="C114" s="507">
        <f>IF(D93="","-",+C113+1)</f>
        <v>2024</v>
      </c>
      <c r="D114" s="374">
        <f>IF(F113+SUM(E$99:E113)=D$92,F113,D$92-SUM(E$99:E113))</f>
        <v>5403521.345628934</v>
      </c>
      <c r="E114" s="522">
        <f>IF(+J96&lt;F113,J96,D114)</f>
        <v>200063.98761904764</v>
      </c>
      <c r="F114" s="523">
        <f t="shared" si="31"/>
        <v>5203457.358009886</v>
      </c>
      <c r="G114" s="523">
        <f t="shared" si="32"/>
        <v>5303489.35181941</v>
      </c>
      <c r="H114" s="526">
        <f t="shared" si="33"/>
        <v>770580.66282111395</v>
      </c>
      <c r="I114" s="577">
        <f t="shared" si="34"/>
        <v>770580.66282111395</v>
      </c>
      <c r="J114" s="514">
        <f t="shared" si="20"/>
        <v>0</v>
      </c>
      <c r="K114" s="514"/>
      <c r="L114" s="525"/>
      <c r="M114" s="514">
        <f t="shared" si="22"/>
        <v>0</v>
      </c>
      <c r="N114" s="525"/>
      <c r="O114" s="514">
        <f t="shared" si="24"/>
        <v>0</v>
      </c>
      <c r="P114" s="514">
        <f t="shared" si="25"/>
        <v>0</v>
      </c>
      <c r="Q114" s="269"/>
    </row>
    <row r="115" spans="2:17" ht="12.5">
      <c r="B115" s="195" t="str">
        <f t="shared" si="26"/>
        <v/>
      </c>
      <c r="C115" s="507">
        <f>IF(D93="","-",+C114+1)</f>
        <v>2025</v>
      </c>
      <c r="D115" s="374">
        <f>IF(F114+SUM(E$99:E114)=D$92,F114,D$92-SUM(E$99:E114))</f>
        <v>5203457.358009886</v>
      </c>
      <c r="E115" s="522">
        <f>IF(+J96&lt;F114,J96,D115)</f>
        <v>200063.98761904764</v>
      </c>
      <c r="F115" s="523">
        <f t="shared" si="31"/>
        <v>5003393.370390838</v>
      </c>
      <c r="G115" s="523">
        <f t="shared" si="32"/>
        <v>5103425.364200362</v>
      </c>
      <c r="H115" s="526">
        <f t="shared" si="33"/>
        <v>749059.01292755292</v>
      </c>
      <c r="I115" s="577">
        <f t="shared" si="34"/>
        <v>749059.01292755292</v>
      </c>
      <c r="J115" s="514">
        <f t="shared" si="20"/>
        <v>0</v>
      </c>
      <c r="K115" s="514"/>
      <c r="L115" s="525"/>
      <c r="M115" s="514">
        <f t="shared" si="22"/>
        <v>0</v>
      </c>
      <c r="N115" s="525"/>
      <c r="O115" s="514">
        <f t="shared" si="24"/>
        <v>0</v>
      </c>
      <c r="P115" s="514">
        <f t="shared" si="25"/>
        <v>0</v>
      </c>
      <c r="Q115" s="269"/>
    </row>
    <row r="116" spans="2:17" ht="12.5">
      <c r="B116" s="195" t="str">
        <f t="shared" si="26"/>
        <v/>
      </c>
      <c r="C116" s="507">
        <f>IF(D93="","-",+C115+1)</f>
        <v>2026</v>
      </c>
      <c r="D116" s="374">
        <f>IF(F115+SUM(E$99:E115)=D$92,F115,D$92-SUM(E$99:E115))</f>
        <v>5003393.370390838</v>
      </c>
      <c r="E116" s="522">
        <f>IF(+J96&lt;F115,J96,D116)</f>
        <v>200063.98761904764</v>
      </c>
      <c r="F116" s="523">
        <f t="shared" si="31"/>
        <v>4803329.38277179</v>
      </c>
      <c r="G116" s="523">
        <f t="shared" si="32"/>
        <v>4903361.376581314</v>
      </c>
      <c r="H116" s="526">
        <f t="shared" si="33"/>
        <v>727537.36303399177</v>
      </c>
      <c r="I116" s="577">
        <f t="shared" si="34"/>
        <v>727537.36303399177</v>
      </c>
      <c r="J116" s="514">
        <f t="shared" si="20"/>
        <v>0</v>
      </c>
      <c r="K116" s="514"/>
      <c r="L116" s="525"/>
      <c r="M116" s="514">
        <f t="shared" si="22"/>
        <v>0</v>
      </c>
      <c r="N116" s="525"/>
      <c r="O116" s="514">
        <f t="shared" si="24"/>
        <v>0</v>
      </c>
      <c r="P116" s="514">
        <f t="shared" si="25"/>
        <v>0</v>
      </c>
      <c r="Q116" s="269"/>
    </row>
    <row r="117" spans="2:17" ht="12.5">
      <c r="B117" s="195" t="str">
        <f t="shared" si="26"/>
        <v/>
      </c>
      <c r="C117" s="507">
        <f>IF(D93="","-",+C116+1)</f>
        <v>2027</v>
      </c>
      <c r="D117" s="374">
        <f>IF(F116+SUM(E$99:E116)=D$92,F116,D$92-SUM(E$99:E116))</f>
        <v>4803329.38277179</v>
      </c>
      <c r="E117" s="522">
        <f>IF(+J96&lt;F116,J96,D117)</f>
        <v>200063.98761904764</v>
      </c>
      <c r="F117" s="523">
        <f t="shared" si="31"/>
        <v>4603265.395152742</v>
      </c>
      <c r="G117" s="523">
        <f t="shared" si="32"/>
        <v>4703297.388962266</v>
      </c>
      <c r="H117" s="526">
        <f t="shared" si="33"/>
        <v>706015.71314043063</v>
      </c>
      <c r="I117" s="577">
        <f t="shared" si="34"/>
        <v>706015.71314043063</v>
      </c>
      <c r="J117" s="514">
        <f t="shared" si="20"/>
        <v>0</v>
      </c>
      <c r="K117" s="514"/>
      <c r="L117" s="525"/>
      <c r="M117" s="514">
        <f t="shared" si="22"/>
        <v>0</v>
      </c>
      <c r="N117" s="525"/>
      <c r="O117" s="514">
        <f t="shared" si="24"/>
        <v>0</v>
      </c>
      <c r="P117" s="514">
        <f t="shared" si="25"/>
        <v>0</v>
      </c>
      <c r="Q117" s="269"/>
    </row>
    <row r="118" spans="2:17" ht="12.5">
      <c r="B118" s="195" t="str">
        <f t="shared" si="26"/>
        <v/>
      </c>
      <c r="C118" s="507">
        <f>IF(D93="","-",+C117+1)</f>
        <v>2028</v>
      </c>
      <c r="D118" s="374">
        <f>IF(F117+SUM(E$99:E117)=D$92,F117,D$92-SUM(E$99:E117))</f>
        <v>4603265.395152742</v>
      </c>
      <c r="E118" s="522">
        <f>IF(+J96&lt;F117,J96,D118)</f>
        <v>200063.98761904764</v>
      </c>
      <c r="F118" s="523">
        <f t="shared" si="31"/>
        <v>4403201.4075336941</v>
      </c>
      <c r="G118" s="523">
        <f t="shared" si="32"/>
        <v>4503233.4013432181</v>
      </c>
      <c r="H118" s="526">
        <f t="shared" si="33"/>
        <v>684494.0632468696</v>
      </c>
      <c r="I118" s="577">
        <f t="shared" si="34"/>
        <v>684494.0632468696</v>
      </c>
      <c r="J118" s="514">
        <f t="shared" si="20"/>
        <v>0</v>
      </c>
      <c r="K118" s="514"/>
      <c r="L118" s="525"/>
      <c r="M118" s="514">
        <f t="shared" si="22"/>
        <v>0</v>
      </c>
      <c r="N118" s="525"/>
      <c r="O118" s="514">
        <f t="shared" si="24"/>
        <v>0</v>
      </c>
      <c r="P118" s="514">
        <f t="shared" si="25"/>
        <v>0</v>
      </c>
      <c r="Q118" s="269"/>
    </row>
    <row r="119" spans="2:17" ht="12.5">
      <c r="B119" s="195" t="str">
        <f t="shared" si="26"/>
        <v/>
      </c>
      <c r="C119" s="507">
        <f>IF(D93="","-",+C118+1)</f>
        <v>2029</v>
      </c>
      <c r="D119" s="374">
        <f>IF(F118+SUM(E$99:E118)=D$92,F118,D$92-SUM(E$99:E118))</f>
        <v>4403201.4075336941</v>
      </c>
      <c r="E119" s="522">
        <f>IF(+J96&lt;F118,J96,D119)</f>
        <v>200063.98761904764</v>
      </c>
      <c r="F119" s="523">
        <f t="shared" si="31"/>
        <v>4203137.4199146461</v>
      </c>
      <c r="G119" s="523">
        <f t="shared" si="32"/>
        <v>4303169.4137241701</v>
      </c>
      <c r="H119" s="526">
        <f t="shared" si="33"/>
        <v>662972.41335330845</v>
      </c>
      <c r="I119" s="577">
        <f t="shared" si="34"/>
        <v>662972.41335330845</v>
      </c>
      <c r="J119" s="514">
        <f t="shared" si="20"/>
        <v>0</v>
      </c>
      <c r="K119" s="514"/>
      <c r="L119" s="525"/>
      <c r="M119" s="514">
        <f t="shared" si="22"/>
        <v>0</v>
      </c>
      <c r="N119" s="525"/>
      <c r="O119" s="514">
        <f t="shared" si="24"/>
        <v>0</v>
      </c>
      <c r="P119" s="514">
        <f t="shared" si="25"/>
        <v>0</v>
      </c>
      <c r="Q119" s="269"/>
    </row>
    <row r="120" spans="2:17" ht="12.5">
      <c r="B120" s="195" t="str">
        <f t="shared" si="26"/>
        <v/>
      </c>
      <c r="C120" s="507">
        <f>IF(D93="","-",+C119+1)</f>
        <v>2030</v>
      </c>
      <c r="D120" s="374">
        <f>IF(F119+SUM(E$99:E119)=D$92,F119,D$92-SUM(E$99:E119))</f>
        <v>4203137.4199146461</v>
      </c>
      <c r="E120" s="522">
        <f>IF(+J96&lt;F119,J96,D120)</f>
        <v>200063.98761904764</v>
      </c>
      <c r="F120" s="523">
        <f t="shared" si="31"/>
        <v>4003073.4322955986</v>
      </c>
      <c r="G120" s="523">
        <f t="shared" si="32"/>
        <v>4103105.4261051221</v>
      </c>
      <c r="H120" s="526">
        <f t="shared" si="33"/>
        <v>641450.76345974742</v>
      </c>
      <c r="I120" s="577">
        <f t="shared" si="34"/>
        <v>641450.76345974742</v>
      </c>
      <c r="J120" s="514">
        <f t="shared" si="20"/>
        <v>0</v>
      </c>
      <c r="K120" s="514"/>
      <c r="L120" s="525"/>
      <c r="M120" s="514">
        <f t="shared" si="22"/>
        <v>0</v>
      </c>
      <c r="N120" s="525"/>
      <c r="O120" s="514">
        <f t="shared" si="24"/>
        <v>0</v>
      </c>
      <c r="P120" s="514">
        <f t="shared" si="25"/>
        <v>0</v>
      </c>
      <c r="Q120" s="269"/>
    </row>
    <row r="121" spans="2:17" ht="12.5">
      <c r="B121" s="195" t="str">
        <f t="shared" si="26"/>
        <v/>
      </c>
      <c r="C121" s="507">
        <f>IF(D93="","-",+C120+1)</f>
        <v>2031</v>
      </c>
      <c r="D121" s="374">
        <f>IF(F120+SUM(E$99:E120)=D$92,F120,D$92-SUM(E$99:E120))</f>
        <v>4003073.4322955986</v>
      </c>
      <c r="E121" s="522">
        <f>IF(+J96&lt;F120,J96,D121)</f>
        <v>200063.98761904764</v>
      </c>
      <c r="F121" s="523">
        <f t="shared" si="31"/>
        <v>3803009.444676551</v>
      </c>
      <c r="G121" s="523">
        <f t="shared" si="32"/>
        <v>3903041.438486075</v>
      </c>
      <c r="H121" s="526">
        <f t="shared" si="33"/>
        <v>619929.1135661864</v>
      </c>
      <c r="I121" s="577">
        <f t="shared" si="34"/>
        <v>619929.1135661864</v>
      </c>
      <c r="J121" s="514">
        <f t="shared" si="20"/>
        <v>0</v>
      </c>
      <c r="K121" s="514"/>
      <c r="L121" s="525"/>
      <c r="M121" s="514">
        <f t="shared" si="22"/>
        <v>0</v>
      </c>
      <c r="N121" s="525"/>
      <c r="O121" s="514">
        <f t="shared" si="24"/>
        <v>0</v>
      </c>
      <c r="P121" s="514">
        <f t="shared" si="25"/>
        <v>0</v>
      </c>
      <c r="Q121" s="269"/>
    </row>
    <row r="122" spans="2:17" ht="12.5">
      <c r="B122" s="195" t="str">
        <f t="shared" si="26"/>
        <v/>
      </c>
      <c r="C122" s="507">
        <f>IF(D93="","-",+C121+1)</f>
        <v>2032</v>
      </c>
      <c r="D122" s="374">
        <f>IF(F121+SUM(E$99:E121)=D$92,F121,D$92-SUM(E$99:E121))</f>
        <v>3803009.444676551</v>
      </c>
      <c r="E122" s="522">
        <f>IF(+J96&lt;F121,J96,D122)</f>
        <v>200063.98761904764</v>
      </c>
      <c r="F122" s="523">
        <f t="shared" si="31"/>
        <v>3602945.4570575035</v>
      </c>
      <c r="G122" s="523">
        <f t="shared" si="32"/>
        <v>3702977.450867027</v>
      </c>
      <c r="H122" s="526">
        <f t="shared" si="33"/>
        <v>598407.46367262537</v>
      </c>
      <c r="I122" s="577">
        <f t="shared" si="34"/>
        <v>598407.46367262537</v>
      </c>
      <c r="J122" s="514">
        <f t="shared" si="20"/>
        <v>0</v>
      </c>
      <c r="K122" s="514"/>
      <c r="L122" s="525"/>
      <c r="M122" s="514">
        <f t="shared" si="22"/>
        <v>0</v>
      </c>
      <c r="N122" s="525"/>
      <c r="O122" s="514">
        <f t="shared" si="24"/>
        <v>0</v>
      </c>
      <c r="P122" s="514">
        <f t="shared" si="25"/>
        <v>0</v>
      </c>
      <c r="Q122" s="269"/>
    </row>
    <row r="123" spans="2:17" ht="12.5">
      <c r="B123" s="195" t="str">
        <f t="shared" si="26"/>
        <v/>
      </c>
      <c r="C123" s="507">
        <f>IF(D93="","-",+C122+1)</f>
        <v>2033</v>
      </c>
      <c r="D123" s="374">
        <f>IF(F122+SUM(E$99:E122)=D$92,F122,D$92-SUM(E$99:E122))</f>
        <v>3602945.4570575035</v>
      </c>
      <c r="E123" s="522">
        <f>IF(+J96&lt;F122,J96,D123)</f>
        <v>200063.98761904764</v>
      </c>
      <c r="F123" s="523">
        <f t="shared" si="31"/>
        <v>3402881.469438456</v>
      </c>
      <c r="G123" s="523">
        <f t="shared" si="32"/>
        <v>3502913.46324798</v>
      </c>
      <c r="H123" s="526">
        <f t="shared" si="33"/>
        <v>576885.81377906422</v>
      </c>
      <c r="I123" s="577">
        <f t="shared" si="34"/>
        <v>576885.81377906422</v>
      </c>
      <c r="J123" s="514">
        <f t="shared" si="20"/>
        <v>0</v>
      </c>
      <c r="K123" s="514"/>
      <c r="L123" s="525"/>
      <c r="M123" s="514">
        <f t="shared" si="22"/>
        <v>0</v>
      </c>
      <c r="N123" s="525"/>
      <c r="O123" s="514">
        <f t="shared" si="24"/>
        <v>0</v>
      </c>
      <c r="P123" s="514">
        <f t="shared" si="25"/>
        <v>0</v>
      </c>
      <c r="Q123" s="269"/>
    </row>
    <row r="124" spans="2:17" ht="12.5">
      <c r="B124" s="195" t="str">
        <f t="shared" si="26"/>
        <v/>
      </c>
      <c r="C124" s="507">
        <f>IF(D93="","-",+C123+1)</f>
        <v>2034</v>
      </c>
      <c r="D124" s="374">
        <f>IF(F123+SUM(E$99:E123)=D$92,F123,D$92-SUM(E$99:E123))</f>
        <v>3402881.469438456</v>
      </c>
      <c r="E124" s="522">
        <f>IF(+J96&lt;F123,J96,D124)</f>
        <v>200063.98761904764</v>
      </c>
      <c r="F124" s="523">
        <f t="shared" si="31"/>
        <v>3202817.4818194085</v>
      </c>
      <c r="G124" s="523">
        <f t="shared" si="32"/>
        <v>3302849.475628932</v>
      </c>
      <c r="H124" s="526">
        <f t="shared" si="33"/>
        <v>555364.16388550319</v>
      </c>
      <c r="I124" s="577">
        <f t="shared" si="34"/>
        <v>555364.16388550319</v>
      </c>
      <c r="J124" s="514">
        <f t="shared" si="20"/>
        <v>0</v>
      </c>
      <c r="K124" s="514"/>
      <c r="L124" s="525"/>
      <c r="M124" s="514">
        <f t="shared" si="22"/>
        <v>0</v>
      </c>
      <c r="N124" s="525"/>
      <c r="O124" s="514">
        <f t="shared" si="24"/>
        <v>0</v>
      </c>
      <c r="P124" s="514">
        <f t="shared" si="25"/>
        <v>0</v>
      </c>
      <c r="Q124" s="269"/>
    </row>
    <row r="125" spans="2:17" ht="12.5">
      <c r="B125" s="195" t="str">
        <f t="shared" si="26"/>
        <v/>
      </c>
      <c r="C125" s="507">
        <f>IF(D93="","-",+C124+1)</f>
        <v>2035</v>
      </c>
      <c r="D125" s="374">
        <f>IF(F124+SUM(E$99:E124)=D$92,F124,D$92-SUM(E$99:E124))</f>
        <v>3202817.4818194085</v>
      </c>
      <c r="E125" s="522">
        <f>IF(+J96&lt;F124,J96,D125)</f>
        <v>200063.98761904764</v>
      </c>
      <c r="F125" s="523">
        <f t="shared" si="31"/>
        <v>3002753.494200361</v>
      </c>
      <c r="G125" s="523">
        <f t="shared" si="32"/>
        <v>3102785.488009885</v>
      </c>
      <c r="H125" s="526">
        <f t="shared" si="33"/>
        <v>533842.51399194216</v>
      </c>
      <c r="I125" s="577">
        <f t="shared" si="34"/>
        <v>533842.51399194216</v>
      </c>
      <c r="J125" s="514">
        <f t="shared" si="20"/>
        <v>0</v>
      </c>
      <c r="K125" s="514"/>
      <c r="L125" s="525"/>
      <c r="M125" s="514">
        <f t="shared" si="22"/>
        <v>0</v>
      </c>
      <c r="N125" s="525"/>
      <c r="O125" s="514">
        <f t="shared" si="24"/>
        <v>0</v>
      </c>
      <c r="P125" s="514">
        <f t="shared" si="25"/>
        <v>0</v>
      </c>
      <c r="Q125" s="269"/>
    </row>
    <row r="126" spans="2:17" ht="12.5">
      <c r="B126" s="195" t="str">
        <f t="shared" si="26"/>
        <v/>
      </c>
      <c r="C126" s="507">
        <f>IF(D93="","-",+C125+1)</f>
        <v>2036</v>
      </c>
      <c r="D126" s="374">
        <f>IF(F125+SUM(E$99:E125)=D$92,F125,D$92-SUM(E$99:E125))</f>
        <v>3002753.494200361</v>
      </c>
      <c r="E126" s="522">
        <f>IF(+J96&lt;F125,J96,D126)</f>
        <v>200063.98761904764</v>
      </c>
      <c r="F126" s="523">
        <f t="shared" si="31"/>
        <v>2802689.5065813134</v>
      </c>
      <c r="G126" s="523">
        <f t="shared" si="32"/>
        <v>2902721.500390837</v>
      </c>
      <c r="H126" s="526">
        <f t="shared" si="33"/>
        <v>512320.86409838108</v>
      </c>
      <c r="I126" s="577">
        <f t="shared" si="34"/>
        <v>512320.86409838108</v>
      </c>
      <c r="J126" s="514">
        <f t="shared" si="20"/>
        <v>0</v>
      </c>
      <c r="K126" s="514"/>
      <c r="L126" s="525"/>
      <c r="M126" s="514">
        <f t="shared" si="22"/>
        <v>0</v>
      </c>
      <c r="N126" s="525"/>
      <c r="O126" s="514">
        <f t="shared" si="24"/>
        <v>0</v>
      </c>
      <c r="P126" s="514">
        <f t="shared" si="25"/>
        <v>0</v>
      </c>
      <c r="Q126" s="269"/>
    </row>
    <row r="127" spans="2:17" ht="12.5">
      <c r="B127" s="195" t="str">
        <f t="shared" si="26"/>
        <v/>
      </c>
      <c r="C127" s="507">
        <f>IF(D93="","-",+C126+1)</f>
        <v>2037</v>
      </c>
      <c r="D127" s="374">
        <f>IF(F126+SUM(E$99:E126)=D$92,F126,D$92-SUM(E$99:E126))</f>
        <v>2802689.5065813134</v>
      </c>
      <c r="E127" s="522">
        <f>IF(+J96&lt;F126,J96,D127)</f>
        <v>200063.98761904764</v>
      </c>
      <c r="F127" s="523">
        <f t="shared" si="31"/>
        <v>2602625.5189622659</v>
      </c>
      <c r="G127" s="523">
        <f t="shared" si="32"/>
        <v>2702657.5127717899</v>
      </c>
      <c r="H127" s="526">
        <f t="shared" si="33"/>
        <v>490799.21420482011</v>
      </c>
      <c r="I127" s="577">
        <f t="shared" si="34"/>
        <v>490799.21420482011</v>
      </c>
      <c r="J127" s="514">
        <f t="shared" si="20"/>
        <v>0</v>
      </c>
      <c r="K127" s="514"/>
      <c r="L127" s="525"/>
      <c r="M127" s="514">
        <f t="shared" si="22"/>
        <v>0</v>
      </c>
      <c r="N127" s="525"/>
      <c r="O127" s="514">
        <f t="shared" si="24"/>
        <v>0</v>
      </c>
      <c r="P127" s="514">
        <f t="shared" si="25"/>
        <v>0</v>
      </c>
      <c r="Q127" s="269"/>
    </row>
    <row r="128" spans="2:17" ht="12.5">
      <c r="B128" s="195" t="str">
        <f t="shared" si="26"/>
        <v/>
      </c>
      <c r="C128" s="507">
        <f>IF(D93="","-",+C127+1)</f>
        <v>2038</v>
      </c>
      <c r="D128" s="374">
        <f>IF(F127+SUM(E$99:E127)=D$92,F127,D$92-SUM(E$99:E127))</f>
        <v>2602625.5189622659</v>
      </c>
      <c r="E128" s="522">
        <f>IF(+J96&lt;F127,J96,D128)</f>
        <v>200063.98761904764</v>
      </c>
      <c r="F128" s="523">
        <f t="shared" si="31"/>
        <v>2402561.5313432184</v>
      </c>
      <c r="G128" s="523">
        <f t="shared" si="32"/>
        <v>2502593.5251527419</v>
      </c>
      <c r="H128" s="526">
        <f t="shared" si="33"/>
        <v>469277.56431125902</v>
      </c>
      <c r="I128" s="577">
        <f t="shared" si="34"/>
        <v>469277.56431125902</v>
      </c>
      <c r="J128" s="514">
        <f t="shared" si="20"/>
        <v>0</v>
      </c>
      <c r="K128" s="514"/>
      <c r="L128" s="525"/>
      <c r="M128" s="514">
        <f t="shared" si="22"/>
        <v>0</v>
      </c>
      <c r="N128" s="525"/>
      <c r="O128" s="514">
        <f t="shared" si="24"/>
        <v>0</v>
      </c>
      <c r="P128" s="514">
        <f t="shared" si="25"/>
        <v>0</v>
      </c>
      <c r="Q128" s="269"/>
    </row>
    <row r="129" spans="2:17" ht="12.5">
      <c r="B129" s="195" t="str">
        <f t="shared" si="26"/>
        <v/>
      </c>
      <c r="C129" s="507">
        <f>IF(D93="","-",+C128+1)</f>
        <v>2039</v>
      </c>
      <c r="D129" s="374">
        <f>IF(F128+SUM(E$99:E128)=D$92,F128,D$92-SUM(E$99:E128))</f>
        <v>2402561.5313432184</v>
      </c>
      <c r="E129" s="522">
        <f>IF(+J96&lt;F128,J96,D129)</f>
        <v>200063.98761904764</v>
      </c>
      <c r="F129" s="523">
        <f t="shared" si="31"/>
        <v>2202497.5437241709</v>
      </c>
      <c r="G129" s="523">
        <f t="shared" si="32"/>
        <v>2302529.5375336949</v>
      </c>
      <c r="H129" s="526">
        <f t="shared" si="33"/>
        <v>447755.91441769805</v>
      </c>
      <c r="I129" s="577">
        <f t="shared" si="34"/>
        <v>447755.91441769805</v>
      </c>
      <c r="J129" s="514">
        <f t="shared" si="20"/>
        <v>0</v>
      </c>
      <c r="K129" s="514"/>
      <c r="L129" s="525"/>
      <c r="M129" s="514">
        <f t="shared" si="22"/>
        <v>0</v>
      </c>
      <c r="N129" s="525"/>
      <c r="O129" s="514">
        <f t="shared" si="24"/>
        <v>0</v>
      </c>
      <c r="P129" s="514">
        <f t="shared" si="25"/>
        <v>0</v>
      </c>
      <c r="Q129" s="269"/>
    </row>
    <row r="130" spans="2:17" ht="12.5">
      <c r="B130" s="195" t="str">
        <f t="shared" si="26"/>
        <v/>
      </c>
      <c r="C130" s="507">
        <f>IF(D93="","-",+C129+1)</f>
        <v>2040</v>
      </c>
      <c r="D130" s="374">
        <f>IF(F129+SUM(E$99:E129)=D$92,F129,D$92-SUM(E$99:E129))</f>
        <v>2202497.5437241709</v>
      </c>
      <c r="E130" s="522">
        <f>IF(+J96&lt;F129,J96,D130)</f>
        <v>200063.98761904764</v>
      </c>
      <c r="F130" s="523">
        <f t="shared" si="31"/>
        <v>2002433.5561051234</v>
      </c>
      <c r="G130" s="523">
        <f t="shared" si="32"/>
        <v>2102465.5499146469</v>
      </c>
      <c r="H130" s="526">
        <f t="shared" si="33"/>
        <v>426234.2645241369</v>
      </c>
      <c r="I130" s="577">
        <f t="shared" si="34"/>
        <v>426234.2645241369</v>
      </c>
      <c r="J130" s="514">
        <f t="shared" si="20"/>
        <v>0</v>
      </c>
      <c r="K130" s="514"/>
      <c r="L130" s="525"/>
      <c r="M130" s="514">
        <f t="shared" si="22"/>
        <v>0</v>
      </c>
      <c r="N130" s="525"/>
      <c r="O130" s="514">
        <f t="shared" si="24"/>
        <v>0</v>
      </c>
      <c r="P130" s="514">
        <f t="shared" si="25"/>
        <v>0</v>
      </c>
      <c r="Q130" s="269"/>
    </row>
    <row r="131" spans="2:17" ht="12.5">
      <c r="B131" s="195" t="str">
        <f t="shared" si="26"/>
        <v/>
      </c>
      <c r="C131" s="507">
        <f>IF(D93="","-",+C130+1)</f>
        <v>2041</v>
      </c>
      <c r="D131" s="374">
        <f>IF(F130+SUM(E$99:E130)=D$92,F130,D$92-SUM(E$99:E130))</f>
        <v>2002433.5561051234</v>
      </c>
      <c r="E131" s="522">
        <f>IF(+J96&lt;F130,J96,D131)</f>
        <v>200063.98761904764</v>
      </c>
      <c r="F131" s="523">
        <f t="shared" ref="F131:F154" si="35">+D131-E131</f>
        <v>1802369.5684860758</v>
      </c>
      <c r="G131" s="523">
        <f t="shared" ref="G131:G154" si="36">+(F131+D131)/2</f>
        <v>1902401.5622955996</v>
      </c>
      <c r="H131" s="526">
        <f t="shared" si="33"/>
        <v>404712.61463057587</v>
      </c>
      <c r="I131" s="577">
        <f t="shared" si="34"/>
        <v>404712.61463057587</v>
      </c>
      <c r="J131" s="514">
        <f t="shared" ref="J131:J154" si="37">+I131-H131</f>
        <v>0</v>
      </c>
      <c r="K131" s="514"/>
      <c r="L131" s="525"/>
      <c r="M131" s="514">
        <f t="shared" ref="M131:M154" si="38">IF(L131&lt;&gt;0,+H131-L131,0)</f>
        <v>0</v>
      </c>
      <c r="N131" s="525"/>
      <c r="O131" s="514">
        <f t="shared" ref="O131:O154" si="39">IF(N131&lt;&gt;0,+I131-N131,0)</f>
        <v>0</v>
      </c>
      <c r="P131" s="514">
        <f t="shared" ref="P131:P154" si="40">+O131-M131</f>
        <v>0</v>
      </c>
      <c r="Q131" s="269"/>
    </row>
    <row r="132" spans="2:17" ht="12.5">
      <c r="B132" s="195" t="str">
        <f t="shared" si="26"/>
        <v/>
      </c>
      <c r="C132" s="507">
        <f>IF(D93="","-",+C131+1)</f>
        <v>2042</v>
      </c>
      <c r="D132" s="374">
        <f>IF(F131+SUM(E$99:E131)=D$92,F131,D$92-SUM(E$99:E131))</f>
        <v>1802369.5684860758</v>
      </c>
      <c r="E132" s="522">
        <f>IF(+J96&lt;F131,J96,D132)</f>
        <v>200063.98761904764</v>
      </c>
      <c r="F132" s="523">
        <f t="shared" si="35"/>
        <v>1602305.5808670283</v>
      </c>
      <c r="G132" s="523">
        <f t="shared" si="36"/>
        <v>1702337.5746765521</v>
      </c>
      <c r="H132" s="526">
        <f t="shared" si="33"/>
        <v>383190.96473701485</v>
      </c>
      <c r="I132" s="577">
        <f t="shared" si="34"/>
        <v>383190.96473701485</v>
      </c>
      <c r="J132" s="514">
        <f t="shared" si="37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  <c r="Q132" s="269"/>
    </row>
    <row r="133" spans="2:17" ht="12.5">
      <c r="B133" s="195" t="str">
        <f t="shared" si="26"/>
        <v/>
      </c>
      <c r="C133" s="507">
        <f>IF(D93="","-",+C132+1)</f>
        <v>2043</v>
      </c>
      <c r="D133" s="374">
        <f>IF(F132+SUM(E$99:E132)=D$92,F132,D$92-SUM(E$99:E132))</f>
        <v>1602305.5808670283</v>
      </c>
      <c r="E133" s="522">
        <f>IF(+J96&lt;F132,J96,D133)</f>
        <v>200063.98761904764</v>
      </c>
      <c r="F133" s="523">
        <f t="shared" si="35"/>
        <v>1402241.5932479808</v>
      </c>
      <c r="G133" s="523">
        <f t="shared" si="36"/>
        <v>1502273.5870575046</v>
      </c>
      <c r="H133" s="526">
        <f t="shared" si="33"/>
        <v>361669.31484345382</v>
      </c>
      <c r="I133" s="577">
        <f t="shared" si="34"/>
        <v>361669.31484345382</v>
      </c>
      <c r="J133" s="514">
        <f t="shared" si="37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  <c r="Q133" s="269"/>
    </row>
    <row r="134" spans="2:17" ht="12.5">
      <c r="B134" s="195" t="str">
        <f t="shared" si="26"/>
        <v/>
      </c>
      <c r="C134" s="507">
        <f>IF(D93="","-",+C133+1)</f>
        <v>2044</v>
      </c>
      <c r="D134" s="374">
        <f>IF(F133+SUM(E$99:E133)=D$92,F133,D$92-SUM(E$99:E133))</f>
        <v>1402241.5932479808</v>
      </c>
      <c r="E134" s="522">
        <f>IF(+J96&lt;F133,J96,D134)</f>
        <v>200063.98761904764</v>
      </c>
      <c r="F134" s="523">
        <f t="shared" si="35"/>
        <v>1202177.6056289333</v>
      </c>
      <c r="G134" s="523">
        <f t="shared" si="36"/>
        <v>1302209.5994384571</v>
      </c>
      <c r="H134" s="526">
        <f t="shared" si="33"/>
        <v>340147.66494989273</v>
      </c>
      <c r="I134" s="577">
        <f t="shared" si="34"/>
        <v>340147.66494989273</v>
      </c>
      <c r="J134" s="514">
        <f t="shared" si="37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  <c r="Q134" s="269"/>
    </row>
    <row r="135" spans="2:17" ht="12.5">
      <c r="B135" s="195" t="str">
        <f t="shared" si="26"/>
        <v/>
      </c>
      <c r="C135" s="507">
        <f>IF(D93="","-",+C134+1)</f>
        <v>2045</v>
      </c>
      <c r="D135" s="374">
        <f>IF(F134+SUM(E$99:E134)=D$92,F134,D$92-SUM(E$99:E134))</f>
        <v>1202177.6056289333</v>
      </c>
      <c r="E135" s="522">
        <f>IF(+J96&lt;F134,J96,D135)</f>
        <v>200063.98761904764</v>
      </c>
      <c r="F135" s="523">
        <f t="shared" si="35"/>
        <v>1002113.6180098857</v>
      </c>
      <c r="G135" s="523">
        <f t="shared" si="36"/>
        <v>1102145.6118194095</v>
      </c>
      <c r="H135" s="526">
        <f t="shared" si="33"/>
        <v>318626.0150563317</v>
      </c>
      <c r="I135" s="577">
        <f t="shared" si="34"/>
        <v>318626.0150563317</v>
      </c>
      <c r="J135" s="514">
        <f t="shared" si="37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  <c r="Q135" s="269"/>
    </row>
    <row r="136" spans="2:17" ht="12.5">
      <c r="B136" s="195"/>
      <c r="C136" s="507">
        <f>IF(D93="","-",+C135+1)</f>
        <v>2046</v>
      </c>
      <c r="D136" s="374">
        <f>IF(F135+SUM(E$99:E135)=D$92,F135,D$92-SUM(E$99:E135))</f>
        <v>1002113.6180098857</v>
      </c>
      <c r="E136" s="522">
        <f>IF(+J96&lt;F135,J96,D136)</f>
        <v>200063.98761904764</v>
      </c>
      <c r="F136" s="523">
        <f t="shared" si="35"/>
        <v>802049.63039083802</v>
      </c>
      <c r="G136" s="523">
        <f t="shared" si="36"/>
        <v>902081.62420036178</v>
      </c>
      <c r="H136" s="526">
        <f t="shared" si="33"/>
        <v>297104.36516277061</v>
      </c>
      <c r="I136" s="577">
        <f t="shared" si="34"/>
        <v>297104.36516277061</v>
      </c>
      <c r="J136" s="514">
        <f t="shared" si="37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  <c r="Q136" s="269"/>
    </row>
    <row r="137" spans="2:17" ht="12.5">
      <c r="B137" s="195" t="str">
        <f t="shared" si="26"/>
        <v>IU</v>
      </c>
      <c r="C137" s="507">
        <f>IF(D93="","-",+C136+1)</f>
        <v>2047</v>
      </c>
      <c r="D137" s="374">
        <f>IF(F136+SUM(E$99:E136)=D$92,F136,D$92-SUM(E$99:E136))</f>
        <v>802049.63039083313</v>
      </c>
      <c r="E137" s="522">
        <f>IF(+J96&lt;F136,J96,D137)</f>
        <v>200063.98761904764</v>
      </c>
      <c r="F137" s="523">
        <f t="shared" si="35"/>
        <v>601985.6427717855</v>
      </c>
      <c r="G137" s="523">
        <f t="shared" si="36"/>
        <v>702017.63658130937</v>
      </c>
      <c r="H137" s="526">
        <f t="shared" si="33"/>
        <v>275582.71526920906</v>
      </c>
      <c r="I137" s="577">
        <f t="shared" si="34"/>
        <v>275582.71526920906</v>
      </c>
      <c r="J137" s="514">
        <f t="shared" si="37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  <c r="Q137" s="269"/>
    </row>
    <row r="138" spans="2:17" ht="12.5">
      <c r="B138" s="195" t="str">
        <f t="shared" si="26"/>
        <v/>
      </c>
      <c r="C138" s="507">
        <f>IF(D93="","-",+C137+1)</f>
        <v>2048</v>
      </c>
      <c r="D138" s="374">
        <f>IF(F137+SUM(E$99:E137)=D$92,F137,D$92-SUM(E$99:E137))</f>
        <v>601985.6427717855</v>
      </c>
      <c r="E138" s="522">
        <f>IF(+J96&lt;F137,J96,D138)</f>
        <v>200063.98761904764</v>
      </c>
      <c r="F138" s="523">
        <f t="shared" si="35"/>
        <v>401921.65515273786</v>
      </c>
      <c r="G138" s="523">
        <f t="shared" si="36"/>
        <v>501953.64896226168</v>
      </c>
      <c r="H138" s="526">
        <f t="shared" si="33"/>
        <v>254061.06537564797</v>
      </c>
      <c r="I138" s="577">
        <f t="shared" si="34"/>
        <v>254061.06537564797</v>
      </c>
      <c r="J138" s="514">
        <f t="shared" si="37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  <c r="Q138" s="269"/>
    </row>
    <row r="139" spans="2:17" ht="12.5">
      <c r="B139" s="195" t="str">
        <f t="shared" si="26"/>
        <v/>
      </c>
      <c r="C139" s="507">
        <f>IF(D93="","-",+C138+1)</f>
        <v>2049</v>
      </c>
      <c r="D139" s="374">
        <f>IF(F138+SUM(E$99:E138)=D$92,F138,D$92-SUM(E$99:E138))</f>
        <v>401921.65515273786</v>
      </c>
      <c r="E139" s="522">
        <f>IF(+J96&lt;F138,J96,D139)</f>
        <v>200063.98761904764</v>
      </c>
      <c r="F139" s="523">
        <f t="shared" si="35"/>
        <v>201857.66753369023</v>
      </c>
      <c r="G139" s="523">
        <f t="shared" si="36"/>
        <v>301889.66134321404</v>
      </c>
      <c r="H139" s="526">
        <f t="shared" si="33"/>
        <v>232539.41548208692</v>
      </c>
      <c r="I139" s="577">
        <f t="shared" si="34"/>
        <v>232539.41548208692</v>
      </c>
      <c r="J139" s="514">
        <f t="shared" si="37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  <c r="Q139" s="269"/>
    </row>
    <row r="140" spans="2:17" ht="12.5">
      <c r="B140" s="195" t="str">
        <f t="shared" si="26"/>
        <v/>
      </c>
      <c r="C140" s="507">
        <f>IF(D93="","-",+C139+1)</f>
        <v>2050</v>
      </c>
      <c r="D140" s="374">
        <f>IF(F139+SUM(E$99:E139)=D$92,F139,D$92-SUM(E$99:E139))</f>
        <v>201857.66753369023</v>
      </c>
      <c r="E140" s="522">
        <f>IF(+J96&lt;F139,J96,D140)</f>
        <v>200063.98761904764</v>
      </c>
      <c r="F140" s="523">
        <f t="shared" si="35"/>
        <v>1793.679914642591</v>
      </c>
      <c r="G140" s="523">
        <f t="shared" si="36"/>
        <v>101825.67372416641</v>
      </c>
      <c r="H140" s="526">
        <f t="shared" si="33"/>
        <v>211017.76558852586</v>
      </c>
      <c r="I140" s="577">
        <f t="shared" si="34"/>
        <v>211017.76558852586</v>
      </c>
      <c r="J140" s="514">
        <f t="shared" si="37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  <c r="Q140" s="269"/>
    </row>
    <row r="141" spans="2:17" ht="12.5">
      <c r="B141" s="195" t="str">
        <f t="shared" si="26"/>
        <v/>
      </c>
      <c r="C141" s="507">
        <f>IF(D93="","-",+C140+1)</f>
        <v>2051</v>
      </c>
      <c r="D141" s="374">
        <f>IF(F140+SUM(E$99:E140)=D$92,F140,D$92-SUM(E$99:E140))</f>
        <v>1793.679914642591</v>
      </c>
      <c r="E141" s="522">
        <f>IF(+J96&lt;F140,J96,D141)</f>
        <v>1793.679914642591</v>
      </c>
      <c r="F141" s="523">
        <f t="shared" si="35"/>
        <v>0</v>
      </c>
      <c r="G141" s="523">
        <f t="shared" si="36"/>
        <v>896.83995732129551</v>
      </c>
      <c r="H141" s="526">
        <f t="shared" si="33"/>
        <v>1890.1564259914408</v>
      </c>
      <c r="I141" s="577">
        <f t="shared" si="34"/>
        <v>1890.1564259914408</v>
      </c>
      <c r="J141" s="514">
        <f t="shared" si="37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  <c r="Q141" s="269"/>
    </row>
    <row r="142" spans="2:17" ht="12.5">
      <c r="B142" s="195" t="str">
        <f t="shared" si="26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5"/>
        <v>0</v>
      </c>
      <c r="G142" s="523">
        <f t="shared" si="36"/>
        <v>0</v>
      </c>
      <c r="H142" s="526">
        <f t="shared" si="33"/>
        <v>0</v>
      </c>
      <c r="I142" s="577">
        <f t="shared" si="34"/>
        <v>0</v>
      </c>
      <c r="J142" s="514">
        <f t="shared" si="37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  <c r="Q142" s="269"/>
    </row>
    <row r="143" spans="2:17" ht="12.5">
      <c r="B143" s="195" t="str">
        <f t="shared" si="26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5"/>
        <v>0</v>
      </c>
      <c r="G143" s="523">
        <f t="shared" si="36"/>
        <v>0</v>
      </c>
      <c r="H143" s="526">
        <f t="shared" si="33"/>
        <v>0</v>
      </c>
      <c r="I143" s="577">
        <f t="shared" si="34"/>
        <v>0</v>
      </c>
      <c r="J143" s="514">
        <f t="shared" si="37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  <c r="Q143" s="269"/>
    </row>
    <row r="144" spans="2:17" ht="12.5">
      <c r="B144" s="195" t="str">
        <f t="shared" si="26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5"/>
        <v>0</v>
      </c>
      <c r="G144" s="523">
        <f t="shared" si="36"/>
        <v>0</v>
      </c>
      <c r="H144" s="526">
        <f t="shared" si="33"/>
        <v>0</v>
      </c>
      <c r="I144" s="577">
        <f t="shared" si="34"/>
        <v>0</v>
      </c>
      <c r="J144" s="514">
        <f t="shared" si="37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  <c r="Q144" s="269"/>
    </row>
    <row r="145" spans="2:17" ht="12.5">
      <c r="B145" s="195" t="str">
        <f t="shared" si="26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5"/>
        <v>0</v>
      </c>
      <c r="G145" s="523">
        <f t="shared" si="36"/>
        <v>0</v>
      </c>
      <c r="H145" s="526">
        <f t="shared" si="33"/>
        <v>0</v>
      </c>
      <c r="I145" s="577">
        <f t="shared" si="34"/>
        <v>0</v>
      </c>
      <c r="J145" s="514">
        <f t="shared" si="37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  <c r="Q145" s="269"/>
    </row>
    <row r="146" spans="2:17" ht="12.5">
      <c r="B146" s="195" t="str">
        <f t="shared" si="26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5"/>
        <v>0</v>
      </c>
      <c r="G146" s="523">
        <f t="shared" si="36"/>
        <v>0</v>
      </c>
      <c r="H146" s="526">
        <f t="shared" si="33"/>
        <v>0</v>
      </c>
      <c r="I146" s="577">
        <f t="shared" si="34"/>
        <v>0</v>
      </c>
      <c r="J146" s="514">
        <f t="shared" si="37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  <c r="Q146" s="269"/>
    </row>
    <row r="147" spans="2:17" ht="12.5">
      <c r="B147" s="195" t="str">
        <f t="shared" si="26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5"/>
        <v>0</v>
      </c>
      <c r="G147" s="523">
        <f t="shared" si="36"/>
        <v>0</v>
      </c>
      <c r="H147" s="526">
        <f t="shared" si="33"/>
        <v>0</v>
      </c>
      <c r="I147" s="577">
        <f t="shared" si="34"/>
        <v>0</v>
      </c>
      <c r="J147" s="514">
        <f t="shared" si="37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  <c r="Q147" s="269"/>
    </row>
    <row r="148" spans="2:17" ht="12.5">
      <c r="B148" s="195" t="str">
        <f t="shared" si="26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5"/>
        <v>0</v>
      </c>
      <c r="G148" s="523">
        <f t="shared" si="36"/>
        <v>0</v>
      </c>
      <c r="H148" s="526">
        <f t="shared" si="33"/>
        <v>0</v>
      </c>
      <c r="I148" s="577">
        <f t="shared" si="34"/>
        <v>0</v>
      </c>
      <c r="J148" s="514">
        <f t="shared" si="37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  <c r="Q148" s="269"/>
    </row>
    <row r="149" spans="2:17" ht="12.5">
      <c r="B149" s="195" t="str">
        <f t="shared" si="26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5"/>
        <v>0</v>
      </c>
      <c r="G149" s="523">
        <f t="shared" si="36"/>
        <v>0</v>
      </c>
      <c r="H149" s="526">
        <f t="shared" si="33"/>
        <v>0</v>
      </c>
      <c r="I149" s="577">
        <f t="shared" si="34"/>
        <v>0</v>
      </c>
      <c r="J149" s="514">
        <f t="shared" si="37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  <c r="Q149" s="269"/>
    </row>
    <row r="150" spans="2:17" ht="12.5">
      <c r="B150" s="195" t="str">
        <f t="shared" si="26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5"/>
        <v>0</v>
      </c>
      <c r="G150" s="523">
        <f t="shared" si="36"/>
        <v>0</v>
      </c>
      <c r="H150" s="526">
        <f t="shared" si="33"/>
        <v>0</v>
      </c>
      <c r="I150" s="577">
        <f t="shared" si="34"/>
        <v>0</v>
      </c>
      <c r="J150" s="514">
        <f t="shared" si="37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  <c r="Q150" s="269"/>
    </row>
    <row r="151" spans="2:17" ht="12.5">
      <c r="B151" s="195" t="str">
        <f t="shared" si="26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5"/>
        <v>0</v>
      </c>
      <c r="G151" s="523">
        <f t="shared" si="36"/>
        <v>0</v>
      </c>
      <c r="H151" s="526">
        <f t="shared" si="33"/>
        <v>0</v>
      </c>
      <c r="I151" s="577">
        <f t="shared" si="34"/>
        <v>0</v>
      </c>
      <c r="J151" s="514">
        <f t="shared" si="37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  <c r="Q151" s="269"/>
    </row>
    <row r="152" spans="2:17" ht="12.5">
      <c r="B152" s="195" t="str">
        <f t="shared" si="26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5"/>
        <v>0</v>
      </c>
      <c r="G152" s="523">
        <f t="shared" si="36"/>
        <v>0</v>
      </c>
      <c r="H152" s="526">
        <f t="shared" si="33"/>
        <v>0</v>
      </c>
      <c r="I152" s="577">
        <f t="shared" si="34"/>
        <v>0</v>
      </c>
      <c r="J152" s="514">
        <f t="shared" si="37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  <c r="Q152" s="269"/>
    </row>
    <row r="153" spans="2:17" ht="12.5">
      <c r="B153" s="195" t="str">
        <f t="shared" si="26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5"/>
        <v>0</v>
      </c>
      <c r="G153" s="523">
        <f t="shared" si="36"/>
        <v>0</v>
      </c>
      <c r="H153" s="526">
        <f t="shared" si="33"/>
        <v>0</v>
      </c>
      <c r="I153" s="577">
        <f t="shared" si="34"/>
        <v>0</v>
      </c>
      <c r="J153" s="514">
        <f t="shared" si="37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  <c r="Q153" s="269"/>
    </row>
    <row r="154" spans="2:17" ht="13" thickBot="1">
      <c r="B154" s="195" t="str">
        <f t="shared" si="26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5"/>
        <v>0</v>
      </c>
      <c r="G154" s="528">
        <f t="shared" si="36"/>
        <v>0</v>
      </c>
      <c r="H154" s="530">
        <f t="shared" si="33"/>
        <v>0</v>
      </c>
      <c r="I154" s="579">
        <f t="shared" si="34"/>
        <v>0</v>
      </c>
      <c r="J154" s="533">
        <f t="shared" si="37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  <c r="Q154" s="269"/>
    </row>
    <row r="155" spans="2:17" ht="12.5">
      <c r="C155" s="374" t="s">
        <v>78</v>
      </c>
      <c r="D155" s="375"/>
      <c r="E155" s="375">
        <f>SUM(E99:E154)</f>
        <v>8402687.4800000004</v>
      </c>
      <c r="F155" s="375"/>
      <c r="G155" s="375"/>
      <c r="H155" s="375">
        <f>SUM(H99:H154)</f>
        <v>28990337.064869083</v>
      </c>
      <c r="I155" s="375">
        <f>SUM(I99:I154)</f>
        <v>28990337.064869083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7" priority="1" stopIfTrue="1" operator="equal">
      <formula>$I$10</formula>
    </cfRule>
  </conditionalFormatting>
  <conditionalFormatting sqref="C99:C154">
    <cfRule type="cellIs" dxfId="15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theme="9" tint="-0.249977111117893"/>
  </sheetPr>
  <dimension ref="A1:P162"/>
  <sheetViews>
    <sheetView view="pageBreakPreview" topLeftCell="D76" zoomScale="82" zoomScaleNormal="100" zoomScaleSheetLayoutView="82" workbookViewId="0">
      <selection activeCell="J105" sqref="J105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47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83774.601936797058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83774.601936797058</v>
      </c>
      <c r="O6" s="269"/>
      <c r="P6" s="269"/>
    </row>
    <row r="7" spans="1:16" ht="13.5" thickBot="1">
      <c r="C7" s="467" t="s">
        <v>48</v>
      </c>
      <c r="D7" s="624" t="s">
        <v>337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248</v>
      </c>
      <c r="E9" s="637" t="s">
        <v>399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787880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2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18759.047619047618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629">
        <v>787880</v>
      </c>
      <c r="E17" s="638">
        <v>15632.539682539682</v>
      </c>
      <c r="F17" s="629">
        <v>772247.46031746035</v>
      </c>
      <c r="G17" s="638">
        <v>119816.83704873582</v>
      </c>
      <c r="H17" s="639">
        <v>119816.83704873582</v>
      </c>
      <c r="I17" s="511">
        <v>0</v>
      </c>
      <c r="J17" s="511"/>
      <c r="K17" s="512">
        <f t="shared" ref="K17:K22" si="0">G17</f>
        <v>119816.83704873582</v>
      </c>
      <c r="L17" s="597">
        <f t="shared" ref="L17:L22" si="1">IF(K17&lt;&gt;0,+G17-K17,0)</f>
        <v>0</v>
      </c>
      <c r="M17" s="512">
        <f t="shared" ref="M17:M22" si="2">H17</f>
        <v>119816.83704873582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2013</v>
      </c>
      <c r="D18" s="631">
        <v>772247.46031746035</v>
      </c>
      <c r="E18" s="630">
        <v>18759.047619047618</v>
      </c>
      <c r="F18" s="631">
        <v>753488.41269841278</v>
      </c>
      <c r="G18" s="630">
        <v>120412.55233667219</v>
      </c>
      <c r="H18" s="639">
        <v>120412.55233667219</v>
      </c>
      <c r="I18" s="511">
        <v>0</v>
      </c>
      <c r="J18" s="511"/>
      <c r="K18" s="518">
        <f t="shared" si="0"/>
        <v>120412.55233667219</v>
      </c>
      <c r="L18" s="519">
        <f t="shared" si="1"/>
        <v>0</v>
      </c>
      <c r="M18" s="518">
        <f t="shared" si="2"/>
        <v>120412.55233667219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2014</v>
      </c>
      <c r="D19" s="631">
        <v>753488.41269841278</v>
      </c>
      <c r="E19" s="630">
        <v>18759.047619047618</v>
      </c>
      <c r="F19" s="631">
        <v>734729.36507936521</v>
      </c>
      <c r="G19" s="630">
        <v>117881.75968810063</v>
      </c>
      <c r="H19" s="639">
        <v>117881.75968810063</v>
      </c>
      <c r="I19" s="511">
        <v>0</v>
      </c>
      <c r="J19" s="511"/>
      <c r="K19" s="518">
        <f t="shared" si="0"/>
        <v>117881.75968810063</v>
      </c>
      <c r="L19" s="519">
        <f t="shared" si="1"/>
        <v>0</v>
      </c>
      <c r="M19" s="518">
        <f t="shared" si="2"/>
        <v>117881.75968810063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2015</v>
      </c>
      <c r="D20" s="631">
        <v>734729.36507936521</v>
      </c>
      <c r="E20" s="630">
        <v>18759.047619047618</v>
      </c>
      <c r="F20" s="631">
        <v>715970.31746031763</v>
      </c>
      <c r="G20" s="630">
        <v>113055.77578424601</v>
      </c>
      <c r="H20" s="639">
        <v>113055.77578424601</v>
      </c>
      <c r="I20" s="511">
        <v>0</v>
      </c>
      <c r="J20" s="511"/>
      <c r="K20" s="518">
        <f t="shared" si="0"/>
        <v>113055.77578424601</v>
      </c>
      <c r="L20" s="519">
        <f t="shared" si="1"/>
        <v>0</v>
      </c>
      <c r="M20" s="518">
        <f t="shared" si="2"/>
        <v>113055.77578424601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2016</v>
      </c>
      <c r="D21" s="631">
        <v>715970.31746031763</v>
      </c>
      <c r="E21" s="630">
        <v>18759.047619047618</v>
      </c>
      <c r="F21" s="631">
        <v>697211.26984127006</v>
      </c>
      <c r="G21" s="630">
        <v>109452.2721829084</v>
      </c>
      <c r="H21" s="639">
        <v>109452.2721829084</v>
      </c>
      <c r="I21" s="511">
        <f t="shared" ref="I21:I33" si="6">H21-G21</f>
        <v>0</v>
      </c>
      <c r="J21" s="511"/>
      <c r="K21" s="518">
        <f t="shared" si="0"/>
        <v>109452.2721829084</v>
      </c>
      <c r="L21" s="519">
        <f t="shared" si="1"/>
        <v>0</v>
      </c>
      <c r="M21" s="518">
        <f t="shared" si="2"/>
        <v>109452.2721829084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31">
        <v>697211.26984127006</v>
      </c>
      <c r="E22" s="630">
        <v>18322.79069767442</v>
      </c>
      <c r="F22" s="631">
        <v>678888.47914359567</v>
      </c>
      <c r="G22" s="630">
        <v>103567.03290299821</v>
      </c>
      <c r="H22" s="639">
        <v>103567.03290299821</v>
      </c>
      <c r="I22" s="511">
        <f t="shared" si="6"/>
        <v>0</v>
      </c>
      <c r="J22" s="511"/>
      <c r="K22" s="518">
        <f t="shared" si="0"/>
        <v>103567.03290299821</v>
      </c>
      <c r="L22" s="519">
        <f t="shared" si="1"/>
        <v>0</v>
      </c>
      <c r="M22" s="518">
        <f t="shared" si="2"/>
        <v>103567.03290299821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31">
        <v>678888.47914359567</v>
      </c>
      <c r="E23" s="630">
        <v>19216.585365853658</v>
      </c>
      <c r="F23" s="631">
        <v>659671.89377774205</v>
      </c>
      <c r="G23" s="630">
        <v>104278.14759460979</v>
      </c>
      <c r="H23" s="639">
        <v>104278.14759460979</v>
      </c>
      <c r="I23" s="511">
        <f t="shared" si="6"/>
        <v>0</v>
      </c>
      <c r="J23" s="511"/>
      <c r="K23" s="518">
        <f>G23</f>
        <v>104278.14759460979</v>
      </c>
      <c r="L23" s="519">
        <f>IF(K23&lt;&gt;0,+G23-K23,0)</f>
        <v>0</v>
      </c>
      <c r="M23" s="518">
        <f>H23</f>
        <v>104278.14759460979</v>
      </c>
      <c r="N23" s="514">
        <f>IF(M23&lt;&gt;0,+H23-M23,0)</f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31">
        <v>659671.89377774205</v>
      </c>
      <c r="E24" s="630">
        <v>19216.585365853658</v>
      </c>
      <c r="F24" s="631">
        <v>640455.30841188843</v>
      </c>
      <c r="G24" s="630">
        <v>101835.83299305863</v>
      </c>
      <c r="H24" s="639">
        <v>101835.83299305863</v>
      </c>
      <c r="I24" s="511">
        <f t="shared" si="6"/>
        <v>0</v>
      </c>
      <c r="J24" s="511"/>
      <c r="K24" s="518">
        <f>G24</f>
        <v>101835.83299305863</v>
      </c>
      <c r="L24" s="519">
        <f>IF(K24&lt;&gt;0,+G24-K24,0)</f>
        <v>0</v>
      </c>
      <c r="M24" s="518">
        <f>H24</f>
        <v>101835.83299305863</v>
      </c>
      <c r="N24" s="514">
        <f t="shared" ref="N24:N72" si="7">IF(M24&lt;&gt;0,+H24-M24,0)</f>
        <v>0</v>
      </c>
      <c r="O24" s="514">
        <f t="shared" ref="O24:O72" si="8"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31">
        <v>640455.30841188843</v>
      </c>
      <c r="E25" s="630">
        <v>19216.585365853658</v>
      </c>
      <c r="F25" s="631">
        <v>621238.72304603481</v>
      </c>
      <c r="G25" s="630">
        <v>83774.601936797058</v>
      </c>
      <c r="H25" s="639">
        <v>83774.601936797058</v>
      </c>
      <c r="I25" s="511">
        <f t="shared" si="6"/>
        <v>0</v>
      </c>
      <c r="J25" s="511"/>
      <c r="K25" s="518">
        <f>G25</f>
        <v>83774.601936797058</v>
      </c>
      <c r="L25" s="519">
        <f>IF(K25&lt;&gt;0,+G25-K25,0)</f>
        <v>0</v>
      </c>
      <c r="M25" s="518">
        <f>H25</f>
        <v>83774.601936797058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2021</v>
      </c>
      <c r="D26" s="523">
        <f>IF(F25+SUM(E$17:E25)=D$10,F25,D$10-SUM(E$17:E25))</f>
        <v>621238.72304603481</v>
      </c>
      <c r="E26" s="522">
        <f>IF(+I14&lt;F25,I14,D26)</f>
        <v>18759.047619047618</v>
      </c>
      <c r="F26" s="523">
        <f t="shared" ref="F26:F33" si="9">+D26-E26</f>
        <v>602479.67542698723</v>
      </c>
      <c r="G26" s="524">
        <f t="shared" ref="G26:G53" si="10">+I$12*((D26+F26)/2)+E26</f>
        <v>84116.607508214685</v>
      </c>
      <c r="H26" s="491">
        <f t="shared" ref="H26:H53" si="11">+I$13*((D26+F26)/2)+E26</f>
        <v>84116.607508214685</v>
      </c>
      <c r="I26" s="511">
        <f t="shared" si="6"/>
        <v>0</v>
      </c>
      <c r="J26" s="511"/>
      <c r="K26" s="525"/>
      <c r="L26" s="514">
        <f t="shared" ref="L26:L72" si="12">IF(K26&lt;&gt;0,+G26-K26,0)</f>
        <v>0</v>
      </c>
      <c r="M26" s="525"/>
      <c r="N26" s="514">
        <f t="shared" si="7"/>
        <v>0</v>
      </c>
      <c r="O26" s="514">
        <f t="shared" si="8"/>
        <v>0</v>
      </c>
      <c r="P26" s="272"/>
    </row>
    <row r="27" spans="2:16" ht="12.5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602479.67542698723</v>
      </c>
      <c r="E27" s="522">
        <f>IF(+I14&lt;F26,I14,D27)</f>
        <v>18759.047619047618</v>
      </c>
      <c r="F27" s="523">
        <f t="shared" si="9"/>
        <v>583720.62780793966</v>
      </c>
      <c r="G27" s="524">
        <f t="shared" si="10"/>
        <v>82112.804051871266</v>
      </c>
      <c r="H27" s="491">
        <f t="shared" si="11"/>
        <v>82112.804051871266</v>
      </c>
      <c r="I27" s="511">
        <f t="shared" si="6"/>
        <v>0</v>
      </c>
      <c r="J27" s="511"/>
      <c r="K27" s="525"/>
      <c r="L27" s="514">
        <f t="shared" si="12"/>
        <v>0</v>
      </c>
      <c r="M27" s="525"/>
      <c r="N27" s="514">
        <f t="shared" si="7"/>
        <v>0</v>
      </c>
      <c r="O27" s="514">
        <f t="shared" si="8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583720.62780793966</v>
      </c>
      <c r="E28" s="522">
        <f>IF(+I14&lt;F27,I14,D28)</f>
        <v>18759.047619047618</v>
      </c>
      <c r="F28" s="523">
        <f t="shared" si="9"/>
        <v>564961.58018889208</v>
      </c>
      <c r="G28" s="524">
        <f t="shared" si="10"/>
        <v>80109.000595527847</v>
      </c>
      <c r="H28" s="491">
        <f t="shared" si="11"/>
        <v>80109.000595527847</v>
      </c>
      <c r="I28" s="511">
        <f t="shared" si="6"/>
        <v>0</v>
      </c>
      <c r="J28" s="511"/>
      <c r="K28" s="525"/>
      <c r="L28" s="514">
        <f t="shared" si="12"/>
        <v>0</v>
      </c>
      <c r="M28" s="525"/>
      <c r="N28" s="514">
        <f t="shared" si="7"/>
        <v>0</v>
      </c>
      <c r="O28" s="514">
        <f t="shared" si="8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564961.58018889208</v>
      </c>
      <c r="E29" s="522">
        <f>IF(+I14&lt;F28,I14,D29)</f>
        <v>18759.047619047618</v>
      </c>
      <c r="F29" s="523">
        <f t="shared" si="9"/>
        <v>546202.53256984451</v>
      </c>
      <c r="G29" s="524">
        <f t="shared" si="10"/>
        <v>78105.197139184427</v>
      </c>
      <c r="H29" s="491">
        <f t="shared" si="11"/>
        <v>78105.197139184427</v>
      </c>
      <c r="I29" s="511">
        <f t="shared" si="6"/>
        <v>0</v>
      </c>
      <c r="J29" s="511"/>
      <c r="K29" s="525"/>
      <c r="L29" s="514">
        <f t="shared" si="12"/>
        <v>0</v>
      </c>
      <c r="M29" s="525"/>
      <c r="N29" s="514">
        <f t="shared" si="7"/>
        <v>0</v>
      </c>
      <c r="O29" s="514">
        <f t="shared" si="8"/>
        <v>0</v>
      </c>
      <c r="P29" s="272"/>
    </row>
    <row r="30" spans="2:16" ht="12.5">
      <c r="B30" s="195" t="str">
        <f t="shared" si="5"/>
        <v>IU</v>
      </c>
      <c r="C30" s="507">
        <f>IF(D11="","-",+C29+1)</f>
        <v>2025</v>
      </c>
      <c r="D30" s="523">
        <f>IF(F29+SUM(E$17:E29)=D$10,F29,D$10-SUM(E$17:E29))</f>
        <v>546202.53256984393</v>
      </c>
      <c r="E30" s="522">
        <f>IF(+I14&lt;F29,I14,D30)</f>
        <v>18759.047619047618</v>
      </c>
      <c r="F30" s="523">
        <f t="shared" si="9"/>
        <v>527443.48495079635</v>
      </c>
      <c r="G30" s="524">
        <f t="shared" si="10"/>
        <v>76101.39368284095</v>
      </c>
      <c r="H30" s="491">
        <f t="shared" si="11"/>
        <v>76101.39368284095</v>
      </c>
      <c r="I30" s="511">
        <f t="shared" si="6"/>
        <v>0</v>
      </c>
      <c r="J30" s="511"/>
      <c r="K30" s="525"/>
      <c r="L30" s="514">
        <f t="shared" si="12"/>
        <v>0</v>
      </c>
      <c r="M30" s="525"/>
      <c r="N30" s="514">
        <f t="shared" si="7"/>
        <v>0</v>
      </c>
      <c r="O30" s="514">
        <f t="shared" si="8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527443.48495079635</v>
      </c>
      <c r="E31" s="522">
        <f>IF(+I14&lt;F30,I14,D31)</f>
        <v>18759.047619047618</v>
      </c>
      <c r="F31" s="523">
        <f t="shared" si="9"/>
        <v>508684.43733174872</v>
      </c>
      <c r="G31" s="524">
        <f t="shared" si="10"/>
        <v>74097.59022649753</v>
      </c>
      <c r="H31" s="491">
        <f t="shared" si="11"/>
        <v>74097.59022649753</v>
      </c>
      <c r="I31" s="511">
        <f t="shared" si="6"/>
        <v>0</v>
      </c>
      <c r="J31" s="511"/>
      <c r="K31" s="525"/>
      <c r="L31" s="514">
        <f t="shared" si="12"/>
        <v>0</v>
      </c>
      <c r="M31" s="525"/>
      <c r="N31" s="514">
        <f t="shared" si="7"/>
        <v>0</v>
      </c>
      <c r="O31" s="514">
        <f t="shared" si="8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508684.43733174872</v>
      </c>
      <c r="E32" s="522">
        <f>IF(+I14&lt;F31,I14,D32)</f>
        <v>18759.047619047618</v>
      </c>
      <c r="F32" s="523">
        <f t="shared" si="9"/>
        <v>489925.38971270109</v>
      </c>
      <c r="G32" s="524">
        <f t="shared" si="10"/>
        <v>72093.786770154082</v>
      </c>
      <c r="H32" s="491">
        <f t="shared" si="11"/>
        <v>72093.786770154082</v>
      </c>
      <c r="I32" s="511">
        <f t="shared" si="6"/>
        <v>0</v>
      </c>
      <c r="J32" s="511"/>
      <c r="K32" s="525"/>
      <c r="L32" s="514">
        <f t="shared" si="12"/>
        <v>0</v>
      </c>
      <c r="M32" s="525"/>
      <c r="N32" s="514">
        <f t="shared" si="7"/>
        <v>0</v>
      </c>
      <c r="O32" s="514">
        <f t="shared" si="8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489925.38971270109</v>
      </c>
      <c r="E33" s="522">
        <f>IF(+I14&lt;F32,I14,D33)</f>
        <v>18759.047619047618</v>
      </c>
      <c r="F33" s="523">
        <f t="shared" si="9"/>
        <v>471166.34209365345</v>
      </c>
      <c r="G33" s="524">
        <f t="shared" si="10"/>
        <v>70089.983313810662</v>
      </c>
      <c r="H33" s="491">
        <f t="shared" si="11"/>
        <v>70089.983313810662</v>
      </c>
      <c r="I33" s="511">
        <f t="shared" si="6"/>
        <v>0</v>
      </c>
      <c r="J33" s="511"/>
      <c r="K33" s="525"/>
      <c r="L33" s="514">
        <f t="shared" si="12"/>
        <v>0</v>
      </c>
      <c r="M33" s="525"/>
      <c r="N33" s="514">
        <f t="shared" si="7"/>
        <v>0</v>
      </c>
      <c r="O33" s="514">
        <f t="shared" si="8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471166.34209365345</v>
      </c>
      <c r="E34" s="522">
        <f>IF(+I14&lt;F33,I14,D34)</f>
        <v>18759.047619047618</v>
      </c>
      <c r="F34" s="523">
        <f t="shared" ref="F34:F72" si="13">+D34-E34</f>
        <v>452407.29447460582</v>
      </c>
      <c r="G34" s="524">
        <f t="shared" si="10"/>
        <v>68086.179857467243</v>
      </c>
      <c r="H34" s="491">
        <f t="shared" si="11"/>
        <v>68086.179857467243</v>
      </c>
      <c r="I34" s="511">
        <f t="shared" ref="I34:I72" si="14">H34-G34</f>
        <v>0</v>
      </c>
      <c r="J34" s="511"/>
      <c r="K34" s="525"/>
      <c r="L34" s="514">
        <f t="shared" si="12"/>
        <v>0</v>
      </c>
      <c r="M34" s="525"/>
      <c r="N34" s="514">
        <f t="shared" si="7"/>
        <v>0</v>
      </c>
      <c r="O34" s="514">
        <f t="shared" si="8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452407.29447460582</v>
      </c>
      <c r="E35" s="522">
        <f>IF(+I14&lt;F34,I14,D35)</f>
        <v>18759.047619047618</v>
      </c>
      <c r="F35" s="523">
        <f t="shared" si="13"/>
        <v>433648.24685555819</v>
      </c>
      <c r="G35" s="524">
        <f t="shared" si="10"/>
        <v>66082.376401123809</v>
      </c>
      <c r="H35" s="491">
        <f t="shared" si="11"/>
        <v>66082.376401123809</v>
      </c>
      <c r="I35" s="511">
        <f t="shared" si="14"/>
        <v>0</v>
      </c>
      <c r="J35" s="511"/>
      <c r="K35" s="525"/>
      <c r="L35" s="514">
        <f t="shared" si="12"/>
        <v>0</v>
      </c>
      <c r="M35" s="525"/>
      <c r="N35" s="514">
        <f t="shared" si="7"/>
        <v>0</v>
      </c>
      <c r="O35" s="514">
        <f t="shared" si="8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433648.24685555819</v>
      </c>
      <c r="E36" s="522">
        <f>IF(+I14&lt;F35,I14,D36)</f>
        <v>18759.047619047618</v>
      </c>
      <c r="F36" s="523">
        <f t="shared" si="13"/>
        <v>414889.19923651055</v>
      </c>
      <c r="G36" s="524">
        <f t="shared" si="10"/>
        <v>64078.572944780375</v>
      </c>
      <c r="H36" s="491">
        <f t="shared" si="11"/>
        <v>64078.572944780375</v>
      </c>
      <c r="I36" s="511">
        <f t="shared" si="14"/>
        <v>0</v>
      </c>
      <c r="J36" s="511"/>
      <c r="K36" s="525"/>
      <c r="L36" s="514">
        <f t="shared" si="12"/>
        <v>0</v>
      </c>
      <c r="M36" s="525"/>
      <c r="N36" s="514">
        <f t="shared" si="7"/>
        <v>0</v>
      </c>
      <c r="O36" s="514">
        <f t="shared" si="8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414889.19923651055</v>
      </c>
      <c r="E37" s="522">
        <f>IF(+I14&lt;F36,I14,D37)</f>
        <v>18759.047619047618</v>
      </c>
      <c r="F37" s="523">
        <f t="shared" si="13"/>
        <v>396130.15161746292</v>
      </c>
      <c r="G37" s="524">
        <f t="shared" si="10"/>
        <v>62074.769488436956</v>
      </c>
      <c r="H37" s="491">
        <f t="shared" si="11"/>
        <v>62074.769488436956</v>
      </c>
      <c r="I37" s="511">
        <f t="shared" si="14"/>
        <v>0</v>
      </c>
      <c r="J37" s="511"/>
      <c r="K37" s="525"/>
      <c r="L37" s="514">
        <f t="shared" si="12"/>
        <v>0</v>
      </c>
      <c r="M37" s="525"/>
      <c r="N37" s="514">
        <f t="shared" si="7"/>
        <v>0</v>
      </c>
      <c r="O37" s="514">
        <f t="shared" si="8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396130.15161746292</v>
      </c>
      <c r="E38" s="522">
        <f>IF(+I14&lt;F37,I14,D38)</f>
        <v>18759.047619047618</v>
      </c>
      <c r="F38" s="523">
        <f t="shared" si="13"/>
        <v>377371.10399841529</v>
      </c>
      <c r="G38" s="524">
        <f t="shared" si="10"/>
        <v>60070.966032093522</v>
      </c>
      <c r="H38" s="491">
        <f t="shared" si="11"/>
        <v>60070.966032093522</v>
      </c>
      <c r="I38" s="511">
        <f t="shared" si="14"/>
        <v>0</v>
      </c>
      <c r="J38" s="511"/>
      <c r="K38" s="525"/>
      <c r="L38" s="514">
        <f t="shared" si="12"/>
        <v>0</v>
      </c>
      <c r="M38" s="525"/>
      <c r="N38" s="514">
        <f t="shared" si="7"/>
        <v>0</v>
      </c>
      <c r="O38" s="514">
        <f t="shared" si="8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377371.10399841529</v>
      </c>
      <c r="E39" s="522">
        <f>IF(+I14&lt;F38,I14,D39)</f>
        <v>18759.047619047618</v>
      </c>
      <c r="F39" s="523">
        <f t="shared" si="13"/>
        <v>358612.05637936766</v>
      </c>
      <c r="G39" s="524">
        <f t="shared" si="10"/>
        <v>58067.162575750102</v>
      </c>
      <c r="H39" s="491">
        <f t="shared" si="11"/>
        <v>58067.162575750102</v>
      </c>
      <c r="I39" s="511">
        <f t="shared" si="14"/>
        <v>0</v>
      </c>
      <c r="J39" s="511"/>
      <c r="K39" s="525"/>
      <c r="L39" s="514">
        <f t="shared" si="12"/>
        <v>0</v>
      </c>
      <c r="M39" s="525"/>
      <c r="N39" s="514">
        <f t="shared" si="7"/>
        <v>0</v>
      </c>
      <c r="O39" s="514">
        <f t="shared" si="8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358612.05637936766</v>
      </c>
      <c r="E40" s="522">
        <f>IF(+I14&lt;F39,I14,D40)</f>
        <v>18759.047619047618</v>
      </c>
      <c r="F40" s="523">
        <f t="shared" si="13"/>
        <v>339853.00876032002</v>
      </c>
      <c r="G40" s="524">
        <f t="shared" si="10"/>
        <v>56063.359119406668</v>
      </c>
      <c r="H40" s="491">
        <f t="shared" si="11"/>
        <v>56063.359119406668</v>
      </c>
      <c r="I40" s="511">
        <f t="shared" si="14"/>
        <v>0</v>
      </c>
      <c r="J40" s="511"/>
      <c r="K40" s="525"/>
      <c r="L40" s="514">
        <f t="shared" si="12"/>
        <v>0</v>
      </c>
      <c r="M40" s="525"/>
      <c r="N40" s="514">
        <f t="shared" si="7"/>
        <v>0</v>
      </c>
      <c r="O40" s="514">
        <f t="shared" si="8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339853.00876032002</v>
      </c>
      <c r="E41" s="522">
        <f>IF(+I14&lt;F40,I14,D41)</f>
        <v>18759.047619047618</v>
      </c>
      <c r="F41" s="523">
        <f t="shared" si="13"/>
        <v>321093.96114127239</v>
      </c>
      <c r="G41" s="524">
        <f t="shared" si="10"/>
        <v>54059.555663063249</v>
      </c>
      <c r="H41" s="491">
        <f t="shared" si="11"/>
        <v>54059.555663063249</v>
      </c>
      <c r="I41" s="511">
        <f t="shared" si="14"/>
        <v>0</v>
      </c>
      <c r="J41" s="511"/>
      <c r="K41" s="525"/>
      <c r="L41" s="514">
        <f t="shared" si="12"/>
        <v>0</v>
      </c>
      <c r="M41" s="525"/>
      <c r="N41" s="514">
        <f t="shared" si="7"/>
        <v>0</v>
      </c>
      <c r="O41" s="514">
        <f t="shared" si="8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321093.96114127239</v>
      </c>
      <c r="E42" s="522">
        <f>IF(+I14&lt;F41,I14,D42)</f>
        <v>18759.047619047618</v>
      </c>
      <c r="F42" s="523">
        <f t="shared" si="13"/>
        <v>302334.91352222476</v>
      </c>
      <c r="G42" s="524">
        <f t="shared" si="10"/>
        <v>52055.752206719815</v>
      </c>
      <c r="H42" s="491">
        <f t="shared" si="11"/>
        <v>52055.752206719815</v>
      </c>
      <c r="I42" s="511">
        <f t="shared" si="14"/>
        <v>0</v>
      </c>
      <c r="J42" s="511"/>
      <c r="K42" s="525"/>
      <c r="L42" s="514">
        <f t="shared" si="12"/>
        <v>0</v>
      </c>
      <c r="M42" s="525"/>
      <c r="N42" s="514">
        <f t="shared" si="7"/>
        <v>0</v>
      </c>
      <c r="O42" s="514">
        <f t="shared" si="8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302334.91352222476</v>
      </c>
      <c r="E43" s="522">
        <f>IF(+I14&lt;F42,I14,D43)</f>
        <v>18759.047619047618</v>
      </c>
      <c r="F43" s="523">
        <f t="shared" si="13"/>
        <v>283575.86590317712</v>
      </c>
      <c r="G43" s="524">
        <f t="shared" si="10"/>
        <v>50051.948750376396</v>
      </c>
      <c r="H43" s="491">
        <f t="shared" si="11"/>
        <v>50051.948750376396</v>
      </c>
      <c r="I43" s="511">
        <f t="shared" si="14"/>
        <v>0</v>
      </c>
      <c r="J43" s="511"/>
      <c r="K43" s="525"/>
      <c r="L43" s="514">
        <f t="shared" si="12"/>
        <v>0</v>
      </c>
      <c r="M43" s="525"/>
      <c r="N43" s="514">
        <f t="shared" si="7"/>
        <v>0</v>
      </c>
      <c r="O43" s="514">
        <f t="shared" si="8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283575.86590317712</v>
      </c>
      <c r="E44" s="522">
        <f>IF(+I14&lt;F43,I14,D44)</f>
        <v>18759.047619047618</v>
      </c>
      <c r="F44" s="523">
        <f t="shared" si="13"/>
        <v>264816.81828412949</v>
      </c>
      <c r="G44" s="524">
        <f t="shared" si="10"/>
        <v>48048.145294032962</v>
      </c>
      <c r="H44" s="491">
        <f t="shared" si="11"/>
        <v>48048.145294032962</v>
      </c>
      <c r="I44" s="511">
        <f t="shared" si="14"/>
        <v>0</v>
      </c>
      <c r="J44" s="511"/>
      <c r="K44" s="525"/>
      <c r="L44" s="514">
        <f t="shared" si="12"/>
        <v>0</v>
      </c>
      <c r="M44" s="525"/>
      <c r="N44" s="514">
        <f t="shared" si="7"/>
        <v>0</v>
      </c>
      <c r="O44" s="514">
        <f t="shared" si="8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264816.81828412949</v>
      </c>
      <c r="E45" s="522">
        <f>IF(+I14&lt;F44,I14,D45)</f>
        <v>18759.047619047618</v>
      </c>
      <c r="F45" s="523">
        <f t="shared" si="13"/>
        <v>246057.77066508186</v>
      </c>
      <c r="G45" s="524">
        <f t="shared" si="10"/>
        <v>46044.341837689528</v>
      </c>
      <c r="H45" s="491">
        <f t="shared" si="11"/>
        <v>46044.341837689528</v>
      </c>
      <c r="I45" s="511">
        <f t="shared" si="14"/>
        <v>0</v>
      </c>
      <c r="J45" s="511"/>
      <c r="K45" s="525"/>
      <c r="L45" s="514">
        <f t="shared" si="12"/>
        <v>0</v>
      </c>
      <c r="M45" s="525"/>
      <c r="N45" s="514">
        <f t="shared" si="7"/>
        <v>0</v>
      </c>
      <c r="O45" s="514">
        <f t="shared" si="8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246057.77066508186</v>
      </c>
      <c r="E46" s="522">
        <f>IF(+I14&lt;F45,I14,D46)</f>
        <v>18759.047619047618</v>
      </c>
      <c r="F46" s="523">
        <f t="shared" si="13"/>
        <v>227298.72304603423</v>
      </c>
      <c r="G46" s="524">
        <f t="shared" si="10"/>
        <v>44040.538381346109</v>
      </c>
      <c r="H46" s="491">
        <f t="shared" si="11"/>
        <v>44040.538381346109</v>
      </c>
      <c r="I46" s="511">
        <f t="shared" si="14"/>
        <v>0</v>
      </c>
      <c r="J46" s="511"/>
      <c r="K46" s="525"/>
      <c r="L46" s="514">
        <f t="shared" si="12"/>
        <v>0</v>
      </c>
      <c r="M46" s="525"/>
      <c r="N46" s="514">
        <f t="shared" si="7"/>
        <v>0</v>
      </c>
      <c r="O46" s="514">
        <f t="shared" si="8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227298.72304603423</v>
      </c>
      <c r="E47" s="522">
        <f>IF(+I14&lt;F46,I14,D47)</f>
        <v>18759.047619047618</v>
      </c>
      <c r="F47" s="523">
        <f t="shared" si="13"/>
        <v>208539.67542698659</v>
      </c>
      <c r="G47" s="524">
        <f t="shared" si="10"/>
        <v>42036.734925002675</v>
      </c>
      <c r="H47" s="491">
        <f t="shared" si="11"/>
        <v>42036.734925002675</v>
      </c>
      <c r="I47" s="511">
        <f t="shared" si="14"/>
        <v>0</v>
      </c>
      <c r="J47" s="511"/>
      <c r="K47" s="525"/>
      <c r="L47" s="514">
        <f t="shared" si="12"/>
        <v>0</v>
      </c>
      <c r="M47" s="525"/>
      <c r="N47" s="514">
        <f t="shared" si="7"/>
        <v>0</v>
      </c>
      <c r="O47" s="514">
        <f t="shared" si="8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208539.67542698659</v>
      </c>
      <c r="E48" s="522">
        <f>IF(+I14&lt;F47,I14,D48)</f>
        <v>18759.047619047618</v>
      </c>
      <c r="F48" s="523">
        <f t="shared" si="13"/>
        <v>189780.62780793896</v>
      </c>
      <c r="G48" s="524">
        <f t="shared" si="10"/>
        <v>40032.931468659255</v>
      </c>
      <c r="H48" s="491">
        <f t="shared" si="11"/>
        <v>40032.931468659255</v>
      </c>
      <c r="I48" s="511">
        <f t="shared" si="14"/>
        <v>0</v>
      </c>
      <c r="J48" s="511"/>
      <c r="K48" s="525"/>
      <c r="L48" s="514">
        <f t="shared" si="12"/>
        <v>0</v>
      </c>
      <c r="M48" s="525"/>
      <c r="N48" s="514">
        <f t="shared" si="7"/>
        <v>0</v>
      </c>
      <c r="O48" s="514">
        <f t="shared" si="8"/>
        <v>0</v>
      </c>
      <c r="P48" s="272"/>
    </row>
    <row r="49" spans="2:16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189780.62780793896</v>
      </c>
      <c r="E49" s="522">
        <f>IF(+I14&lt;F48,I14,D49)</f>
        <v>18759.047619047618</v>
      </c>
      <c r="F49" s="523">
        <f t="shared" si="13"/>
        <v>171021.58018889133</v>
      </c>
      <c r="G49" s="524">
        <f t="shared" si="10"/>
        <v>38029.128012315821</v>
      </c>
      <c r="H49" s="491">
        <f t="shared" si="11"/>
        <v>38029.128012315821</v>
      </c>
      <c r="I49" s="511">
        <f t="shared" si="14"/>
        <v>0</v>
      </c>
      <c r="J49" s="511"/>
      <c r="K49" s="525"/>
      <c r="L49" s="514">
        <f t="shared" si="12"/>
        <v>0</v>
      </c>
      <c r="M49" s="525"/>
      <c r="N49" s="514">
        <f t="shared" si="7"/>
        <v>0</v>
      </c>
      <c r="O49" s="514">
        <f t="shared" si="8"/>
        <v>0</v>
      </c>
      <c r="P49" s="272"/>
    </row>
    <row r="50" spans="2:16" ht="12.5">
      <c r="B50" s="195" t="str">
        <f t="shared" si="5"/>
        <v/>
      </c>
      <c r="C50" s="507">
        <f>IF(D11="","-",+C49+1)</f>
        <v>2045</v>
      </c>
      <c r="D50" s="523">
        <f>IF(F49+SUM(E$17:E49)=D$10,F49,D$10-SUM(E$17:E49))</f>
        <v>171021.58018889133</v>
      </c>
      <c r="E50" s="522">
        <f>IF(+I14&lt;F49,I14,D50)</f>
        <v>18759.047619047618</v>
      </c>
      <c r="F50" s="523">
        <f t="shared" si="13"/>
        <v>152262.53256984369</v>
      </c>
      <c r="G50" s="524">
        <f t="shared" si="10"/>
        <v>36025.324555972395</v>
      </c>
      <c r="H50" s="491">
        <f t="shared" si="11"/>
        <v>36025.324555972395</v>
      </c>
      <c r="I50" s="511">
        <f t="shared" si="14"/>
        <v>0</v>
      </c>
      <c r="J50" s="511"/>
      <c r="K50" s="525"/>
      <c r="L50" s="514">
        <f t="shared" si="12"/>
        <v>0</v>
      </c>
      <c r="M50" s="525"/>
      <c r="N50" s="514">
        <f t="shared" si="7"/>
        <v>0</v>
      </c>
      <c r="O50" s="514">
        <f t="shared" si="8"/>
        <v>0</v>
      </c>
      <c r="P50" s="272"/>
    </row>
    <row r="51" spans="2:16" ht="12.5">
      <c r="B51" s="195" t="str">
        <f t="shared" si="5"/>
        <v/>
      </c>
      <c r="C51" s="507">
        <f>IF(D11="","-",+C50+1)</f>
        <v>2046</v>
      </c>
      <c r="D51" s="523">
        <f>IF(F50+SUM(E$17:E50)=D$10,F50,D$10-SUM(E$17:E50))</f>
        <v>152262.53256984369</v>
      </c>
      <c r="E51" s="522">
        <f>IF(+I14&lt;F50,I14,D51)</f>
        <v>18759.047619047618</v>
      </c>
      <c r="F51" s="523">
        <f t="shared" si="13"/>
        <v>133503.48495079606</v>
      </c>
      <c r="G51" s="524">
        <f t="shared" si="10"/>
        <v>34021.521099628968</v>
      </c>
      <c r="H51" s="491">
        <f t="shared" si="11"/>
        <v>34021.521099628968</v>
      </c>
      <c r="I51" s="511">
        <f t="shared" si="14"/>
        <v>0</v>
      </c>
      <c r="J51" s="511"/>
      <c r="K51" s="525"/>
      <c r="L51" s="514">
        <f t="shared" si="12"/>
        <v>0</v>
      </c>
      <c r="M51" s="525"/>
      <c r="N51" s="514">
        <f t="shared" si="7"/>
        <v>0</v>
      </c>
      <c r="O51" s="514">
        <f t="shared" si="8"/>
        <v>0</v>
      </c>
      <c r="P51" s="272"/>
    </row>
    <row r="52" spans="2:16" ht="12.5">
      <c r="B52" s="195" t="str">
        <f t="shared" si="5"/>
        <v/>
      </c>
      <c r="C52" s="507">
        <f>IF(D11="","-",+C51+1)</f>
        <v>2047</v>
      </c>
      <c r="D52" s="523">
        <f>IF(F51+SUM(E$17:E51)=D$10,F51,D$10-SUM(E$17:E51))</f>
        <v>133503.48495079606</v>
      </c>
      <c r="E52" s="522">
        <f>IF(+I14&lt;F51,I14,D52)</f>
        <v>18759.047619047618</v>
      </c>
      <c r="F52" s="523">
        <f t="shared" si="13"/>
        <v>114744.43733174844</v>
      </c>
      <c r="G52" s="524">
        <f t="shared" si="10"/>
        <v>32017.717643285541</v>
      </c>
      <c r="H52" s="491">
        <f t="shared" si="11"/>
        <v>32017.717643285541</v>
      </c>
      <c r="I52" s="511">
        <f t="shared" si="14"/>
        <v>0</v>
      </c>
      <c r="J52" s="511"/>
      <c r="K52" s="525"/>
      <c r="L52" s="514">
        <f t="shared" si="12"/>
        <v>0</v>
      </c>
      <c r="M52" s="525"/>
      <c r="N52" s="514">
        <f t="shared" si="7"/>
        <v>0</v>
      </c>
      <c r="O52" s="514">
        <f t="shared" si="8"/>
        <v>0</v>
      </c>
      <c r="P52" s="272"/>
    </row>
    <row r="53" spans="2:16" ht="12.5">
      <c r="B53" s="195" t="str">
        <f t="shared" si="5"/>
        <v/>
      </c>
      <c r="C53" s="507">
        <f>IF(D11="","-",+C52+1)</f>
        <v>2048</v>
      </c>
      <c r="D53" s="523">
        <f>IF(F52+SUM(E$17:E52)=D$10,F52,D$10-SUM(E$17:E52))</f>
        <v>114744.43733174844</v>
      </c>
      <c r="E53" s="522">
        <f>IF(+I14&lt;F52,I14,D53)</f>
        <v>18759.047619047618</v>
      </c>
      <c r="F53" s="523">
        <f t="shared" si="13"/>
        <v>95985.389712700824</v>
      </c>
      <c r="G53" s="524">
        <f t="shared" si="10"/>
        <v>30013.914186942115</v>
      </c>
      <c r="H53" s="491">
        <f t="shared" si="11"/>
        <v>30013.914186942115</v>
      </c>
      <c r="I53" s="511">
        <f t="shared" si="14"/>
        <v>0</v>
      </c>
      <c r="J53" s="511"/>
      <c r="K53" s="525"/>
      <c r="L53" s="514">
        <f t="shared" si="12"/>
        <v>0</v>
      </c>
      <c r="M53" s="525"/>
      <c r="N53" s="514">
        <f t="shared" si="7"/>
        <v>0</v>
      </c>
      <c r="O53" s="514">
        <f t="shared" si="8"/>
        <v>0</v>
      </c>
      <c r="P53" s="272"/>
    </row>
    <row r="54" spans="2:16" ht="12.5">
      <c r="B54" s="195" t="str">
        <f t="shared" si="5"/>
        <v/>
      </c>
      <c r="C54" s="507">
        <f>IF(D11="","-",+C53+1)</f>
        <v>2049</v>
      </c>
      <c r="D54" s="523">
        <f>IF(F53+SUM(E$17:E53)=D$10,F53,D$10-SUM(E$17:E53))</f>
        <v>95985.389712700824</v>
      </c>
      <c r="E54" s="522">
        <f>IF(+I14&lt;F53,I14,D54)</f>
        <v>18759.047619047618</v>
      </c>
      <c r="F54" s="523">
        <f t="shared" si="13"/>
        <v>77226.342093653206</v>
      </c>
      <c r="G54" s="524">
        <f t="shared" ref="G54:G72" si="15">+I$12*((D54+F54)/2)+E54</f>
        <v>28010.110730598688</v>
      </c>
      <c r="H54" s="491">
        <f t="shared" ref="H54:H72" si="16">+I$13*((D54+F54)/2)+E54</f>
        <v>28010.110730598688</v>
      </c>
      <c r="I54" s="511">
        <f t="shared" si="14"/>
        <v>0</v>
      </c>
      <c r="J54" s="511"/>
      <c r="K54" s="525"/>
      <c r="L54" s="514">
        <f t="shared" si="12"/>
        <v>0</v>
      </c>
      <c r="M54" s="525"/>
      <c r="N54" s="514">
        <f t="shared" si="7"/>
        <v>0</v>
      </c>
      <c r="O54" s="514">
        <f t="shared" si="8"/>
        <v>0</v>
      </c>
      <c r="P54" s="272"/>
    </row>
    <row r="55" spans="2:16" ht="12.5">
      <c r="B55" s="195" t="str">
        <f t="shared" si="5"/>
        <v/>
      </c>
      <c r="C55" s="507">
        <f>IF(D11="","-",+C54+1)</f>
        <v>2050</v>
      </c>
      <c r="D55" s="523">
        <f>IF(F54+SUM(E$17:E54)=D$10,F54,D$10-SUM(E$17:E54))</f>
        <v>77226.342093653206</v>
      </c>
      <c r="E55" s="522">
        <f>IF(+I14&lt;F54,I14,D55)</f>
        <v>18759.047619047618</v>
      </c>
      <c r="F55" s="523">
        <f t="shared" si="13"/>
        <v>58467.294474605587</v>
      </c>
      <c r="G55" s="524">
        <f t="shared" si="15"/>
        <v>26006.307274255265</v>
      </c>
      <c r="H55" s="491">
        <f t="shared" si="16"/>
        <v>26006.307274255265</v>
      </c>
      <c r="I55" s="511">
        <f t="shared" si="14"/>
        <v>0</v>
      </c>
      <c r="J55" s="511"/>
      <c r="K55" s="525"/>
      <c r="L55" s="514">
        <f t="shared" si="12"/>
        <v>0</v>
      </c>
      <c r="M55" s="525"/>
      <c r="N55" s="514">
        <f t="shared" si="7"/>
        <v>0</v>
      </c>
      <c r="O55" s="514">
        <f t="shared" si="8"/>
        <v>0</v>
      </c>
      <c r="P55" s="272"/>
    </row>
    <row r="56" spans="2:16" ht="12.5">
      <c r="B56" s="195" t="str">
        <f t="shared" si="5"/>
        <v/>
      </c>
      <c r="C56" s="507">
        <f>IF(D11="","-",+C55+1)</f>
        <v>2051</v>
      </c>
      <c r="D56" s="523">
        <f>IF(F55+SUM(E$17:E55)=D$10,F55,D$10-SUM(E$17:E55))</f>
        <v>58467.294474605587</v>
      </c>
      <c r="E56" s="522">
        <f>IF(+I14&lt;F55,I14,D56)</f>
        <v>18759.047619047618</v>
      </c>
      <c r="F56" s="523">
        <f t="shared" si="13"/>
        <v>39708.246855557969</v>
      </c>
      <c r="G56" s="524">
        <f t="shared" si="15"/>
        <v>24002.503817911838</v>
      </c>
      <c r="H56" s="491">
        <f t="shared" si="16"/>
        <v>24002.503817911838</v>
      </c>
      <c r="I56" s="511">
        <f t="shared" si="14"/>
        <v>0</v>
      </c>
      <c r="J56" s="511"/>
      <c r="K56" s="525"/>
      <c r="L56" s="514">
        <f t="shared" si="12"/>
        <v>0</v>
      </c>
      <c r="M56" s="525"/>
      <c r="N56" s="514">
        <f t="shared" si="7"/>
        <v>0</v>
      </c>
      <c r="O56" s="514">
        <f t="shared" si="8"/>
        <v>0</v>
      </c>
      <c r="P56" s="272"/>
    </row>
    <row r="57" spans="2:16" ht="12.5">
      <c r="B57" s="195" t="str">
        <f t="shared" si="5"/>
        <v/>
      </c>
      <c r="C57" s="507">
        <f>IF(D11="","-",+C56+1)</f>
        <v>2052</v>
      </c>
      <c r="D57" s="523">
        <f>IF(F56+SUM(E$17:E56)=D$10,F56,D$10-SUM(E$17:E56))</f>
        <v>39708.246855557969</v>
      </c>
      <c r="E57" s="522">
        <f>IF(+I14&lt;F56,I14,D57)</f>
        <v>18759.047619047618</v>
      </c>
      <c r="F57" s="523">
        <f t="shared" si="13"/>
        <v>20949.199236510351</v>
      </c>
      <c r="G57" s="524">
        <f t="shared" si="15"/>
        <v>21998.700361568412</v>
      </c>
      <c r="H57" s="491">
        <f t="shared" si="16"/>
        <v>21998.700361568412</v>
      </c>
      <c r="I57" s="511">
        <f t="shared" si="14"/>
        <v>0</v>
      </c>
      <c r="J57" s="511"/>
      <c r="K57" s="525"/>
      <c r="L57" s="514">
        <f t="shared" si="12"/>
        <v>0</v>
      </c>
      <c r="M57" s="525"/>
      <c r="N57" s="514">
        <f t="shared" si="7"/>
        <v>0</v>
      </c>
      <c r="O57" s="514">
        <f t="shared" si="8"/>
        <v>0</v>
      </c>
      <c r="P57" s="272"/>
    </row>
    <row r="58" spans="2:16" ht="12.5">
      <c r="B58" s="195" t="str">
        <f t="shared" si="5"/>
        <v>IU</v>
      </c>
      <c r="C58" s="507">
        <f>IF(D11="","-",+C57+1)</f>
        <v>2053</v>
      </c>
      <c r="D58" s="523">
        <f>IF(F57+SUM(E$17:E57)=D$10,F57,D$10-SUM(E$17:E57))</f>
        <v>20949.199236510904</v>
      </c>
      <c r="E58" s="522">
        <f>IF(+I14&lt;F57,I14,D58)</f>
        <v>18759.047619047618</v>
      </c>
      <c r="F58" s="523">
        <f t="shared" si="13"/>
        <v>2190.1516174632852</v>
      </c>
      <c r="G58" s="524">
        <f t="shared" si="15"/>
        <v>19994.896905225043</v>
      </c>
      <c r="H58" s="491">
        <f t="shared" si="16"/>
        <v>19994.896905225043</v>
      </c>
      <c r="I58" s="511">
        <f t="shared" si="14"/>
        <v>0</v>
      </c>
      <c r="J58" s="511"/>
      <c r="K58" s="525"/>
      <c r="L58" s="514">
        <f t="shared" si="12"/>
        <v>0</v>
      </c>
      <c r="M58" s="525"/>
      <c r="N58" s="514">
        <f t="shared" si="7"/>
        <v>0</v>
      </c>
      <c r="O58" s="514">
        <f t="shared" si="8"/>
        <v>0</v>
      </c>
      <c r="P58" s="272"/>
    </row>
    <row r="59" spans="2:16" ht="12.5">
      <c r="B59" s="195" t="str">
        <f t="shared" si="5"/>
        <v/>
      </c>
      <c r="C59" s="507">
        <f>IF(D11="","-",+C58+1)</f>
        <v>2054</v>
      </c>
      <c r="D59" s="523">
        <f>IF(F58+SUM(E$17:E58)=D$10,F58,D$10-SUM(E$17:E58))</f>
        <v>2190.1516174632852</v>
      </c>
      <c r="E59" s="522">
        <f>IF(+I14&lt;F58,I14,D59)</f>
        <v>2190.1516174632852</v>
      </c>
      <c r="F59" s="523">
        <f t="shared" si="13"/>
        <v>0</v>
      </c>
      <c r="G59" s="524">
        <f t="shared" si="15"/>
        <v>2307.1253964661419</v>
      </c>
      <c r="H59" s="491">
        <f t="shared" si="16"/>
        <v>2307.1253964661419</v>
      </c>
      <c r="I59" s="511">
        <f t="shared" si="14"/>
        <v>0</v>
      </c>
      <c r="J59" s="511"/>
      <c r="K59" s="525"/>
      <c r="L59" s="514">
        <f t="shared" si="12"/>
        <v>0</v>
      </c>
      <c r="M59" s="525"/>
      <c r="N59" s="514">
        <f t="shared" si="7"/>
        <v>0</v>
      </c>
      <c r="O59" s="514">
        <f t="shared" si="8"/>
        <v>0</v>
      </c>
      <c r="P59" s="272"/>
    </row>
    <row r="60" spans="2:16" ht="12.5">
      <c r="B60" s="195" t="str">
        <f t="shared" si="5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3"/>
        <v>0</v>
      </c>
      <c r="G60" s="524">
        <f t="shared" si="15"/>
        <v>0</v>
      </c>
      <c r="H60" s="491">
        <f t="shared" si="16"/>
        <v>0</v>
      </c>
      <c r="I60" s="511">
        <f t="shared" si="14"/>
        <v>0</v>
      </c>
      <c r="J60" s="511"/>
      <c r="K60" s="525"/>
      <c r="L60" s="514">
        <f t="shared" si="12"/>
        <v>0</v>
      </c>
      <c r="M60" s="525"/>
      <c r="N60" s="514">
        <f t="shared" si="7"/>
        <v>0</v>
      </c>
      <c r="O60" s="514">
        <f t="shared" si="8"/>
        <v>0</v>
      </c>
      <c r="P60" s="272"/>
    </row>
    <row r="61" spans="2:16" ht="12.5">
      <c r="B61" s="195" t="str">
        <f t="shared" si="5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3"/>
        <v>0</v>
      </c>
      <c r="G61" s="526">
        <f t="shared" si="15"/>
        <v>0</v>
      </c>
      <c r="H61" s="491">
        <f t="shared" si="16"/>
        <v>0</v>
      </c>
      <c r="I61" s="511">
        <f t="shared" si="14"/>
        <v>0</v>
      </c>
      <c r="J61" s="511"/>
      <c r="K61" s="525"/>
      <c r="L61" s="514">
        <f t="shared" si="12"/>
        <v>0</v>
      </c>
      <c r="M61" s="525"/>
      <c r="N61" s="514">
        <f t="shared" si="7"/>
        <v>0</v>
      </c>
      <c r="O61" s="514">
        <f t="shared" si="8"/>
        <v>0</v>
      </c>
      <c r="P61" s="272"/>
    </row>
    <row r="62" spans="2:16" ht="12.5">
      <c r="B62" s="195" t="str">
        <f t="shared" si="5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3"/>
        <v>0</v>
      </c>
      <c r="G62" s="526">
        <f t="shared" si="15"/>
        <v>0</v>
      </c>
      <c r="H62" s="491">
        <f t="shared" si="16"/>
        <v>0</v>
      </c>
      <c r="I62" s="511">
        <f t="shared" si="14"/>
        <v>0</v>
      </c>
      <c r="J62" s="511"/>
      <c r="K62" s="525"/>
      <c r="L62" s="514">
        <f t="shared" si="12"/>
        <v>0</v>
      </c>
      <c r="M62" s="525"/>
      <c r="N62" s="514">
        <f t="shared" si="7"/>
        <v>0</v>
      </c>
      <c r="O62" s="514">
        <f t="shared" si="8"/>
        <v>0</v>
      </c>
      <c r="P62" s="272"/>
    </row>
    <row r="63" spans="2:16" ht="12.5">
      <c r="B63" s="195" t="str">
        <f t="shared" si="5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3"/>
        <v>0</v>
      </c>
      <c r="G63" s="526">
        <f t="shared" si="15"/>
        <v>0</v>
      </c>
      <c r="H63" s="491">
        <f t="shared" si="16"/>
        <v>0</v>
      </c>
      <c r="I63" s="511">
        <f t="shared" si="14"/>
        <v>0</v>
      </c>
      <c r="J63" s="511"/>
      <c r="K63" s="525"/>
      <c r="L63" s="514">
        <f t="shared" si="12"/>
        <v>0</v>
      </c>
      <c r="M63" s="525"/>
      <c r="N63" s="514">
        <f t="shared" si="7"/>
        <v>0</v>
      </c>
      <c r="O63" s="514">
        <f t="shared" si="8"/>
        <v>0</v>
      </c>
      <c r="P63" s="272"/>
    </row>
    <row r="64" spans="2:16" ht="12.5">
      <c r="B64" s="195" t="str">
        <f t="shared" si="5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3"/>
        <v>0</v>
      </c>
      <c r="G64" s="526">
        <f t="shared" si="15"/>
        <v>0</v>
      </c>
      <c r="H64" s="491">
        <f t="shared" si="16"/>
        <v>0</v>
      </c>
      <c r="I64" s="511">
        <f t="shared" si="14"/>
        <v>0</v>
      </c>
      <c r="J64" s="511"/>
      <c r="K64" s="525"/>
      <c r="L64" s="514">
        <f t="shared" si="12"/>
        <v>0</v>
      </c>
      <c r="M64" s="525"/>
      <c r="N64" s="514">
        <f t="shared" si="7"/>
        <v>0</v>
      </c>
      <c r="O64" s="514">
        <f t="shared" si="8"/>
        <v>0</v>
      </c>
      <c r="P64" s="272"/>
    </row>
    <row r="65" spans="2:16" ht="12.5">
      <c r="B65" s="195" t="str">
        <f t="shared" si="5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3"/>
        <v>0</v>
      </c>
      <c r="G65" s="526">
        <f t="shared" si="15"/>
        <v>0</v>
      </c>
      <c r="H65" s="491">
        <f t="shared" si="16"/>
        <v>0</v>
      </c>
      <c r="I65" s="511">
        <f t="shared" si="14"/>
        <v>0</v>
      </c>
      <c r="J65" s="511"/>
      <c r="K65" s="525"/>
      <c r="L65" s="514">
        <f t="shared" si="12"/>
        <v>0</v>
      </c>
      <c r="M65" s="525"/>
      <c r="N65" s="514">
        <f t="shared" si="7"/>
        <v>0</v>
      </c>
      <c r="O65" s="514">
        <f t="shared" si="8"/>
        <v>0</v>
      </c>
      <c r="P65" s="272"/>
    </row>
    <row r="66" spans="2:16" ht="12.5">
      <c r="B66" s="195" t="str">
        <f t="shared" si="5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3"/>
        <v>0</v>
      </c>
      <c r="G66" s="526">
        <f t="shared" si="15"/>
        <v>0</v>
      </c>
      <c r="H66" s="491">
        <f t="shared" si="16"/>
        <v>0</v>
      </c>
      <c r="I66" s="511">
        <f t="shared" si="14"/>
        <v>0</v>
      </c>
      <c r="J66" s="511"/>
      <c r="K66" s="525"/>
      <c r="L66" s="514">
        <f t="shared" si="12"/>
        <v>0</v>
      </c>
      <c r="M66" s="525"/>
      <c r="N66" s="514">
        <f t="shared" si="7"/>
        <v>0</v>
      </c>
      <c r="O66" s="514">
        <f t="shared" si="8"/>
        <v>0</v>
      </c>
      <c r="P66" s="272"/>
    </row>
    <row r="67" spans="2:16" ht="12.5">
      <c r="B67" s="195" t="str">
        <f t="shared" si="5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3"/>
        <v>0</v>
      </c>
      <c r="G67" s="526">
        <f t="shared" si="15"/>
        <v>0</v>
      </c>
      <c r="H67" s="491">
        <f t="shared" si="16"/>
        <v>0</v>
      </c>
      <c r="I67" s="511">
        <f t="shared" si="14"/>
        <v>0</v>
      </c>
      <c r="J67" s="511"/>
      <c r="K67" s="525"/>
      <c r="L67" s="514">
        <f t="shared" si="12"/>
        <v>0</v>
      </c>
      <c r="M67" s="525"/>
      <c r="N67" s="514">
        <f t="shared" si="7"/>
        <v>0</v>
      </c>
      <c r="O67" s="514">
        <f t="shared" si="8"/>
        <v>0</v>
      </c>
      <c r="P67" s="272"/>
    </row>
    <row r="68" spans="2:16" ht="12.5">
      <c r="B68" s="195" t="str">
        <f t="shared" si="5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3"/>
        <v>0</v>
      </c>
      <c r="G68" s="526">
        <f t="shared" si="15"/>
        <v>0</v>
      </c>
      <c r="H68" s="491">
        <f t="shared" si="16"/>
        <v>0</v>
      </c>
      <c r="I68" s="511">
        <f t="shared" si="14"/>
        <v>0</v>
      </c>
      <c r="J68" s="511"/>
      <c r="K68" s="525"/>
      <c r="L68" s="514">
        <f t="shared" si="12"/>
        <v>0</v>
      </c>
      <c r="M68" s="525"/>
      <c r="N68" s="514">
        <f t="shared" si="7"/>
        <v>0</v>
      </c>
      <c r="O68" s="514">
        <f t="shared" si="8"/>
        <v>0</v>
      </c>
      <c r="P68" s="272"/>
    </row>
    <row r="69" spans="2:16" ht="12.5">
      <c r="B69" s="195" t="str">
        <f t="shared" si="5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3"/>
        <v>0</v>
      </c>
      <c r="G69" s="526">
        <f t="shared" si="15"/>
        <v>0</v>
      </c>
      <c r="H69" s="491">
        <f t="shared" si="16"/>
        <v>0</v>
      </c>
      <c r="I69" s="511">
        <f t="shared" si="14"/>
        <v>0</v>
      </c>
      <c r="J69" s="511"/>
      <c r="K69" s="525"/>
      <c r="L69" s="514">
        <f t="shared" si="12"/>
        <v>0</v>
      </c>
      <c r="M69" s="525"/>
      <c r="N69" s="514">
        <f t="shared" si="7"/>
        <v>0</v>
      </c>
      <c r="O69" s="514">
        <f t="shared" si="8"/>
        <v>0</v>
      </c>
      <c r="P69" s="272"/>
    </row>
    <row r="70" spans="2:16" ht="12.5">
      <c r="B70" s="195" t="str">
        <f t="shared" si="5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3"/>
        <v>0</v>
      </c>
      <c r="G70" s="526">
        <f t="shared" si="15"/>
        <v>0</v>
      </c>
      <c r="H70" s="491">
        <f t="shared" si="16"/>
        <v>0</v>
      </c>
      <c r="I70" s="511">
        <f t="shared" si="14"/>
        <v>0</v>
      </c>
      <c r="J70" s="511"/>
      <c r="K70" s="525"/>
      <c r="L70" s="514">
        <f t="shared" si="12"/>
        <v>0</v>
      </c>
      <c r="M70" s="525"/>
      <c r="N70" s="514">
        <f t="shared" si="7"/>
        <v>0</v>
      </c>
      <c r="O70" s="514">
        <f t="shared" si="8"/>
        <v>0</v>
      </c>
      <c r="P70" s="272"/>
    </row>
    <row r="71" spans="2:16" ht="12.5">
      <c r="B71" s="195" t="str">
        <f t="shared" si="5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3"/>
        <v>0</v>
      </c>
      <c r="G71" s="526">
        <f t="shared" si="15"/>
        <v>0</v>
      </c>
      <c r="H71" s="491">
        <f t="shared" si="16"/>
        <v>0</v>
      </c>
      <c r="I71" s="511">
        <f t="shared" si="14"/>
        <v>0</v>
      </c>
      <c r="J71" s="511"/>
      <c r="K71" s="525"/>
      <c r="L71" s="514">
        <f t="shared" si="12"/>
        <v>0</v>
      </c>
      <c r="M71" s="525"/>
      <c r="N71" s="514">
        <f t="shared" si="7"/>
        <v>0</v>
      </c>
      <c r="O71" s="514">
        <f t="shared" si="8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3"/>
        <v>0</v>
      </c>
      <c r="G72" s="530">
        <f t="shared" si="15"/>
        <v>0</v>
      </c>
      <c r="H72" s="471">
        <f t="shared" si="16"/>
        <v>0</v>
      </c>
      <c r="I72" s="531">
        <f t="shared" si="14"/>
        <v>0</v>
      </c>
      <c r="J72" s="511"/>
      <c r="K72" s="532"/>
      <c r="L72" s="533">
        <f t="shared" si="12"/>
        <v>0</v>
      </c>
      <c r="M72" s="532"/>
      <c r="N72" s="533">
        <f t="shared" si="7"/>
        <v>0</v>
      </c>
      <c r="O72" s="533">
        <f t="shared" si="8"/>
        <v>0</v>
      </c>
      <c r="P72" s="272"/>
    </row>
    <row r="73" spans="2:16" ht="12.5">
      <c r="C73" s="374" t="s">
        <v>78</v>
      </c>
      <c r="D73" s="375"/>
      <c r="E73" s="375">
        <f>SUM(E17:E72)</f>
        <v>787880</v>
      </c>
      <c r="F73" s="375"/>
      <c r="G73" s="375">
        <f>SUM(G17:G72)</f>
        <v>2694221.7606863477</v>
      </c>
      <c r="H73" s="375">
        <f>SUM(H17:H72)</f>
        <v>2694221.7606863477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47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83774.601936797058</v>
      </c>
      <c r="N87" s="546">
        <f>IF(J92&lt;D11,0,VLOOKUP(J92,C17:O72,11))</f>
        <v>83774.601936797058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92645.407622215163</v>
      </c>
      <c r="N88" s="550">
        <f>IF(J92&lt;D11,0,VLOOKUP(J92,C99:P154,7))</f>
        <v>92645.407622215163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FULTON - HOPE 115KV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8870.805685418105</v>
      </c>
      <c r="N89" s="555">
        <f>+N88-N87</f>
        <v>8870.805685418105</v>
      </c>
      <c r="O89" s="556">
        <f>+O88-O87</f>
        <v>0</v>
      </c>
      <c r="P89" s="269"/>
    </row>
    <row r="90" spans="1:16" ht="13.5" thickBot="1">
      <c r="C90" s="534"/>
      <c r="D90" s="646" t="str">
        <f>S.046!D90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TP2006077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787880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2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18759.047619047618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2012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17">IF(L99&lt;&gt;0,+H99-L99,0)</f>
        <v>0</v>
      </c>
      <c r="N99" s="512"/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 ht="12.5">
      <c r="B100" s="195" t="str">
        <f>IF(D100=F99,"","IU")</f>
        <v/>
      </c>
      <c r="C100" s="507">
        <f>IF(D93="","-",+C99+1)</f>
        <v>2013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17"/>
        <v>0</v>
      </c>
      <c r="N100" s="518"/>
      <c r="O100" s="514">
        <f t="shared" si="18"/>
        <v>0</v>
      </c>
      <c r="P100" s="514">
        <f t="shared" si="19"/>
        <v>0</v>
      </c>
    </row>
    <row r="101" spans="1:16" ht="12.5">
      <c r="B101" s="195" t="str">
        <f t="shared" ref="B101:B154" si="20">IF(D101=F100,"","IU")</f>
        <v/>
      </c>
      <c r="C101" s="507">
        <f>IF(D93="","-",+C100+1)</f>
        <v>2014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17"/>
        <v>0</v>
      </c>
      <c r="N101" s="518"/>
      <c r="O101" s="514">
        <f t="shared" si="18"/>
        <v>0</v>
      </c>
      <c r="P101" s="514">
        <f t="shared" si="19"/>
        <v>0</v>
      </c>
    </row>
    <row r="102" spans="1:16" ht="12.5">
      <c r="B102" s="195" t="str">
        <f t="shared" si="20"/>
        <v>IU</v>
      </c>
      <c r="C102" s="507">
        <f>IF(D93="","-",+C101+1)</f>
        <v>2015</v>
      </c>
      <c r="D102" s="629">
        <v>734729.36507936521</v>
      </c>
      <c r="E102" s="630">
        <v>17493.556311413457</v>
      </c>
      <c r="F102" s="631">
        <v>717235.80876795179</v>
      </c>
      <c r="G102" s="631">
        <v>725982.5869236585</v>
      </c>
      <c r="H102" s="633">
        <v>113155.46714712729</v>
      </c>
      <c r="I102" s="634">
        <v>113155.46714712729</v>
      </c>
      <c r="J102" s="514">
        <f>+I102-H102</f>
        <v>0</v>
      </c>
      <c r="K102" s="514"/>
      <c r="L102" s="518">
        <f>+H102</f>
        <v>113155.46714712729</v>
      </c>
      <c r="M102" s="514">
        <f t="shared" si="17"/>
        <v>0</v>
      </c>
      <c r="N102" s="518">
        <f>+I102</f>
        <v>113155.46714712729</v>
      </c>
      <c r="O102" s="514">
        <f t="shared" si="18"/>
        <v>0</v>
      </c>
      <c r="P102" s="514">
        <f t="shared" si="19"/>
        <v>0</v>
      </c>
    </row>
    <row r="103" spans="1:16" ht="12.5">
      <c r="B103" s="195" t="str">
        <f t="shared" si="20"/>
        <v>IU</v>
      </c>
      <c r="C103" s="507">
        <f>IF(D93="","-",+C102+1)</f>
        <v>2016</v>
      </c>
      <c r="D103" s="629">
        <v>770386.44368858659</v>
      </c>
      <c r="E103" s="630">
        <v>18322.79069767442</v>
      </c>
      <c r="F103" s="631">
        <v>752063.6529909122</v>
      </c>
      <c r="G103" s="631">
        <v>761225.04833974945</v>
      </c>
      <c r="H103" s="633">
        <v>114960.30166921337</v>
      </c>
      <c r="I103" s="634">
        <v>114960.30166921337</v>
      </c>
      <c r="J103" s="514">
        <f>+I103-H103</f>
        <v>0</v>
      </c>
      <c r="K103" s="514"/>
      <c r="L103" s="518">
        <f>+H103</f>
        <v>114960.30166921337</v>
      </c>
      <c r="M103" s="514">
        <f>IF(L103&lt;&gt;0,+H103-L103,0)</f>
        <v>0</v>
      </c>
      <c r="N103" s="518">
        <f>+I103</f>
        <v>114960.30166921337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20"/>
        <v/>
      </c>
      <c r="C104" s="507">
        <f>IF(D93="","-",+C103+1)</f>
        <v>2017</v>
      </c>
      <c r="D104" s="629">
        <v>752063.6529909122</v>
      </c>
      <c r="E104" s="630">
        <v>18759.047619047618</v>
      </c>
      <c r="F104" s="631">
        <v>733304.60537186463</v>
      </c>
      <c r="G104" s="631">
        <v>742684.12918138842</v>
      </c>
      <c r="H104" s="633">
        <v>108973.97138946971</v>
      </c>
      <c r="I104" s="634">
        <v>108973.97138946971</v>
      </c>
      <c r="J104" s="514">
        <f t="shared" ref="J104:J154" si="21">+I104-H104</f>
        <v>0</v>
      </c>
      <c r="K104" s="514"/>
      <c r="L104" s="518">
        <f>+H104</f>
        <v>108973.97138946971</v>
      </c>
      <c r="M104" s="514">
        <f>IF(L104&lt;&gt;0,+H104-L104,0)</f>
        <v>0</v>
      </c>
      <c r="N104" s="518">
        <f>+I104</f>
        <v>108973.97138946971</v>
      </c>
      <c r="O104" s="514">
        <f>IF(N104&lt;&gt;0,+I104-N104,0)</f>
        <v>0</v>
      </c>
      <c r="P104" s="514">
        <f>+O104-M104</f>
        <v>0</v>
      </c>
    </row>
    <row r="105" spans="1:16" ht="12.5">
      <c r="B105" s="195" t="str">
        <f t="shared" si="20"/>
        <v/>
      </c>
      <c r="C105" s="507">
        <f>IF(D93="","-",+C104+1)</f>
        <v>2018</v>
      </c>
      <c r="D105" s="629">
        <v>733304.60537186463</v>
      </c>
      <c r="E105" s="630">
        <v>18759.047619047618</v>
      </c>
      <c r="F105" s="631">
        <v>714545.55775281705</v>
      </c>
      <c r="G105" s="631">
        <v>723925.08156234084</v>
      </c>
      <c r="H105" s="633">
        <v>95208.856021995831</v>
      </c>
      <c r="I105" s="634">
        <v>95208.856021995831</v>
      </c>
      <c r="J105" s="514">
        <f t="shared" si="21"/>
        <v>0</v>
      </c>
      <c r="K105" s="514"/>
      <c r="L105" s="518">
        <f>+H105</f>
        <v>95208.856021995831</v>
      </c>
      <c r="M105" s="514">
        <f>IF(L105&lt;&gt;0,+H105-L105,0)</f>
        <v>0</v>
      </c>
      <c r="N105" s="518">
        <f>+I105</f>
        <v>95208.856021995831</v>
      </c>
      <c r="O105" s="514">
        <f>IF(N105&lt;&gt;0,+I105-N105,0)</f>
        <v>0</v>
      </c>
      <c r="P105" s="514">
        <f t="shared" si="19"/>
        <v>0</v>
      </c>
    </row>
    <row r="106" spans="1:16" ht="12.5">
      <c r="B106" s="195" t="str">
        <f t="shared" si="20"/>
        <v/>
      </c>
      <c r="C106" s="507">
        <f>IF(D93="","-",+C105+1)</f>
        <v>2019</v>
      </c>
      <c r="D106" s="629">
        <v>714545.55775281705</v>
      </c>
      <c r="E106" s="630">
        <v>18322.79069767442</v>
      </c>
      <c r="F106" s="631">
        <v>696222.76705514267</v>
      </c>
      <c r="G106" s="631">
        <v>705384.1624039798</v>
      </c>
      <c r="H106" s="633">
        <v>93827.496963510814</v>
      </c>
      <c r="I106" s="634">
        <v>93827.496963510814</v>
      </c>
      <c r="J106" s="514">
        <f t="shared" si="21"/>
        <v>0</v>
      </c>
      <c r="K106" s="514"/>
      <c r="L106" s="518">
        <f>+H106</f>
        <v>93827.496963510814</v>
      </c>
      <c r="M106" s="514">
        <f>IF(L106&lt;&gt;0,+H106-L106,0)</f>
        <v>0</v>
      </c>
      <c r="N106" s="518">
        <f>+I106</f>
        <v>93827.496963510814</v>
      </c>
      <c r="O106" s="514">
        <f t="shared" si="18"/>
        <v>0</v>
      </c>
      <c r="P106" s="514">
        <f t="shared" si="19"/>
        <v>0</v>
      </c>
    </row>
    <row r="107" spans="1:16" ht="12.5">
      <c r="B107" s="195" t="str">
        <f t="shared" si="20"/>
        <v/>
      </c>
      <c r="C107" s="507">
        <f>IF(D93="","-",+C106+1)</f>
        <v>2020</v>
      </c>
      <c r="D107" s="374">
        <f>IF(F106+SUM(E$99:E106)=D$92,F106,D$92-SUM(E$99:E106))</f>
        <v>696222.76705514267</v>
      </c>
      <c r="E107" s="522">
        <f t="shared" ref="E107:E154" si="22">IF(+$J$96&lt;F106,$J$96,D107)</f>
        <v>18759.047619047618</v>
      </c>
      <c r="F107" s="523">
        <f t="shared" ref="F107:F154" si="23">+D107-E107</f>
        <v>677463.7194360951</v>
      </c>
      <c r="G107" s="523">
        <f t="shared" ref="G107:G154" si="24">+(F107+D107)/2</f>
        <v>686843.24324561888</v>
      </c>
      <c r="H107" s="526">
        <f t="shared" ref="H107:H154" si="25">+J$94*G107+E107</f>
        <v>92645.407622215163</v>
      </c>
      <c r="I107" s="577">
        <f t="shared" ref="I107:I154" si="26">+J$95*G107+E107</f>
        <v>92645.407622215163</v>
      </c>
      <c r="J107" s="514">
        <f t="shared" si="21"/>
        <v>0</v>
      </c>
      <c r="K107" s="514"/>
      <c r="L107" s="525"/>
      <c r="M107" s="514">
        <f t="shared" si="17"/>
        <v>0</v>
      </c>
      <c r="N107" s="525"/>
      <c r="O107" s="514">
        <f t="shared" si="18"/>
        <v>0</v>
      </c>
      <c r="P107" s="514">
        <f t="shared" si="19"/>
        <v>0</v>
      </c>
    </row>
    <row r="108" spans="1:16" ht="12.5">
      <c r="B108" s="195" t="str">
        <f t="shared" si="20"/>
        <v/>
      </c>
      <c r="C108" s="507">
        <f>IF(D93="","-",+C107+1)</f>
        <v>2021</v>
      </c>
      <c r="D108" s="374">
        <f>IF(F107+SUM(E$99:E107)=D$92,F107,D$92-SUM(E$99:E107))</f>
        <v>677463.7194360951</v>
      </c>
      <c r="E108" s="522">
        <f t="shared" si="22"/>
        <v>18759.047619047618</v>
      </c>
      <c r="F108" s="523">
        <f t="shared" si="23"/>
        <v>658704.67181704752</v>
      </c>
      <c r="G108" s="523">
        <f t="shared" si="24"/>
        <v>668084.19562657131</v>
      </c>
      <c r="H108" s="526">
        <f t="shared" si="25"/>
        <v>90627.42497577038</v>
      </c>
      <c r="I108" s="577">
        <f t="shared" si="26"/>
        <v>90627.42497577038</v>
      </c>
      <c r="J108" s="514">
        <f t="shared" si="21"/>
        <v>0</v>
      </c>
      <c r="K108" s="514"/>
      <c r="L108" s="525"/>
      <c r="M108" s="514">
        <f t="shared" si="17"/>
        <v>0</v>
      </c>
      <c r="N108" s="525"/>
      <c r="O108" s="514">
        <f t="shared" si="18"/>
        <v>0</v>
      </c>
      <c r="P108" s="514">
        <f t="shared" si="19"/>
        <v>0</v>
      </c>
    </row>
    <row r="109" spans="1:16" ht="12.5">
      <c r="B109" s="195" t="str">
        <f t="shared" si="20"/>
        <v/>
      </c>
      <c r="C109" s="507">
        <f>IF(D93="","-",+C108+1)</f>
        <v>2022</v>
      </c>
      <c r="D109" s="374">
        <f>IF(F108+SUM(E$99:E108)=D$92,F108,D$92-SUM(E$99:E108))</f>
        <v>658704.67181704752</v>
      </c>
      <c r="E109" s="522">
        <f t="shared" si="22"/>
        <v>18759.047619047618</v>
      </c>
      <c r="F109" s="523">
        <f t="shared" si="23"/>
        <v>639945.62419799995</v>
      </c>
      <c r="G109" s="523">
        <f t="shared" si="24"/>
        <v>649325.14800752373</v>
      </c>
      <c r="H109" s="526">
        <f t="shared" si="25"/>
        <v>88609.442329325597</v>
      </c>
      <c r="I109" s="577">
        <f t="shared" si="26"/>
        <v>88609.442329325597</v>
      </c>
      <c r="J109" s="514">
        <f t="shared" si="21"/>
        <v>0</v>
      </c>
      <c r="K109" s="514"/>
      <c r="L109" s="525"/>
      <c r="M109" s="514">
        <f t="shared" si="17"/>
        <v>0</v>
      </c>
      <c r="N109" s="525"/>
      <c r="O109" s="514">
        <f t="shared" si="18"/>
        <v>0</v>
      </c>
      <c r="P109" s="514">
        <f t="shared" si="19"/>
        <v>0</v>
      </c>
    </row>
    <row r="110" spans="1:16" ht="12.5">
      <c r="B110" s="195" t="str">
        <f t="shared" si="20"/>
        <v/>
      </c>
      <c r="C110" s="507">
        <f>IF(D93="","-",+C109+1)</f>
        <v>2023</v>
      </c>
      <c r="D110" s="374">
        <f>IF(F109+SUM(E$99:E109)=D$92,F109,D$92-SUM(E$99:E109))</f>
        <v>639945.62419799995</v>
      </c>
      <c r="E110" s="522">
        <f t="shared" si="22"/>
        <v>18759.047619047618</v>
      </c>
      <c r="F110" s="523">
        <f t="shared" si="23"/>
        <v>621186.57657895237</v>
      </c>
      <c r="G110" s="523">
        <f t="shared" si="24"/>
        <v>630566.10038847616</v>
      </c>
      <c r="H110" s="526">
        <f t="shared" si="25"/>
        <v>86591.459682880813</v>
      </c>
      <c r="I110" s="577">
        <f t="shared" si="26"/>
        <v>86591.459682880813</v>
      </c>
      <c r="J110" s="514">
        <f t="shared" si="21"/>
        <v>0</v>
      </c>
      <c r="K110" s="514"/>
      <c r="L110" s="525"/>
      <c r="M110" s="514">
        <f t="shared" si="17"/>
        <v>0</v>
      </c>
      <c r="N110" s="525"/>
      <c r="O110" s="514">
        <f t="shared" si="18"/>
        <v>0</v>
      </c>
      <c r="P110" s="514">
        <f t="shared" si="19"/>
        <v>0</v>
      </c>
    </row>
    <row r="111" spans="1:16" ht="12.5">
      <c r="B111" s="195" t="str">
        <f t="shared" si="20"/>
        <v/>
      </c>
      <c r="C111" s="507">
        <f>IF(D93="","-",+C110+1)</f>
        <v>2024</v>
      </c>
      <c r="D111" s="374">
        <f>IF(F110+SUM(E$99:E110)=D$92,F110,D$92-SUM(E$99:E110))</f>
        <v>621186.57657895237</v>
      </c>
      <c r="E111" s="522">
        <f t="shared" si="22"/>
        <v>18759.047619047618</v>
      </c>
      <c r="F111" s="523">
        <f t="shared" si="23"/>
        <v>602427.5289599048</v>
      </c>
      <c r="G111" s="523">
        <f t="shared" si="24"/>
        <v>611807.05276942858</v>
      </c>
      <c r="H111" s="526">
        <f t="shared" si="25"/>
        <v>84573.47703643603</v>
      </c>
      <c r="I111" s="577">
        <f t="shared" si="26"/>
        <v>84573.47703643603</v>
      </c>
      <c r="J111" s="514">
        <f t="shared" si="21"/>
        <v>0</v>
      </c>
      <c r="K111" s="514"/>
      <c r="L111" s="525"/>
      <c r="M111" s="514">
        <f t="shared" si="17"/>
        <v>0</v>
      </c>
      <c r="N111" s="525"/>
      <c r="O111" s="514">
        <f t="shared" si="18"/>
        <v>0</v>
      </c>
      <c r="P111" s="514">
        <f t="shared" si="19"/>
        <v>0</v>
      </c>
    </row>
    <row r="112" spans="1:16" ht="12.5">
      <c r="B112" s="195" t="str">
        <f t="shared" si="20"/>
        <v/>
      </c>
      <c r="C112" s="507">
        <f>IF(D93="","-",+C111+1)</f>
        <v>2025</v>
      </c>
      <c r="D112" s="374">
        <f>IF(F111+SUM(E$99:E111)=D$92,F111,D$92-SUM(E$99:E111))</f>
        <v>602427.5289599048</v>
      </c>
      <c r="E112" s="522">
        <f t="shared" si="22"/>
        <v>18759.047619047618</v>
      </c>
      <c r="F112" s="523">
        <f t="shared" si="23"/>
        <v>583668.48134085722</v>
      </c>
      <c r="G112" s="523">
        <f t="shared" si="24"/>
        <v>593048.00515038101</v>
      </c>
      <c r="H112" s="526">
        <f t="shared" si="25"/>
        <v>82555.494389991247</v>
      </c>
      <c r="I112" s="577">
        <f t="shared" si="26"/>
        <v>82555.494389991247</v>
      </c>
      <c r="J112" s="514">
        <f t="shared" si="21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 ht="12.5">
      <c r="B113" s="195" t="str">
        <f t="shared" si="20"/>
        <v/>
      </c>
      <c r="C113" s="507">
        <f>IF(D93="","-",+C112+1)</f>
        <v>2026</v>
      </c>
      <c r="D113" s="374">
        <f>IF(F112+SUM(E$99:E112)=D$92,F112,D$92-SUM(E$99:E112))</f>
        <v>583668.48134085722</v>
      </c>
      <c r="E113" s="522">
        <f t="shared" si="22"/>
        <v>18759.047619047618</v>
      </c>
      <c r="F113" s="523">
        <f t="shared" si="23"/>
        <v>564909.43372180965</v>
      </c>
      <c r="G113" s="523">
        <f t="shared" si="24"/>
        <v>574288.95753133344</v>
      </c>
      <c r="H113" s="526">
        <f t="shared" si="25"/>
        <v>80537.511743546464</v>
      </c>
      <c r="I113" s="577">
        <f t="shared" si="26"/>
        <v>80537.511743546464</v>
      </c>
      <c r="J113" s="514">
        <f t="shared" si="21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 ht="12.5">
      <c r="B114" s="195" t="str">
        <f t="shared" si="20"/>
        <v>IU</v>
      </c>
      <c r="C114" s="507">
        <f>IF(D93="","-",+C113+1)</f>
        <v>2027</v>
      </c>
      <c r="D114" s="374">
        <f>IF(F113+SUM(E$99:E113)=D$92,F113,D$92-SUM(E$99:E113))</f>
        <v>564909.43372180907</v>
      </c>
      <c r="E114" s="522">
        <f t="shared" si="22"/>
        <v>18759.047619047618</v>
      </c>
      <c r="F114" s="523">
        <f t="shared" si="23"/>
        <v>546150.38610276149</v>
      </c>
      <c r="G114" s="523">
        <f t="shared" si="24"/>
        <v>555529.90991228528</v>
      </c>
      <c r="H114" s="526">
        <f t="shared" si="25"/>
        <v>78519.529097101622</v>
      </c>
      <c r="I114" s="577">
        <f t="shared" si="26"/>
        <v>78519.529097101622</v>
      </c>
      <c r="J114" s="514">
        <f t="shared" si="21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 ht="12.5">
      <c r="B115" s="195" t="str">
        <f t="shared" si="20"/>
        <v/>
      </c>
      <c r="C115" s="507">
        <f>IF(D93="","-",+C114+1)</f>
        <v>2028</v>
      </c>
      <c r="D115" s="374">
        <f>IF(F114+SUM(E$99:E114)=D$92,F114,D$92-SUM(E$99:E114))</f>
        <v>546150.38610276149</v>
      </c>
      <c r="E115" s="522">
        <f t="shared" si="22"/>
        <v>18759.047619047618</v>
      </c>
      <c r="F115" s="523">
        <f t="shared" si="23"/>
        <v>527391.33848371392</v>
      </c>
      <c r="G115" s="523">
        <f t="shared" si="24"/>
        <v>536770.8622932377</v>
      </c>
      <c r="H115" s="526">
        <f t="shared" si="25"/>
        <v>76501.546450656839</v>
      </c>
      <c r="I115" s="577">
        <f t="shared" si="26"/>
        <v>76501.546450656839</v>
      </c>
      <c r="J115" s="514">
        <f t="shared" si="21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 ht="12.5">
      <c r="B116" s="195" t="str">
        <f t="shared" si="20"/>
        <v/>
      </c>
      <c r="C116" s="507">
        <f>IF(D93="","-",+C115+1)</f>
        <v>2029</v>
      </c>
      <c r="D116" s="374">
        <f>IF(F115+SUM(E$99:E115)=D$92,F115,D$92-SUM(E$99:E115))</f>
        <v>527391.33848371392</v>
      </c>
      <c r="E116" s="522">
        <f t="shared" si="22"/>
        <v>18759.047619047618</v>
      </c>
      <c r="F116" s="523">
        <f t="shared" si="23"/>
        <v>508632.29086466628</v>
      </c>
      <c r="G116" s="523">
        <f t="shared" si="24"/>
        <v>518011.81467419013</v>
      </c>
      <c r="H116" s="526">
        <f t="shared" si="25"/>
        <v>74483.563804212055</v>
      </c>
      <c r="I116" s="577">
        <f t="shared" si="26"/>
        <v>74483.563804212055</v>
      </c>
      <c r="J116" s="514">
        <f t="shared" si="21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 ht="12.5">
      <c r="B117" s="195" t="str">
        <f t="shared" si="20"/>
        <v/>
      </c>
      <c r="C117" s="507">
        <f>IF(D93="","-",+C116+1)</f>
        <v>2030</v>
      </c>
      <c r="D117" s="374">
        <f>IF(F116+SUM(E$99:E116)=D$92,F116,D$92-SUM(E$99:E116))</f>
        <v>508632.29086466628</v>
      </c>
      <c r="E117" s="522">
        <f t="shared" si="22"/>
        <v>18759.047619047618</v>
      </c>
      <c r="F117" s="523">
        <f t="shared" si="23"/>
        <v>489873.24324561865</v>
      </c>
      <c r="G117" s="523">
        <f t="shared" si="24"/>
        <v>499252.76705514244</v>
      </c>
      <c r="H117" s="526">
        <f t="shared" si="25"/>
        <v>72465.581157767243</v>
      </c>
      <c r="I117" s="577">
        <f t="shared" si="26"/>
        <v>72465.581157767243</v>
      </c>
      <c r="J117" s="514">
        <f t="shared" si="21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 ht="12.5">
      <c r="B118" s="195" t="str">
        <f t="shared" si="20"/>
        <v/>
      </c>
      <c r="C118" s="507">
        <f>IF(D93="","-",+C117+1)</f>
        <v>2031</v>
      </c>
      <c r="D118" s="374">
        <f>IF(F117+SUM(E$99:E117)=D$92,F117,D$92-SUM(E$99:E117))</f>
        <v>489873.24324561865</v>
      </c>
      <c r="E118" s="522">
        <f t="shared" si="22"/>
        <v>18759.047619047618</v>
      </c>
      <c r="F118" s="523">
        <f t="shared" si="23"/>
        <v>471114.19562657102</v>
      </c>
      <c r="G118" s="523">
        <f t="shared" si="24"/>
        <v>480493.71943609486</v>
      </c>
      <c r="H118" s="526">
        <f t="shared" si="25"/>
        <v>70447.59851132246</v>
      </c>
      <c r="I118" s="577">
        <f t="shared" si="26"/>
        <v>70447.59851132246</v>
      </c>
      <c r="J118" s="514">
        <f t="shared" si="21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 ht="12.5">
      <c r="B119" s="195" t="str">
        <f t="shared" si="20"/>
        <v/>
      </c>
      <c r="C119" s="507">
        <f>IF(D93="","-",+C118+1)</f>
        <v>2032</v>
      </c>
      <c r="D119" s="374">
        <f>IF(F118+SUM(E$99:E118)=D$92,F118,D$92-SUM(E$99:E118))</f>
        <v>471114.19562657102</v>
      </c>
      <c r="E119" s="522">
        <f t="shared" si="22"/>
        <v>18759.047619047618</v>
      </c>
      <c r="F119" s="523">
        <f t="shared" si="23"/>
        <v>452355.14800752338</v>
      </c>
      <c r="G119" s="523">
        <f t="shared" si="24"/>
        <v>461734.67181704717</v>
      </c>
      <c r="H119" s="526">
        <f t="shared" si="25"/>
        <v>68429.615864877676</v>
      </c>
      <c r="I119" s="577">
        <f t="shared" si="26"/>
        <v>68429.615864877676</v>
      </c>
      <c r="J119" s="514">
        <f t="shared" si="21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 ht="12.5">
      <c r="B120" s="195" t="str">
        <f t="shared" si="20"/>
        <v/>
      </c>
      <c r="C120" s="507">
        <f>IF(D93="","-",+C119+1)</f>
        <v>2033</v>
      </c>
      <c r="D120" s="374">
        <f>IF(F119+SUM(E$99:E119)=D$92,F119,D$92-SUM(E$99:E119))</f>
        <v>452355.14800752338</v>
      </c>
      <c r="E120" s="522">
        <f t="shared" si="22"/>
        <v>18759.047619047618</v>
      </c>
      <c r="F120" s="523">
        <f t="shared" si="23"/>
        <v>433596.10038847575</v>
      </c>
      <c r="G120" s="523">
        <f t="shared" si="24"/>
        <v>442975.6241979996</v>
      </c>
      <c r="H120" s="526">
        <f t="shared" si="25"/>
        <v>66411.633218432893</v>
      </c>
      <c r="I120" s="577">
        <f t="shared" si="26"/>
        <v>66411.633218432893</v>
      </c>
      <c r="J120" s="514">
        <f t="shared" si="21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 ht="12.5">
      <c r="B121" s="195" t="str">
        <f t="shared" si="20"/>
        <v/>
      </c>
      <c r="C121" s="507">
        <f>IF(D93="","-",+C120+1)</f>
        <v>2034</v>
      </c>
      <c r="D121" s="374">
        <f>IF(F120+SUM(E$99:E120)=D$92,F120,D$92-SUM(E$99:E120))</f>
        <v>433596.10038847575</v>
      </c>
      <c r="E121" s="522">
        <f t="shared" si="22"/>
        <v>18759.047619047618</v>
      </c>
      <c r="F121" s="523">
        <f t="shared" si="23"/>
        <v>414837.05276942812</v>
      </c>
      <c r="G121" s="523">
        <f t="shared" si="24"/>
        <v>424216.57657895191</v>
      </c>
      <c r="H121" s="526">
        <f t="shared" si="25"/>
        <v>64393.650571988095</v>
      </c>
      <c r="I121" s="577">
        <f t="shared" si="26"/>
        <v>64393.650571988095</v>
      </c>
      <c r="J121" s="514">
        <f t="shared" si="21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 ht="12.5">
      <c r="B122" s="195" t="str">
        <f t="shared" si="20"/>
        <v/>
      </c>
      <c r="C122" s="507">
        <f>IF(D93="","-",+C121+1)</f>
        <v>2035</v>
      </c>
      <c r="D122" s="374">
        <f>IF(F121+SUM(E$99:E121)=D$92,F121,D$92-SUM(E$99:E121))</f>
        <v>414837.05276942812</v>
      </c>
      <c r="E122" s="522">
        <f t="shared" si="22"/>
        <v>18759.047619047618</v>
      </c>
      <c r="F122" s="523">
        <f t="shared" si="23"/>
        <v>396078.00515038049</v>
      </c>
      <c r="G122" s="523">
        <f t="shared" si="24"/>
        <v>405457.52895990433</v>
      </c>
      <c r="H122" s="526">
        <f t="shared" si="25"/>
        <v>62375.667925543312</v>
      </c>
      <c r="I122" s="577">
        <f t="shared" si="26"/>
        <v>62375.667925543312</v>
      </c>
      <c r="J122" s="514">
        <f t="shared" si="21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 ht="12.5">
      <c r="B123" s="195" t="str">
        <f t="shared" si="20"/>
        <v/>
      </c>
      <c r="C123" s="507">
        <f>IF(D93="","-",+C122+1)</f>
        <v>2036</v>
      </c>
      <c r="D123" s="374">
        <f>IF(F122+SUM(E$99:E122)=D$92,F122,D$92-SUM(E$99:E122))</f>
        <v>396078.00515038049</v>
      </c>
      <c r="E123" s="522">
        <f t="shared" si="22"/>
        <v>18759.047619047618</v>
      </c>
      <c r="F123" s="523">
        <f t="shared" si="23"/>
        <v>377318.95753133285</v>
      </c>
      <c r="G123" s="523">
        <f t="shared" si="24"/>
        <v>386698.48134085664</v>
      </c>
      <c r="H123" s="526">
        <f t="shared" si="25"/>
        <v>60357.685279098514</v>
      </c>
      <c r="I123" s="577">
        <f t="shared" si="26"/>
        <v>60357.685279098514</v>
      </c>
      <c r="J123" s="514">
        <f t="shared" si="21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 ht="12.5">
      <c r="B124" s="195" t="str">
        <f t="shared" si="20"/>
        <v/>
      </c>
      <c r="C124" s="507">
        <f>IF(D93="","-",+C123+1)</f>
        <v>2037</v>
      </c>
      <c r="D124" s="374">
        <f>IF(F123+SUM(E$99:E123)=D$92,F123,D$92-SUM(E$99:E123))</f>
        <v>377318.95753133285</v>
      </c>
      <c r="E124" s="522">
        <f t="shared" si="22"/>
        <v>18759.047619047618</v>
      </c>
      <c r="F124" s="523">
        <f t="shared" si="23"/>
        <v>358559.90991228522</v>
      </c>
      <c r="G124" s="523">
        <f t="shared" si="24"/>
        <v>367939.43372180907</v>
      </c>
      <c r="H124" s="526">
        <f t="shared" si="25"/>
        <v>58339.702632653731</v>
      </c>
      <c r="I124" s="577">
        <f t="shared" si="26"/>
        <v>58339.702632653731</v>
      </c>
      <c r="J124" s="514">
        <f t="shared" si="21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 ht="12.5">
      <c r="B125" s="195" t="str">
        <f t="shared" si="20"/>
        <v/>
      </c>
      <c r="C125" s="507">
        <f>IF(D93="","-",+C124+1)</f>
        <v>2038</v>
      </c>
      <c r="D125" s="374">
        <f>IF(F124+SUM(E$99:E124)=D$92,F124,D$92-SUM(E$99:E124))</f>
        <v>358559.90991228522</v>
      </c>
      <c r="E125" s="522">
        <f t="shared" si="22"/>
        <v>18759.047619047618</v>
      </c>
      <c r="F125" s="523">
        <f t="shared" si="23"/>
        <v>339800.86229323759</v>
      </c>
      <c r="G125" s="523">
        <f t="shared" si="24"/>
        <v>349180.38610276137</v>
      </c>
      <c r="H125" s="526">
        <f t="shared" si="25"/>
        <v>56321.719986208933</v>
      </c>
      <c r="I125" s="577">
        <f t="shared" si="26"/>
        <v>56321.719986208933</v>
      </c>
      <c r="J125" s="514">
        <f t="shared" si="21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 ht="12.5">
      <c r="B126" s="195" t="str">
        <f t="shared" si="20"/>
        <v/>
      </c>
      <c r="C126" s="507">
        <f>IF(D93="","-",+C125+1)</f>
        <v>2039</v>
      </c>
      <c r="D126" s="374">
        <f>IF(F125+SUM(E$99:E125)=D$92,F125,D$92-SUM(E$99:E125))</f>
        <v>339800.86229323759</v>
      </c>
      <c r="E126" s="522">
        <f t="shared" si="22"/>
        <v>18759.047619047618</v>
      </c>
      <c r="F126" s="523">
        <f t="shared" si="23"/>
        <v>321041.81467418995</v>
      </c>
      <c r="G126" s="523">
        <f t="shared" si="24"/>
        <v>330421.3384837138</v>
      </c>
      <c r="H126" s="526">
        <f t="shared" si="25"/>
        <v>54303.73733976415</v>
      </c>
      <c r="I126" s="577">
        <f t="shared" si="26"/>
        <v>54303.73733976415</v>
      </c>
      <c r="J126" s="514">
        <f t="shared" si="21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 ht="12.5">
      <c r="B127" s="195" t="str">
        <f t="shared" si="20"/>
        <v/>
      </c>
      <c r="C127" s="507">
        <f>IF(D93="","-",+C126+1)</f>
        <v>2040</v>
      </c>
      <c r="D127" s="374">
        <f>IF(F126+SUM(E$99:E126)=D$92,F126,D$92-SUM(E$99:E126))</f>
        <v>321041.81467418995</v>
      </c>
      <c r="E127" s="522">
        <f t="shared" si="22"/>
        <v>18759.047619047618</v>
      </c>
      <c r="F127" s="523">
        <f t="shared" si="23"/>
        <v>302282.76705514232</v>
      </c>
      <c r="G127" s="523">
        <f t="shared" si="24"/>
        <v>311662.29086466611</v>
      </c>
      <c r="H127" s="526">
        <f t="shared" si="25"/>
        <v>52285.754693319352</v>
      </c>
      <c r="I127" s="577">
        <f t="shared" si="26"/>
        <v>52285.754693319352</v>
      </c>
      <c r="J127" s="514">
        <f t="shared" si="21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 ht="12.5">
      <c r="B128" s="195" t="str">
        <f t="shared" si="20"/>
        <v/>
      </c>
      <c r="C128" s="507">
        <f>IF(D93="","-",+C127+1)</f>
        <v>2041</v>
      </c>
      <c r="D128" s="374">
        <f>IF(F127+SUM(E$99:E127)=D$92,F127,D$92-SUM(E$99:E127))</f>
        <v>302282.76705514232</v>
      </c>
      <c r="E128" s="522">
        <f t="shared" si="22"/>
        <v>18759.047619047618</v>
      </c>
      <c r="F128" s="523">
        <f t="shared" si="23"/>
        <v>283523.71943609469</v>
      </c>
      <c r="G128" s="523">
        <f t="shared" si="24"/>
        <v>292903.24324561853</v>
      </c>
      <c r="H128" s="526">
        <f t="shared" si="25"/>
        <v>50267.772046874568</v>
      </c>
      <c r="I128" s="577">
        <f t="shared" si="26"/>
        <v>50267.772046874568</v>
      </c>
      <c r="J128" s="514">
        <f t="shared" si="21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 ht="12.5">
      <c r="B129" s="195" t="str">
        <f t="shared" si="20"/>
        <v/>
      </c>
      <c r="C129" s="507">
        <f>IF(D93="","-",+C128+1)</f>
        <v>2042</v>
      </c>
      <c r="D129" s="374">
        <f>IF(F128+SUM(E$99:E128)=D$92,F128,D$92-SUM(E$99:E128))</f>
        <v>283523.71943609469</v>
      </c>
      <c r="E129" s="522">
        <f t="shared" si="22"/>
        <v>18759.047619047618</v>
      </c>
      <c r="F129" s="523">
        <f t="shared" si="23"/>
        <v>264764.67181704706</v>
      </c>
      <c r="G129" s="523">
        <f t="shared" si="24"/>
        <v>274144.19562657084</v>
      </c>
      <c r="H129" s="526">
        <f t="shared" si="25"/>
        <v>48249.78940042977</v>
      </c>
      <c r="I129" s="577">
        <f t="shared" si="26"/>
        <v>48249.78940042977</v>
      </c>
      <c r="J129" s="514">
        <f t="shared" si="21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 ht="12.5">
      <c r="B130" s="195" t="str">
        <f t="shared" si="20"/>
        <v/>
      </c>
      <c r="C130" s="507">
        <f>IF(D93="","-",+C129+1)</f>
        <v>2043</v>
      </c>
      <c r="D130" s="374">
        <f>IF(F129+SUM(E$99:E129)=D$92,F129,D$92-SUM(E$99:E129))</f>
        <v>264764.67181704706</v>
      </c>
      <c r="E130" s="522">
        <f t="shared" si="22"/>
        <v>18759.047619047618</v>
      </c>
      <c r="F130" s="523">
        <f t="shared" si="23"/>
        <v>246005.62419799942</v>
      </c>
      <c r="G130" s="523">
        <f t="shared" si="24"/>
        <v>255385.14800752324</v>
      </c>
      <c r="H130" s="526">
        <f t="shared" si="25"/>
        <v>46231.806753984987</v>
      </c>
      <c r="I130" s="577">
        <f t="shared" si="26"/>
        <v>46231.806753984987</v>
      </c>
      <c r="J130" s="514">
        <f t="shared" si="21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 ht="12.5">
      <c r="B131" s="195" t="str">
        <f t="shared" si="20"/>
        <v/>
      </c>
      <c r="C131" s="507">
        <f>IF(D93="","-",+C130+1)</f>
        <v>2044</v>
      </c>
      <c r="D131" s="374">
        <f>IF(F130+SUM(E$99:E130)=D$92,F130,D$92-SUM(E$99:E130))</f>
        <v>246005.62419799942</v>
      </c>
      <c r="E131" s="522">
        <f t="shared" si="22"/>
        <v>18759.047619047618</v>
      </c>
      <c r="F131" s="523">
        <f t="shared" si="23"/>
        <v>227246.57657895179</v>
      </c>
      <c r="G131" s="523">
        <f t="shared" si="24"/>
        <v>236626.10038847561</v>
      </c>
      <c r="H131" s="526">
        <f t="shared" si="25"/>
        <v>44213.824107540204</v>
      </c>
      <c r="I131" s="577">
        <f t="shared" si="26"/>
        <v>44213.824107540204</v>
      </c>
      <c r="J131" s="514">
        <f t="shared" si="21"/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 ht="12.5">
      <c r="B132" s="195" t="str">
        <f t="shared" si="20"/>
        <v/>
      </c>
      <c r="C132" s="507">
        <f>IF(D93="","-",+C131+1)</f>
        <v>2045</v>
      </c>
      <c r="D132" s="374">
        <f>IF(F131+SUM(E$99:E131)=D$92,F131,D$92-SUM(E$99:E131))</f>
        <v>227246.57657895179</v>
      </c>
      <c r="E132" s="522">
        <f t="shared" si="22"/>
        <v>18759.047619047618</v>
      </c>
      <c r="F132" s="523">
        <f t="shared" si="23"/>
        <v>208487.52895990416</v>
      </c>
      <c r="G132" s="523">
        <f t="shared" si="24"/>
        <v>217867.05276942797</v>
      </c>
      <c r="H132" s="526">
        <f t="shared" si="25"/>
        <v>42195.841461095406</v>
      </c>
      <c r="I132" s="577">
        <f t="shared" si="26"/>
        <v>42195.841461095406</v>
      </c>
      <c r="J132" s="514">
        <f t="shared" si="21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 ht="12.5">
      <c r="B133" s="195" t="str">
        <f t="shared" si="20"/>
        <v/>
      </c>
      <c r="C133" s="507">
        <f>IF(D93="","-",+C132+1)</f>
        <v>2046</v>
      </c>
      <c r="D133" s="374">
        <f>IF(F132+SUM(E$99:E132)=D$92,F132,D$92-SUM(E$99:E132))</f>
        <v>208487.52895990416</v>
      </c>
      <c r="E133" s="522">
        <f t="shared" si="22"/>
        <v>18759.047619047618</v>
      </c>
      <c r="F133" s="523">
        <f t="shared" si="23"/>
        <v>189728.48134085652</v>
      </c>
      <c r="G133" s="523">
        <f t="shared" si="24"/>
        <v>199108.00515038034</v>
      </c>
      <c r="H133" s="526">
        <f t="shared" si="25"/>
        <v>40177.858814650623</v>
      </c>
      <c r="I133" s="577">
        <f t="shared" si="26"/>
        <v>40177.858814650623</v>
      </c>
      <c r="J133" s="514">
        <f t="shared" si="21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 ht="12.5">
      <c r="B134" s="195" t="str">
        <f t="shared" si="20"/>
        <v/>
      </c>
      <c r="C134" s="507">
        <f>IF(D93="","-",+C133+1)</f>
        <v>2047</v>
      </c>
      <c r="D134" s="374">
        <f>IF(F133+SUM(E$99:E133)=D$92,F133,D$92-SUM(E$99:E133))</f>
        <v>189728.48134085652</v>
      </c>
      <c r="E134" s="522">
        <f t="shared" si="22"/>
        <v>18759.047619047618</v>
      </c>
      <c r="F134" s="523">
        <f t="shared" si="23"/>
        <v>170969.43372180889</v>
      </c>
      <c r="G134" s="523">
        <f t="shared" si="24"/>
        <v>180348.95753133271</v>
      </c>
      <c r="H134" s="526">
        <f t="shared" si="25"/>
        <v>38159.876168205832</v>
      </c>
      <c r="I134" s="577">
        <f t="shared" si="26"/>
        <v>38159.876168205832</v>
      </c>
      <c r="J134" s="514">
        <f t="shared" si="21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 ht="12.5">
      <c r="B135" s="195" t="str">
        <f t="shared" si="20"/>
        <v/>
      </c>
      <c r="C135" s="507">
        <f>IF(D93="","-",+C134+1)</f>
        <v>2048</v>
      </c>
      <c r="D135" s="374">
        <f>IF(F134+SUM(E$99:E134)=D$92,F134,D$92-SUM(E$99:E134))</f>
        <v>170969.43372180889</v>
      </c>
      <c r="E135" s="522">
        <f t="shared" si="22"/>
        <v>18759.047619047618</v>
      </c>
      <c r="F135" s="523">
        <f t="shared" si="23"/>
        <v>152210.38610276126</v>
      </c>
      <c r="G135" s="523">
        <f t="shared" si="24"/>
        <v>161589.90991228507</v>
      </c>
      <c r="H135" s="526">
        <f t="shared" si="25"/>
        <v>36141.893521761041</v>
      </c>
      <c r="I135" s="577">
        <f t="shared" si="26"/>
        <v>36141.893521761041</v>
      </c>
      <c r="J135" s="514">
        <f t="shared" si="21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 ht="12.5">
      <c r="B136" s="195" t="str">
        <f t="shared" si="20"/>
        <v/>
      </c>
      <c r="C136" s="507">
        <f>IF(D93="","-",+C135+1)</f>
        <v>2049</v>
      </c>
      <c r="D136" s="374">
        <f>IF(F135+SUM(E$99:E135)=D$92,F135,D$92-SUM(E$99:E135))</f>
        <v>152210.38610276126</v>
      </c>
      <c r="E136" s="522">
        <f t="shared" si="22"/>
        <v>18759.047619047618</v>
      </c>
      <c r="F136" s="523">
        <f t="shared" si="23"/>
        <v>133451.33848371363</v>
      </c>
      <c r="G136" s="523">
        <f t="shared" si="24"/>
        <v>142830.86229323744</v>
      </c>
      <c r="H136" s="526">
        <f t="shared" si="25"/>
        <v>34123.910875316251</v>
      </c>
      <c r="I136" s="577">
        <f t="shared" si="26"/>
        <v>34123.910875316251</v>
      </c>
      <c r="J136" s="514">
        <f t="shared" si="21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 ht="12.5">
      <c r="B137" s="195" t="str">
        <f t="shared" si="20"/>
        <v/>
      </c>
      <c r="C137" s="507">
        <f>IF(D93="","-",+C136+1)</f>
        <v>2050</v>
      </c>
      <c r="D137" s="374">
        <f>IF(F136+SUM(E$99:E136)=D$92,F136,D$92-SUM(E$99:E136))</f>
        <v>133451.33848371363</v>
      </c>
      <c r="E137" s="522">
        <f t="shared" si="22"/>
        <v>18759.047619047618</v>
      </c>
      <c r="F137" s="523">
        <f t="shared" si="23"/>
        <v>114692.29086466601</v>
      </c>
      <c r="G137" s="523">
        <f t="shared" si="24"/>
        <v>124071.81467418981</v>
      </c>
      <c r="H137" s="526">
        <f t="shared" si="25"/>
        <v>32105.928228871464</v>
      </c>
      <c r="I137" s="577">
        <f t="shared" si="26"/>
        <v>32105.928228871464</v>
      </c>
      <c r="J137" s="514">
        <f t="shared" si="21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 ht="12.5">
      <c r="B138" s="195" t="str">
        <f t="shared" si="20"/>
        <v/>
      </c>
      <c r="C138" s="507">
        <f>IF(D93="","-",+C137+1)</f>
        <v>2051</v>
      </c>
      <c r="D138" s="374">
        <f>IF(F137+SUM(E$99:E137)=D$92,F137,D$92-SUM(E$99:E137))</f>
        <v>114692.29086466601</v>
      </c>
      <c r="E138" s="522">
        <f t="shared" si="22"/>
        <v>18759.047619047618</v>
      </c>
      <c r="F138" s="523">
        <f t="shared" si="23"/>
        <v>95933.243245618389</v>
      </c>
      <c r="G138" s="523">
        <f t="shared" si="24"/>
        <v>105312.76705514221</v>
      </c>
      <c r="H138" s="526">
        <f t="shared" si="25"/>
        <v>30087.945582426677</v>
      </c>
      <c r="I138" s="577">
        <f t="shared" si="26"/>
        <v>30087.945582426677</v>
      </c>
      <c r="J138" s="514">
        <f t="shared" si="21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 ht="12.5">
      <c r="B139" s="195" t="str">
        <f t="shared" si="20"/>
        <v/>
      </c>
      <c r="C139" s="507">
        <f>IF(D93="","-",+C138+1)</f>
        <v>2052</v>
      </c>
      <c r="D139" s="374">
        <f>IF(F138+SUM(E$99:E138)=D$92,F138,D$92-SUM(E$99:E138))</f>
        <v>95933.243245618389</v>
      </c>
      <c r="E139" s="522">
        <f t="shared" si="22"/>
        <v>18759.047619047618</v>
      </c>
      <c r="F139" s="523">
        <f t="shared" si="23"/>
        <v>77174.19562657077</v>
      </c>
      <c r="G139" s="523">
        <f t="shared" si="24"/>
        <v>86553.719436094572</v>
      </c>
      <c r="H139" s="526">
        <f t="shared" si="25"/>
        <v>28069.962935981886</v>
      </c>
      <c r="I139" s="577">
        <f t="shared" si="26"/>
        <v>28069.962935981886</v>
      </c>
      <c r="J139" s="514">
        <f t="shared" si="21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 ht="12.5">
      <c r="B140" s="195" t="str">
        <f t="shared" si="20"/>
        <v/>
      </c>
      <c r="C140" s="507">
        <f>IF(D93="","-",+C139+1)</f>
        <v>2053</v>
      </c>
      <c r="D140" s="374">
        <f>IF(F139+SUM(E$99:E139)=D$92,F139,D$92-SUM(E$99:E139))</f>
        <v>77174.19562657077</v>
      </c>
      <c r="E140" s="522">
        <f t="shared" si="22"/>
        <v>18759.047619047618</v>
      </c>
      <c r="F140" s="523">
        <f t="shared" si="23"/>
        <v>58415.148007523152</v>
      </c>
      <c r="G140" s="523">
        <f t="shared" si="24"/>
        <v>67794.671817046968</v>
      </c>
      <c r="H140" s="526">
        <f t="shared" si="25"/>
        <v>26051.980289537103</v>
      </c>
      <c r="I140" s="577">
        <f t="shared" si="26"/>
        <v>26051.980289537103</v>
      </c>
      <c r="J140" s="514">
        <f t="shared" si="21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 ht="12.5">
      <c r="B141" s="195" t="str">
        <f t="shared" si="20"/>
        <v/>
      </c>
      <c r="C141" s="507">
        <f>IF(D93="","-",+C140+1)</f>
        <v>2054</v>
      </c>
      <c r="D141" s="374">
        <f>IF(F140+SUM(E$99:E140)=D$92,F140,D$92-SUM(E$99:E140))</f>
        <v>58415.148007523152</v>
      </c>
      <c r="E141" s="522">
        <f t="shared" si="22"/>
        <v>18759.047619047618</v>
      </c>
      <c r="F141" s="523">
        <f t="shared" si="23"/>
        <v>39656.100388475534</v>
      </c>
      <c r="G141" s="523">
        <f t="shared" si="24"/>
        <v>49035.624197999343</v>
      </c>
      <c r="H141" s="526">
        <f t="shared" si="25"/>
        <v>24033.997643092313</v>
      </c>
      <c r="I141" s="577">
        <f t="shared" si="26"/>
        <v>24033.997643092313</v>
      </c>
      <c r="J141" s="514">
        <f t="shared" si="21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 ht="12.5">
      <c r="B142" s="195" t="str">
        <f t="shared" si="20"/>
        <v/>
      </c>
      <c r="C142" s="507">
        <f>IF(D93="","-",+C141+1)</f>
        <v>2055</v>
      </c>
      <c r="D142" s="374">
        <f>IF(F141+SUM(E$99:E141)=D$92,F141,D$92-SUM(E$99:E141))</f>
        <v>39656.100388475534</v>
      </c>
      <c r="E142" s="522">
        <f t="shared" si="22"/>
        <v>18759.047619047618</v>
      </c>
      <c r="F142" s="523">
        <f t="shared" si="23"/>
        <v>20897.052769427915</v>
      </c>
      <c r="G142" s="523">
        <f t="shared" si="24"/>
        <v>30276.576578951725</v>
      </c>
      <c r="H142" s="526">
        <f t="shared" si="25"/>
        <v>22016.014996647526</v>
      </c>
      <c r="I142" s="577">
        <f t="shared" si="26"/>
        <v>22016.014996647526</v>
      </c>
      <c r="J142" s="514">
        <f t="shared" si="21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 ht="12.5">
      <c r="B143" s="195" t="str">
        <f t="shared" si="20"/>
        <v>IU</v>
      </c>
      <c r="C143" s="507">
        <f>IF(D93="","-",+C142+1)</f>
        <v>2056</v>
      </c>
      <c r="D143" s="374">
        <f>IF(F142+SUM(E$99:E142)=D$92,F142,D$92-SUM(E$99:E142))</f>
        <v>20897.052769428468</v>
      </c>
      <c r="E143" s="522">
        <f t="shared" si="22"/>
        <v>18759.047619047618</v>
      </c>
      <c r="F143" s="523">
        <f t="shared" si="23"/>
        <v>2138.00515038085</v>
      </c>
      <c r="G143" s="523">
        <f t="shared" si="24"/>
        <v>11517.528959904659</v>
      </c>
      <c r="H143" s="526">
        <f t="shared" si="25"/>
        <v>19998.032350202797</v>
      </c>
      <c r="I143" s="577">
        <f t="shared" si="26"/>
        <v>19998.032350202797</v>
      </c>
      <c r="J143" s="514">
        <f t="shared" si="21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 ht="12.5">
      <c r="B144" s="195" t="str">
        <f t="shared" si="20"/>
        <v/>
      </c>
      <c r="C144" s="507">
        <f>IF(D93="","-",+C143+1)</f>
        <v>2057</v>
      </c>
      <c r="D144" s="374">
        <f>IF(F143+SUM(E$99:E143)=D$92,F143,D$92-SUM(E$99:E143))</f>
        <v>2138.00515038085</v>
      </c>
      <c r="E144" s="522">
        <f t="shared" si="22"/>
        <v>2138.00515038085</v>
      </c>
      <c r="F144" s="523">
        <f t="shared" si="23"/>
        <v>0</v>
      </c>
      <c r="G144" s="523">
        <f t="shared" si="24"/>
        <v>1069.002575190425</v>
      </c>
      <c r="H144" s="526">
        <f t="shared" si="25"/>
        <v>2253.001854347242</v>
      </c>
      <c r="I144" s="577">
        <f t="shared" si="26"/>
        <v>2253.001854347242</v>
      </c>
      <c r="J144" s="514">
        <f t="shared" si="21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 ht="12.5">
      <c r="B145" s="195" t="str">
        <f t="shared" si="20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 t="shared" si="22"/>
        <v>0</v>
      </c>
      <c r="F145" s="523">
        <f t="shared" si="23"/>
        <v>0</v>
      </c>
      <c r="G145" s="523">
        <f t="shared" si="24"/>
        <v>0</v>
      </c>
      <c r="H145" s="526">
        <f t="shared" si="25"/>
        <v>0</v>
      </c>
      <c r="I145" s="577">
        <f t="shared" si="26"/>
        <v>0</v>
      </c>
      <c r="J145" s="514">
        <f t="shared" si="21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 ht="12.5">
      <c r="B146" s="195" t="str">
        <f t="shared" si="20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 t="shared" si="22"/>
        <v>0</v>
      </c>
      <c r="F146" s="523">
        <f t="shared" si="23"/>
        <v>0</v>
      </c>
      <c r="G146" s="523">
        <f t="shared" si="24"/>
        <v>0</v>
      </c>
      <c r="H146" s="526">
        <f t="shared" si="25"/>
        <v>0</v>
      </c>
      <c r="I146" s="577">
        <f t="shared" si="26"/>
        <v>0</v>
      </c>
      <c r="J146" s="514">
        <f t="shared" si="21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 ht="12.5">
      <c r="B147" s="195" t="str">
        <f t="shared" si="20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 t="shared" si="22"/>
        <v>0</v>
      </c>
      <c r="F147" s="523">
        <f t="shared" si="23"/>
        <v>0</v>
      </c>
      <c r="G147" s="523">
        <f t="shared" si="24"/>
        <v>0</v>
      </c>
      <c r="H147" s="526">
        <f t="shared" si="25"/>
        <v>0</v>
      </c>
      <c r="I147" s="577">
        <f t="shared" si="26"/>
        <v>0</v>
      </c>
      <c r="J147" s="514">
        <f t="shared" si="21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 ht="12.5">
      <c r="B148" s="195" t="str">
        <f t="shared" si="20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 t="shared" si="22"/>
        <v>0</v>
      </c>
      <c r="F148" s="523">
        <f t="shared" si="23"/>
        <v>0</v>
      </c>
      <c r="G148" s="523">
        <f t="shared" si="24"/>
        <v>0</v>
      </c>
      <c r="H148" s="526">
        <f t="shared" si="25"/>
        <v>0</v>
      </c>
      <c r="I148" s="577">
        <f t="shared" si="26"/>
        <v>0</v>
      </c>
      <c r="J148" s="514">
        <f t="shared" si="21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 ht="12.5">
      <c r="B149" s="195" t="str">
        <f t="shared" si="20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 t="shared" si="22"/>
        <v>0</v>
      </c>
      <c r="F149" s="523">
        <f t="shared" si="23"/>
        <v>0</v>
      </c>
      <c r="G149" s="523">
        <f t="shared" si="24"/>
        <v>0</v>
      </c>
      <c r="H149" s="526">
        <f t="shared" si="25"/>
        <v>0</v>
      </c>
      <c r="I149" s="577">
        <f t="shared" si="26"/>
        <v>0</v>
      </c>
      <c r="J149" s="514">
        <f t="shared" si="21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 ht="12.5">
      <c r="B150" s="195" t="str">
        <f t="shared" si="20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 t="shared" si="22"/>
        <v>0</v>
      </c>
      <c r="F150" s="523">
        <f t="shared" si="23"/>
        <v>0</v>
      </c>
      <c r="G150" s="523">
        <f t="shared" si="24"/>
        <v>0</v>
      </c>
      <c r="H150" s="526">
        <f t="shared" si="25"/>
        <v>0</v>
      </c>
      <c r="I150" s="577">
        <f t="shared" si="26"/>
        <v>0</v>
      </c>
      <c r="J150" s="514">
        <f t="shared" si="21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 ht="12.5">
      <c r="B151" s="195" t="str">
        <f t="shared" si="20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 t="shared" si="22"/>
        <v>0</v>
      </c>
      <c r="F151" s="523">
        <f t="shared" si="23"/>
        <v>0</v>
      </c>
      <c r="G151" s="523">
        <f t="shared" si="24"/>
        <v>0</v>
      </c>
      <c r="H151" s="526">
        <f t="shared" si="25"/>
        <v>0</v>
      </c>
      <c r="I151" s="577">
        <f t="shared" si="26"/>
        <v>0</v>
      </c>
      <c r="J151" s="514">
        <f t="shared" si="21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 ht="12.5">
      <c r="B152" s="195" t="str">
        <f t="shared" si="20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 t="shared" si="22"/>
        <v>0</v>
      </c>
      <c r="F152" s="523">
        <f t="shared" si="23"/>
        <v>0</v>
      </c>
      <c r="G152" s="523">
        <f t="shared" si="24"/>
        <v>0</v>
      </c>
      <c r="H152" s="526">
        <f t="shared" si="25"/>
        <v>0</v>
      </c>
      <c r="I152" s="577">
        <f t="shared" si="26"/>
        <v>0</v>
      </c>
      <c r="J152" s="514">
        <f t="shared" si="21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 ht="12.5">
      <c r="B153" s="195" t="str">
        <f t="shared" si="20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 t="shared" si="22"/>
        <v>0</v>
      </c>
      <c r="F153" s="523">
        <f t="shared" si="23"/>
        <v>0</v>
      </c>
      <c r="G153" s="523">
        <f t="shared" si="24"/>
        <v>0</v>
      </c>
      <c r="H153" s="526">
        <f t="shared" si="25"/>
        <v>0</v>
      </c>
      <c r="I153" s="577">
        <f t="shared" si="26"/>
        <v>0</v>
      </c>
      <c r="J153" s="514">
        <f t="shared" si="21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" thickBot="1">
      <c r="B154" s="195" t="str">
        <f t="shared" si="20"/>
        <v/>
      </c>
      <c r="C154" s="527">
        <f>IF(D93="","-",+C153+1)</f>
        <v>2067</v>
      </c>
      <c r="D154" s="374">
        <f>IF(F153+SUM(E$99:E153)=D$92,F153,D$92-SUM(E$99:E153))</f>
        <v>0</v>
      </c>
      <c r="E154" s="522">
        <f t="shared" si="22"/>
        <v>0</v>
      </c>
      <c r="F154" s="523">
        <f t="shared" si="23"/>
        <v>0</v>
      </c>
      <c r="G154" s="523">
        <f t="shared" si="24"/>
        <v>0</v>
      </c>
      <c r="H154" s="526">
        <f t="shared" si="25"/>
        <v>0</v>
      </c>
      <c r="I154" s="577">
        <f t="shared" si="26"/>
        <v>0</v>
      </c>
      <c r="J154" s="514">
        <f t="shared" si="21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 ht="12.5">
      <c r="C155" s="374" t="s">
        <v>78</v>
      </c>
      <c r="D155" s="375"/>
      <c r="E155" s="375">
        <f>SUM(E99:E154)</f>
        <v>787880</v>
      </c>
      <c r="F155" s="375"/>
      <c r="G155" s="375"/>
      <c r="H155" s="375">
        <f>SUM(H99:H154)</f>
        <v>2612282.7345353952</v>
      </c>
      <c r="I155" s="375">
        <f>SUM(I99:I154)</f>
        <v>2612282.7345353952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6" priority="1" stopIfTrue="1" operator="equal">
      <formula>$I$10</formula>
    </cfRule>
  </conditionalFormatting>
  <conditionalFormatting sqref="C99:C154">
    <cfRule type="cellIs" dxfId="6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theme="9" tint="-0.249977111117893"/>
  </sheetPr>
  <dimension ref="A1:P162"/>
  <sheetViews>
    <sheetView view="pageBreakPreview" zoomScale="82" zoomScaleNormal="100" zoomScaleSheetLayoutView="82" workbookViewId="0">
      <selection activeCell="J103" sqref="J103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48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16295.552209349336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16295.552209349336</v>
      </c>
      <c r="O6" s="269"/>
      <c r="P6" s="269"/>
    </row>
    <row r="7" spans="1:16" ht="13.5" thickBot="1">
      <c r="C7" s="467" t="s">
        <v>48</v>
      </c>
      <c r="D7" s="624" t="s">
        <v>339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338</v>
      </c>
      <c r="E9" s="637" t="s">
        <v>400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160296.1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3816.5738095238098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629">
        <v>160296.1</v>
      </c>
      <c r="E17" s="638">
        <v>2862.4303571428577</v>
      </c>
      <c r="F17" s="629">
        <v>157433.66964285716</v>
      </c>
      <c r="G17" s="638">
        <v>24101.886744322466</v>
      </c>
      <c r="H17" s="639">
        <v>24101.886744322466</v>
      </c>
      <c r="I17" s="511">
        <v>0</v>
      </c>
      <c r="J17" s="511"/>
      <c r="K17" s="512">
        <f t="shared" ref="K17:K22" si="0">G17</f>
        <v>24101.886744322466</v>
      </c>
      <c r="L17" s="597">
        <f t="shared" ref="L17:L22" si="1">IF(K17&lt;&gt;0,+G17-K17,0)</f>
        <v>0</v>
      </c>
      <c r="M17" s="512">
        <f t="shared" ref="M17:M22" si="2">H17</f>
        <v>24101.886744322466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2011</v>
      </c>
      <c r="D18" s="631">
        <v>157433.66964285716</v>
      </c>
      <c r="E18" s="630">
        <v>3816.5738095238098</v>
      </c>
      <c r="F18" s="631">
        <v>153617.09583333335</v>
      </c>
      <c r="G18" s="630">
        <v>24541.134284286942</v>
      </c>
      <c r="H18" s="639">
        <v>24541.134284286942</v>
      </c>
      <c r="I18" s="511">
        <v>0</v>
      </c>
      <c r="J18" s="511"/>
      <c r="K18" s="518">
        <f t="shared" si="0"/>
        <v>24541.134284286942</v>
      </c>
      <c r="L18" s="519">
        <f t="shared" si="1"/>
        <v>0</v>
      </c>
      <c r="M18" s="518">
        <f t="shared" si="2"/>
        <v>24541.134284286942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631">
        <v>153617.09583333335</v>
      </c>
      <c r="E19" s="630">
        <v>3816.5738095238098</v>
      </c>
      <c r="F19" s="631">
        <v>149800.52202380955</v>
      </c>
      <c r="G19" s="630">
        <v>24026.238371870466</v>
      </c>
      <c r="H19" s="639">
        <v>24026.238371870466</v>
      </c>
      <c r="I19" s="511">
        <v>0</v>
      </c>
      <c r="J19" s="511"/>
      <c r="K19" s="518">
        <f t="shared" si="0"/>
        <v>24026.238371870466</v>
      </c>
      <c r="L19" s="519">
        <f t="shared" si="1"/>
        <v>0</v>
      </c>
      <c r="M19" s="518">
        <f t="shared" si="2"/>
        <v>24026.238371870466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31">
        <v>149800.52202380955</v>
      </c>
      <c r="E20" s="630">
        <v>3816.5738095238098</v>
      </c>
      <c r="F20" s="631">
        <v>145983.94821428575</v>
      </c>
      <c r="G20" s="630">
        <v>23511.342459453994</v>
      </c>
      <c r="H20" s="639">
        <v>23511.342459453994</v>
      </c>
      <c r="I20" s="511">
        <v>0</v>
      </c>
      <c r="J20" s="511"/>
      <c r="K20" s="518">
        <f t="shared" si="0"/>
        <v>23511.342459453994</v>
      </c>
      <c r="L20" s="519">
        <f t="shared" si="1"/>
        <v>0</v>
      </c>
      <c r="M20" s="518">
        <f t="shared" si="2"/>
        <v>23511.342459453994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2014</v>
      </c>
      <c r="D21" s="631">
        <v>145983.94821428575</v>
      </c>
      <c r="E21" s="630">
        <v>3816.5738095238098</v>
      </c>
      <c r="F21" s="631">
        <v>142167.37440476194</v>
      </c>
      <c r="G21" s="630">
        <v>22996.446547037518</v>
      </c>
      <c r="H21" s="639">
        <v>22996.446547037518</v>
      </c>
      <c r="I21" s="511">
        <v>0</v>
      </c>
      <c r="J21" s="511"/>
      <c r="K21" s="518">
        <f t="shared" si="0"/>
        <v>22996.446547037518</v>
      </c>
      <c r="L21" s="519">
        <f t="shared" si="1"/>
        <v>0</v>
      </c>
      <c r="M21" s="518">
        <f t="shared" si="2"/>
        <v>22996.446547037518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31">
        <v>142167.37440476194</v>
      </c>
      <c r="E22" s="630">
        <v>3816.5738095238098</v>
      </c>
      <c r="F22" s="631">
        <v>138350.80059523814</v>
      </c>
      <c r="G22" s="630">
        <v>22038.03846666696</v>
      </c>
      <c r="H22" s="639">
        <v>22038.03846666696</v>
      </c>
      <c r="I22" s="511">
        <v>0</v>
      </c>
      <c r="J22" s="511"/>
      <c r="K22" s="518">
        <f t="shared" si="0"/>
        <v>22038.03846666696</v>
      </c>
      <c r="L22" s="519">
        <f t="shared" si="1"/>
        <v>0</v>
      </c>
      <c r="M22" s="518">
        <f t="shared" si="2"/>
        <v>22038.03846666696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31">
        <v>138350.80059523814</v>
      </c>
      <c r="E23" s="630">
        <v>3816.5738095238098</v>
      </c>
      <c r="F23" s="631">
        <v>134534.22678571433</v>
      </c>
      <c r="G23" s="630">
        <v>21316.782668999032</v>
      </c>
      <c r="H23" s="639">
        <v>21316.782668999032</v>
      </c>
      <c r="I23" s="511">
        <f t="shared" ref="I23:I33" si="6">H23-G23</f>
        <v>0</v>
      </c>
      <c r="J23" s="511"/>
      <c r="K23" s="518">
        <f>G23</f>
        <v>21316.782668999032</v>
      </c>
      <c r="L23" s="519">
        <f>IF(K23&lt;&gt;0,+G23-K23,0)</f>
        <v>0</v>
      </c>
      <c r="M23" s="518">
        <f>H23</f>
        <v>21316.782668999032</v>
      </c>
      <c r="N23" s="514">
        <f>IF(M23&lt;&gt;0,+H23-M23,0)</f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31">
        <v>134534.22678571433</v>
      </c>
      <c r="E24" s="630">
        <v>3727.8162790697675</v>
      </c>
      <c r="F24" s="631">
        <v>130806.41050664456</v>
      </c>
      <c r="G24" s="630">
        <v>20164.678191842031</v>
      </c>
      <c r="H24" s="639">
        <v>20164.678191842031</v>
      </c>
      <c r="I24" s="511">
        <f t="shared" si="6"/>
        <v>0</v>
      </c>
      <c r="J24" s="511"/>
      <c r="K24" s="518">
        <f>G24</f>
        <v>20164.678191842031</v>
      </c>
      <c r="L24" s="519">
        <f>IF(K24&lt;&gt;0,+G24-K24,0)</f>
        <v>0</v>
      </c>
      <c r="M24" s="518">
        <f>H24</f>
        <v>20164.678191842031</v>
      </c>
      <c r="N24" s="514">
        <f>IF(M24&lt;&gt;0,+H24-M24,0)</f>
        <v>0</v>
      </c>
      <c r="O24" s="514">
        <f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31">
        <v>130806.41050664456</v>
      </c>
      <c r="E25" s="630">
        <v>3909.6609756097564</v>
      </c>
      <c r="F25" s="631">
        <v>126896.7495310348</v>
      </c>
      <c r="G25" s="630">
        <v>20285.936433586696</v>
      </c>
      <c r="H25" s="639">
        <v>20285.936433586696</v>
      </c>
      <c r="I25" s="511">
        <f t="shared" si="6"/>
        <v>0</v>
      </c>
      <c r="J25" s="511"/>
      <c r="K25" s="518">
        <f>G25</f>
        <v>20285.936433586696</v>
      </c>
      <c r="L25" s="519">
        <f>IF(K25&lt;&gt;0,+G25-K25,0)</f>
        <v>0</v>
      </c>
      <c r="M25" s="518">
        <f>H25</f>
        <v>20285.936433586696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31">
        <v>126896.7495310348</v>
      </c>
      <c r="E26" s="630">
        <v>3909.6609756097564</v>
      </c>
      <c r="F26" s="631">
        <v>122987.08855542504</v>
      </c>
      <c r="G26" s="630">
        <v>19789.041594776594</v>
      </c>
      <c r="H26" s="639">
        <v>19789.041594776594</v>
      </c>
      <c r="I26" s="511">
        <f t="shared" si="6"/>
        <v>0</v>
      </c>
      <c r="J26" s="511"/>
      <c r="K26" s="518">
        <f>G26</f>
        <v>19789.041594776594</v>
      </c>
      <c r="L26" s="519">
        <f>IF(K26&lt;&gt;0,+G26-K26,0)</f>
        <v>0</v>
      </c>
      <c r="M26" s="518">
        <f>H26</f>
        <v>19789.041594776594</v>
      </c>
      <c r="N26" s="514">
        <f t="shared" ref="N26:N72" si="7">IF(M26&lt;&gt;0,+H26-M26,0)</f>
        <v>0</v>
      </c>
      <c r="O26" s="514">
        <f t="shared" ref="O26:O72" si="8">+N26-L26</f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31">
        <v>122987.08855542504</v>
      </c>
      <c r="E27" s="630">
        <v>3909.6609756097564</v>
      </c>
      <c r="F27" s="631">
        <v>119077.42757981528</v>
      </c>
      <c r="G27" s="630">
        <v>16295.552209349336</v>
      </c>
      <c r="H27" s="639">
        <v>16295.552209349336</v>
      </c>
      <c r="I27" s="511">
        <f t="shared" si="6"/>
        <v>0</v>
      </c>
      <c r="J27" s="511"/>
      <c r="K27" s="518">
        <f>G27</f>
        <v>16295.552209349336</v>
      </c>
      <c r="L27" s="519">
        <f>IF(K27&lt;&gt;0,+G27-K27,0)</f>
        <v>0</v>
      </c>
      <c r="M27" s="518">
        <f>H27</f>
        <v>16295.552209349336</v>
      </c>
      <c r="N27" s="514">
        <f t="shared" si="7"/>
        <v>0</v>
      </c>
      <c r="O27" s="514">
        <f t="shared" si="8"/>
        <v>0</v>
      </c>
      <c r="P27" s="272"/>
    </row>
    <row r="28" spans="2:16" ht="12.5">
      <c r="B28" s="195" t="str">
        <f t="shared" si="5"/>
        <v/>
      </c>
      <c r="C28" s="507">
        <f>IF(D11="","-",+C27+1)</f>
        <v>2021</v>
      </c>
      <c r="D28" s="523">
        <f>IF(F27+SUM(E$17:E27)=D$10,F27,D$10-SUM(E$17:E27))</f>
        <v>119077.42757981528</v>
      </c>
      <c r="E28" s="522">
        <f>IF(+I14&lt;F27,I14,D28)</f>
        <v>3816.5738095238098</v>
      </c>
      <c r="F28" s="523">
        <f t="shared" ref="F28:F33" si="9">+D28-E28</f>
        <v>115260.85377029148</v>
      </c>
      <c r="G28" s="524">
        <f t="shared" ref="G28:G55" si="10">+I$12*((D28+F28)/2)+E28</f>
        <v>16332.344003692167</v>
      </c>
      <c r="H28" s="491">
        <f t="shared" ref="H28:H55" si="11">+I$13*((D28+F28)/2)+E28</f>
        <v>16332.344003692167</v>
      </c>
      <c r="I28" s="511">
        <f t="shared" si="6"/>
        <v>0</v>
      </c>
      <c r="J28" s="511"/>
      <c r="K28" s="525"/>
      <c r="L28" s="514">
        <f t="shared" ref="L28:L72" si="12">IF(K28&lt;&gt;0,+G28-K28,0)</f>
        <v>0</v>
      </c>
      <c r="M28" s="525"/>
      <c r="N28" s="514">
        <f t="shared" si="7"/>
        <v>0</v>
      </c>
      <c r="O28" s="514">
        <f t="shared" si="8"/>
        <v>0</v>
      </c>
      <c r="P28" s="272"/>
    </row>
    <row r="29" spans="2:16" ht="12.5">
      <c r="B29" s="195" t="str">
        <f t="shared" si="5"/>
        <v/>
      </c>
      <c r="C29" s="507">
        <f>IF(D11="","-",+C28+1)</f>
        <v>2022</v>
      </c>
      <c r="D29" s="523">
        <f>IF(F28+SUM(E$17:E28)=D$10,F28,D$10-SUM(E$17:E28))</f>
        <v>115260.85377029148</v>
      </c>
      <c r="E29" s="522">
        <f>IF(+I14&lt;F28,I14,D29)</f>
        <v>3816.5738095238098</v>
      </c>
      <c r="F29" s="523">
        <f t="shared" si="9"/>
        <v>111444.27996076767</v>
      </c>
      <c r="G29" s="524">
        <f t="shared" si="10"/>
        <v>15924.665322651435</v>
      </c>
      <c r="H29" s="491">
        <f t="shared" si="11"/>
        <v>15924.665322651435</v>
      </c>
      <c r="I29" s="511">
        <f t="shared" si="6"/>
        <v>0</v>
      </c>
      <c r="J29" s="511"/>
      <c r="K29" s="525"/>
      <c r="L29" s="514">
        <f t="shared" si="12"/>
        <v>0</v>
      </c>
      <c r="M29" s="525"/>
      <c r="N29" s="514">
        <f t="shared" si="7"/>
        <v>0</v>
      </c>
      <c r="O29" s="514">
        <f t="shared" si="8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111444.27996076767</v>
      </c>
      <c r="E30" s="522">
        <f>IF(+I14&lt;F29,I14,D30)</f>
        <v>3816.5738095238098</v>
      </c>
      <c r="F30" s="523">
        <f t="shared" si="9"/>
        <v>107627.70615124387</v>
      </c>
      <c r="G30" s="524">
        <f t="shared" si="10"/>
        <v>15516.986641610705</v>
      </c>
      <c r="H30" s="491">
        <f t="shared" si="11"/>
        <v>15516.986641610705</v>
      </c>
      <c r="I30" s="511">
        <f t="shared" si="6"/>
        <v>0</v>
      </c>
      <c r="J30" s="511"/>
      <c r="K30" s="525"/>
      <c r="L30" s="514">
        <f t="shared" si="12"/>
        <v>0</v>
      </c>
      <c r="M30" s="525"/>
      <c r="N30" s="514">
        <f t="shared" si="7"/>
        <v>0</v>
      </c>
      <c r="O30" s="514">
        <f t="shared" si="8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107627.70615124387</v>
      </c>
      <c r="E31" s="522">
        <f>IF(+I14&lt;F30,I14,D31)</f>
        <v>3816.5738095238098</v>
      </c>
      <c r="F31" s="523">
        <f t="shared" si="9"/>
        <v>103811.13234172006</v>
      </c>
      <c r="G31" s="524">
        <f t="shared" si="10"/>
        <v>15109.307960569975</v>
      </c>
      <c r="H31" s="491">
        <f t="shared" si="11"/>
        <v>15109.307960569975</v>
      </c>
      <c r="I31" s="511">
        <f t="shared" si="6"/>
        <v>0</v>
      </c>
      <c r="J31" s="511"/>
      <c r="K31" s="525"/>
      <c r="L31" s="514">
        <f t="shared" si="12"/>
        <v>0</v>
      </c>
      <c r="M31" s="525"/>
      <c r="N31" s="514">
        <f t="shared" si="7"/>
        <v>0</v>
      </c>
      <c r="O31" s="514">
        <f t="shared" si="8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103811.13234172006</v>
      </c>
      <c r="E32" s="522">
        <f>IF(+I14&lt;F31,I14,D32)</f>
        <v>3816.5738095238098</v>
      </c>
      <c r="F32" s="523">
        <f t="shared" si="9"/>
        <v>99994.558532196257</v>
      </c>
      <c r="G32" s="524">
        <f t="shared" si="10"/>
        <v>14701.629279529243</v>
      </c>
      <c r="H32" s="491">
        <f t="shared" si="11"/>
        <v>14701.629279529243</v>
      </c>
      <c r="I32" s="511">
        <f t="shared" si="6"/>
        <v>0</v>
      </c>
      <c r="J32" s="511"/>
      <c r="K32" s="525"/>
      <c r="L32" s="514">
        <f t="shared" si="12"/>
        <v>0</v>
      </c>
      <c r="M32" s="525"/>
      <c r="N32" s="514">
        <f t="shared" si="7"/>
        <v>0</v>
      </c>
      <c r="O32" s="514">
        <f t="shared" si="8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99994.558532196257</v>
      </c>
      <c r="E33" s="522">
        <f>IF(+I14&lt;F32,I14,D33)</f>
        <v>3816.5738095238098</v>
      </c>
      <c r="F33" s="523">
        <f t="shared" si="9"/>
        <v>96177.984722672452</v>
      </c>
      <c r="G33" s="524">
        <f t="shared" si="10"/>
        <v>14293.950598488513</v>
      </c>
      <c r="H33" s="491">
        <f t="shared" si="11"/>
        <v>14293.950598488513</v>
      </c>
      <c r="I33" s="511">
        <f t="shared" si="6"/>
        <v>0</v>
      </c>
      <c r="J33" s="511"/>
      <c r="K33" s="525"/>
      <c r="L33" s="514">
        <f t="shared" si="12"/>
        <v>0</v>
      </c>
      <c r="M33" s="525"/>
      <c r="N33" s="514">
        <f t="shared" si="7"/>
        <v>0</v>
      </c>
      <c r="O33" s="514">
        <f t="shared" si="8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96177.984722672452</v>
      </c>
      <c r="E34" s="522">
        <f>IF(+I14&lt;F33,I14,D34)</f>
        <v>3816.5738095238098</v>
      </c>
      <c r="F34" s="523">
        <f t="shared" ref="F34:F72" si="13">+D34-E34</f>
        <v>92361.410913148648</v>
      </c>
      <c r="G34" s="524">
        <f t="shared" si="10"/>
        <v>13886.271917447781</v>
      </c>
      <c r="H34" s="491">
        <f t="shared" si="11"/>
        <v>13886.271917447781</v>
      </c>
      <c r="I34" s="511">
        <f t="shared" ref="I34:I72" si="14">H34-G34</f>
        <v>0</v>
      </c>
      <c r="J34" s="511"/>
      <c r="K34" s="525"/>
      <c r="L34" s="514">
        <f t="shared" si="12"/>
        <v>0</v>
      </c>
      <c r="M34" s="525"/>
      <c r="N34" s="514">
        <f t="shared" si="7"/>
        <v>0</v>
      </c>
      <c r="O34" s="514">
        <f t="shared" si="8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92361.410913148648</v>
      </c>
      <c r="E35" s="522">
        <f>IF(+I14&lt;F34,I14,D35)</f>
        <v>3816.5738095238098</v>
      </c>
      <c r="F35" s="523">
        <f t="shared" si="13"/>
        <v>88544.837103624843</v>
      </c>
      <c r="G35" s="524">
        <f t="shared" si="10"/>
        <v>13478.59323640705</v>
      </c>
      <c r="H35" s="491">
        <f t="shared" si="11"/>
        <v>13478.59323640705</v>
      </c>
      <c r="I35" s="511">
        <f t="shared" si="14"/>
        <v>0</v>
      </c>
      <c r="J35" s="511"/>
      <c r="K35" s="525"/>
      <c r="L35" s="514">
        <f t="shared" si="12"/>
        <v>0</v>
      </c>
      <c r="M35" s="525"/>
      <c r="N35" s="514">
        <f t="shared" si="7"/>
        <v>0</v>
      </c>
      <c r="O35" s="514">
        <f t="shared" si="8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88544.837103624843</v>
      </c>
      <c r="E36" s="522">
        <f>IF(+I14&lt;F35,I14,D36)</f>
        <v>3816.5738095238098</v>
      </c>
      <c r="F36" s="523">
        <f t="shared" si="13"/>
        <v>84728.263294101038</v>
      </c>
      <c r="G36" s="524">
        <f t="shared" si="10"/>
        <v>13070.91455536632</v>
      </c>
      <c r="H36" s="491">
        <f t="shared" si="11"/>
        <v>13070.91455536632</v>
      </c>
      <c r="I36" s="511">
        <f t="shared" si="14"/>
        <v>0</v>
      </c>
      <c r="J36" s="511"/>
      <c r="K36" s="525"/>
      <c r="L36" s="514">
        <f t="shared" si="12"/>
        <v>0</v>
      </c>
      <c r="M36" s="525"/>
      <c r="N36" s="514">
        <f t="shared" si="7"/>
        <v>0</v>
      </c>
      <c r="O36" s="514">
        <f t="shared" si="8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84728.263294101038</v>
      </c>
      <c r="E37" s="522">
        <f>IF(+I14&lt;F36,I14,D37)</f>
        <v>3816.5738095238098</v>
      </c>
      <c r="F37" s="523">
        <f t="shared" si="13"/>
        <v>80911.689484577233</v>
      </c>
      <c r="G37" s="524">
        <f t="shared" si="10"/>
        <v>12663.235874325588</v>
      </c>
      <c r="H37" s="491">
        <f t="shared" si="11"/>
        <v>12663.235874325588</v>
      </c>
      <c r="I37" s="511">
        <f t="shared" si="14"/>
        <v>0</v>
      </c>
      <c r="J37" s="511"/>
      <c r="K37" s="525"/>
      <c r="L37" s="514">
        <f t="shared" si="12"/>
        <v>0</v>
      </c>
      <c r="M37" s="525"/>
      <c r="N37" s="514">
        <f t="shared" si="7"/>
        <v>0</v>
      </c>
      <c r="O37" s="514">
        <f t="shared" si="8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80911.689484577233</v>
      </c>
      <c r="E38" s="522">
        <f>IF(+I14&lt;F37,I14,D38)</f>
        <v>3816.5738095238098</v>
      </c>
      <c r="F38" s="523">
        <f t="shared" si="13"/>
        <v>77095.115675053428</v>
      </c>
      <c r="G38" s="524">
        <f t="shared" si="10"/>
        <v>12255.557193284858</v>
      </c>
      <c r="H38" s="491">
        <f t="shared" si="11"/>
        <v>12255.557193284858</v>
      </c>
      <c r="I38" s="511">
        <f t="shared" si="14"/>
        <v>0</v>
      </c>
      <c r="J38" s="511"/>
      <c r="K38" s="525"/>
      <c r="L38" s="514">
        <f t="shared" si="12"/>
        <v>0</v>
      </c>
      <c r="M38" s="525"/>
      <c r="N38" s="514">
        <f t="shared" si="7"/>
        <v>0</v>
      </c>
      <c r="O38" s="514">
        <f t="shared" si="8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77095.115675053428</v>
      </c>
      <c r="E39" s="522">
        <f>IF(+I14&lt;F38,I14,D39)</f>
        <v>3816.5738095238098</v>
      </c>
      <c r="F39" s="523">
        <f t="shared" si="13"/>
        <v>73278.541865529623</v>
      </c>
      <c r="G39" s="524">
        <f t="shared" si="10"/>
        <v>11847.878512244126</v>
      </c>
      <c r="H39" s="491">
        <f t="shared" si="11"/>
        <v>11847.878512244126</v>
      </c>
      <c r="I39" s="511">
        <f t="shared" si="14"/>
        <v>0</v>
      </c>
      <c r="J39" s="511"/>
      <c r="K39" s="525"/>
      <c r="L39" s="514">
        <f t="shared" si="12"/>
        <v>0</v>
      </c>
      <c r="M39" s="525"/>
      <c r="N39" s="514">
        <f t="shared" si="7"/>
        <v>0</v>
      </c>
      <c r="O39" s="514">
        <f t="shared" si="8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73278.541865529623</v>
      </c>
      <c r="E40" s="522">
        <f>IF(+I14&lt;F39,I14,D40)</f>
        <v>3816.5738095238098</v>
      </c>
      <c r="F40" s="523">
        <f t="shared" si="13"/>
        <v>69461.968056005819</v>
      </c>
      <c r="G40" s="524">
        <f t="shared" si="10"/>
        <v>11440.199831203396</v>
      </c>
      <c r="H40" s="491">
        <f t="shared" si="11"/>
        <v>11440.199831203396</v>
      </c>
      <c r="I40" s="511">
        <f t="shared" si="14"/>
        <v>0</v>
      </c>
      <c r="J40" s="511"/>
      <c r="K40" s="525"/>
      <c r="L40" s="514">
        <f t="shared" si="12"/>
        <v>0</v>
      </c>
      <c r="M40" s="525"/>
      <c r="N40" s="514">
        <f t="shared" si="7"/>
        <v>0</v>
      </c>
      <c r="O40" s="514">
        <f t="shared" si="8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69461.968056005819</v>
      </c>
      <c r="E41" s="522">
        <f>IF(+I14&lt;F40,I14,D41)</f>
        <v>3816.5738095238098</v>
      </c>
      <c r="F41" s="523">
        <f t="shared" si="13"/>
        <v>65645.394246482014</v>
      </c>
      <c r="G41" s="524">
        <f t="shared" si="10"/>
        <v>11032.521150162665</v>
      </c>
      <c r="H41" s="491">
        <f t="shared" si="11"/>
        <v>11032.521150162665</v>
      </c>
      <c r="I41" s="511">
        <f t="shared" si="14"/>
        <v>0</v>
      </c>
      <c r="J41" s="511"/>
      <c r="K41" s="525"/>
      <c r="L41" s="514">
        <f t="shared" si="12"/>
        <v>0</v>
      </c>
      <c r="M41" s="525"/>
      <c r="N41" s="514">
        <f t="shared" si="7"/>
        <v>0</v>
      </c>
      <c r="O41" s="514">
        <f t="shared" si="8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65645.394246482014</v>
      </c>
      <c r="E42" s="522">
        <f>IF(+I14&lt;F41,I14,D42)</f>
        <v>3816.5738095238098</v>
      </c>
      <c r="F42" s="523">
        <f t="shared" si="13"/>
        <v>61828.820436958202</v>
      </c>
      <c r="G42" s="524">
        <f t="shared" si="10"/>
        <v>10624.842469121933</v>
      </c>
      <c r="H42" s="491">
        <f t="shared" si="11"/>
        <v>10624.842469121933</v>
      </c>
      <c r="I42" s="511">
        <f t="shared" si="14"/>
        <v>0</v>
      </c>
      <c r="J42" s="511"/>
      <c r="K42" s="525"/>
      <c r="L42" s="514">
        <f t="shared" si="12"/>
        <v>0</v>
      </c>
      <c r="M42" s="525"/>
      <c r="N42" s="514">
        <f t="shared" si="7"/>
        <v>0</v>
      </c>
      <c r="O42" s="514">
        <f t="shared" si="8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61828.820436958202</v>
      </c>
      <c r="E43" s="522">
        <f>IF(+I14&lt;F42,I14,D43)</f>
        <v>3816.5738095238098</v>
      </c>
      <c r="F43" s="523">
        <f t="shared" si="13"/>
        <v>58012.24662743439</v>
      </c>
      <c r="G43" s="524">
        <f t="shared" si="10"/>
        <v>10217.163788081201</v>
      </c>
      <c r="H43" s="491">
        <f t="shared" si="11"/>
        <v>10217.163788081201</v>
      </c>
      <c r="I43" s="511">
        <f t="shared" si="14"/>
        <v>0</v>
      </c>
      <c r="J43" s="511"/>
      <c r="K43" s="525"/>
      <c r="L43" s="514">
        <f t="shared" si="12"/>
        <v>0</v>
      </c>
      <c r="M43" s="525"/>
      <c r="N43" s="514">
        <f t="shared" si="7"/>
        <v>0</v>
      </c>
      <c r="O43" s="514">
        <f t="shared" si="8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58012.24662743439</v>
      </c>
      <c r="E44" s="522">
        <f>IF(+I14&lt;F43,I14,D44)</f>
        <v>3816.5738095238098</v>
      </c>
      <c r="F44" s="523">
        <f t="shared" si="13"/>
        <v>54195.672817910578</v>
      </c>
      <c r="G44" s="524">
        <f t="shared" si="10"/>
        <v>9809.4851070404711</v>
      </c>
      <c r="H44" s="491">
        <f t="shared" si="11"/>
        <v>9809.4851070404711</v>
      </c>
      <c r="I44" s="511">
        <f t="shared" si="14"/>
        <v>0</v>
      </c>
      <c r="J44" s="511"/>
      <c r="K44" s="525"/>
      <c r="L44" s="514">
        <f t="shared" si="12"/>
        <v>0</v>
      </c>
      <c r="M44" s="525"/>
      <c r="N44" s="514">
        <f t="shared" si="7"/>
        <v>0</v>
      </c>
      <c r="O44" s="514">
        <f t="shared" si="8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54195.672817910578</v>
      </c>
      <c r="E45" s="522">
        <f>IF(+I14&lt;F44,I14,D45)</f>
        <v>3816.5738095238098</v>
      </c>
      <c r="F45" s="523">
        <f t="shared" si="13"/>
        <v>50379.099008386765</v>
      </c>
      <c r="G45" s="524">
        <f t="shared" si="10"/>
        <v>9401.8064259997373</v>
      </c>
      <c r="H45" s="491">
        <f t="shared" si="11"/>
        <v>9401.8064259997373</v>
      </c>
      <c r="I45" s="511">
        <f t="shared" si="14"/>
        <v>0</v>
      </c>
      <c r="J45" s="511"/>
      <c r="K45" s="525"/>
      <c r="L45" s="514">
        <f t="shared" si="12"/>
        <v>0</v>
      </c>
      <c r="M45" s="525"/>
      <c r="N45" s="514">
        <f t="shared" si="7"/>
        <v>0</v>
      </c>
      <c r="O45" s="514">
        <f t="shared" si="8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50379.099008386765</v>
      </c>
      <c r="E46" s="522">
        <f>IF(+I14&lt;F45,I14,D46)</f>
        <v>3816.5738095238098</v>
      </c>
      <c r="F46" s="523">
        <f t="shared" si="13"/>
        <v>46562.525198862953</v>
      </c>
      <c r="G46" s="524">
        <f t="shared" si="10"/>
        <v>8994.127744959007</v>
      </c>
      <c r="H46" s="491">
        <f t="shared" si="11"/>
        <v>8994.127744959007</v>
      </c>
      <c r="I46" s="511">
        <f t="shared" si="14"/>
        <v>0</v>
      </c>
      <c r="J46" s="511"/>
      <c r="K46" s="525"/>
      <c r="L46" s="514">
        <f t="shared" si="12"/>
        <v>0</v>
      </c>
      <c r="M46" s="525"/>
      <c r="N46" s="514">
        <f t="shared" si="7"/>
        <v>0</v>
      </c>
      <c r="O46" s="514">
        <f t="shared" si="8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46562.525198862953</v>
      </c>
      <c r="E47" s="522">
        <f>IF(+I14&lt;F46,I14,D47)</f>
        <v>3816.5738095238098</v>
      </c>
      <c r="F47" s="523">
        <f t="shared" si="13"/>
        <v>42745.951389339141</v>
      </c>
      <c r="G47" s="524">
        <f t="shared" si="10"/>
        <v>8586.449063918275</v>
      </c>
      <c r="H47" s="491">
        <f t="shared" si="11"/>
        <v>8586.449063918275</v>
      </c>
      <c r="I47" s="511">
        <f t="shared" si="14"/>
        <v>0</v>
      </c>
      <c r="J47" s="511"/>
      <c r="K47" s="525"/>
      <c r="L47" s="514">
        <f t="shared" si="12"/>
        <v>0</v>
      </c>
      <c r="M47" s="525"/>
      <c r="N47" s="514">
        <f t="shared" si="7"/>
        <v>0</v>
      </c>
      <c r="O47" s="514">
        <f t="shared" si="8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42745.951389339141</v>
      </c>
      <c r="E48" s="522">
        <f>IF(+I14&lt;F47,I14,D48)</f>
        <v>3816.5738095238098</v>
      </c>
      <c r="F48" s="523">
        <f t="shared" si="13"/>
        <v>38929.377579815329</v>
      </c>
      <c r="G48" s="524">
        <f t="shared" si="10"/>
        <v>8178.7703828775448</v>
      </c>
      <c r="H48" s="491">
        <f t="shared" si="11"/>
        <v>8178.7703828775448</v>
      </c>
      <c r="I48" s="511">
        <f t="shared" si="14"/>
        <v>0</v>
      </c>
      <c r="J48" s="511"/>
      <c r="K48" s="525"/>
      <c r="L48" s="514">
        <f t="shared" si="12"/>
        <v>0</v>
      </c>
      <c r="M48" s="525"/>
      <c r="N48" s="514">
        <f t="shared" si="7"/>
        <v>0</v>
      </c>
      <c r="O48" s="514">
        <f t="shared" si="8"/>
        <v>0</v>
      </c>
      <c r="P48" s="272"/>
    </row>
    <row r="49" spans="2:16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38929.377579815329</v>
      </c>
      <c r="E49" s="522">
        <f>IF(+I14&lt;F48,I14,D49)</f>
        <v>3816.5738095238098</v>
      </c>
      <c r="F49" s="523">
        <f t="shared" si="13"/>
        <v>35112.803770291517</v>
      </c>
      <c r="G49" s="524">
        <f t="shared" si="10"/>
        <v>7771.0917018368109</v>
      </c>
      <c r="H49" s="491">
        <f t="shared" si="11"/>
        <v>7771.0917018368109</v>
      </c>
      <c r="I49" s="511">
        <f t="shared" si="14"/>
        <v>0</v>
      </c>
      <c r="J49" s="511"/>
      <c r="K49" s="525"/>
      <c r="L49" s="514">
        <f t="shared" si="12"/>
        <v>0</v>
      </c>
      <c r="M49" s="525"/>
      <c r="N49" s="514">
        <f t="shared" si="7"/>
        <v>0</v>
      </c>
      <c r="O49" s="514">
        <f t="shared" si="8"/>
        <v>0</v>
      </c>
      <c r="P49" s="272"/>
    </row>
    <row r="50" spans="2:16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35112.803770291517</v>
      </c>
      <c r="E50" s="522">
        <f>IF(+I14&lt;F49,I14,D50)</f>
        <v>3816.5738095238098</v>
      </c>
      <c r="F50" s="523">
        <f t="shared" si="13"/>
        <v>31296.229960767709</v>
      </c>
      <c r="G50" s="524">
        <f t="shared" si="10"/>
        <v>7363.4130207960807</v>
      </c>
      <c r="H50" s="491">
        <f t="shared" si="11"/>
        <v>7363.4130207960807</v>
      </c>
      <c r="I50" s="511">
        <f t="shared" si="14"/>
        <v>0</v>
      </c>
      <c r="J50" s="511"/>
      <c r="K50" s="525"/>
      <c r="L50" s="514">
        <f t="shared" si="12"/>
        <v>0</v>
      </c>
      <c r="M50" s="525"/>
      <c r="N50" s="514">
        <f t="shared" si="7"/>
        <v>0</v>
      </c>
      <c r="O50" s="514">
        <f t="shared" si="8"/>
        <v>0</v>
      </c>
      <c r="P50" s="272"/>
    </row>
    <row r="51" spans="2:16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31296.229960767709</v>
      </c>
      <c r="E51" s="522">
        <f>IF(+I14&lt;F50,I14,D51)</f>
        <v>3816.5738095238098</v>
      </c>
      <c r="F51" s="523">
        <f t="shared" si="13"/>
        <v>27479.6561512439</v>
      </c>
      <c r="G51" s="524">
        <f t="shared" si="10"/>
        <v>6955.7343397553486</v>
      </c>
      <c r="H51" s="491">
        <f t="shared" si="11"/>
        <v>6955.7343397553486</v>
      </c>
      <c r="I51" s="511">
        <f t="shared" si="14"/>
        <v>0</v>
      </c>
      <c r="J51" s="511"/>
      <c r="K51" s="525"/>
      <c r="L51" s="514">
        <f t="shared" si="12"/>
        <v>0</v>
      </c>
      <c r="M51" s="525"/>
      <c r="N51" s="514">
        <f t="shared" si="7"/>
        <v>0</v>
      </c>
      <c r="O51" s="514">
        <f t="shared" si="8"/>
        <v>0</v>
      </c>
      <c r="P51" s="272"/>
    </row>
    <row r="52" spans="2:16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27479.6561512439</v>
      </c>
      <c r="E52" s="522">
        <f>IF(+I14&lt;F51,I14,D52)</f>
        <v>3816.5738095238098</v>
      </c>
      <c r="F52" s="523">
        <f t="shared" si="13"/>
        <v>23663.082341720092</v>
      </c>
      <c r="G52" s="524">
        <f t="shared" si="10"/>
        <v>6548.0556587146184</v>
      </c>
      <c r="H52" s="491">
        <f t="shared" si="11"/>
        <v>6548.0556587146184</v>
      </c>
      <c r="I52" s="511">
        <f t="shared" si="14"/>
        <v>0</v>
      </c>
      <c r="J52" s="511"/>
      <c r="K52" s="525"/>
      <c r="L52" s="514">
        <f t="shared" si="12"/>
        <v>0</v>
      </c>
      <c r="M52" s="525"/>
      <c r="N52" s="514">
        <f t="shared" si="7"/>
        <v>0</v>
      </c>
      <c r="O52" s="514">
        <f t="shared" si="8"/>
        <v>0</v>
      </c>
      <c r="P52" s="272"/>
    </row>
    <row r="53" spans="2:16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23663.082341720092</v>
      </c>
      <c r="E53" s="522">
        <f>IF(+I14&lt;F52,I14,D53)</f>
        <v>3816.5738095238098</v>
      </c>
      <c r="F53" s="523">
        <f t="shared" si="13"/>
        <v>19846.508532196283</v>
      </c>
      <c r="G53" s="524">
        <f t="shared" si="10"/>
        <v>6140.3769776738864</v>
      </c>
      <c r="H53" s="491">
        <f t="shared" si="11"/>
        <v>6140.3769776738864</v>
      </c>
      <c r="I53" s="511">
        <f t="shared" si="14"/>
        <v>0</v>
      </c>
      <c r="J53" s="511"/>
      <c r="K53" s="525"/>
      <c r="L53" s="514">
        <f t="shared" si="12"/>
        <v>0</v>
      </c>
      <c r="M53" s="525"/>
      <c r="N53" s="514">
        <f t="shared" si="7"/>
        <v>0</v>
      </c>
      <c r="O53" s="514">
        <f t="shared" si="8"/>
        <v>0</v>
      </c>
      <c r="P53" s="272"/>
    </row>
    <row r="54" spans="2:16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19846.508532196283</v>
      </c>
      <c r="E54" s="522">
        <f>IF(+I14&lt;F53,I14,D54)</f>
        <v>3816.5738095238098</v>
      </c>
      <c r="F54" s="523">
        <f t="shared" si="13"/>
        <v>16029.934722672473</v>
      </c>
      <c r="G54" s="524">
        <f t="shared" si="10"/>
        <v>5732.6982966331552</v>
      </c>
      <c r="H54" s="491">
        <f t="shared" si="11"/>
        <v>5732.6982966331552</v>
      </c>
      <c r="I54" s="511">
        <f t="shared" si="14"/>
        <v>0</v>
      </c>
      <c r="J54" s="511"/>
      <c r="K54" s="525"/>
      <c r="L54" s="514">
        <f t="shared" si="12"/>
        <v>0</v>
      </c>
      <c r="M54" s="525"/>
      <c r="N54" s="514">
        <f t="shared" si="7"/>
        <v>0</v>
      </c>
      <c r="O54" s="514">
        <f t="shared" si="8"/>
        <v>0</v>
      </c>
      <c r="P54" s="272"/>
    </row>
    <row r="55" spans="2:16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16029.934722672473</v>
      </c>
      <c r="E55" s="522">
        <f>IF(+I14&lt;F54,I14,D55)</f>
        <v>3816.5738095238098</v>
      </c>
      <c r="F55" s="523">
        <f t="shared" si="13"/>
        <v>12213.360913148663</v>
      </c>
      <c r="G55" s="524">
        <f t="shared" si="10"/>
        <v>5325.0196155924241</v>
      </c>
      <c r="H55" s="491">
        <f t="shared" si="11"/>
        <v>5325.0196155924241</v>
      </c>
      <c r="I55" s="511">
        <f t="shared" si="14"/>
        <v>0</v>
      </c>
      <c r="J55" s="511"/>
      <c r="K55" s="525"/>
      <c r="L55" s="514">
        <f t="shared" si="12"/>
        <v>0</v>
      </c>
      <c r="M55" s="525"/>
      <c r="N55" s="514">
        <f t="shared" si="7"/>
        <v>0</v>
      </c>
      <c r="O55" s="514">
        <f t="shared" si="8"/>
        <v>0</v>
      </c>
      <c r="P55" s="272"/>
    </row>
    <row r="56" spans="2:16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12213.360913148663</v>
      </c>
      <c r="E56" s="522">
        <f>IF(+I14&lt;F55,I14,D56)</f>
        <v>3816.5738095238098</v>
      </c>
      <c r="F56" s="523">
        <f t="shared" si="13"/>
        <v>8396.7871036248525</v>
      </c>
      <c r="G56" s="524">
        <f t="shared" ref="G56:G72" si="15">+I$12*((D56+F56)/2)+E56</f>
        <v>4917.340934551692</v>
      </c>
      <c r="H56" s="491">
        <f t="shared" ref="H56:H72" si="16">+I$13*((D56+F56)/2)+E56</f>
        <v>4917.340934551692</v>
      </c>
      <c r="I56" s="511">
        <f t="shared" si="14"/>
        <v>0</v>
      </c>
      <c r="J56" s="511"/>
      <c r="K56" s="525"/>
      <c r="L56" s="514">
        <f t="shared" si="12"/>
        <v>0</v>
      </c>
      <c r="M56" s="525"/>
      <c r="N56" s="514">
        <f t="shared" si="7"/>
        <v>0</v>
      </c>
      <c r="O56" s="514">
        <f t="shared" si="8"/>
        <v>0</v>
      </c>
      <c r="P56" s="272"/>
    </row>
    <row r="57" spans="2:16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8396.7871036248525</v>
      </c>
      <c r="E57" s="522">
        <f>IF(+I14&lt;F56,I14,D57)</f>
        <v>3816.5738095238098</v>
      </c>
      <c r="F57" s="523">
        <f t="shared" si="13"/>
        <v>4580.2132941010423</v>
      </c>
      <c r="G57" s="524">
        <f t="shared" si="15"/>
        <v>4509.6622535109609</v>
      </c>
      <c r="H57" s="491">
        <f t="shared" si="16"/>
        <v>4509.6622535109609</v>
      </c>
      <c r="I57" s="511">
        <f t="shared" si="14"/>
        <v>0</v>
      </c>
      <c r="J57" s="511"/>
      <c r="K57" s="525"/>
      <c r="L57" s="514">
        <f t="shared" si="12"/>
        <v>0</v>
      </c>
      <c r="M57" s="525"/>
      <c r="N57" s="514">
        <f t="shared" si="7"/>
        <v>0</v>
      </c>
      <c r="O57" s="514">
        <f t="shared" si="8"/>
        <v>0</v>
      </c>
      <c r="P57" s="272"/>
    </row>
    <row r="58" spans="2:16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4580.2132941010423</v>
      </c>
      <c r="E58" s="522">
        <f>IF(+I14&lt;F57,I14,D58)</f>
        <v>3816.5738095238098</v>
      </c>
      <c r="F58" s="523">
        <f t="shared" si="13"/>
        <v>763.63948457723245</v>
      </c>
      <c r="G58" s="524">
        <f t="shared" si="15"/>
        <v>4101.9835724702289</v>
      </c>
      <c r="H58" s="491">
        <f t="shared" si="16"/>
        <v>4101.9835724702289</v>
      </c>
      <c r="I58" s="511">
        <f t="shared" si="14"/>
        <v>0</v>
      </c>
      <c r="J58" s="511"/>
      <c r="K58" s="525"/>
      <c r="L58" s="514">
        <f t="shared" si="12"/>
        <v>0</v>
      </c>
      <c r="M58" s="525"/>
      <c r="N58" s="514">
        <f t="shared" si="7"/>
        <v>0</v>
      </c>
      <c r="O58" s="514">
        <f t="shared" si="8"/>
        <v>0</v>
      </c>
      <c r="P58" s="272"/>
    </row>
    <row r="59" spans="2:16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763.63948457723245</v>
      </c>
      <c r="E59" s="522">
        <f>IF(+I14&lt;F58,I14,D59)</f>
        <v>763.63948457723245</v>
      </c>
      <c r="F59" s="523">
        <f t="shared" si="13"/>
        <v>0</v>
      </c>
      <c r="G59" s="524">
        <f t="shared" si="15"/>
        <v>804.42469579025931</v>
      </c>
      <c r="H59" s="491">
        <f t="shared" si="16"/>
        <v>804.42469579025931</v>
      </c>
      <c r="I59" s="511">
        <f t="shared" si="14"/>
        <v>0</v>
      </c>
      <c r="J59" s="511"/>
      <c r="K59" s="525"/>
      <c r="L59" s="514">
        <f t="shared" si="12"/>
        <v>0</v>
      </c>
      <c r="M59" s="525"/>
      <c r="N59" s="514">
        <f t="shared" si="7"/>
        <v>0</v>
      </c>
      <c r="O59" s="514">
        <f t="shared" si="8"/>
        <v>0</v>
      </c>
      <c r="P59" s="272"/>
    </row>
    <row r="60" spans="2:16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3"/>
        <v>0</v>
      </c>
      <c r="G60" s="524">
        <f t="shared" si="15"/>
        <v>0</v>
      </c>
      <c r="H60" s="491">
        <f t="shared" si="16"/>
        <v>0</v>
      </c>
      <c r="I60" s="511">
        <f t="shared" si="14"/>
        <v>0</v>
      </c>
      <c r="J60" s="511"/>
      <c r="K60" s="525"/>
      <c r="L60" s="514">
        <f t="shared" si="12"/>
        <v>0</v>
      </c>
      <c r="M60" s="525"/>
      <c r="N60" s="514">
        <f t="shared" si="7"/>
        <v>0</v>
      </c>
      <c r="O60" s="514">
        <f t="shared" si="8"/>
        <v>0</v>
      </c>
      <c r="P60" s="272"/>
    </row>
    <row r="61" spans="2:16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3"/>
        <v>0</v>
      </c>
      <c r="G61" s="526">
        <f t="shared" si="15"/>
        <v>0</v>
      </c>
      <c r="H61" s="491">
        <f t="shared" si="16"/>
        <v>0</v>
      </c>
      <c r="I61" s="511">
        <f t="shared" si="14"/>
        <v>0</v>
      </c>
      <c r="J61" s="511"/>
      <c r="K61" s="525"/>
      <c r="L61" s="514">
        <f t="shared" si="12"/>
        <v>0</v>
      </c>
      <c r="M61" s="525"/>
      <c r="N61" s="514">
        <f t="shared" si="7"/>
        <v>0</v>
      </c>
      <c r="O61" s="514">
        <f t="shared" si="8"/>
        <v>0</v>
      </c>
      <c r="P61" s="272"/>
    </row>
    <row r="62" spans="2:16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3"/>
        <v>0</v>
      </c>
      <c r="G62" s="526">
        <f t="shared" si="15"/>
        <v>0</v>
      </c>
      <c r="H62" s="491">
        <f t="shared" si="16"/>
        <v>0</v>
      </c>
      <c r="I62" s="511">
        <f t="shared" si="14"/>
        <v>0</v>
      </c>
      <c r="J62" s="511"/>
      <c r="K62" s="525"/>
      <c r="L62" s="514">
        <f t="shared" si="12"/>
        <v>0</v>
      </c>
      <c r="M62" s="525"/>
      <c r="N62" s="514">
        <f t="shared" si="7"/>
        <v>0</v>
      </c>
      <c r="O62" s="514">
        <f t="shared" si="8"/>
        <v>0</v>
      </c>
      <c r="P62" s="272"/>
    </row>
    <row r="63" spans="2:16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3"/>
        <v>0</v>
      </c>
      <c r="G63" s="526">
        <f t="shared" si="15"/>
        <v>0</v>
      </c>
      <c r="H63" s="491">
        <f t="shared" si="16"/>
        <v>0</v>
      </c>
      <c r="I63" s="511">
        <f t="shared" si="14"/>
        <v>0</v>
      </c>
      <c r="J63" s="511"/>
      <c r="K63" s="525"/>
      <c r="L63" s="514">
        <f t="shared" si="12"/>
        <v>0</v>
      </c>
      <c r="M63" s="525"/>
      <c r="N63" s="514">
        <f t="shared" si="7"/>
        <v>0</v>
      </c>
      <c r="O63" s="514">
        <f t="shared" si="8"/>
        <v>0</v>
      </c>
      <c r="P63" s="272"/>
    </row>
    <row r="64" spans="2:16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3"/>
        <v>0</v>
      </c>
      <c r="G64" s="526">
        <f t="shared" si="15"/>
        <v>0</v>
      </c>
      <c r="H64" s="491">
        <f t="shared" si="16"/>
        <v>0</v>
      </c>
      <c r="I64" s="511">
        <f t="shared" si="14"/>
        <v>0</v>
      </c>
      <c r="J64" s="511"/>
      <c r="K64" s="525"/>
      <c r="L64" s="514">
        <f t="shared" si="12"/>
        <v>0</v>
      </c>
      <c r="M64" s="525"/>
      <c r="N64" s="514">
        <f t="shared" si="7"/>
        <v>0</v>
      </c>
      <c r="O64" s="514">
        <f t="shared" si="8"/>
        <v>0</v>
      </c>
      <c r="P64" s="272"/>
    </row>
    <row r="65" spans="2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3"/>
        <v>0</v>
      </c>
      <c r="G65" s="526">
        <f t="shared" si="15"/>
        <v>0</v>
      </c>
      <c r="H65" s="491">
        <f t="shared" si="16"/>
        <v>0</v>
      </c>
      <c r="I65" s="511">
        <f t="shared" si="14"/>
        <v>0</v>
      </c>
      <c r="J65" s="511"/>
      <c r="K65" s="525"/>
      <c r="L65" s="514">
        <f t="shared" si="12"/>
        <v>0</v>
      </c>
      <c r="M65" s="525"/>
      <c r="N65" s="514">
        <f t="shared" si="7"/>
        <v>0</v>
      </c>
      <c r="O65" s="514">
        <f t="shared" si="8"/>
        <v>0</v>
      </c>
      <c r="P65" s="272"/>
    </row>
    <row r="66" spans="2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3"/>
        <v>0</v>
      </c>
      <c r="G66" s="526">
        <f t="shared" si="15"/>
        <v>0</v>
      </c>
      <c r="H66" s="491">
        <f t="shared" si="16"/>
        <v>0</v>
      </c>
      <c r="I66" s="511">
        <f t="shared" si="14"/>
        <v>0</v>
      </c>
      <c r="J66" s="511"/>
      <c r="K66" s="525"/>
      <c r="L66" s="514">
        <f t="shared" si="12"/>
        <v>0</v>
      </c>
      <c r="M66" s="525"/>
      <c r="N66" s="514">
        <f t="shared" si="7"/>
        <v>0</v>
      </c>
      <c r="O66" s="514">
        <f t="shared" si="8"/>
        <v>0</v>
      </c>
      <c r="P66" s="272"/>
    </row>
    <row r="67" spans="2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3"/>
        <v>0</v>
      </c>
      <c r="G67" s="526">
        <f t="shared" si="15"/>
        <v>0</v>
      </c>
      <c r="H67" s="491">
        <f t="shared" si="16"/>
        <v>0</v>
      </c>
      <c r="I67" s="511">
        <f t="shared" si="14"/>
        <v>0</v>
      </c>
      <c r="J67" s="511"/>
      <c r="K67" s="525"/>
      <c r="L67" s="514">
        <f t="shared" si="12"/>
        <v>0</v>
      </c>
      <c r="M67" s="525"/>
      <c r="N67" s="514">
        <f t="shared" si="7"/>
        <v>0</v>
      </c>
      <c r="O67" s="514">
        <f t="shared" si="8"/>
        <v>0</v>
      </c>
      <c r="P67" s="272"/>
    </row>
    <row r="68" spans="2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3"/>
        <v>0</v>
      </c>
      <c r="G68" s="526">
        <f t="shared" si="15"/>
        <v>0</v>
      </c>
      <c r="H68" s="491">
        <f t="shared" si="16"/>
        <v>0</v>
      </c>
      <c r="I68" s="511">
        <f t="shared" si="14"/>
        <v>0</v>
      </c>
      <c r="J68" s="511"/>
      <c r="K68" s="525"/>
      <c r="L68" s="514">
        <f t="shared" si="12"/>
        <v>0</v>
      </c>
      <c r="M68" s="525"/>
      <c r="N68" s="514">
        <f t="shared" si="7"/>
        <v>0</v>
      </c>
      <c r="O68" s="514">
        <f t="shared" si="8"/>
        <v>0</v>
      </c>
      <c r="P68" s="272"/>
    </row>
    <row r="69" spans="2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3"/>
        <v>0</v>
      </c>
      <c r="G69" s="526">
        <f t="shared" si="15"/>
        <v>0</v>
      </c>
      <c r="H69" s="491">
        <f t="shared" si="16"/>
        <v>0</v>
      </c>
      <c r="I69" s="511">
        <f t="shared" si="14"/>
        <v>0</v>
      </c>
      <c r="J69" s="511"/>
      <c r="K69" s="525"/>
      <c r="L69" s="514">
        <f t="shared" si="12"/>
        <v>0</v>
      </c>
      <c r="M69" s="525"/>
      <c r="N69" s="514">
        <f t="shared" si="7"/>
        <v>0</v>
      </c>
      <c r="O69" s="514">
        <f t="shared" si="8"/>
        <v>0</v>
      </c>
      <c r="P69" s="272"/>
    </row>
    <row r="70" spans="2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3"/>
        <v>0</v>
      </c>
      <c r="G70" s="526">
        <f t="shared" si="15"/>
        <v>0</v>
      </c>
      <c r="H70" s="491">
        <f t="shared" si="16"/>
        <v>0</v>
      </c>
      <c r="I70" s="511">
        <f t="shared" si="14"/>
        <v>0</v>
      </c>
      <c r="J70" s="511"/>
      <c r="K70" s="525"/>
      <c r="L70" s="514">
        <f t="shared" si="12"/>
        <v>0</v>
      </c>
      <c r="M70" s="525"/>
      <c r="N70" s="514">
        <f t="shared" si="7"/>
        <v>0</v>
      </c>
      <c r="O70" s="514">
        <f t="shared" si="8"/>
        <v>0</v>
      </c>
      <c r="P70" s="272"/>
    </row>
    <row r="71" spans="2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3"/>
        <v>0</v>
      </c>
      <c r="G71" s="526">
        <f t="shared" si="15"/>
        <v>0</v>
      </c>
      <c r="H71" s="491">
        <f t="shared" si="16"/>
        <v>0</v>
      </c>
      <c r="I71" s="511">
        <f t="shared" si="14"/>
        <v>0</v>
      </c>
      <c r="J71" s="511"/>
      <c r="K71" s="525"/>
      <c r="L71" s="514">
        <f t="shared" si="12"/>
        <v>0</v>
      </c>
      <c r="M71" s="525"/>
      <c r="N71" s="514">
        <f t="shared" si="7"/>
        <v>0</v>
      </c>
      <c r="O71" s="514">
        <f t="shared" si="8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3"/>
        <v>0</v>
      </c>
      <c r="G72" s="530">
        <f t="shared" si="15"/>
        <v>0</v>
      </c>
      <c r="H72" s="471">
        <f t="shared" si="16"/>
        <v>0</v>
      </c>
      <c r="I72" s="531">
        <f t="shared" si="14"/>
        <v>0</v>
      </c>
      <c r="J72" s="511"/>
      <c r="K72" s="532"/>
      <c r="L72" s="533">
        <f t="shared" si="12"/>
        <v>0</v>
      </c>
      <c r="M72" s="532"/>
      <c r="N72" s="533">
        <f t="shared" si="7"/>
        <v>0</v>
      </c>
      <c r="O72" s="533">
        <f t="shared" si="8"/>
        <v>0</v>
      </c>
      <c r="P72" s="272"/>
    </row>
    <row r="73" spans="2:16" ht="12.5">
      <c r="C73" s="374" t="s">
        <v>78</v>
      </c>
      <c r="D73" s="375"/>
      <c r="E73" s="375">
        <f>SUM(E17:E72)</f>
        <v>160296.09999999998</v>
      </c>
      <c r="F73" s="375"/>
      <c r="G73" s="375">
        <f>SUM(G17:G72)</f>
        <v>556603.58009849954</v>
      </c>
      <c r="H73" s="375">
        <f>SUM(H17:H72)</f>
        <v>556603.58009849954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48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16295.552209349336</v>
      </c>
      <c r="N87" s="546">
        <f>IF(J92&lt;D11,0,VLOOKUP(J92,C17:O72,11))</f>
        <v>16295.552209349336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18867.657278370214</v>
      </c>
      <c r="N88" s="550">
        <f>IF(J92&lt;D11,0,VLOOKUP(J92,C99:P154,7))</f>
        <v>18867.657278370214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MINEOLA - NORTH MINEOLA 69KV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2572.1050690208776</v>
      </c>
      <c r="N89" s="555">
        <f>+N88-N87</f>
        <v>2572.1050690208776</v>
      </c>
      <c r="O89" s="556">
        <f>+O88-O87</f>
        <v>0</v>
      </c>
      <c r="P89" s="269"/>
    </row>
    <row r="90" spans="1:16" ht="13.5" thickBot="1">
      <c r="C90" s="534"/>
      <c r="D90" s="646" t="str">
        <f>S.047!D90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TP2007166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160296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3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3816.5714285714284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2010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17">IF(L99&lt;&gt;0,+H99-L99,0)</f>
        <v>0</v>
      </c>
      <c r="N99" s="512"/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 ht="12.5">
      <c r="B100" s="195" t="str">
        <f>IF(D100=F99,"","IU")</f>
        <v/>
      </c>
      <c r="C100" s="507">
        <f>IF(D93="","-",+C99+1)</f>
        <v>2011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17"/>
        <v>0</v>
      </c>
      <c r="N100" s="518"/>
      <c r="O100" s="514">
        <f t="shared" si="18"/>
        <v>0</v>
      </c>
      <c r="P100" s="514">
        <f t="shared" si="19"/>
        <v>0</v>
      </c>
    </row>
    <row r="101" spans="1:16" ht="12.5">
      <c r="B101" s="195" t="str">
        <f t="shared" ref="B101:B154" si="20">IF(D101=F100,"","IU")</f>
        <v/>
      </c>
      <c r="C101" s="507">
        <f>IF(D93="","-",+C100+1)</f>
        <v>2012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17"/>
        <v>0</v>
      </c>
      <c r="N101" s="518"/>
      <c r="O101" s="514">
        <f t="shared" si="18"/>
        <v>0</v>
      </c>
      <c r="P101" s="514">
        <f t="shared" si="19"/>
        <v>0</v>
      </c>
    </row>
    <row r="102" spans="1:16" ht="12.5">
      <c r="B102" s="195" t="str">
        <f t="shared" si="20"/>
        <v/>
      </c>
      <c r="C102" s="507">
        <f>IF(D93="","-",+C101+1)</f>
        <v>2013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17"/>
        <v>0</v>
      </c>
      <c r="N102" s="518"/>
      <c r="O102" s="514">
        <f t="shared" si="18"/>
        <v>0</v>
      </c>
      <c r="P102" s="514">
        <f t="shared" si="19"/>
        <v>0</v>
      </c>
    </row>
    <row r="103" spans="1:16" ht="12.5">
      <c r="B103" s="195" t="str">
        <f t="shared" si="20"/>
        <v/>
      </c>
      <c r="C103" s="507">
        <f>IF(D93="","-",+C102+1)</f>
        <v>2014</v>
      </c>
      <c r="D103" s="374"/>
      <c r="E103" s="522"/>
      <c r="F103" s="523"/>
      <c r="G103" s="523"/>
      <c r="H103" s="526"/>
      <c r="I103" s="577"/>
      <c r="J103" s="514"/>
      <c r="K103" s="514"/>
      <c r="L103" s="518"/>
      <c r="M103" s="514">
        <f t="shared" si="17"/>
        <v>0</v>
      </c>
      <c r="N103" s="518"/>
      <c r="O103" s="514">
        <f t="shared" si="18"/>
        <v>0</v>
      </c>
      <c r="P103" s="514">
        <f t="shared" si="19"/>
        <v>0</v>
      </c>
    </row>
    <row r="104" spans="1:16" ht="12.5">
      <c r="B104" s="195" t="str">
        <f t="shared" si="20"/>
        <v>IU</v>
      </c>
      <c r="C104" s="507">
        <f>IF(D93="","-",+C103+1)</f>
        <v>2015</v>
      </c>
      <c r="D104" s="629">
        <v>142167.37440476194</v>
      </c>
      <c r="E104" s="630">
        <v>3384.9374858276651</v>
      </c>
      <c r="F104" s="631">
        <v>138782.43691893428</v>
      </c>
      <c r="G104" s="631">
        <v>140474.90566184811</v>
      </c>
      <c r="H104" s="633">
        <v>21895.158174484655</v>
      </c>
      <c r="I104" s="634">
        <v>21895.158174484655</v>
      </c>
      <c r="J104" s="514">
        <f>+I104-H104</f>
        <v>0</v>
      </c>
      <c r="K104" s="514"/>
      <c r="L104" s="518">
        <f>+H104</f>
        <v>21895.158174484655</v>
      </c>
      <c r="M104" s="514">
        <f t="shared" si="17"/>
        <v>0</v>
      </c>
      <c r="N104" s="518">
        <f>+I104</f>
        <v>21895.158174484655</v>
      </c>
      <c r="O104" s="514">
        <f t="shared" si="18"/>
        <v>0</v>
      </c>
      <c r="P104" s="514">
        <f t="shared" si="19"/>
        <v>0</v>
      </c>
    </row>
    <row r="105" spans="1:16" ht="12.5">
      <c r="B105" s="195" t="str">
        <f t="shared" si="20"/>
        <v>IU</v>
      </c>
      <c r="C105" s="507">
        <f>IF(D93="","-",+C104+1)</f>
        <v>2016</v>
      </c>
      <c r="D105" s="629">
        <v>156911.06251417234</v>
      </c>
      <c r="E105" s="630">
        <v>3727.8139534883721</v>
      </c>
      <c r="F105" s="631">
        <v>153183.24856068398</v>
      </c>
      <c r="G105" s="631">
        <v>155047.15553742816</v>
      </c>
      <c r="H105" s="633">
        <v>23411.048533108711</v>
      </c>
      <c r="I105" s="634">
        <v>23411.048533108711</v>
      </c>
      <c r="J105" s="514">
        <f>+I105-H105</f>
        <v>0</v>
      </c>
      <c r="K105" s="514"/>
      <c r="L105" s="518">
        <f>+H105</f>
        <v>23411.048533108711</v>
      </c>
      <c r="M105" s="514">
        <f>IF(L105&lt;&gt;0,+H105-L105,0)</f>
        <v>0</v>
      </c>
      <c r="N105" s="518">
        <f>+I105</f>
        <v>23411.048533108711</v>
      </c>
      <c r="O105" s="514">
        <f>IF(N105&lt;&gt;0,+I105-N105,0)</f>
        <v>0</v>
      </c>
      <c r="P105" s="514">
        <f>+O105-M105</f>
        <v>0</v>
      </c>
    </row>
    <row r="106" spans="1:16" ht="12.5">
      <c r="B106" s="195" t="str">
        <f t="shared" si="20"/>
        <v/>
      </c>
      <c r="C106" s="507">
        <f>IF(D93="","-",+C105+1)</f>
        <v>2017</v>
      </c>
      <c r="D106" s="629">
        <v>153183.24856068398</v>
      </c>
      <c r="E106" s="630">
        <v>3816.5714285714284</v>
      </c>
      <c r="F106" s="631">
        <v>149366.67713211256</v>
      </c>
      <c r="G106" s="631">
        <v>151274.96284639827</v>
      </c>
      <c r="H106" s="633">
        <v>22192.161676613654</v>
      </c>
      <c r="I106" s="634">
        <v>22192.161676613654</v>
      </c>
      <c r="J106" s="514">
        <f t="shared" ref="J106:J154" si="21">+I106-H106</f>
        <v>0</v>
      </c>
      <c r="K106" s="514"/>
      <c r="L106" s="518">
        <f>+H106</f>
        <v>22192.161676613654</v>
      </c>
      <c r="M106" s="514">
        <f>IF(L106&lt;&gt;0,+H106-L106,0)</f>
        <v>0</v>
      </c>
      <c r="N106" s="518">
        <f>+I106</f>
        <v>22192.161676613654</v>
      </c>
      <c r="O106" s="514">
        <f>IF(N106&lt;&gt;0,+I106-N106,0)</f>
        <v>0</v>
      </c>
      <c r="P106" s="514">
        <f>+O106-M106</f>
        <v>0</v>
      </c>
    </row>
    <row r="107" spans="1:16" ht="12.5">
      <c r="B107" s="195" t="str">
        <f t="shared" si="20"/>
        <v/>
      </c>
      <c r="C107" s="507">
        <f>IF(D93="","-",+C106+1)</f>
        <v>2018</v>
      </c>
      <c r="D107" s="629">
        <v>149366.67713211256</v>
      </c>
      <c r="E107" s="630">
        <v>3816.5714285714284</v>
      </c>
      <c r="F107" s="631">
        <v>145550.10570354114</v>
      </c>
      <c r="G107" s="631">
        <v>147458.39141782685</v>
      </c>
      <c r="H107" s="633">
        <v>19388.853779903409</v>
      </c>
      <c r="I107" s="634">
        <v>19388.853779903409</v>
      </c>
      <c r="J107" s="514">
        <f t="shared" si="21"/>
        <v>0</v>
      </c>
      <c r="K107" s="514"/>
      <c r="L107" s="518">
        <f>+H107</f>
        <v>19388.853779903409</v>
      </c>
      <c r="M107" s="514">
        <f>IF(L107&lt;&gt;0,+H107-L107,0)</f>
        <v>0</v>
      </c>
      <c r="N107" s="518">
        <f>+I107</f>
        <v>19388.853779903409</v>
      </c>
      <c r="O107" s="514">
        <f>IF(N107&lt;&gt;0,+I107-N107,0)</f>
        <v>0</v>
      </c>
      <c r="P107" s="514">
        <f t="shared" si="19"/>
        <v>0</v>
      </c>
    </row>
    <row r="108" spans="1:16" ht="12.5">
      <c r="B108" s="195" t="str">
        <f t="shared" si="20"/>
        <v/>
      </c>
      <c r="C108" s="507">
        <f>IF(D93="","-",+C107+1)</f>
        <v>2019</v>
      </c>
      <c r="D108" s="629">
        <v>145550.10570354114</v>
      </c>
      <c r="E108" s="630">
        <v>3727.8139534883721</v>
      </c>
      <c r="F108" s="631">
        <v>141822.29175005277</v>
      </c>
      <c r="G108" s="631">
        <v>143686.19872679695</v>
      </c>
      <c r="H108" s="633">
        <v>19108.063195756004</v>
      </c>
      <c r="I108" s="634">
        <v>19108.063195756004</v>
      </c>
      <c r="J108" s="514">
        <f t="shared" si="21"/>
        <v>0</v>
      </c>
      <c r="K108" s="514"/>
      <c r="L108" s="518">
        <f>+H108</f>
        <v>19108.063195756004</v>
      </c>
      <c r="M108" s="514">
        <f>IF(L108&lt;&gt;0,+H108-L108,0)</f>
        <v>0</v>
      </c>
      <c r="N108" s="518">
        <f>+I108</f>
        <v>19108.063195756004</v>
      </c>
      <c r="O108" s="514">
        <f t="shared" si="18"/>
        <v>0</v>
      </c>
      <c r="P108" s="514">
        <f t="shared" si="19"/>
        <v>0</v>
      </c>
    </row>
    <row r="109" spans="1:16" ht="12.5">
      <c r="B109" s="195" t="str">
        <f t="shared" si="20"/>
        <v/>
      </c>
      <c r="C109" s="507">
        <f>IF(D93="","-",+C108+1)</f>
        <v>2020</v>
      </c>
      <c r="D109" s="374">
        <f>IF(F108+SUM(E$99:E108)=D$92,F108,D$92-SUM(E$99:E108))</f>
        <v>141822.29175005277</v>
      </c>
      <c r="E109" s="522">
        <f t="shared" ref="E109:E154" si="22">IF(+$J$96&lt;F108,$J$96,D109)</f>
        <v>3816.5714285714284</v>
      </c>
      <c r="F109" s="523">
        <f t="shared" ref="F109:F154" si="23">+D109-E109</f>
        <v>138005.72032148135</v>
      </c>
      <c r="G109" s="523">
        <f t="shared" ref="G109:G154" si="24">+(F109+D109)/2</f>
        <v>139914.00603576706</v>
      </c>
      <c r="H109" s="526">
        <f t="shared" ref="H109:H154" si="25">+J$94*G109+E109</f>
        <v>18867.657278370214</v>
      </c>
      <c r="I109" s="577">
        <f t="shared" ref="I109:I154" si="26">+J$95*G109+E109</f>
        <v>18867.657278370214</v>
      </c>
      <c r="J109" s="514">
        <f t="shared" si="21"/>
        <v>0</v>
      </c>
      <c r="K109" s="514"/>
      <c r="L109" s="525"/>
      <c r="M109" s="514">
        <f t="shared" si="17"/>
        <v>0</v>
      </c>
      <c r="N109" s="525"/>
      <c r="O109" s="514">
        <f t="shared" si="18"/>
        <v>0</v>
      </c>
      <c r="P109" s="514">
        <f t="shared" si="19"/>
        <v>0</v>
      </c>
    </row>
    <row r="110" spans="1:16" ht="12.5">
      <c r="B110" s="195" t="str">
        <f t="shared" si="20"/>
        <v/>
      </c>
      <c r="C110" s="507">
        <f>IF(D93="","-",+C109+1)</f>
        <v>2021</v>
      </c>
      <c r="D110" s="374">
        <f>IF(F109+SUM(E$99:E109)=D$92,F109,D$92-SUM(E$99:E109))</f>
        <v>138005.72032148135</v>
      </c>
      <c r="E110" s="522">
        <f t="shared" si="22"/>
        <v>3816.5714285714284</v>
      </c>
      <c r="F110" s="523">
        <f t="shared" si="23"/>
        <v>134189.14889290993</v>
      </c>
      <c r="G110" s="523">
        <f t="shared" si="24"/>
        <v>136097.43460719564</v>
      </c>
      <c r="H110" s="526">
        <f t="shared" si="25"/>
        <v>18457.094062785975</v>
      </c>
      <c r="I110" s="577">
        <f t="shared" si="26"/>
        <v>18457.094062785975</v>
      </c>
      <c r="J110" s="514">
        <f t="shared" si="21"/>
        <v>0</v>
      </c>
      <c r="K110" s="514"/>
      <c r="L110" s="525"/>
      <c r="M110" s="514">
        <f t="shared" si="17"/>
        <v>0</v>
      </c>
      <c r="N110" s="525"/>
      <c r="O110" s="514">
        <f t="shared" si="18"/>
        <v>0</v>
      </c>
      <c r="P110" s="514">
        <f t="shared" si="19"/>
        <v>0</v>
      </c>
    </row>
    <row r="111" spans="1:16" ht="12.5">
      <c r="B111" s="195" t="str">
        <f t="shared" si="20"/>
        <v/>
      </c>
      <c r="C111" s="507">
        <f>IF(D93="","-",+C110+1)</f>
        <v>2022</v>
      </c>
      <c r="D111" s="374">
        <f>IF(F110+SUM(E$99:E110)=D$92,F110,D$92-SUM(E$99:E110))</f>
        <v>134189.14889290993</v>
      </c>
      <c r="E111" s="522">
        <f t="shared" si="22"/>
        <v>3816.5714285714284</v>
      </c>
      <c r="F111" s="523">
        <f t="shared" si="23"/>
        <v>130372.57746433849</v>
      </c>
      <c r="G111" s="523">
        <f t="shared" si="24"/>
        <v>132280.86317862422</v>
      </c>
      <c r="H111" s="526">
        <f t="shared" si="25"/>
        <v>18046.530847201731</v>
      </c>
      <c r="I111" s="577">
        <f t="shared" si="26"/>
        <v>18046.530847201731</v>
      </c>
      <c r="J111" s="514">
        <f t="shared" si="21"/>
        <v>0</v>
      </c>
      <c r="K111" s="514"/>
      <c r="L111" s="525"/>
      <c r="M111" s="514">
        <f t="shared" si="17"/>
        <v>0</v>
      </c>
      <c r="N111" s="525"/>
      <c r="O111" s="514">
        <f t="shared" si="18"/>
        <v>0</v>
      </c>
      <c r="P111" s="514">
        <f t="shared" si="19"/>
        <v>0</v>
      </c>
    </row>
    <row r="112" spans="1:16" ht="12.5">
      <c r="B112" s="195" t="str">
        <f t="shared" si="20"/>
        <v/>
      </c>
      <c r="C112" s="507">
        <f>IF(D93="","-",+C111+1)</f>
        <v>2023</v>
      </c>
      <c r="D112" s="374">
        <f>IF(F111+SUM(E$99:E111)=D$92,F111,D$92-SUM(E$99:E111))</f>
        <v>130372.57746433849</v>
      </c>
      <c r="E112" s="522">
        <f t="shared" si="22"/>
        <v>3816.5714285714284</v>
      </c>
      <c r="F112" s="523">
        <f t="shared" si="23"/>
        <v>126556.00603576706</v>
      </c>
      <c r="G112" s="523">
        <f t="shared" si="24"/>
        <v>128464.29175005277</v>
      </c>
      <c r="H112" s="526">
        <f t="shared" si="25"/>
        <v>17635.967631617485</v>
      </c>
      <c r="I112" s="577">
        <f t="shared" si="26"/>
        <v>17635.967631617485</v>
      </c>
      <c r="J112" s="514">
        <f t="shared" si="21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 ht="12.5">
      <c r="B113" s="195" t="str">
        <f t="shared" si="20"/>
        <v/>
      </c>
      <c r="C113" s="507">
        <f>IF(D93="","-",+C112+1)</f>
        <v>2024</v>
      </c>
      <c r="D113" s="374">
        <f>IF(F112+SUM(E$99:E112)=D$92,F112,D$92-SUM(E$99:E112))</f>
        <v>126556.00603576706</v>
      </c>
      <c r="E113" s="522">
        <f t="shared" si="22"/>
        <v>3816.5714285714284</v>
      </c>
      <c r="F113" s="523">
        <f t="shared" si="23"/>
        <v>122739.43460719562</v>
      </c>
      <c r="G113" s="523">
        <f t="shared" si="24"/>
        <v>124647.72032148135</v>
      </c>
      <c r="H113" s="526">
        <f t="shared" si="25"/>
        <v>17225.404416033241</v>
      </c>
      <c r="I113" s="577">
        <f t="shared" si="26"/>
        <v>17225.404416033241</v>
      </c>
      <c r="J113" s="514">
        <f t="shared" si="21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 ht="12.5">
      <c r="B114" s="195" t="str">
        <f t="shared" si="20"/>
        <v/>
      </c>
      <c r="C114" s="507">
        <f>IF(D93="","-",+C113+1)</f>
        <v>2025</v>
      </c>
      <c r="D114" s="374">
        <f>IF(F113+SUM(E$99:E113)=D$92,F113,D$92-SUM(E$99:E113))</f>
        <v>122739.43460719562</v>
      </c>
      <c r="E114" s="522">
        <f t="shared" si="22"/>
        <v>3816.5714285714284</v>
      </c>
      <c r="F114" s="523">
        <f t="shared" si="23"/>
        <v>118922.86317862419</v>
      </c>
      <c r="G114" s="523">
        <f t="shared" si="24"/>
        <v>120831.1488929099</v>
      </c>
      <c r="H114" s="526">
        <f t="shared" si="25"/>
        <v>16814.841200448998</v>
      </c>
      <c r="I114" s="577">
        <f t="shared" si="26"/>
        <v>16814.841200448998</v>
      </c>
      <c r="J114" s="514">
        <f t="shared" si="21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 ht="12.5">
      <c r="B115" s="195" t="str">
        <f t="shared" si="20"/>
        <v/>
      </c>
      <c r="C115" s="507">
        <f>IF(D93="","-",+C114+1)</f>
        <v>2026</v>
      </c>
      <c r="D115" s="374">
        <f>IF(F114+SUM(E$99:E114)=D$92,F114,D$92-SUM(E$99:E114))</f>
        <v>118922.86317862419</v>
      </c>
      <c r="E115" s="522">
        <f t="shared" si="22"/>
        <v>3816.5714285714284</v>
      </c>
      <c r="F115" s="523">
        <f t="shared" si="23"/>
        <v>115106.29175005275</v>
      </c>
      <c r="G115" s="523">
        <f t="shared" si="24"/>
        <v>117014.57746433848</v>
      </c>
      <c r="H115" s="526">
        <f t="shared" si="25"/>
        <v>16404.277984864755</v>
      </c>
      <c r="I115" s="577">
        <f t="shared" si="26"/>
        <v>16404.277984864755</v>
      </c>
      <c r="J115" s="514">
        <f t="shared" si="21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 ht="12.5">
      <c r="B116" s="195" t="str">
        <f t="shared" si="20"/>
        <v/>
      </c>
      <c r="C116" s="507">
        <f>IF(D93="","-",+C115+1)</f>
        <v>2027</v>
      </c>
      <c r="D116" s="374">
        <f>IF(F115+SUM(E$99:E115)=D$92,F115,D$92-SUM(E$99:E115))</f>
        <v>115106.29175005275</v>
      </c>
      <c r="E116" s="522">
        <f t="shared" si="22"/>
        <v>3816.5714285714284</v>
      </c>
      <c r="F116" s="523">
        <f t="shared" si="23"/>
        <v>111289.72032148132</v>
      </c>
      <c r="G116" s="523">
        <f t="shared" si="24"/>
        <v>113198.00603576703</v>
      </c>
      <c r="H116" s="526">
        <f t="shared" si="25"/>
        <v>15993.714769280508</v>
      </c>
      <c r="I116" s="577">
        <f t="shared" si="26"/>
        <v>15993.714769280508</v>
      </c>
      <c r="J116" s="514">
        <f t="shared" si="21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 ht="12.5">
      <c r="B117" s="195" t="str">
        <f t="shared" si="20"/>
        <v/>
      </c>
      <c r="C117" s="507">
        <f>IF(D93="","-",+C116+1)</f>
        <v>2028</v>
      </c>
      <c r="D117" s="374">
        <f>IF(F116+SUM(E$99:E116)=D$92,F116,D$92-SUM(E$99:E116))</f>
        <v>111289.72032148132</v>
      </c>
      <c r="E117" s="522">
        <f t="shared" si="22"/>
        <v>3816.5714285714284</v>
      </c>
      <c r="F117" s="523">
        <f t="shared" si="23"/>
        <v>107473.14889290989</v>
      </c>
      <c r="G117" s="523">
        <f t="shared" si="24"/>
        <v>109381.43460719561</v>
      </c>
      <c r="H117" s="526">
        <f t="shared" si="25"/>
        <v>15583.151553696265</v>
      </c>
      <c r="I117" s="577">
        <f t="shared" si="26"/>
        <v>15583.151553696265</v>
      </c>
      <c r="J117" s="514">
        <f t="shared" si="21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 ht="12.5">
      <c r="B118" s="195" t="str">
        <f t="shared" si="20"/>
        <v/>
      </c>
      <c r="C118" s="507">
        <f>IF(D93="","-",+C117+1)</f>
        <v>2029</v>
      </c>
      <c r="D118" s="374">
        <f>IF(F117+SUM(E$99:E117)=D$92,F117,D$92-SUM(E$99:E117))</f>
        <v>107473.14889290989</v>
      </c>
      <c r="E118" s="522">
        <f t="shared" si="22"/>
        <v>3816.5714285714284</v>
      </c>
      <c r="F118" s="523">
        <f t="shared" si="23"/>
        <v>103656.57746433845</v>
      </c>
      <c r="G118" s="523">
        <f t="shared" si="24"/>
        <v>105564.86317862416</v>
      </c>
      <c r="H118" s="526">
        <f t="shared" si="25"/>
        <v>15172.588338112018</v>
      </c>
      <c r="I118" s="577">
        <f t="shared" si="26"/>
        <v>15172.588338112018</v>
      </c>
      <c r="J118" s="514">
        <f t="shared" si="21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 ht="12.5">
      <c r="B119" s="195" t="str">
        <f t="shared" si="20"/>
        <v/>
      </c>
      <c r="C119" s="507">
        <f>IF(D93="","-",+C118+1)</f>
        <v>2030</v>
      </c>
      <c r="D119" s="374">
        <f>IF(F118+SUM(E$99:E118)=D$92,F118,D$92-SUM(E$99:E118))</f>
        <v>103656.57746433845</v>
      </c>
      <c r="E119" s="522">
        <f t="shared" si="22"/>
        <v>3816.5714285714284</v>
      </c>
      <c r="F119" s="523">
        <f t="shared" si="23"/>
        <v>99840.006035767015</v>
      </c>
      <c r="G119" s="523">
        <f t="shared" si="24"/>
        <v>101748.29175005274</v>
      </c>
      <c r="H119" s="526">
        <f t="shared" si="25"/>
        <v>14762.025122527779</v>
      </c>
      <c r="I119" s="577">
        <f t="shared" si="26"/>
        <v>14762.025122527779</v>
      </c>
      <c r="J119" s="514">
        <f t="shared" si="21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 ht="12.5">
      <c r="B120" s="195" t="str">
        <f t="shared" si="20"/>
        <v/>
      </c>
      <c r="C120" s="507">
        <f>IF(D93="","-",+C119+1)</f>
        <v>2031</v>
      </c>
      <c r="D120" s="374">
        <f>IF(F119+SUM(E$99:E119)=D$92,F119,D$92-SUM(E$99:E119))</f>
        <v>99840.006035767015</v>
      </c>
      <c r="E120" s="522">
        <f t="shared" si="22"/>
        <v>3816.5714285714284</v>
      </c>
      <c r="F120" s="523">
        <f t="shared" si="23"/>
        <v>96023.434607195581</v>
      </c>
      <c r="G120" s="523">
        <f t="shared" si="24"/>
        <v>97931.720321481291</v>
      </c>
      <c r="H120" s="526">
        <f t="shared" si="25"/>
        <v>14351.461906943532</v>
      </c>
      <c r="I120" s="577">
        <f t="shared" si="26"/>
        <v>14351.461906943532</v>
      </c>
      <c r="J120" s="514">
        <f t="shared" si="21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 ht="12.5">
      <c r="B121" s="195" t="str">
        <f t="shared" si="20"/>
        <v/>
      </c>
      <c r="C121" s="507">
        <f>IF(D93="","-",+C120+1)</f>
        <v>2032</v>
      </c>
      <c r="D121" s="374">
        <f>IF(F120+SUM(E$99:E120)=D$92,F120,D$92-SUM(E$99:E120))</f>
        <v>96023.434607195581</v>
      </c>
      <c r="E121" s="522">
        <f t="shared" si="22"/>
        <v>3816.5714285714284</v>
      </c>
      <c r="F121" s="523">
        <f t="shared" si="23"/>
        <v>92206.863178624146</v>
      </c>
      <c r="G121" s="523">
        <f t="shared" si="24"/>
        <v>94115.14889290987</v>
      </c>
      <c r="H121" s="526">
        <f t="shared" si="25"/>
        <v>13940.898691359289</v>
      </c>
      <c r="I121" s="577">
        <f t="shared" si="26"/>
        <v>13940.898691359289</v>
      </c>
      <c r="J121" s="514">
        <f t="shared" si="21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 ht="12.5">
      <c r="B122" s="195" t="str">
        <f t="shared" si="20"/>
        <v/>
      </c>
      <c r="C122" s="507">
        <f>IF(D93="","-",+C121+1)</f>
        <v>2033</v>
      </c>
      <c r="D122" s="374">
        <f>IF(F121+SUM(E$99:E121)=D$92,F121,D$92-SUM(E$99:E121))</f>
        <v>92206.863178624146</v>
      </c>
      <c r="E122" s="522">
        <f t="shared" si="22"/>
        <v>3816.5714285714284</v>
      </c>
      <c r="F122" s="523">
        <f t="shared" si="23"/>
        <v>88390.291750052711</v>
      </c>
      <c r="G122" s="523">
        <f t="shared" si="24"/>
        <v>90298.577464338421</v>
      </c>
      <c r="H122" s="526">
        <f t="shared" si="25"/>
        <v>13530.335475775042</v>
      </c>
      <c r="I122" s="577">
        <f t="shared" si="26"/>
        <v>13530.335475775042</v>
      </c>
      <c r="J122" s="514">
        <f t="shared" si="21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 ht="12.5">
      <c r="B123" s="195" t="str">
        <f t="shared" si="20"/>
        <v/>
      </c>
      <c r="C123" s="507">
        <f>IF(D93="","-",+C122+1)</f>
        <v>2034</v>
      </c>
      <c r="D123" s="374">
        <f>IF(F122+SUM(E$99:E122)=D$92,F122,D$92-SUM(E$99:E122))</f>
        <v>88390.291750052711</v>
      </c>
      <c r="E123" s="522">
        <f t="shared" si="22"/>
        <v>3816.5714285714284</v>
      </c>
      <c r="F123" s="523">
        <f t="shared" si="23"/>
        <v>84573.720321481276</v>
      </c>
      <c r="G123" s="523">
        <f t="shared" si="24"/>
        <v>86482.006035767001</v>
      </c>
      <c r="H123" s="526">
        <f t="shared" si="25"/>
        <v>13119.772260190803</v>
      </c>
      <c r="I123" s="577">
        <f t="shared" si="26"/>
        <v>13119.772260190803</v>
      </c>
      <c r="J123" s="514">
        <f t="shared" si="21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 ht="12.5">
      <c r="B124" s="195" t="str">
        <f t="shared" si="20"/>
        <v/>
      </c>
      <c r="C124" s="507">
        <f>IF(D93="","-",+C123+1)</f>
        <v>2035</v>
      </c>
      <c r="D124" s="374">
        <f>IF(F123+SUM(E$99:E123)=D$92,F123,D$92-SUM(E$99:E123))</f>
        <v>84573.720321481276</v>
      </c>
      <c r="E124" s="522">
        <f t="shared" si="22"/>
        <v>3816.5714285714284</v>
      </c>
      <c r="F124" s="523">
        <f t="shared" si="23"/>
        <v>80757.148892909841</v>
      </c>
      <c r="G124" s="523">
        <f t="shared" si="24"/>
        <v>82665.434607195552</v>
      </c>
      <c r="H124" s="526">
        <f t="shared" si="25"/>
        <v>12709.209044606556</v>
      </c>
      <c r="I124" s="577">
        <f t="shared" si="26"/>
        <v>12709.209044606556</v>
      </c>
      <c r="J124" s="514">
        <f t="shared" si="21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 ht="12.5">
      <c r="B125" s="195" t="str">
        <f t="shared" si="20"/>
        <v/>
      </c>
      <c r="C125" s="507">
        <f>IF(D93="","-",+C124+1)</f>
        <v>2036</v>
      </c>
      <c r="D125" s="374">
        <f>IF(F124+SUM(E$99:E124)=D$92,F124,D$92-SUM(E$99:E124))</f>
        <v>80757.148892909841</v>
      </c>
      <c r="E125" s="522">
        <f t="shared" si="22"/>
        <v>3816.5714285714284</v>
      </c>
      <c r="F125" s="523">
        <f t="shared" si="23"/>
        <v>76940.577464338407</v>
      </c>
      <c r="G125" s="523">
        <f t="shared" si="24"/>
        <v>78848.863178624131</v>
      </c>
      <c r="H125" s="526">
        <f t="shared" si="25"/>
        <v>12298.645829022313</v>
      </c>
      <c r="I125" s="577">
        <f t="shared" si="26"/>
        <v>12298.645829022313</v>
      </c>
      <c r="J125" s="514">
        <f t="shared" si="21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 ht="12.5">
      <c r="B126" s="195" t="str">
        <f t="shared" si="20"/>
        <v/>
      </c>
      <c r="C126" s="507">
        <f>IF(D93="","-",+C125+1)</f>
        <v>2037</v>
      </c>
      <c r="D126" s="374">
        <f>IF(F125+SUM(E$99:E125)=D$92,F125,D$92-SUM(E$99:E125))</f>
        <v>76940.577464338407</v>
      </c>
      <c r="E126" s="522">
        <f t="shared" si="22"/>
        <v>3816.5714285714284</v>
      </c>
      <c r="F126" s="523">
        <f t="shared" si="23"/>
        <v>73124.006035766972</v>
      </c>
      <c r="G126" s="523">
        <f t="shared" si="24"/>
        <v>75032.291750052682</v>
      </c>
      <c r="H126" s="526">
        <f t="shared" si="25"/>
        <v>11888.082613438066</v>
      </c>
      <c r="I126" s="577">
        <f t="shared" si="26"/>
        <v>11888.082613438066</v>
      </c>
      <c r="J126" s="514">
        <f t="shared" si="21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 ht="12.5">
      <c r="B127" s="195" t="str">
        <f t="shared" si="20"/>
        <v/>
      </c>
      <c r="C127" s="507">
        <f>IF(D93="","-",+C126+1)</f>
        <v>2038</v>
      </c>
      <c r="D127" s="374">
        <f>IF(F126+SUM(E$99:E126)=D$92,F126,D$92-SUM(E$99:E126))</f>
        <v>73124.006035766972</v>
      </c>
      <c r="E127" s="522">
        <f t="shared" si="22"/>
        <v>3816.5714285714284</v>
      </c>
      <c r="F127" s="523">
        <f t="shared" si="23"/>
        <v>69307.434607195537</v>
      </c>
      <c r="G127" s="523">
        <f t="shared" si="24"/>
        <v>71215.720321481262</v>
      </c>
      <c r="H127" s="526">
        <f t="shared" si="25"/>
        <v>11477.519397853825</v>
      </c>
      <c r="I127" s="577">
        <f t="shared" si="26"/>
        <v>11477.519397853825</v>
      </c>
      <c r="J127" s="514">
        <f t="shared" si="21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 ht="12.5">
      <c r="B128" s="195" t="str">
        <f t="shared" si="20"/>
        <v/>
      </c>
      <c r="C128" s="507">
        <f>IF(D93="","-",+C127+1)</f>
        <v>2039</v>
      </c>
      <c r="D128" s="374">
        <f>IF(F127+SUM(E$99:E127)=D$92,F127,D$92-SUM(E$99:E127))</f>
        <v>69307.434607195537</v>
      </c>
      <c r="E128" s="522">
        <f t="shared" si="22"/>
        <v>3816.5714285714284</v>
      </c>
      <c r="F128" s="523">
        <f t="shared" si="23"/>
        <v>65490.863178624109</v>
      </c>
      <c r="G128" s="523">
        <f t="shared" si="24"/>
        <v>67399.148892909827</v>
      </c>
      <c r="H128" s="526">
        <f t="shared" si="25"/>
        <v>11066.95618226958</v>
      </c>
      <c r="I128" s="577">
        <f t="shared" si="26"/>
        <v>11066.95618226958</v>
      </c>
      <c r="J128" s="514">
        <f t="shared" si="21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 ht="12.5">
      <c r="B129" s="195" t="str">
        <f t="shared" si="20"/>
        <v/>
      </c>
      <c r="C129" s="507">
        <f>IF(D93="","-",+C128+1)</f>
        <v>2040</v>
      </c>
      <c r="D129" s="374">
        <f>IF(F128+SUM(E$99:E128)=D$92,F128,D$92-SUM(E$99:E128))</f>
        <v>65490.863178624109</v>
      </c>
      <c r="E129" s="522">
        <f t="shared" si="22"/>
        <v>3816.5714285714284</v>
      </c>
      <c r="F129" s="523">
        <f t="shared" si="23"/>
        <v>61674.291750052682</v>
      </c>
      <c r="G129" s="523">
        <f t="shared" si="24"/>
        <v>63582.577464338392</v>
      </c>
      <c r="H129" s="526">
        <f t="shared" si="25"/>
        <v>10656.392966685336</v>
      </c>
      <c r="I129" s="577">
        <f t="shared" si="26"/>
        <v>10656.392966685336</v>
      </c>
      <c r="J129" s="514">
        <f t="shared" si="21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 ht="12.5">
      <c r="B130" s="195" t="str">
        <f t="shared" si="20"/>
        <v/>
      </c>
      <c r="C130" s="507">
        <f>IF(D93="","-",+C129+1)</f>
        <v>2041</v>
      </c>
      <c r="D130" s="374">
        <f>IF(F129+SUM(E$99:E129)=D$92,F129,D$92-SUM(E$99:E129))</f>
        <v>61674.291750052682</v>
      </c>
      <c r="E130" s="522">
        <f t="shared" si="22"/>
        <v>3816.5714285714284</v>
      </c>
      <c r="F130" s="523">
        <f t="shared" si="23"/>
        <v>57857.720321481254</v>
      </c>
      <c r="G130" s="523">
        <f t="shared" si="24"/>
        <v>59766.006035766972</v>
      </c>
      <c r="H130" s="526">
        <f t="shared" si="25"/>
        <v>10245.829751101093</v>
      </c>
      <c r="I130" s="577">
        <f t="shared" si="26"/>
        <v>10245.829751101093</v>
      </c>
      <c r="J130" s="514">
        <f t="shared" si="21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 ht="12.5">
      <c r="B131" s="195" t="str">
        <f t="shared" si="20"/>
        <v/>
      </c>
      <c r="C131" s="507">
        <f>IF(D93="","-",+C130+1)</f>
        <v>2042</v>
      </c>
      <c r="D131" s="374">
        <f>IF(F130+SUM(E$99:E130)=D$92,F130,D$92-SUM(E$99:E130))</f>
        <v>57857.720321481254</v>
      </c>
      <c r="E131" s="522">
        <f t="shared" si="22"/>
        <v>3816.5714285714284</v>
      </c>
      <c r="F131" s="523">
        <f t="shared" si="23"/>
        <v>54041.148892909827</v>
      </c>
      <c r="G131" s="523">
        <f t="shared" si="24"/>
        <v>55949.434607195537</v>
      </c>
      <c r="H131" s="526">
        <f t="shared" si="25"/>
        <v>9835.2665355168501</v>
      </c>
      <c r="I131" s="577">
        <f t="shared" si="26"/>
        <v>9835.2665355168501</v>
      </c>
      <c r="J131" s="514">
        <f t="shared" si="21"/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 ht="12.5">
      <c r="B132" s="195" t="str">
        <f t="shared" si="20"/>
        <v/>
      </c>
      <c r="C132" s="507">
        <f>IF(D93="","-",+C131+1)</f>
        <v>2043</v>
      </c>
      <c r="D132" s="374">
        <f>IF(F131+SUM(E$99:E131)=D$92,F131,D$92-SUM(E$99:E131))</f>
        <v>54041.148892909827</v>
      </c>
      <c r="E132" s="522">
        <f t="shared" si="22"/>
        <v>3816.5714285714284</v>
      </c>
      <c r="F132" s="523">
        <f t="shared" si="23"/>
        <v>50224.577464338399</v>
      </c>
      <c r="G132" s="523">
        <f t="shared" si="24"/>
        <v>52132.863178624117</v>
      </c>
      <c r="H132" s="526">
        <f t="shared" si="25"/>
        <v>9424.703319932607</v>
      </c>
      <c r="I132" s="577">
        <f t="shared" si="26"/>
        <v>9424.703319932607</v>
      </c>
      <c r="J132" s="514">
        <f t="shared" si="21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 ht="12.5">
      <c r="B133" s="195" t="str">
        <f t="shared" si="20"/>
        <v/>
      </c>
      <c r="C133" s="507">
        <f>IF(D93="","-",+C132+1)</f>
        <v>2044</v>
      </c>
      <c r="D133" s="374">
        <f>IF(F132+SUM(E$99:E132)=D$92,F132,D$92-SUM(E$99:E132))</f>
        <v>50224.577464338399</v>
      </c>
      <c r="E133" s="522">
        <f t="shared" si="22"/>
        <v>3816.5714285714284</v>
      </c>
      <c r="F133" s="523">
        <f t="shared" si="23"/>
        <v>46408.006035766972</v>
      </c>
      <c r="G133" s="523">
        <f t="shared" si="24"/>
        <v>48316.291750052682</v>
      </c>
      <c r="H133" s="526">
        <f t="shared" si="25"/>
        <v>9014.1401043483638</v>
      </c>
      <c r="I133" s="577">
        <f t="shared" si="26"/>
        <v>9014.1401043483638</v>
      </c>
      <c r="J133" s="514">
        <f t="shared" si="21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 ht="12.5">
      <c r="B134" s="195" t="str">
        <f t="shared" si="20"/>
        <v/>
      </c>
      <c r="C134" s="507">
        <f>IF(D93="","-",+C133+1)</f>
        <v>2045</v>
      </c>
      <c r="D134" s="374">
        <f>IF(F133+SUM(E$99:E133)=D$92,F133,D$92-SUM(E$99:E133))</f>
        <v>46408.006035766972</v>
      </c>
      <c r="E134" s="522">
        <f t="shared" si="22"/>
        <v>3816.5714285714284</v>
      </c>
      <c r="F134" s="523">
        <f t="shared" si="23"/>
        <v>42591.434607195544</v>
      </c>
      <c r="G134" s="523">
        <f t="shared" si="24"/>
        <v>44499.720321481262</v>
      </c>
      <c r="H134" s="526">
        <f t="shared" si="25"/>
        <v>8603.5768887641207</v>
      </c>
      <c r="I134" s="577">
        <f t="shared" si="26"/>
        <v>8603.5768887641207</v>
      </c>
      <c r="J134" s="514">
        <f t="shared" si="21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 ht="12.5">
      <c r="B135" s="195" t="str">
        <f t="shared" si="20"/>
        <v/>
      </c>
      <c r="C135" s="507">
        <f>IF(D93="","-",+C134+1)</f>
        <v>2046</v>
      </c>
      <c r="D135" s="374">
        <f>IF(F134+SUM(E$99:E134)=D$92,F134,D$92-SUM(E$99:E134))</f>
        <v>42591.434607195544</v>
      </c>
      <c r="E135" s="522">
        <f t="shared" si="22"/>
        <v>3816.5714285714284</v>
      </c>
      <c r="F135" s="523">
        <f t="shared" si="23"/>
        <v>38774.863178624117</v>
      </c>
      <c r="G135" s="523">
        <f t="shared" si="24"/>
        <v>40683.148892909827</v>
      </c>
      <c r="H135" s="526">
        <f t="shared" si="25"/>
        <v>8193.0136731798775</v>
      </c>
      <c r="I135" s="577">
        <f t="shared" si="26"/>
        <v>8193.0136731798775</v>
      </c>
      <c r="J135" s="514">
        <f t="shared" si="21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 ht="12.5">
      <c r="B136" s="195" t="str">
        <f t="shared" si="20"/>
        <v/>
      </c>
      <c r="C136" s="507">
        <f>IF(D93="","-",+C135+1)</f>
        <v>2047</v>
      </c>
      <c r="D136" s="374">
        <f>IF(F135+SUM(E$99:E135)=D$92,F135,D$92-SUM(E$99:E135))</f>
        <v>38774.863178624117</v>
      </c>
      <c r="E136" s="522">
        <f t="shared" si="22"/>
        <v>3816.5714285714284</v>
      </c>
      <c r="F136" s="523">
        <f t="shared" si="23"/>
        <v>34958.291750052689</v>
      </c>
      <c r="G136" s="523">
        <f t="shared" si="24"/>
        <v>36866.577464338407</v>
      </c>
      <c r="H136" s="526">
        <f t="shared" si="25"/>
        <v>7782.4504575956335</v>
      </c>
      <c r="I136" s="577">
        <f t="shared" si="26"/>
        <v>7782.4504575956335</v>
      </c>
      <c r="J136" s="514">
        <f t="shared" si="21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 ht="12.5">
      <c r="B137" s="195" t="str">
        <f t="shared" si="20"/>
        <v/>
      </c>
      <c r="C137" s="507">
        <f>IF(D93="","-",+C136+1)</f>
        <v>2048</v>
      </c>
      <c r="D137" s="374">
        <f>IF(F136+SUM(E$99:E136)=D$92,F136,D$92-SUM(E$99:E136))</f>
        <v>34958.291750052689</v>
      </c>
      <c r="E137" s="522">
        <f t="shared" si="22"/>
        <v>3816.5714285714284</v>
      </c>
      <c r="F137" s="523">
        <f t="shared" si="23"/>
        <v>31141.720321481262</v>
      </c>
      <c r="G137" s="523">
        <f t="shared" si="24"/>
        <v>33050.006035766972</v>
      </c>
      <c r="H137" s="526">
        <f t="shared" si="25"/>
        <v>7371.8872420113894</v>
      </c>
      <c r="I137" s="577">
        <f t="shared" si="26"/>
        <v>7371.8872420113894</v>
      </c>
      <c r="J137" s="514">
        <f t="shared" si="21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 ht="12.5">
      <c r="B138" s="195" t="str">
        <f t="shared" si="20"/>
        <v/>
      </c>
      <c r="C138" s="507">
        <f>IF(D93="","-",+C137+1)</f>
        <v>2049</v>
      </c>
      <c r="D138" s="374">
        <f>IF(F137+SUM(E$99:E137)=D$92,F137,D$92-SUM(E$99:E137))</f>
        <v>31141.720321481262</v>
      </c>
      <c r="E138" s="522">
        <f t="shared" si="22"/>
        <v>3816.5714285714284</v>
      </c>
      <c r="F138" s="523">
        <f t="shared" si="23"/>
        <v>27325.148892909834</v>
      </c>
      <c r="G138" s="523">
        <f t="shared" si="24"/>
        <v>29233.434607195548</v>
      </c>
      <c r="H138" s="526">
        <f t="shared" si="25"/>
        <v>6961.3240264271462</v>
      </c>
      <c r="I138" s="577">
        <f t="shared" si="26"/>
        <v>6961.3240264271462</v>
      </c>
      <c r="J138" s="514">
        <f t="shared" si="21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 ht="12.5">
      <c r="B139" s="195" t="str">
        <f t="shared" si="20"/>
        <v/>
      </c>
      <c r="C139" s="507">
        <f>IF(D93="","-",+C138+1)</f>
        <v>2050</v>
      </c>
      <c r="D139" s="374">
        <f>IF(F138+SUM(E$99:E138)=D$92,F138,D$92-SUM(E$99:E138))</f>
        <v>27325.148892909834</v>
      </c>
      <c r="E139" s="522">
        <f t="shared" si="22"/>
        <v>3816.5714285714284</v>
      </c>
      <c r="F139" s="523">
        <f t="shared" si="23"/>
        <v>23508.577464338407</v>
      </c>
      <c r="G139" s="523">
        <f t="shared" si="24"/>
        <v>25416.86317862412</v>
      </c>
      <c r="H139" s="526">
        <f t="shared" si="25"/>
        <v>6550.7608108429031</v>
      </c>
      <c r="I139" s="577">
        <f t="shared" si="26"/>
        <v>6550.7608108429031</v>
      </c>
      <c r="J139" s="514">
        <f t="shared" si="21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 ht="12.5">
      <c r="B140" s="195" t="str">
        <f t="shared" si="20"/>
        <v/>
      </c>
      <c r="C140" s="507">
        <f>IF(D93="","-",+C139+1)</f>
        <v>2051</v>
      </c>
      <c r="D140" s="374">
        <f>IF(F139+SUM(E$99:E139)=D$92,F139,D$92-SUM(E$99:E139))</f>
        <v>23508.577464338407</v>
      </c>
      <c r="E140" s="522">
        <f t="shared" si="22"/>
        <v>3816.5714285714284</v>
      </c>
      <c r="F140" s="523">
        <f t="shared" si="23"/>
        <v>19692.006035766979</v>
      </c>
      <c r="G140" s="523">
        <f t="shared" si="24"/>
        <v>21600.291750052693</v>
      </c>
      <c r="H140" s="526">
        <f t="shared" si="25"/>
        <v>6140.1975952586599</v>
      </c>
      <c r="I140" s="577">
        <f t="shared" si="26"/>
        <v>6140.1975952586599</v>
      </c>
      <c r="J140" s="514">
        <f t="shared" si="21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 ht="12.5">
      <c r="B141" s="195" t="str">
        <f t="shared" si="20"/>
        <v/>
      </c>
      <c r="C141" s="507">
        <f>IF(D93="","-",+C140+1)</f>
        <v>2052</v>
      </c>
      <c r="D141" s="374">
        <f>IF(F140+SUM(E$99:E140)=D$92,F140,D$92-SUM(E$99:E140))</f>
        <v>19692.006035766979</v>
      </c>
      <c r="E141" s="522">
        <f t="shared" si="22"/>
        <v>3816.5714285714284</v>
      </c>
      <c r="F141" s="523">
        <f t="shared" si="23"/>
        <v>15875.434607195552</v>
      </c>
      <c r="G141" s="523">
        <f t="shared" si="24"/>
        <v>17783.720321481265</v>
      </c>
      <c r="H141" s="526">
        <f t="shared" si="25"/>
        <v>5729.6343796744168</v>
      </c>
      <c r="I141" s="577">
        <f t="shared" si="26"/>
        <v>5729.6343796744168</v>
      </c>
      <c r="J141" s="514">
        <f t="shared" si="21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 ht="12.5">
      <c r="B142" s="195" t="str">
        <f t="shared" si="20"/>
        <v/>
      </c>
      <c r="C142" s="507">
        <f>IF(D93="","-",+C141+1)</f>
        <v>2053</v>
      </c>
      <c r="D142" s="374">
        <f>IF(F141+SUM(E$99:E141)=D$92,F141,D$92-SUM(E$99:E141))</f>
        <v>15875.434607195552</v>
      </c>
      <c r="E142" s="522">
        <f t="shared" si="22"/>
        <v>3816.5714285714284</v>
      </c>
      <c r="F142" s="523">
        <f t="shared" si="23"/>
        <v>12058.863178624124</v>
      </c>
      <c r="G142" s="523">
        <f t="shared" si="24"/>
        <v>13967.148892909838</v>
      </c>
      <c r="H142" s="526">
        <f t="shared" si="25"/>
        <v>5319.0711640901736</v>
      </c>
      <c r="I142" s="577">
        <f t="shared" si="26"/>
        <v>5319.0711640901736</v>
      </c>
      <c r="J142" s="514">
        <f t="shared" si="21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 ht="12.5">
      <c r="B143" s="195" t="str">
        <f t="shared" si="20"/>
        <v/>
      </c>
      <c r="C143" s="507">
        <f>IF(D93="","-",+C142+1)</f>
        <v>2054</v>
      </c>
      <c r="D143" s="374">
        <f>IF(F142+SUM(E$99:E142)=D$92,F142,D$92-SUM(E$99:E142))</f>
        <v>12058.863178624124</v>
      </c>
      <c r="E143" s="522">
        <f t="shared" si="22"/>
        <v>3816.5714285714284</v>
      </c>
      <c r="F143" s="523">
        <f t="shared" si="23"/>
        <v>8242.2917500526964</v>
      </c>
      <c r="G143" s="523">
        <f t="shared" si="24"/>
        <v>10150.57746433841</v>
      </c>
      <c r="H143" s="526">
        <f t="shared" si="25"/>
        <v>4908.5079485059296</v>
      </c>
      <c r="I143" s="577">
        <f t="shared" si="26"/>
        <v>4908.5079485059296</v>
      </c>
      <c r="J143" s="514">
        <f t="shared" si="21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 ht="12.5">
      <c r="B144" s="195" t="str">
        <f t="shared" si="20"/>
        <v/>
      </c>
      <c r="C144" s="507">
        <f>IF(D93="","-",+C143+1)</f>
        <v>2055</v>
      </c>
      <c r="D144" s="374">
        <f>IF(F143+SUM(E$99:E143)=D$92,F143,D$92-SUM(E$99:E143))</f>
        <v>8242.2917500526964</v>
      </c>
      <c r="E144" s="522">
        <f t="shared" si="22"/>
        <v>3816.5714285714284</v>
      </c>
      <c r="F144" s="523">
        <f t="shared" si="23"/>
        <v>4425.720321481268</v>
      </c>
      <c r="G144" s="523">
        <f t="shared" si="24"/>
        <v>6334.0060357669827</v>
      </c>
      <c r="H144" s="526">
        <f t="shared" si="25"/>
        <v>4497.9447329216864</v>
      </c>
      <c r="I144" s="577">
        <f t="shared" si="26"/>
        <v>4497.9447329216864</v>
      </c>
      <c r="J144" s="514">
        <f t="shared" si="21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 ht="12.5">
      <c r="B145" s="195" t="str">
        <f t="shared" si="20"/>
        <v/>
      </c>
      <c r="C145" s="507">
        <f>IF(D93="","-",+C144+1)</f>
        <v>2056</v>
      </c>
      <c r="D145" s="374">
        <f>IF(F144+SUM(E$99:E144)=D$92,F144,D$92-SUM(E$99:E144))</f>
        <v>4425.720321481268</v>
      </c>
      <c r="E145" s="522">
        <f t="shared" si="22"/>
        <v>3816.5714285714284</v>
      </c>
      <c r="F145" s="523">
        <f t="shared" si="23"/>
        <v>609.14889290983956</v>
      </c>
      <c r="G145" s="523">
        <f t="shared" si="24"/>
        <v>2517.4346071955538</v>
      </c>
      <c r="H145" s="526">
        <f t="shared" si="25"/>
        <v>4087.3815173374428</v>
      </c>
      <c r="I145" s="577">
        <f t="shared" si="26"/>
        <v>4087.3815173374428</v>
      </c>
      <c r="J145" s="514">
        <f t="shared" si="21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 ht="12.5">
      <c r="B146" s="195" t="str">
        <f t="shared" si="20"/>
        <v/>
      </c>
      <c r="C146" s="507">
        <f>IF(D93="","-",+C145+1)</f>
        <v>2057</v>
      </c>
      <c r="D146" s="374">
        <f>IF(F145+SUM(E$99:E145)=D$92,F145,D$92-SUM(E$99:E145))</f>
        <v>609.14889290983956</v>
      </c>
      <c r="E146" s="522">
        <f t="shared" si="22"/>
        <v>609.14889290983956</v>
      </c>
      <c r="F146" s="523">
        <f t="shared" si="23"/>
        <v>0</v>
      </c>
      <c r="G146" s="523">
        <f t="shared" si="24"/>
        <v>304.57444645491978</v>
      </c>
      <c r="H146" s="526">
        <f t="shared" si="25"/>
        <v>641.91313339678595</v>
      </c>
      <c r="I146" s="577">
        <f t="shared" si="26"/>
        <v>641.91313339678595</v>
      </c>
      <c r="J146" s="514">
        <f t="shared" si="21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 ht="12.5">
      <c r="B147" s="195" t="str">
        <f t="shared" si="20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 t="shared" si="22"/>
        <v>0</v>
      </c>
      <c r="F147" s="523">
        <f t="shared" si="23"/>
        <v>0</v>
      </c>
      <c r="G147" s="523">
        <f t="shared" si="24"/>
        <v>0</v>
      </c>
      <c r="H147" s="526">
        <f t="shared" si="25"/>
        <v>0</v>
      </c>
      <c r="I147" s="577">
        <f t="shared" si="26"/>
        <v>0</v>
      </c>
      <c r="J147" s="514">
        <f t="shared" si="21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 ht="12.5">
      <c r="B148" s="195" t="str">
        <f t="shared" si="20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 t="shared" si="22"/>
        <v>0</v>
      </c>
      <c r="F148" s="523">
        <f t="shared" si="23"/>
        <v>0</v>
      </c>
      <c r="G148" s="523">
        <f t="shared" si="24"/>
        <v>0</v>
      </c>
      <c r="H148" s="526">
        <f t="shared" si="25"/>
        <v>0</v>
      </c>
      <c r="I148" s="577">
        <f t="shared" si="26"/>
        <v>0</v>
      </c>
      <c r="J148" s="514">
        <f t="shared" si="21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 ht="12.5">
      <c r="B149" s="195" t="str">
        <f t="shared" si="20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 t="shared" si="22"/>
        <v>0</v>
      </c>
      <c r="F149" s="523">
        <f t="shared" si="23"/>
        <v>0</v>
      </c>
      <c r="G149" s="523">
        <f t="shared" si="24"/>
        <v>0</v>
      </c>
      <c r="H149" s="526">
        <f t="shared" si="25"/>
        <v>0</v>
      </c>
      <c r="I149" s="577">
        <f t="shared" si="26"/>
        <v>0</v>
      </c>
      <c r="J149" s="514">
        <f t="shared" si="21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 ht="12.5">
      <c r="B150" s="195" t="str">
        <f t="shared" si="20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 t="shared" si="22"/>
        <v>0</v>
      </c>
      <c r="F150" s="523">
        <f t="shared" si="23"/>
        <v>0</v>
      </c>
      <c r="G150" s="523">
        <f t="shared" si="24"/>
        <v>0</v>
      </c>
      <c r="H150" s="526">
        <f t="shared" si="25"/>
        <v>0</v>
      </c>
      <c r="I150" s="577">
        <f t="shared" si="26"/>
        <v>0</v>
      </c>
      <c r="J150" s="514">
        <f t="shared" si="21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 ht="12.5">
      <c r="B151" s="195" t="str">
        <f t="shared" si="20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 t="shared" si="22"/>
        <v>0</v>
      </c>
      <c r="F151" s="523">
        <f t="shared" si="23"/>
        <v>0</v>
      </c>
      <c r="G151" s="523">
        <f t="shared" si="24"/>
        <v>0</v>
      </c>
      <c r="H151" s="526">
        <f t="shared" si="25"/>
        <v>0</v>
      </c>
      <c r="I151" s="577">
        <f t="shared" si="26"/>
        <v>0</v>
      </c>
      <c r="J151" s="514">
        <f t="shared" si="21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 ht="12.5">
      <c r="B152" s="195" t="str">
        <f t="shared" si="20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 t="shared" si="22"/>
        <v>0</v>
      </c>
      <c r="F152" s="523">
        <f t="shared" si="23"/>
        <v>0</v>
      </c>
      <c r="G152" s="523">
        <f t="shared" si="24"/>
        <v>0</v>
      </c>
      <c r="H152" s="526">
        <f t="shared" si="25"/>
        <v>0</v>
      </c>
      <c r="I152" s="577">
        <f t="shared" si="26"/>
        <v>0</v>
      </c>
      <c r="J152" s="514">
        <f t="shared" si="21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 ht="12.5">
      <c r="B153" s="195" t="str">
        <f t="shared" si="20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 t="shared" si="22"/>
        <v>0</v>
      </c>
      <c r="F153" s="523">
        <f t="shared" si="23"/>
        <v>0</v>
      </c>
      <c r="G153" s="523">
        <f t="shared" si="24"/>
        <v>0</v>
      </c>
      <c r="H153" s="526">
        <f t="shared" si="25"/>
        <v>0</v>
      </c>
      <c r="I153" s="577">
        <f t="shared" si="26"/>
        <v>0</v>
      </c>
      <c r="J153" s="514">
        <f t="shared" si="21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" thickBot="1">
      <c r="B154" s="195" t="str">
        <f t="shared" si="20"/>
        <v/>
      </c>
      <c r="C154" s="527">
        <f>IF(D93="","-",+C153+1)</f>
        <v>2065</v>
      </c>
      <c r="D154" s="374">
        <f>IF(F153+SUM(E$99:E153)=D$92,F153,D$92-SUM(E$99:E153))</f>
        <v>0</v>
      </c>
      <c r="E154" s="522">
        <f t="shared" si="22"/>
        <v>0</v>
      </c>
      <c r="F154" s="523">
        <f t="shared" si="23"/>
        <v>0</v>
      </c>
      <c r="G154" s="523">
        <f t="shared" si="24"/>
        <v>0</v>
      </c>
      <c r="H154" s="526">
        <f t="shared" si="25"/>
        <v>0</v>
      </c>
      <c r="I154" s="577">
        <f t="shared" si="26"/>
        <v>0</v>
      </c>
      <c r="J154" s="514">
        <f t="shared" si="21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 ht="12.5">
      <c r="C155" s="374" t="s">
        <v>78</v>
      </c>
      <c r="D155" s="375"/>
      <c r="E155" s="375">
        <f>SUM(E99:E154)</f>
        <v>160296</v>
      </c>
      <c r="F155" s="375"/>
      <c r="G155" s="375"/>
      <c r="H155" s="375">
        <f>SUM(H99:H154)</f>
        <v>531305.4162138548</v>
      </c>
      <c r="I155" s="375">
        <f>SUM(I99:I154)</f>
        <v>531305.4162138548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4" priority="1" stopIfTrue="1" operator="equal">
      <formula>$I$10</formula>
    </cfRule>
  </conditionalFormatting>
  <conditionalFormatting sqref="C99:C154">
    <cfRule type="cellIs" dxfId="6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tabColor theme="9" tint="-0.249977111117893"/>
  </sheetPr>
  <dimension ref="A1:P162"/>
  <sheetViews>
    <sheetView view="pageBreakPreview" topLeftCell="A4" zoomScale="82" zoomScaleNormal="100" zoomScaleSheetLayoutView="82" workbookViewId="0">
      <selection activeCell="L108" sqref="L108:N108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49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2440.2305931372539</v>
      </c>
      <c r="P5" s="269"/>
    </row>
    <row r="6" spans="1:16" ht="15.5">
      <c r="C6" s="274"/>
      <c r="D6" s="645" t="s">
        <v>358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2440.2305931372539</v>
      </c>
      <c r="O6" s="269"/>
      <c r="P6" s="269"/>
    </row>
    <row r="7" spans="1:16" ht="13.5" thickBot="1">
      <c r="C7" s="467" t="s">
        <v>48</v>
      </c>
      <c r="D7" s="624" t="s">
        <v>341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340</v>
      </c>
      <c r="E9" s="637"/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23215.78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552.75666666666666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629">
        <v>23215.78</v>
      </c>
      <c r="E17" s="638">
        <v>92.126111111111115</v>
      </c>
      <c r="F17" s="629">
        <v>23123.653888888886</v>
      </c>
      <c r="G17" s="638">
        <v>3211.7500098580754</v>
      </c>
      <c r="H17" s="639">
        <v>3211.7500098580754</v>
      </c>
      <c r="I17" s="511">
        <v>0</v>
      </c>
      <c r="J17" s="511"/>
      <c r="K17" s="512">
        <f t="shared" ref="K17:K22" si="0">G17</f>
        <v>3211.7500098580754</v>
      </c>
      <c r="L17" s="597">
        <f t="shared" ref="L17:L22" si="1">IF(K17&lt;&gt;0,+G17-K17,0)</f>
        <v>0</v>
      </c>
      <c r="M17" s="512">
        <f t="shared" ref="M17:M22" si="2">H17</f>
        <v>3211.7500098580754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631">
        <v>23215.78</v>
      </c>
      <c r="E18" s="630">
        <v>92.126111111111115</v>
      </c>
      <c r="F18" s="631">
        <v>23123.653888888886</v>
      </c>
      <c r="G18" s="630">
        <v>3211.7500098580754</v>
      </c>
      <c r="H18" s="639">
        <v>3211.7500098580754</v>
      </c>
      <c r="I18" s="511">
        <v>0</v>
      </c>
      <c r="J18" s="511"/>
      <c r="K18" s="518">
        <f t="shared" si="0"/>
        <v>3211.7500098580754</v>
      </c>
      <c r="L18" s="519">
        <f t="shared" si="1"/>
        <v>0</v>
      </c>
      <c r="M18" s="518">
        <f t="shared" si="2"/>
        <v>3211.7500098580754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631">
        <v>23123.653888888886</v>
      </c>
      <c r="E19" s="630">
        <v>552.75666666666666</v>
      </c>
      <c r="F19" s="631">
        <v>22570.897222222218</v>
      </c>
      <c r="G19" s="630">
        <v>3597.8078825750581</v>
      </c>
      <c r="H19" s="639">
        <v>3597.8078825750581</v>
      </c>
      <c r="I19" s="511">
        <v>0</v>
      </c>
      <c r="J19" s="511"/>
      <c r="K19" s="518">
        <f t="shared" si="0"/>
        <v>3597.8078825750581</v>
      </c>
      <c r="L19" s="519">
        <f t="shared" si="1"/>
        <v>0</v>
      </c>
      <c r="M19" s="518">
        <f t="shared" si="2"/>
        <v>3597.8078825750581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31">
        <v>22570.897222222218</v>
      </c>
      <c r="E20" s="630">
        <v>552.75666666666666</v>
      </c>
      <c r="F20" s="631">
        <v>22018.14055555555</v>
      </c>
      <c r="G20" s="630">
        <v>3523.2351997364849</v>
      </c>
      <c r="H20" s="639">
        <v>3523.2351997364849</v>
      </c>
      <c r="I20" s="511">
        <v>0</v>
      </c>
      <c r="J20" s="511"/>
      <c r="K20" s="518">
        <f t="shared" si="0"/>
        <v>3523.2351997364849</v>
      </c>
      <c r="L20" s="519">
        <f t="shared" si="1"/>
        <v>0</v>
      </c>
      <c r="M20" s="518">
        <f t="shared" si="2"/>
        <v>3523.2351997364849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2014</v>
      </c>
      <c r="D21" s="631">
        <v>22018.14055555555</v>
      </c>
      <c r="E21" s="630">
        <v>552.75666666666666</v>
      </c>
      <c r="F21" s="631">
        <v>21465.383888888882</v>
      </c>
      <c r="G21" s="630">
        <v>3448.6625168979117</v>
      </c>
      <c r="H21" s="639">
        <v>3448.6625168979117</v>
      </c>
      <c r="I21" s="511">
        <v>0</v>
      </c>
      <c r="J21" s="511"/>
      <c r="K21" s="518">
        <f t="shared" si="0"/>
        <v>3448.6625168979117</v>
      </c>
      <c r="L21" s="519">
        <f t="shared" si="1"/>
        <v>0</v>
      </c>
      <c r="M21" s="518">
        <f t="shared" si="2"/>
        <v>3448.6625168979117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31">
        <v>21465.383888888882</v>
      </c>
      <c r="E22" s="630">
        <v>552.75666666666666</v>
      </c>
      <c r="F22" s="631">
        <v>20912.627222222214</v>
      </c>
      <c r="G22" s="630">
        <v>3307.050072836138</v>
      </c>
      <c r="H22" s="639">
        <v>3307.050072836138</v>
      </c>
      <c r="I22" s="511">
        <f t="shared" ref="I22:I33" si="6">H22-G22</f>
        <v>0</v>
      </c>
      <c r="J22" s="511"/>
      <c r="K22" s="518">
        <f t="shared" si="0"/>
        <v>3307.050072836138</v>
      </c>
      <c r="L22" s="519">
        <f t="shared" si="1"/>
        <v>0</v>
      </c>
      <c r="M22" s="518">
        <f t="shared" si="2"/>
        <v>3307.050072836138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31">
        <v>20912.627222222214</v>
      </c>
      <c r="E23" s="630">
        <v>552.75666666666666</v>
      </c>
      <c r="F23" s="631">
        <v>20359.870555555546</v>
      </c>
      <c r="G23" s="630">
        <v>3201.1681199217446</v>
      </c>
      <c r="H23" s="639">
        <v>3201.1681199217446</v>
      </c>
      <c r="I23" s="511">
        <f t="shared" si="6"/>
        <v>0</v>
      </c>
      <c r="J23" s="511"/>
      <c r="K23" s="518">
        <f>G23</f>
        <v>3201.1681199217446</v>
      </c>
      <c r="L23" s="519">
        <f>IF(K23&lt;&gt;0,+G23-K23,0)</f>
        <v>0</v>
      </c>
      <c r="M23" s="518">
        <f>H23</f>
        <v>3201.1681199217446</v>
      </c>
      <c r="N23" s="514">
        <f>IF(M23&lt;&gt;0,+H23-M23,0)</f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31">
        <v>20359.870555555546</v>
      </c>
      <c r="E24" s="630">
        <v>539.90186046511621</v>
      </c>
      <c r="F24" s="631">
        <v>19819.968695090429</v>
      </c>
      <c r="G24" s="630">
        <v>3028.8929029965175</v>
      </c>
      <c r="H24" s="639">
        <v>3028.8929029965175</v>
      </c>
      <c r="I24" s="511">
        <f t="shared" si="6"/>
        <v>0</v>
      </c>
      <c r="J24" s="511"/>
      <c r="K24" s="518">
        <f>G24</f>
        <v>3028.8929029965175</v>
      </c>
      <c r="L24" s="519">
        <f>IF(K24&lt;&gt;0,+G24-K24,0)</f>
        <v>0</v>
      </c>
      <c r="M24" s="518">
        <f>H24</f>
        <v>3028.8929029965175</v>
      </c>
      <c r="N24" s="514">
        <f>IF(M24&lt;&gt;0,+H24-M24,0)</f>
        <v>0</v>
      </c>
      <c r="O24" s="514">
        <f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31">
        <v>19819.968695090429</v>
      </c>
      <c r="E25" s="630">
        <v>566.23853658536586</v>
      </c>
      <c r="F25" s="631">
        <v>19253.730158505063</v>
      </c>
      <c r="G25" s="630">
        <v>3049.2568103813055</v>
      </c>
      <c r="H25" s="639">
        <v>3049.2568103813055</v>
      </c>
      <c r="I25" s="511">
        <f t="shared" si="6"/>
        <v>0</v>
      </c>
      <c r="J25" s="511"/>
      <c r="K25" s="518">
        <f>G25</f>
        <v>3049.2568103813055</v>
      </c>
      <c r="L25" s="519">
        <f>IF(K25&lt;&gt;0,+G25-K25,0)</f>
        <v>0</v>
      </c>
      <c r="M25" s="518">
        <f>H25</f>
        <v>3049.2568103813055</v>
      </c>
      <c r="N25" s="514">
        <f t="shared" ref="N25:N72" si="7">IF(M25&lt;&gt;0,+H25-M25,0)</f>
        <v>0</v>
      </c>
      <c r="O25" s="514">
        <f t="shared" ref="O25:O72" si="8"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31">
        <v>19253.730158505063</v>
      </c>
      <c r="E26" s="630">
        <v>566.23853658536586</v>
      </c>
      <c r="F26" s="631">
        <v>18687.491621919697</v>
      </c>
      <c r="G26" s="630">
        <v>2977.2912337955331</v>
      </c>
      <c r="H26" s="639">
        <v>2977.2912337955331</v>
      </c>
      <c r="I26" s="511">
        <f t="shared" si="6"/>
        <v>0</v>
      </c>
      <c r="J26" s="511"/>
      <c r="K26" s="518">
        <f>G26</f>
        <v>2977.2912337955331</v>
      </c>
      <c r="L26" s="519">
        <f>IF(K26&lt;&gt;0,+G26-K26,0)</f>
        <v>0</v>
      </c>
      <c r="M26" s="518">
        <f>H26</f>
        <v>2977.2912337955331</v>
      </c>
      <c r="N26" s="514">
        <f t="shared" si="7"/>
        <v>0</v>
      </c>
      <c r="O26" s="514">
        <f t="shared" si="8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2020</v>
      </c>
      <c r="D27" s="631">
        <v>18595.365510808595</v>
      </c>
      <c r="E27" s="630">
        <v>566.23853658536586</v>
      </c>
      <c r="F27" s="631">
        <v>18029.126974223229</v>
      </c>
      <c r="G27" s="630">
        <v>2440.2305931372539</v>
      </c>
      <c r="H27" s="639">
        <v>2440.2305931372539</v>
      </c>
      <c r="I27" s="511">
        <f t="shared" si="6"/>
        <v>0</v>
      </c>
      <c r="J27" s="511"/>
      <c r="K27" s="518">
        <f>G27</f>
        <v>2440.2305931372539</v>
      </c>
      <c r="L27" s="519">
        <f>IF(K27&lt;&gt;0,+G27-K27,0)</f>
        <v>0</v>
      </c>
      <c r="M27" s="518">
        <f>H27</f>
        <v>2440.2305931372539</v>
      </c>
      <c r="N27" s="514">
        <f t="shared" si="7"/>
        <v>0</v>
      </c>
      <c r="O27" s="514">
        <f t="shared" si="8"/>
        <v>0</v>
      </c>
      <c r="P27" s="272"/>
    </row>
    <row r="28" spans="2:16" ht="12.5">
      <c r="B28" s="195" t="str">
        <f t="shared" si="5"/>
        <v/>
      </c>
      <c r="C28" s="507">
        <f>IF(D11="","-",+C27+1)</f>
        <v>2021</v>
      </c>
      <c r="D28" s="523">
        <f>IF(F27+SUM(E$17:E27)=D$10,F27,D$10-SUM(E$17:E27))</f>
        <v>18029.126974223229</v>
      </c>
      <c r="E28" s="522">
        <f>IF(+I14&lt;F27,I14,D28)</f>
        <v>552.75666666666666</v>
      </c>
      <c r="F28" s="523">
        <f t="shared" ref="F28:F33" si="9">+D28-E28</f>
        <v>17476.370307556561</v>
      </c>
      <c r="G28" s="524">
        <f t="shared" ref="G28:G54" si="10">+I$12*((D28+F28)/2)+E28</f>
        <v>2449.0693051660214</v>
      </c>
      <c r="H28" s="491">
        <f t="shared" ref="H28:H54" si="11">+I$13*((D28+F28)/2)+E28</f>
        <v>2449.0693051660214</v>
      </c>
      <c r="I28" s="511">
        <f t="shared" si="6"/>
        <v>0</v>
      </c>
      <c r="J28" s="511"/>
      <c r="K28" s="525"/>
      <c r="L28" s="514">
        <f t="shared" ref="L28:L72" si="12">IF(K28&lt;&gt;0,+G28-K28,0)</f>
        <v>0</v>
      </c>
      <c r="M28" s="525"/>
      <c r="N28" s="514">
        <f t="shared" si="7"/>
        <v>0</v>
      </c>
      <c r="O28" s="514">
        <f t="shared" si="8"/>
        <v>0</v>
      </c>
      <c r="P28" s="272"/>
    </row>
    <row r="29" spans="2:16" ht="12.5">
      <c r="B29" s="195" t="str">
        <f t="shared" si="5"/>
        <v/>
      </c>
      <c r="C29" s="507">
        <f>IF(D11="","-",+C28+1)</f>
        <v>2022</v>
      </c>
      <c r="D29" s="523">
        <f>IF(F28+SUM(E$17:E28)=D$10,F28,D$10-SUM(E$17:E28))</f>
        <v>17476.370307556561</v>
      </c>
      <c r="E29" s="522">
        <f>IF(+I14&lt;F28,I14,D29)</f>
        <v>552.75666666666666</v>
      </c>
      <c r="F29" s="523">
        <f t="shared" si="9"/>
        <v>16923.613640889893</v>
      </c>
      <c r="G29" s="524">
        <f t="shared" si="10"/>
        <v>2390.024958050079</v>
      </c>
      <c r="H29" s="491">
        <f t="shared" si="11"/>
        <v>2390.024958050079</v>
      </c>
      <c r="I29" s="511">
        <f t="shared" si="6"/>
        <v>0</v>
      </c>
      <c r="J29" s="511"/>
      <c r="K29" s="525"/>
      <c r="L29" s="514">
        <f t="shared" si="12"/>
        <v>0</v>
      </c>
      <c r="M29" s="525"/>
      <c r="N29" s="514">
        <f t="shared" si="7"/>
        <v>0</v>
      </c>
      <c r="O29" s="514">
        <f t="shared" si="8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16923.613640889893</v>
      </c>
      <c r="E30" s="522">
        <f>IF(+I14&lt;F29,I14,D30)</f>
        <v>552.75666666666666</v>
      </c>
      <c r="F30" s="523">
        <f t="shared" si="9"/>
        <v>16370.856974223227</v>
      </c>
      <c r="G30" s="524">
        <f t="shared" si="10"/>
        <v>2330.9806109341366</v>
      </c>
      <c r="H30" s="491">
        <f t="shared" si="11"/>
        <v>2330.9806109341366</v>
      </c>
      <c r="I30" s="511">
        <f t="shared" si="6"/>
        <v>0</v>
      </c>
      <c r="J30" s="511"/>
      <c r="K30" s="525"/>
      <c r="L30" s="514">
        <f t="shared" si="12"/>
        <v>0</v>
      </c>
      <c r="M30" s="525"/>
      <c r="N30" s="514">
        <f t="shared" si="7"/>
        <v>0</v>
      </c>
      <c r="O30" s="514">
        <f t="shared" si="8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16370.856974223227</v>
      </c>
      <c r="E31" s="522">
        <f>IF(+I14&lt;F30,I14,D31)</f>
        <v>552.75666666666666</v>
      </c>
      <c r="F31" s="523">
        <f t="shared" si="9"/>
        <v>15818.10030755656</v>
      </c>
      <c r="G31" s="524">
        <f t="shared" si="10"/>
        <v>2271.9362638181947</v>
      </c>
      <c r="H31" s="491">
        <f t="shared" si="11"/>
        <v>2271.9362638181947</v>
      </c>
      <c r="I31" s="511">
        <f t="shared" si="6"/>
        <v>0</v>
      </c>
      <c r="J31" s="511"/>
      <c r="K31" s="525"/>
      <c r="L31" s="514">
        <f t="shared" si="12"/>
        <v>0</v>
      </c>
      <c r="M31" s="525"/>
      <c r="N31" s="514">
        <f t="shared" si="7"/>
        <v>0</v>
      </c>
      <c r="O31" s="514">
        <f t="shared" si="8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15818.10030755656</v>
      </c>
      <c r="E32" s="522">
        <f>IF(+I14&lt;F31,I14,D32)</f>
        <v>552.75666666666666</v>
      </c>
      <c r="F32" s="523">
        <f t="shared" si="9"/>
        <v>15265.343640889894</v>
      </c>
      <c r="G32" s="524">
        <f t="shared" si="10"/>
        <v>2212.8919167022523</v>
      </c>
      <c r="H32" s="491">
        <f t="shared" si="11"/>
        <v>2212.8919167022523</v>
      </c>
      <c r="I32" s="511">
        <f t="shared" si="6"/>
        <v>0</v>
      </c>
      <c r="J32" s="511"/>
      <c r="K32" s="525"/>
      <c r="L32" s="514">
        <f t="shared" si="12"/>
        <v>0</v>
      </c>
      <c r="M32" s="525"/>
      <c r="N32" s="514">
        <f t="shared" si="7"/>
        <v>0</v>
      </c>
      <c r="O32" s="514">
        <f t="shared" si="8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15265.343640889894</v>
      </c>
      <c r="E33" s="522">
        <f>IF(+I14&lt;F32,I14,D33)</f>
        <v>552.75666666666666</v>
      </c>
      <c r="F33" s="523">
        <f t="shared" si="9"/>
        <v>14712.586974223228</v>
      </c>
      <c r="G33" s="524">
        <f t="shared" si="10"/>
        <v>2153.8475695863103</v>
      </c>
      <c r="H33" s="491">
        <f t="shared" si="11"/>
        <v>2153.8475695863103</v>
      </c>
      <c r="I33" s="511">
        <f t="shared" si="6"/>
        <v>0</v>
      </c>
      <c r="J33" s="511"/>
      <c r="K33" s="525"/>
      <c r="L33" s="514">
        <f t="shared" si="12"/>
        <v>0</v>
      </c>
      <c r="M33" s="525"/>
      <c r="N33" s="514">
        <f t="shared" si="7"/>
        <v>0</v>
      </c>
      <c r="O33" s="514">
        <f t="shared" si="8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14712.586974223228</v>
      </c>
      <c r="E34" s="522">
        <f>IF(+I14&lt;F33,I14,D34)</f>
        <v>552.75666666666666</v>
      </c>
      <c r="F34" s="523">
        <f t="shared" ref="F34:F72" si="13">+D34-E34</f>
        <v>14159.830307556562</v>
      </c>
      <c r="G34" s="524">
        <f t="shared" si="10"/>
        <v>2094.8032224703679</v>
      </c>
      <c r="H34" s="491">
        <f t="shared" si="11"/>
        <v>2094.8032224703679</v>
      </c>
      <c r="I34" s="511">
        <f t="shared" ref="I34:I72" si="14">H34-G34</f>
        <v>0</v>
      </c>
      <c r="J34" s="511"/>
      <c r="K34" s="525"/>
      <c r="L34" s="514">
        <f t="shared" si="12"/>
        <v>0</v>
      </c>
      <c r="M34" s="525"/>
      <c r="N34" s="514">
        <f t="shared" si="7"/>
        <v>0</v>
      </c>
      <c r="O34" s="514">
        <f t="shared" si="8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14159.830307556562</v>
      </c>
      <c r="E35" s="522">
        <f>IF(+I14&lt;F34,I14,D35)</f>
        <v>552.75666666666666</v>
      </c>
      <c r="F35" s="523">
        <f t="shared" si="13"/>
        <v>13607.073640889896</v>
      </c>
      <c r="G35" s="524">
        <f t="shared" si="10"/>
        <v>2035.7588753544258</v>
      </c>
      <c r="H35" s="491">
        <f t="shared" si="11"/>
        <v>2035.7588753544258</v>
      </c>
      <c r="I35" s="511">
        <f t="shared" si="14"/>
        <v>0</v>
      </c>
      <c r="J35" s="511"/>
      <c r="K35" s="525"/>
      <c r="L35" s="514">
        <f t="shared" si="12"/>
        <v>0</v>
      </c>
      <c r="M35" s="525"/>
      <c r="N35" s="514">
        <f t="shared" si="7"/>
        <v>0</v>
      </c>
      <c r="O35" s="514">
        <f t="shared" si="8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13607.073640889896</v>
      </c>
      <c r="E36" s="522">
        <f>IF(+I14&lt;F35,I14,D36)</f>
        <v>552.75666666666666</v>
      </c>
      <c r="F36" s="523">
        <f t="shared" si="13"/>
        <v>13054.316974223229</v>
      </c>
      <c r="G36" s="524">
        <f t="shared" si="10"/>
        <v>1976.7145282384834</v>
      </c>
      <c r="H36" s="491">
        <f t="shared" si="11"/>
        <v>1976.7145282384834</v>
      </c>
      <c r="I36" s="511">
        <f t="shared" si="14"/>
        <v>0</v>
      </c>
      <c r="J36" s="511"/>
      <c r="K36" s="525"/>
      <c r="L36" s="514">
        <f t="shared" si="12"/>
        <v>0</v>
      </c>
      <c r="M36" s="525"/>
      <c r="N36" s="514">
        <f t="shared" si="7"/>
        <v>0</v>
      </c>
      <c r="O36" s="514">
        <f t="shared" si="8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13054.316974223229</v>
      </c>
      <c r="E37" s="522">
        <f>IF(+I14&lt;F36,I14,D37)</f>
        <v>552.75666666666666</v>
      </c>
      <c r="F37" s="523">
        <f t="shared" si="13"/>
        <v>12501.560307556563</v>
      </c>
      <c r="G37" s="524">
        <f t="shared" si="10"/>
        <v>1917.6701811225414</v>
      </c>
      <c r="H37" s="491">
        <f t="shared" si="11"/>
        <v>1917.6701811225414</v>
      </c>
      <c r="I37" s="511">
        <f t="shared" si="14"/>
        <v>0</v>
      </c>
      <c r="J37" s="511"/>
      <c r="K37" s="525"/>
      <c r="L37" s="514">
        <f t="shared" si="12"/>
        <v>0</v>
      </c>
      <c r="M37" s="525"/>
      <c r="N37" s="514">
        <f t="shared" si="7"/>
        <v>0</v>
      </c>
      <c r="O37" s="514">
        <f t="shared" si="8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12501.560307556563</v>
      </c>
      <c r="E38" s="522">
        <f>IF(+I14&lt;F37,I14,D38)</f>
        <v>552.75666666666666</v>
      </c>
      <c r="F38" s="523">
        <f t="shared" si="13"/>
        <v>11948.803640889897</v>
      </c>
      <c r="G38" s="524">
        <f t="shared" si="10"/>
        <v>1858.625834006599</v>
      </c>
      <c r="H38" s="491">
        <f t="shared" si="11"/>
        <v>1858.625834006599</v>
      </c>
      <c r="I38" s="511">
        <f t="shared" si="14"/>
        <v>0</v>
      </c>
      <c r="J38" s="511"/>
      <c r="K38" s="525"/>
      <c r="L38" s="514">
        <f t="shared" si="12"/>
        <v>0</v>
      </c>
      <c r="M38" s="525"/>
      <c r="N38" s="514">
        <f t="shared" si="7"/>
        <v>0</v>
      </c>
      <c r="O38" s="514">
        <f t="shared" si="8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11948.803640889897</v>
      </c>
      <c r="E39" s="522">
        <f>IF(+I14&lt;F38,I14,D39)</f>
        <v>552.75666666666666</v>
      </c>
      <c r="F39" s="523">
        <f t="shared" si="13"/>
        <v>11396.046974223231</v>
      </c>
      <c r="G39" s="524">
        <f t="shared" si="10"/>
        <v>1799.5814868906571</v>
      </c>
      <c r="H39" s="491">
        <f t="shared" si="11"/>
        <v>1799.5814868906571</v>
      </c>
      <c r="I39" s="511">
        <f t="shared" si="14"/>
        <v>0</v>
      </c>
      <c r="J39" s="511"/>
      <c r="K39" s="525"/>
      <c r="L39" s="514">
        <f t="shared" si="12"/>
        <v>0</v>
      </c>
      <c r="M39" s="525"/>
      <c r="N39" s="514">
        <f t="shared" si="7"/>
        <v>0</v>
      </c>
      <c r="O39" s="514">
        <f t="shared" si="8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11396.046974223231</v>
      </c>
      <c r="E40" s="522">
        <f>IF(+I14&lt;F39,I14,D40)</f>
        <v>552.75666666666666</v>
      </c>
      <c r="F40" s="523">
        <f t="shared" si="13"/>
        <v>10843.290307556565</v>
      </c>
      <c r="G40" s="524">
        <f t="shared" si="10"/>
        <v>1740.5371397747147</v>
      </c>
      <c r="H40" s="491">
        <f t="shared" si="11"/>
        <v>1740.5371397747147</v>
      </c>
      <c r="I40" s="511">
        <f t="shared" si="14"/>
        <v>0</v>
      </c>
      <c r="J40" s="511"/>
      <c r="K40" s="525"/>
      <c r="L40" s="514">
        <f t="shared" si="12"/>
        <v>0</v>
      </c>
      <c r="M40" s="525"/>
      <c r="N40" s="514">
        <f t="shared" si="7"/>
        <v>0</v>
      </c>
      <c r="O40" s="514">
        <f t="shared" si="8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10843.290307556565</v>
      </c>
      <c r="E41" s="522">
        <f>IF(+I14&lt;F40,I14,D41)</f>
        <v>552.75666666666666</v>
      </c>
      <c r="F41" s="523">
        <f t="shared" si="13"/>
        <v>10290.533640889898</v>
      </c>
      <c r="G41" s="524">
        <f t="shared" si="10"/>
        <v>1681.4927926587727</v>
      </c>
      <c r="H41" s="491">
        <f t="shared" si="11"/>
        <v>1681.4927926587727</v>
      </c>
      <c r="I41" s="511">
        <f t="shared" si="14"/>
        <v>0</v>
      </c>
      <c r="J41" s="511"/>
      <c r="K41" s="525"/>
      <c r="L41" s="514">
        <f t="shared" si="12"/>
        <v>0</v>
      </c>
      <c r="M41" s="525"/>
      <c r="N41" s="514">
        <f t="shared" si="7"/>
        <v>0</v>
      </c>
      <c r="O41" s="514">
        <f t="shared" si="8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10290.533640889898</v>
      </c>
      <c r="E42" s="522">
        <f>IF(+I14&lt;F41,I14,D42)</f>
        <v>552.75666666666666</v>
      </c>
      <c r="F42" s="523">
        <f t="shared" si="13"/>
        <v>9737.7769742232322</v>
      </c>
      <c r="G42" s="524">
        <f t="shared" si="10"/>
        <v>1622.4484455428303</v>
      </c>
      <c r="H42" s="491">
        <f t="shared" si="11"/>
        <v>1622.4484455428303</v>
      </c>
      <c r="I42" s="511">
        <f t="shared" si="14"/>
        <v>0</v>
      </c>
      <c r="J42" s="511"/>
      <c r="K42" s="525"/>
      <c r="L42" s="514">
        <f t="shared" si="12"/>
        <v>0</v>
      </c>
      <c r="M42" s="525"/>
      <c r="N42" s="514">
        <f t="shared" si="7"/>
        <v>0</v>
      </c>
      <c r="O42" s="514">
        <f t="shared" si="8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9737.7769742232322</v>
      </c>
      <c r="E43" s="522">
        <f>IF(+I14&lt;F42,I14,D43)</f>
        <v>552.75666666666666</v>
      </c>
      <c r="F43" s="523">
        <f t="shared" si="13"/>
        <v>9185.020307556566</v>
      </c>
      <c r="G43" s="524">
        <f t="shared" si="10"/>
        <v>1563.4040984268881</v>
      </c>
      <c r="H43" s="491">
        <f t="shared" si="11"/>
        <v>1563.4040984268881</v>
      </c>
      <c r="I43" s="511">
        <f t="shared" si="14"/>
        <v>0</v>
      </c>
      <c r="J43" s="511"/>
      <c r="K43" s="525"/>
      <c r="L43" s="514">
        <f t="shared" si="12"/>
        <v>0</v>
      </c>
      <c r="M43" s="525"/>
      <c r="N43" s="514">
        <f t="shared" si="7"/>
        <v>0</v>
      </c>
      <c r="O43" s="514">
        <f t="shared" si="8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9185.020307556566</v>
      </c>
      <c r="E44" s="522">
        <f>IF(+I14&lt;F43,I14,D44)</f>
        <v>552.75666666666666</v>
      </c>
      <c r="F44" s="523">
        <f t="shared" si="13"/>
        <v>8632.2636408898998</v>
      </c>
      <c r="G44" s="524">
        <f t="shared" si="10"/>
        <v>1504.3597513109457</v>
      </c>
      <c r="H44" s="491">
        <f t="shared" si="11"/>
        <v>1504.3597513109457</v>
      </c>
      <c r="I44" s="511">
        <f t="shared" si="14"/>
        <v>0</v>
      </c>
      <c r="J44" s="511"/>
      <c r="K44" s="525"/>
      <c r="L44" s="514">
        <f t="shared" si="12"/>
        <v>0</v>
      </c>
      <c r="M44" s="525"/>
      <c r="N44" s="514">
        <f t="shared" si="7"/>
        <v>0</v>
      </c>
      <c r="O44" s="514">
        <f t="shared" si="8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8632.2636408898998</v>
      </c>
      <c r="E45" s="522">
        <f>IF(+I14&lt;F44,I14,D45)</f>
        <v>552.75666666666666</v>
      </c>
      <c r="F45" s="523">
        <f t="shared" si="13"/>
        <v>8079.5069742232336</v>
      </c>
      <c r="G45" s="524">
        <f t="shared" si="10"/>
        <v>1445.3154041950038</v>
      </c>
      <c r="H45" s="491">
        <f t="shared" si="11"/>
        <v>1445.3154041950038</v>
      </c>
      <c r="I45" s="511">
        <f t="shared" si="14"/>
        <v>0</v>
      </c>
      <c r="J45" s="511"/>
      <c r="K45" s="525"/>
      <c r="L45" s="514">
        <f t="shared" si="12"/>
        <v>0</v>
      </c>
      <c r="M45" s="525"/>
      <c r="N45" s="514">
        <f t="shared" si="7"/>
        <v>0</v>
      </c>
      <c r="O45" s="514">
        <f t="shared" si="8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8079.5069742232336</v>
      </c>
      <c r="E46" s="522">
        <f>IF(+I14&lt;F45,I14,D46)</f>
        <v>552.75666666666666</v>
      </c>
      <c r="F46" s="523">
        <f t="shared" si="13"/>
        <v>7526.7503075565673</v>
      </c>
      <c r="G46" s="524">
        <f t="shared" si="10"/>
        <v>1386.2710570790614</v>
      </c>
      <c r="H46" s="491">
        <f t="shared" si="11"/>
        <v>1386.2710570790614</v>
      </c>
      <c r="I46" s="511">
        <f t="shared" si="14"/>
        <v>0</v>
      </c>
      <c r="J46" s="511"/>
      <c r="K46" s="525"/>
      <c r="L46" s="514">
        <f t="shared" si="12"/>
        <v>0</v>
      </c>
      <c r="M46" s="525"/>
      <c r="N46" s="514">
        <f t="shared" si="7"/>
        <v>0</v>
      </c>
      <c r="O46" s="514">
        <f t="shared" si="8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7526.7503075565673</v>
      </c>
      <c r="E47" s="522">
        <f>IF(+I14&lt;F46,I14,D47)</f>
        <v>552.75666666666666</v>
      </c>
      <c r="F47" s="523">
        <f t="shared" si="13"/>
        <v>6973.9936408899011</v>
      </c>
      <c r="G47" s="524">
        <f t="shared" si="10"/>
        <v>1327.2267099631194</v>
      </c>
      <c r="H47" s="491">
        <f t="shared" si="11"/>
        <v>1327.2267099631194</v>
      </c>
      <c r="I47" s="511">
        <f t="shared" si="14"/>
        <v>0</v>
      </c>
      <c r="J47" s="511"/>
      <c r="K47" s="525"/>
      <c r="L47" s="514">
        <f t="shared" si="12"/>
        <v>0</v>
      </c>
      <c r="M47" s="525"/>
      <c r="N47" s="514">
        <f t="shared" si="7"/>
        <v>0</v>
      </c>
      <c r="O47" s="514">
        <f t="shared" si="8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6973.9936408899011</v>
      </c>
      <c r="E48" s="522">
        <f>IF(+I14&lt;F47,I14,D48)</f>
        <v>552.75666666666666</v>
      </c>
      <c r="F48" s="523">
        <f t="shared" si="13"/>
        <v>6421.2369742232349</v>
      </c>
      <c r="G48" s="524">
        <f t="shared" si="10"/>
        <v>1268.182362847177</v>
      </c>
      <c r="H48" s="491">
        <f t="shared" si="11"/>
        <v>1268.182362847177</v>
      </c>
      <c r="I48" s="511">
        <f t="shared" si="14"/>
        <v>0</v>
      </c>
      <c r="J48" s="511"/>
      <c r="K48" s="525"/>
      <c r="L48" s="514">
        <f t="shared" si="12"/>
        <v>0</v>
      </c>
      <c r="M48" s="525"/>
      <c r="N48" s="514">
        <f t="shared" si="7"/>
        <v>0</v>
      </c>
      <c r="O48" s="514">
        <f t="shared" si="8"/>
        <v>0</v>
      </c>
      <c r="P48" s="272"/>
    </row>
    <row r="49" spans="2:16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6421.2369742232349</v>
      </c>
      <c r="E49" s="522">
        <f>IF(+I14&lt;F48,I14,D49)</f>
        <v>552.75666666666666</v>
      </c>
      <c r="F49" s="523">
        <f t="shared" si="13"/>
        <v>5868.4803075565687</v>
      </c>
      <c r="G49" s="524">
        <f t="shared" si="10"/>
        <v>1209.1380157312349</v>
      </c>
      <c r="H49" s="491">
        <f t="shared" si="11"/>
        <v>1209.1380157312349</v>
      </c>
      <c r="I49" s="511">
        <f t="shared" si="14"/>
        <v>0</v>
      </c>
      <c r="J49" s="511"/>
      <c r="K49" s="525"/>
      <c r="L49" s="514">
        <f t="shared" si="12"/>
        <v>0</v>
      </c>
      <c r="M49" s="525"/>
      <c r="N49" s="514">
        <f t="shared" si="7"/>
        <v>0</v>
      </c>
      <c r="O49" s="514">
        <f t="shared" si="8"/>
        <v>0</v>
      </c>
      <c r="P49" s="272"/>
    </row>
    <row r="50" spans="2:16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5868.4803075565687</v>
      </c>
      <c r="E50" s="522">
        <f>IF(+I14&lt;F49,I14,D50)</f>
        <v>552.75666666666666</v>
      </c>
      <c r="F50" s="523">
        <f t="shared" si="13"/>
        <v>5315.7236408899025</v>
      </c>
      <c r="G50" s="524">
        <f t="shared" si="10"/>
        <v>1150.0936686152927</v>
      </c>
      <c r="H50" s="491">
        <f t="shared" si="11"/>
        <v>1150.0936686152927</v>
      </c>
      <c r="I50" s="511">
        <f t="shared" si="14"/>
        <v>0</v>
      </c>
      <c r="J50" s="511"/>
      <c r="K50" s="525"/>
      <c r="L50" s="514">
        <f t="shared" si="12"/>
        <v>0</v>
      </c>
      <c r="M50" s="525"/>
      <c r="N50" s="514">
        <f t="shared" si="7"/>
        <v>0</v>
      </c>
      <c r="O50" s="514">
        <f t="shared" si="8"/>
        <v>0</v>
      </c>
      <c r="P50" s="272"/>
    </row>
    <row r="51" spans="2:16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5315.7236408899025</v>
      </c>
      <c r="E51" s="522">
        <f>IF(+I14&lt;F50,I14,D51)</f>
        <v>552.75666666666666</v>
      </c>
      <c r="F51" s="523">
        <f t="shared" si="13"/>
        <v>4762.9669742232363</v>
      </c>
      <c r="G51" s="524">
        <f t="shared" si="10"/>
        <v>1091.0493214993505</v>
      </c>
      <c r="H51" s="491">
        <f t="shared" si="11"/>
        <v>1091.0493214993505</v>
      </c>
      <c r="I51" s="511">
        <f t="shared" si="14"/>
        <v>0</v>
      </c>
      <c r="J51" s="511"/>
      <c r="K51" s="525"/>
      <c r="L51" s="514">
        <f t="shared" si="12"/>
        <v>0</v>
      </c>
      <c r="M51" s="525"/>
      <c r="N51" s="514">
        <f t="shared" si="7"/>
        <v>0</v>
      </c>
      <c r="O51" s="514">
        <f t="shared" si="8"/>
        <v>0</v>
      </c>
      <c r="P51" s="272"/>
    </row>
    <row r="52" spans="2:16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4762.9669742232363</v>
      </c>
      <c r="E52" s="522">
        <f>IF(+I14&lt;F51,I14,D52)</f>
        <v>552.75666666666666</v>
      </c>
      <c r="F52" s="523">
        <f t="shared" si="13"/>
        <v>4210.2103075565701</v>
      </c>
      <c r="G52" s="524">
        <f t="shared" si="10"/>
        <v>1032.0049743834084</v>
      </c>
      <c r="H52" s="491">
        <f t="shared" si="11"/>
        <v>1032.0049743834084</v>
      </c>
      <c r="I52" s="511">
        <f t="shared" si="14"/>
        <v>0</v>
      </c>
      <c r="J52" s="511"/>
      <c r="K52" s="525"/>
      <c r="L52" s="514">
        <f t="shared" si="12"/>
        <v>0</v>
      </c>
      <c r="M52" s="525"/>
      <c r="N52" s="514">
        <f t="shared" si="7"/>
        <v>0</v>
      </c>
      <c r="O52" s="514">
        <f t="shared" si="8"/>
        <v>0</v>
      </c>
      <c r="P52" s="272"/>
    </row>
    <row r="53" spans="2:16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4210.2103075565701</v>
      </c>
      <c r="E53" s="522">
        <f>IF(+I14&lt;F52,I14,D53)</f>
        <v>552.75666666666666</v>
      </c>
      <c r="F53" s="523">
        <f t="shared" si="13"/>
        <v>3657.4536408899035</v>
      </c>
      <c r="G53" s="524">
        <f t="shared" si="10"/>
        <v>972.96062726746607</v>
      </c>
      <c r="H53" s="491">
        <f t="shared" si="11"/>
        <v>972.96062726746607</v>
      </c>
      <c r="I53" s="511">
        <f t="shared" si="14"/>
        <v>0</v>
      </c>
      <c r="J53" s="511"/>
      <c r="K53" s="525"/>
      <c r="L53" s="514">
        <f t="shared" si="12"/>
        <v>0</v>
      </c>
      <c r="M53" s="525"/>
      <c r="N53" s="514">
        <f t="shared" si="7"/>
        <v>0</v>
      </c>
      <c r="O53" s="514">
        <f t="shared" si="8"/>
        <v>0</v>
      </c>
      <c r="P53" s="272"/>
    </row>
    <row r="54" spans="2:16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3657.4536408899035</v>
      </c>
      <c r="E54" s="522">
        <f>IF(+I14&lt;F53,I14,D54)</f>
        <v>552.75666666666666</v>
      </c>
      <c r="F54" s="523">
        <f t="shared" si="13"/>
        <v>3104.6969742232368</v>
      </c>
      <c r="G54" s="524">
        <f t="shared" si="10"/>
        <v>913.91628015152378</v>
      </c>
      <c r="H54" s="491">
        <f t="shared" si="11"/>
        <v>913.91628015152378</v>
      </c>
      <c r="I54" s="511">
        <f t="shared" si="14"/>
        <v>0</v>
      </c>
      <c r="J54" s="511"/>
      <c r="K54" s="525"/>
      <c r="L54" s="514">
        <f t="shared" si="12"/>
        <v>0</v>
      </c>
      <c r="M54" s="525"/>
      <c r="N54" s="514">
        <f t="shared" si="7"/>
        <v>0</v>
      </c>
      <c r="O54" s="514">
        <f t="shared" si="8"/>
        <v>0</v>
      </c>
      <c r="P54" s="272"/>
    </row>
    <row r="55" spans="2:16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3104.6969742232368</v>
      </c>
      <c r="E55" s="522">
        <f>IF(+I14&lt;F54,I14,D55)</f>
        <v>552.75666666666666</v>
      </c>
      <c r="F55" s="523">
        <f t="shared" si="13"/>
        <v>2551.9403075565701</v>
      </c>
      <c r="G55" s="524">
        <f t="shared" ref="G55:G72" si="15">+I$12*((D55+F55)/2)+E55</f>
        <v>854.87193303558161</v>
      </c>
      <c r="H55" s="491">
        <f t="shared" ref="H55:H72" si="16">+I$13*((D55+F55)/2)+E55</f>
        <v>854.87193303558161</v>
      </c>
      <c r="I55" s="511">
        <f t="shared" si="14"/>
        <v>0</v>
      </c>
      <c r="J55" s="511"/>
      <c r="K55" s="525"/>
      <c r="L55" s="514">
        <f t="shared" si="12"/>
        <v>0</v>
      </c>
      <c r="M55" s="525"/>
      <c r="N55" s="514">
        <f t="shared" si="7"/>
        <v>0</v>
      </c>
      <c r="O55" s="514">
        <f t="shared" si="8"/>
        <v>0</v>
      </c>
      <c r="P55" s="272"/>
    </row>
    <row r="56" spans="2:16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2551.9403075565701</v>
      </c>
      <c r="E56" s="522">
        <f>IF(+I14&lt;F55,I14,D56)</f>
        <v>552.75666666666666</v>
      </c>
      <c r="F56" s="523">
        <f t="shared" si="13"/>
        <v>1999.1836408899035</v>
      </c>
      <c r="G56" s="524">
        <f t="shared" si="15"/>
        <v>795.8275859196392</v>
      </c>
      <c r="H56" s="491">
        <f t="shared" si="16"/>
        <v>795.8275859196392</v>
      </c>
      <c r="I56" s="511">
        <f t="shared" si="14"/>
        <v>0</v>
      </c>
      <c r="J56" s="511"/>
      <c r="K56" s="525"/>
      <c r="L56" s="514">
        <f t="shared" si="12"/>
        <v>0</v>
      </c>
      <c r="M56" s="525"/>
      <c r="N56" s="514">
        <f t="shared" si="7"/>
        <v>0</v>
      </c>
      <c r="O56" s="514">
        <f t="shared" si="8"/>
        <v>0</v>
      </c>
      <c r="P56" s="272"/>
    </row>
    <row r="57" spans="2:16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1999.1836408899035</v>
      </c>
      <c r="E57" s="522">
        <f>IF(+I14&lt;F56,I14,D57)</f>
        <v>552.75666666666666</v>
      </c>
      <c r="F57" s="523">
        <f t="shared" si="13"/>
        <v>1446.4269742232368</v>
      </c>
      <c r="G57" s="524">
        <f t="shared" si="15"/>
        <v>736.78323880369703</v>
      </c>
      <c r="H57" s="491">
        <f t="shared" si="16"/>
        <v>736.78323880369703</v>
      </c>
      <c r="I57" s="511">
        <f t="shared" si="14"/>
        <v>0</v>
      </c>
      <c r="J57" s="511"/>
      <c r="K57" s="525"/>
      <c r="L57" s="514">
        <f t="shared" si="12"/>
        <v>0</v>
      </c>
      <c r="M57" s="525"/>
      <c r="N57" s="514">
        <f t="shared" si="7"/>
        <v>0</v>
      </c>
      <c r="O57" s="514">
        <f t="shared" si="8"/>
        <v>0</v>
      </c>
      <c r="P57" s="272"/>
    </row>
    <row r="58" spans="2:16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1446.4269742232368</v>
      </c>
      <c r="E58" s="522">
        <f>IF(+I14&lt;F57,I14,D58)</f>
        <v>552.75666666666666</v>
      </c>
      <c r="F58" s="523">
        <f t="shared" si="13"/>
        <v>893.67030755657015</v>
      </c>
      <c r="G58" s="524">
        <f t="shared" si="15"/>
        <v>677.73889168775474</v>
      </c>
      <c r="H58" s="491">
        <f t="shared" si="16"/>
        <v>677.73889168775474</v>
      </c>
      <c r="I58" s="511">
        <f t="shared" si="14"/>
        <v>0</v>
      </c>
      <c r="J58" s="511"/>
      <c r="K58" s="525"/>
      <c r="L58" s="514">
        <f t="shared" si="12"/>
        <v>0</v>
      </c>
      <c r="M58" s="525"/>
      <c r="N58" s="514">
        <f t="shared" si="7"/>
        <v>0</v>
      </c>
      <c r="O58" s="514">
        <f t="shared" si="8"/>
        <v>0</v>
      </c>
      <c r="P58" s="272"/>
    </row>
    <row r="59" spans="2:16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893.67030755657015</v>
      </c>
      <c r="E59" s="522">
        <f>IF(+I14&lt;F58,I14,D59)</f>
        <v>552.75666666666666</v>
      </c>
      <c r="F59" s="523">
        <f t="shared" si="13"/>
        <v>340.91364088990349</v>
      </c>
      <c r="G59" s="524">
        <f t="shared" si="15"/>
        <v>618.69454457181246</v>
      </c>
      <c r="H59" s="491">
        <f t="shared" si="16"/>
        <v>618.69454457181246</v>
      </c>
      <c r="I59" s="511">
        <f t="shared" si="14"/>
        <v>0</v>
      </c>
      <c r="J59" s="511"/>
      <c r="K59" s="525"/>
      <c r="L59" s="514">
        <f t="shared" si="12"/>
        <v>0</v>
      </c>
      <c r="M59" s="525"/>
      <c r="N59" s="514">
        <f t="shared" si="7"/>
        <v>0</v>
      </c>
      <c r="O59" s="514">
        <f t="shared" si="8"/>
        <v>0</v>
      </c>
      <c r="P59" s="272"/>
    </row>
    <row r="60" spans="2:16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340.91364088990349</v>
      </c>
      <c r="E60" s="522">
        <f>IF(+I14&lt;F59,I14,D60)</f>
        <v>340.91364088990349</v>
      </c>
      <c r="F60" s="523">
        <f t="shared" si="13"/>
        <v>0</v>
      </c>
      <c r="G60" s="524">
        <f t="shared" si="15"/>
        <v>359.12149306349085</v>
      </c>
      <c r="H60" s="491">
        <f t="shared" si="16"/>
        <v>359.12149306349085</v>
      </c>
      <c r="I60" s="511">
        <f t="shared" si="14"/>
        <v>0</v>
      </c>
      <c r="J60" s="511"/>
      <c r="K60" s="525"/>
      <c r="L60" s="514">
        <f t="shared" si="12"/>
        <v>0</v>
      </c>
      <c r="M60" s="525"/>
      <c r="N60" s="514">
        <f t="shared" si="7"/>
        <v>0</v>
      </c>
      <c r="O60" s="514">
        <f t="shared" si="8"/>
        <v>0</v>
      </c>
      <c r="P60" s="272"/>
    </row>
    <row r="61" spans="2:16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3"/>
        <v>0</v>
      </c>
      <c r="G61" s="526">
        <f t="shared" si="15"/>
        <v>0</v>
      </c>
      <c r="H61" s="491">
        <f t="shared" si="16"/>
        <v>0</v>
      </c>
      <c r="I61" s="511">
        <f t="shared" si="14"/>
        <v>0</v>
      </c>
      <c r="J61" s="511"/>
      <c r="K61" s="525"/>
      <c r="L61" s="514">
        <f t="shared" si="12"/>
        <v>0</v>
      </c>
      <c r="M61" s="525"/>
      <c r="N61" s="514">
        <f t="shared" si="7"/>
        <v>0</v>
      </c>
      <c r="O61" s="514">
        <f t="shared" si="8"/>
        <v>0</v>
      </c>
      <c r="P61" s="272"/>
    </row>
    <row r="62" spans="2:16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3"/>
        <v>0</v>
      </c>
      <c r="G62" s="526">
        <f t="shared" si="15"/>
        <v>0</v>
      </c>
      <c r="H62" s="491">
        <f t="shared" si="16"/>
        <v>0</v>
      </c>
      <c r="I62" s="511">
        <f t="shared" si="14"/>
        <v>0</v>
      </c>
      <c r="J62" s="511"/>
      <c r="K62" s="525"/>
      <c r="L62" s="514">
        <f t="shared" si="12"/>
        <v>0</v>
      </c>
      <c r="M62" s="525"/>
      <c r="N62" s="514">
        <f t="shared" si="7"/>
        <v>0</v>
      </c>
      <c r="O62" s="514">
        <f t="shared" si="8"/>
        <v>0</v>
      </c>
      <c r="P62" s="272"/>
    </row>
    <row r="63" spans="2:16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3"/>
        <v>0</v>
      </c>
      <c r="G63" s="526">
        <f t="shared" si="15"/>
        <v>0</v>
      </c>
      <c r="H63" s="491">
        <f t="shared" si="16"/>
        <v>0</v>
      </c>
      <c r="I63" s="511">
        <f t="shared" si="14"/>
        <v>0</v>
      </c>
      <c r="J63" s="511"/>
      <c r="K63" s="525"/>
      <c r="L63" s="514">
        <f t="shared" si="12"/>
        <v>0</v>
      </c>
      <c r="M63" s="525"/>
      <c r="N63" s="514">
        <f t="shared" si="7"/>
        <v>0</v>
      </c>
      <c r="O63" s="514">
        <f t="shared" si="8"/>
        <v>0</v>
      </c>
      <c r="P63" s="272"/>
    </row>
    <row r="64" spans="2:16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3"/>
        <v>0</v>
      </c>
      <c r="G64" s="526">
        <f t="shared" si="15"/>
        <v>0</v>
      </c>
      <c r="H64" s="491">
        <f t="shared" si="16"/>
        <v>0</v>
      </c>
      <c r="I64" s="511">
        <f t="shared" si="14"/>
        <v>0</v>
      </c>
      <c r="J64" s="511"/>
      <c r="K64" s="525"/>
      <c r="L64" s="514">
        <f t="shared" si="12"/>
        <v>0</v>
      </c>
      <c r="M64" s="525"/>
      <c r="N64" s="514">
        <f t="shared" si="7"/>
        <v>0</v>
      </c>
      <c r="O64" s="514">
        <f t="shared" si="8"/>
        <v>0</v>
      </c>
      <c r="P64" s="272"/>
    </row>
    <row r="65" spans="2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3"/>
        <v>0</v>
      </c>
      <c r="G65" s="526">
        <f t="shared" si="15"/>
        <v>0</v>
      </c>
      <c r="H65" s="491">
        <f t="shared" si="16"/>
        <v>0</v>
      </c>
      <c r="I65" s="511">
        <f t="shared" si="14"/>
        <v>0</v>
      </c>
      <c r="J65" s="511"/>
      <c r="K65" s="525"/>
      <c r="L65" s="514">
        <f t="shared" si="12"/>
        <v>0</v>
      </c>
      <c r="M65" s="525"/>
      <c r="N65" s="514">
        <f t="shared" si="7"/>
        <v>0</v>
      </c>
      <c r="O65" s="514">
        <f t="shared" si="8"/>
        <v>0</v>
      </c>
      <c r="P65" s="272"/>
    </row>
    <row r="66" spans="2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3"/>
        <v>0</v>
      </c>
      <c r="G66" s="526">
        <f t="shared" si="15"/>
        <v>0</v>
      </c>
      <c r="H66" s="491">
        <f t="shared" si="16"/>
        <v>0</v>
      </c>
      <c r="I66" s="511">
        <f t="shared" si="14"/>
        <v>0</v>
      </c>
      <c r="J66" s="511"/>
      <c r="K66" s="525"/>
      <c r="L66" s="514">
        <f t="shared" si="12"/>
        <v>0</v>
      </c>
      <c r="M66" s="525"/>
      <c r="N66" s="514">
        <f t="shared" si="7"/>
        <v>0</v>
      </c>
      <c r="O66" s="514">
        <f t="shared" si="8"/>
        <v>0</v>
      </c>
      <c r="P66" s="272"/>
    </row>
    <row r="67" spans="2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3"/>
        <v>0</v>
      </c>
      <c r="G67" s="526">
        <f t="shared" si="15"/>
        <v>0</v>
      </c>
      <c r="H67" s="491">
        <f t="shared" si="16"/>
        <v>0</v>
      </c>
      <c r="I67" s="511">
        <f t="shared" si="14"/>
        <v>0</v>
      </c>
      <c r="J67" s="511"/>
      <c r="K67" s="525"/>
      <c r="L67" s="514">
        <f t="shared" si="12"/>
        <v>0</v>
      </c>
      <c r="M67" s="525"/>
      <c r="N67" s="514">
        <f t="shared" si="7"/>
        <v>0</v>
      </c>
      <c r="O67" s="514">
        <f t="shared" si="8"/>
        <v>0</v>
      </c>
      <c r="P67" s="272"/>
    </row>
    <row r="68" spans="2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3"/>
        <v>0</v>
      </c>
      <c r="G68" s="526">
        <f t="shared" si="15"/>
        <v>0</v>
      </c>
      <c r="H68" s="491">
        <f t="shared" si="16"/>
        <v>0</v>
      </c>
      <c r="I68" s="511">
        <f t="shared" si="14"/>
        <v>0</v>
      </c>
      <c r="J68" s="511"/>
      <c r="K68" s="525"/>
      <c r="L68" s="514">
        <f t="shared" si="12"/>
        <v>0</v>
      </c>
      <c r="M68" s="525"/>
      <c r="N68" s="514">
        <f t="shared" si="7"/>
        <v>0</v>
      </c>
      <c r="O68" s="514">
        <f t="shared" si="8"/>
        <v>0</v>
      </c>
      <c r="P68" s="272"/>
    </row>
    <row r="69" spans="2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3"/>
        <v>0</v>
      </c>
      <c r="G69" s="526">
        <f t="shared" si="15"/>
        <v>0</v>
      </c>
      <c r="H69" s="491">
        <f t="shared" si="16"/>
        <v>0</v>
      </c>
      <c r="I69" s="511">
        <f t="shared" si="14"/>
        <v>0</v>
      </c>
      <c r="J69" s="511"/>
      <c r="K69" s="525"/>
      <c r="L69" s="514">
        <f t="shared" si="12"/>
        <v>0</v>
      </c>
      <c r="M69" s="525"/>
      <c r="N69" s="514">
        <f t="shared" si="7"/>
        <v>0</v>
      </c>
      <c r="O69" s="514">
        <f t="shared" si="8"/>
        <v>0</v>
      </c>
      <c r="P69" s="272"/>
    </row>
    <row r="70" spans="2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3"/>
        <v>0</v>
      </c>
      <c r="G70" s="526">
        <f t="shared" si="15"/>
        <v>0</v>
      </c>
      <c r="H70" s="491">
        <f t="shared" si="16"/>
        <v>0</v>
      </c>
      <c r="I70" s="511">
        <f t="shared" si="14"/>
        <v>0</v>
      </c>
      <c r="J70" s="511"/>
      <c r="K70" s="525"/>
      <c r="L70" s="514">
        <f t="shared" si="12"/>
        <v>0</v>
      </c>
      <c r="M70" s="525"/>
      <c r="N70" s="514">
        <f t="shared" si="7"/>
        <v>0</v>
      </c>
      <c r="O70" s="514">
        <f t="shared" si="8"/>
        <v>0</v>
      </c>
      <c r="P70" s="272"/>
    </row>
    <row r="71" spans="2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3"/>
        <v>0</v>
      </c>
      <c r="G71" s="526">
        <f t="shared" si="15"/>
        <v>0</v>
      </c>
      <c r="H71" s="491">
        <f t="shared" si="16"/>
        <v>0</v>
      </c>
      <c r="I71" s="511">
        <f t="shared" si="14"/>
        <v>0</v>
      </c>
      <c r="J71" s="511"/>
      <c r="K71" s="525"/>
      <c r="L71" s="514">
        <f t="shared" si="12"/>
        <v>0</v>
      </c>
      <c r="M71" s="525"/>
      <c r="N71" s="514">
        <f t="shared" si="7"/>
        <v>0</v>
      </c>
      <c r="O71" s="514">
        <f t="shared" si="8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3"/>
        <v>0</v>
      </c>
      <c r="G72" s="530">
        <f t="shared" si="15"/>
        <v>0</v>
      </c>
      <c r="H72" s="471">
        <f t="shared" si="16"/>
        <v>0</v>
      </c>
      <c r="I72" s="531">
        <f t="shared" si="14"/>
        <v>0</v>
      </c>
      <c r="J72" s="511"/>
      <c r="K72" s="532"/>
      <c r="L72" s="533">
        <f t="shared" si="12"/>
        <v>0</v>
      </c>
      <c r="M72" s="532"/>
      <c r="N72" s="533">
        <f t="shared" si="7"/>
        <v>0</v>
      </c>
      <c r="O72" s="533">
        <f t="shared" si="8"/>
        <v>0</v>
      </c>
      <c r="P72" s="272"/>
    </row>
    <row r="73" spans="2:16" ht="12.5">
      <c r="C73" s="374" t="s">
        <v>78</v>
      </c>
      <c r="D73" s="375"/>
      <c r="E73" s="375">
        <f>SUM(E17:E72)</f>
        <v>23215.780000000013</v>
      </c>
      <c r="F73" s="375"/>
      <c r="G73" s="375">
        <f>SUM(G17:G72)</f>
        <v>84440.438440862927</v>
      </c>
      <c r="H73" s="375">
        <f>SUM(H17:H72)</f>
        <v>84440.438440862927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49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2440.2305931372539</v>
      </c>
      <c r="N87" s="546">
        <f>IF(J92&lt;D11,0,VLOOKUP(J92,C17:O72,11))</f>
        <v>2440.2305931372539</v>
      </c>
      <c r="O87" s="547">
        <f>+N87-M87</f>
        <v>0</v>
      </c>
      <c r="P87" s="269"/>
    </row>
    <row r="88" spans="1:16" ht="15.5">
      <c r="C88" s="274"/>
      <c r="D88" s="537" t="str">
        <f>S.048!D90</f>
        <v xml:space="preserve">***Sch. 11 recovery commenced in the 2015 rate year.  Beg Bal = to depreciated balance as of 1/1/15. *** </v>
      </c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2672.3207251624854</v>
      </c>
      <c r="N88" s="550">
        <f>IF(J92&lt;D11,0,VLOOKUP(J92,C99:P154,7))</f>
        <v>2672.3207251624854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 xml:space="preserve">SUGAR HILL 138/69KV TRANSFORMER CKT 1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232.09013202523147</v>
      </c>
      <c r="N89" s="555">
        <f>+N88-N87</f>
        <v>232.09013202523147</v>
      </c>
      <c r="O89" s="556">
        <f>+O88-O87</f>
        <v>0</v>
      </c>
      <c r="P89" s="269"/>
    </row>
    <row r="90" spans="1:16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TP2004032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23216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11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552.76190476190482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2010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17">IF(L99&lt;&gt;0,+H99-L99,0)</f>
        <v>0</v>
      </c>
      <c r="N99" s="512"/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 ht="12.5">
      <c r="B100" s="195" t="str">
        <f>IF(D100=F99,"","IU")</f>
        <v/>
      </c>
      <c r="C100" s="507">
        <f>IF(D93="","-",+C99+1)</f>
        <v>2011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17"/>
        <v>0</v>
      </c>
      <c r="N100" s="518"/>
      <c r="O100" s="514">
        <f t="shared" si="18"/>
        <v>0</v>
      </c>
      <c r="P100" s="514">
        <f t="shared" si="19"/>
        <v>0</v>
      </c>
    </row>
    <row r="101" spans="1:16" ht="12.5">
      <c r="B101" s="195" t="str">
        <f t="shared" ref="B101:B154" si="20">IF(D101=F100,"","IU")</f>
        <v/>
      </c>
      <c r="C101" s="507">
        <f>IF(D93="","-",+C100+1)</f>
        <v>2012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17"/>
        <v>0</v>
      </c>
      <c r="N101" s="518"/>
      <c r="O101" s="514">
        <f t="shared" si="18"/>
        <v>0</v>
      </c>
      <c r="P101" s="514">
        <f t="shared" si="19"/>
        <v>0</v>
      </c>
    </row>
    <row r="102" spans="1:16" ht="12.5">
      <c r="B102" s="195" t="str">
        <f t="shared" si="20"/>
        <v/>
      </c>
      <c r="C102" s="507">
        <f>IF(D93="","-",+C101+1)</f>
        <v>2013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17"/>
        <v>0</v>
      </c>
      <c r="N102" s="518"/>
      <c r="O102" s="514">
        <f t="shared" si="18"/>
        <v>0</v>
      </c>
      <c r="P102" s="514">
        <f t="shared" si="19"/>
        <v>0</v>
      </c>
    </row>
    <row r="103" spans="1:16" ht="12.5">
      <c r="B103" s="195" t="str">
        <f t="shared" si="20"/>
        <v>IU</v>
      </c>
      <c r="C103" s="507">
        <f>IF(D93="","-",+C102+1)</f>
        <v>2014</v>
      </c>
      <c r="D103" s="629">
        <v>21465.383888888882</v>
      </c>
      <c r="E103" s="630">
        <v>511.0805687830686</v>
      </c>
      <c r="F103" s="631">
        <v>20954.303320105813</v>
      </c>
      <c r="G103" s="631">
        <v>21209.84360449735</v>
      </c>
      <c r="H103" s="633">
        <v>3305.8778604517456</v>
      </c>
      <c r="I103" s="634">
        <v>3305.8778604517456</v>
      </c>
      <c r="J103" s="514">
        <f>+I103-H103</f>
        <v>0</v>
      </c>
      <c r="K103" s="514"/>
      <c r="L103" s="518">
        <f t="shared" ref="L103:L108" si="21">+H103</f>
        <v>3305.8778604517456</v>
      </c>
      <c r="M103" s="514">
        <f t="shared" si="17"/>
        <v>0</v>
      </c>
      <c r="N103" s="518">
        <f t="shared" ref="N103:N108" si="22">+I103</f>
        <v>3305.8778604517456</v>
      </c>
      <c r="O103" s="514">
        <f t="shared" si="18"/>
        <v>0</v>
      </c>
      <c r="P103" s="514">
        <f t="shared" si="19"/>
        <v>0</v>
      </c>
    </row>
    <row r="104" spans="1:16" ht="12.5">
      <c r="B104" s="195" t="str">
        <f t="shared" si="20"/>
        <v>IU</v>
      </c>
      <c r="C104" s="507">
        <f>IF(D93="","-",+C103+1)</f>
        <v>2015</v>
      </c>
      <c r="D104" s="629">
        <v>22704.919431216931</v>
      </c>
      <c r="E104" s="630">
        <v>539.90697674418607</v>
      </c>
      <c r="F104" s="631">
        <v>22165.012454472744</v>
      </c>
      <c r="G104" s="631">
        <v>22434.965942844836</v>
      </c>
      <c r="H104" s="633">
        <v>3388.0256404381366</v>
      </c>
      <c r="I104" s="634">
        <v>3388.0256404381366</v>
      </c>
      <c r="J104" s="514">
        <f>+I104-H104</f>
        <v>0</v>
      </c>
      <c r="K104" s="514"/>
      <c r="L104" s="518">
        <f t="shared" si="21"/>
        <v>3388.0256404381366</v>
      </c>
      <c r="M104" s="514">
        <f>IF(L104&lt;&gt;0,+H104-L104,0)</f>
        <v>0</v>
      </c>
      <c r="N104" s="518">
        <f t="shared" si="22"/>
        <v>3388.0256404381366</v>
      </c>
      <c r="O104" s="514">
        <f>IF(N104&lt;&gt;0,+I104-N104,0)</f>
        <v>0</v>
      </c>
      <c r="P104" s="514">
        <f>+O104-M104</f>
        <v>0</v>
      </c>
    </row>
    <row r="105" spans="1:16" ht="12.5">
      <c r="B105" s="195" t="str">
        <f t="shared" si="20"/>
        <v/>
      </c>
      <c r="C105" s="507">
        <f>IF(D93="","-",+C104+1)</f>
        <v>2016</v>
      </c>
      <c r="D105" s="629">
        <v>22165.012454472744</v>
      </c>
      <c r="E105" s="630">
        <v>552.76190476190482</v>
      </c>
      <c r="F105" s="631">
        <v>21612.25054971084</v>
      </c>
      <c r="G105" s="631">
        <v>21888.63150209179</v>
      </c>
      <c r="H105" s="633">
        <v>3211.6058800285246</v>
      </c>
      <c r="I105" s="634">
        <v>3211.6058800285246</v>
      </c>
      <c r="J105" s="514">
        <f t="shared" ref="J105:J154" si="23">+I105-H105</f>
        <v>0</v>
      </c>
      <c r="K105" s="514"/>
      <c r="L105" s="518">
        <f t="shared" si="21"/>
        <v>3211.6058800285246</v>
      </c>
      <c r="M105" s="514">
        <f>IF(L105&lt;&gt;0,+H105-L105,0)</f>
        <v>0</v>
      </c>
      <c r="N105" s="518">
        <f t="shared" si="22"/>
        <v>3211.6058800285246</v>
      </c>
      <c r="O105" s="514">
        <f>IF(N105&lt;&gt;0,+I105-N105,0)</f>
        <v>0</v>
      </c>
      <c r="P105" s="514">
        <f>+O105-M105</f>
        <v>0</v>
      </c>
    </row>
    <row r="106" spans="1:16" ht="12.5">
      <c r="B106" s="195" t="str">
        <f t="shared" si="20"/>
        <v/>
      </c>
      <c r="C106" s="507">
        <f>IF(D93="","-",+C105+1)</f>
        <v>2017</v>
      </c>
      <c r="D106" s="629">
        <v>21612.25054971084</v>
      </c>
      <c r="E106" s="630">
        <v>552.76190476190482</v>
      </c>
      <c r="F106" s="631">
        <v>21059.488644948935</v>
      </c>
      <c r="G106" s="631">
        <v>21335.869597329889</v>
      </c>
      <c r="H106" s="633">
        <v>2805.9275766929632</v>
      </c>
      <c r="I106" s="634">
        <v>2805.9275766929632</v>
      </c>
      <c r="J106" s="514">
        <f t="shared" si="23"/>
        <v>0</v>
      </c>
      <c r="K106" s="514"/>
      <c r="L106" s="518">
        <f t="shared" si="21"/>
        <v>2805.9275766929632</v>
      </c>
      <c r="M106" s="514">
        <f>IF(L106&lt;&gt;0,+H106-L106,0)</f>
        <v>0</v>
      </c>
      <c r="N106" s="518">
        <f t="shared" si="22"/>
        <v>2805.9275766929632</v>
      </c>
      <c r="O106" s="514">
        <f>IF(N106&lt;&gt;0,+I106-N106,0)</f>
        <v>0</v>
      </c>
      <c r="P106" s="514">
        <f t="shared" si="19"/>
        <v>0</v>
      </c>
    </row>
    <row r="107" spans="1:16" ht="12.5">
      <c r="B107" s="195" t="str">
        <f t="shared" si="20"/>
        <v/>
      </c>
      <c r="C107" s="507">
        <f>IF(D93="","-",+C106+1)</f>
        <v>2018</v>
      </c>
      <c r="D107" s="629">
        <v>21059.488644948935</v>
      </c>
      <c r="E107" s="630">
        <v>539.90697674418607</v>
      </c>
      <c r="F107" s="631">
        <v>20519.581668204748</v>
      </c>
      <c r="G107" s="631">
        <v>20789.535156576843</v>
      </c>
      <c r="H107" s="633">
        <v>2765.2301822595773</v>
      </c>
      <c r="I107" s="634">
        <v>2765.2301822595773</v>
      </c>
      <c r="J107" s="514">
        <f t="shared" si="23"/>
        <v>0</v>
      </c>
      <c r="K107" s="514"/>
      <c r="L107" s="518">
        <f t="shared" si="21"/>
        <v>2765.2301822595773</v>
      </c>
      <c r="M107" s="514">
        <f>IF(L107&lt;&gt;0,+H107-L107,0)</f>
        <v>0</v>
      </c>
      <c r="N107" s="518">
        <f t="shared" si="22"/>
        <v>2765.2301822595773</v>
      </c>
      <c r="O107" s="514">
        <f t="shared" si="18"/>
        <v>0</v>
      </c>
      <c r="P107" s="514">
        <f t="shared" si="19"/>
        <v>0</v>
      </c>
    </row>
    <row r="108" spans="1:16" ht="12.5">
      <c r="B108" s="195" t="str">
        <f t="shared" si="20"/>
        <v/>
      </c>
      <c r="C108" s="507">
        <f>IF(D93="","-",+C107+1)</f>
        <v>2019</v>
      </c>
      <c r="D108" s="629">
        <v>20519.581668204748</v>
      </c>
      <c r="E108" s="630">
        <v>539.90697674418607</v>
      </c>
      <c r="F108" s="631">
        <v>19979.674691460561</v>
      </c>
      <c r="G108" s="631">
        <v>20249.628179832653</v>
      </c>
      <c r="H108" s="633">
        <v>2707.4382443870068</v>
      </c>
      <c r="I108" s="634">
        <v>2707.4382443870068</v>
      </c>
      <c r="J108" s="514">
        <f t="shared" si="23"/>
        <v>0</v>
      </c>
      <c r="K108" s="514"/>
      <c r="L108" s="518">
        <f t="shared" si="21"/>
        <v>2707.4382443870068</v>
      </c>
      <c r="M108" s="514">
        <f>IF(L108&lt;&gt;0,+H108-L108,0)</f>
        <v>0</v>
      </c>
      <c r="N108" s="518">
        <f t="shared" si="22"/>
        <v>2707.4382443870068</v>
      </c>
      <c r="O108" s="514">
        <f t="shared" si="18"/>
        <v>0</v>
      </c>
      <c r="P108" s="514">
        <f t="shared" si="19"/>
        <v>0</v>
      </c>
    </row>
    <row r="109" spans="1:16" ht="12.5">
      <c r="B109" s="195" t="str">
        <f t="shared" si="20"/>
        <v/>
      </c>
      <c r="C109" s="507">
        <f>IF(D93="","-",+C108+1)</f>
        <v>2020</v>
      </c>
      <c r="D109" s="374">
        <f>IF(F108+SUM(E$99:E108)=D$92,F108,D$92-SUM(E$99:E108))</f>
        <v>19979.674691460561</v>
      </c>
      <c r="E109" s="522">
        <f t="shared" ref="E109:E154" si="24">IF(+$J$96&lt;F108,$J$96,D109)</f>
        <v>552.76190476190482</v>
      </c>
      <c r="F109" s="523">
        <f t="shared" ref="F109:F154" si="25">+D109-E109</f>
        <v>19426.912786698656</v>
      </c>
      <c r="G109" s="523">
        <f t="shared" ref="G109:G154" si="26">+(F109+D109)/2</f>
        <v>19703.293739079607</v>
      </c>
      <c r="H109" s="526">
        <f t="shared" ref="H109:H154" si="27">+J$94*G109+E109</f>
        <v>2672.3207251624854</v>
      </c>
      <c r="I109" s="577">
        <f t="shared" ref="I109:I154" si="28">+J$95*G109+E109</f>
        <v>2672.3207251624854</v>
      </c>
      <c r="J109" s="514">
        <f t="shared" si="23"/>
        <v>0</v>
      </c>
      <c r="K109" s="514"/>
      <c r="L109" s="525"/>
      <c r="M109" s="514">
        <f t="shared" si="17"/>
        <v>0</v>
      </c>
      <c r="N109" s="525"/>
      <c r="O109" s="514">
        <f t="shared" si="18"/>
        <v>0</v>
      </c>
      <c r="P109" s="514">
        <f t="shared" si="19"/>
        <v>0</v>
      </c>
    </row>
    <row r="110" spans="1:16" ht="12.5">
      <c r="B110" s="195" t="str">
        <f t="shared" si="20"/>
        <v/>
      </c>
      <c r="C110" s="507">
        <f>IF(D93="","-",+C109+1)</f>
        <v>2021</v>
      </c>
      <c r="D110" s="374">
        <f>IF(F109+SUM(E$99:E109)=D$92,F109,D$92-SUM(E$99:E109))</f>
        <v>19426.912786698656</v>
      </c>
      <c r="E110" s="522">
        <f t="shared" si="24"/>
        <v>552.76190476190482</v>
      </c>
      <c r="F110" s="523">
        <f t="shared" si="25"/>
        <v>18874.150881936752</v>
      </c>
      <c r="G110" s="523">
        <f t="shared" si="26"/>
        <v>19150.531834317706</v>
      </c>
      <c r="H110" s="526">
        <f t="shared" si="27"/>
        <v>2612.8580086068396</v>
      </c>
      <c r="I110" s="577">
        <f t="shared" si="28"/>
        <v>2612.8580086068396</v>
      </c>
      <c r="J110" s="514">
        <f t="shared" si="23"/>
        <v>0</v>
      </c>
      <c r="K110" s="514"/>
      <c r="L110" s="525"/>
      <c r="M110" s="514">
        <f t="shared" si="17"/>
        <v>0</v>
      </c>
      <c r="N110" s="525"/>
      <c r="O110" s="514">
        <f t="shared" si="18"/>
        <v>0</v>
      </c>
      <c r="P110" s="514">
        <f t="shared" si="19"/>
        <v>0</v>
      </c>
    </row>
    <row r="111" spans="1:16" ht="12.5">
      <c r="B111" s="195" t="str">
        <f t="shared" si="20"/>
        <v/>
      </c>
      <c r="C111" s="507">
        <f>IF(D93="","-",+C110+1)</f>
        <v>2022</v>
      </c>
      <c r="D111" s="374">
        <f>IF(F110+SUM(E$99:E110)=D$92,F110,D$92-SUM(E$99:E110))</f>
        <v>18874.150881936752</v>
      </c>
      <c r="E111" s="522">
        <f t="shared" si="24"/>
        <v>552.76190476190482</v>
      </c>
      <c r="F111" s="523">
        <f t="shared" si="25"/>
        <v>18321.388977174847</v>
      </c>
      <c r="G111" s="523">
        <f t="shared" si="26"/>
        <v>18597.769929555798</v>
      </c>
      <c r="H111" s="526">
        <f t="shared" si="27"/>
        <v>2553.3952920511938</v>
      </c>
      <c r="I111" s="577">
        <f t="shared" si="28"/>
        <v>2553.3952920511938</v>
      </c>
      <c r="J111" s="514">
        <f t="shared" si="23"/>
        <v>0</v>
      </c>
      <c r="K111" s="514"/>
      <c r="L111" s="525"/>
      <c r="M111" s="514">
        <f t="shared" si="17"/>
        <v>0</v>
      </c>
      <c r="N111" s="525"/>
      <c r="O111" s="514">
        <f t="shared" si="18"/>
        <v>0</v>
      </c>
      <c r="P111" s="514">
        <f t="shared" si="19"/>
        <v>0</v>
      </c>
    </row>
    <row r="112" spans="1:16" ht="12.5">
      <c r="B112" s="195" t="str">
        <f t="shared" si="20"/>
        <v/>
      </c>
      <c r="C112" s="507">
        <f>IF(D93="","-",+C111+1)</f>
        <v>2023</v>
      </c>
      <c r="D112" s="374">
        <f>IF(F111+SUM(E$99:E111)=D$92,F111,D$92-SUM(E$99:E111))</f>
        <v>18321.388977174847</v>
      </c>
      <c r="E112" s="522">
        <f t="shared" si="24"/>
        <v>552.76190476190482</v>
      </c>
      <c r="F112" s="523">
        <f t="shared" si="25"/>
        <v>17768.627072412943</v>
      </c>
      <c r="G112" s="523">
        <f t="shared" si="26"/>
        <v>18045.008024793897</v>
      </c>
      <c r="H112" s="526">
        <f t="shared" si="27"/>
        <v>2493.932575495548</v>
      </c>
      <c r="I112" s="577">
        <f t="shared" si="28"/>
        <v>2493.932575495548</v>
      </c>
      <c r="J112" s="514">
        <f t="shared" si="23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 ht="12.5">
      <c r="B113" s="195" t="str">
        <f t="shared" si="20"/>
        <v/>
      </c>
      <c r="C113" s="507">
        <f>IF(D93="","-",+C112+1)</f>
        <v>2024</v>
      </c>
      <c r="D113" s="374">
        <f>IF(F112+SUM(E$99:E112)=D$92,F112,D$92-SUM(E$99:E112))</f>
        <v>17768.627072412943</v>
      </c>
      <c r="E113" s="522">
        <f t="shared" si="24"/>
        <v>552.76190476190482</v>
      </c>
      <c r="F113" s="523">
        <f t="shared" si="25"/>
        <v>17215.865167651038</v>
      </c>
      <c r="G113" s="523">
        <f t="shared" si="26"/>
        <v>17492.246120031989</v>
      </c>
      <c r="H113" s="526">
        <f t="shared" si="27"/>
        <v>2434.4698589399022</v>
      </c>
      <c r="I113" s="577">
        <f t="shared" si="28"/>
        <v>2434.4698589399022</v>
      </c>
      <c r="J113" s="514">
        <f t="shared" si="23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 ht="12.5">
      <c r="B114" s="195" t="str">
        <f t="shared" si="20"/>
        <v/>
      </c>
      <c r="C114" s="507">
        <f>IF(D93="","-",+C113+1)</f>
        <v>2025</v>
      </c>
      <c r="D114" s="374">
        <f>IF(F113+SUM(E$99:E113)=D$92,F113,D$92-SUM(E$99:E113))</f>
        <v>17215.865167651038</v>
      </c>
      <c r="E114" s="522">
        <f t="shared" si="24"/>
        <v>552.76190476190482</v>
      </c>
      <c r="F114" s="523">
        <f t="shared" si="25"/>
        <v>16663.103262889133</v>
      </c>
      <c r="G114" s="523">
        <f t="shared" si="26"/>
        <v>16939.484215270088</v>
      </c>
      <c r="H114" s="526">
        <f t="shared" si="27"/>
        <v>2375.0071423842564</v>
      </c>
      <c r="I114" s="577">
        <f t="shared" si="28"/>
        <v>2375.0071423842564</v>
      </c>
      <c r="J114" s="514">
        <f t="shared" si="23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 ht="12.5">
      <c r="B115" s="195" t="str">
        <f t="shared" si="20"/>
        <v/>
      </c>
      <c r="C115" s="507">
        <f>IF(D93="","-",+C114+1)</f>
        <v>2026</v>
      </c>
      <c r="D115" s="374">
        <f>IF(F114+SUM(E$99:E114)=D$92,F114,D$92-SUM(E$99:E114))</f>
        <v>16663.103262889133</v>
      </c>
      <c r="E115" s="522">
        <f t="shared" si="24"/>
        <v>552.76190476190482</v>
      </c>
      <c r="F115" s="523">
        <f t="shared" si="25"/>
        <v>16110.341358127229</v>
      </c>
      <c r="G115" s="523">
        <f t="shared" si="26"/>
        <v>16386.722310508179</v>
      </c>
      <c r="H115" s="526">
        <f t="shared" si="27"/>
        <v>2315.5444258286107</v>
      </c>
      <c r="I115" s="577">
        <f t="shared" si="28"/>
        <v>2315.5444258286107</v>
      </c>
      <c r="J115" s="514">
        <f t="shared" si="23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 ht="12.5">
      <c r="B116" s="195" t="str">
        <f t="shared" si="20"/>
        <v/>
      </c>
      <c r="C116" s="507">
        <f>IF(D93="","-",+C115+1)</f>
        <v>2027</v>
      </c>
      <c r="D116" s="374">
        <f>IF(F115+SUM(E$99:E115)=D$92,F115,D$92-SUM(E$99:E115))</f>
        <v>16110.341358127229</v>
      </c>
      <c r="E116" s="522">
        <f t="shared" si="24"/>
        <v>552.76190476190482</v>
      </c>
      <c r="F116" s="523">
        <f t="shared" si="25"/>
        <v>15557.579453365324</v>
      </c>
      <c r="G116" s="523">
        <f t="shared" si="26"/>
        <v>15833.960405746277</v>
      </c>
      <c r="H116" s="526">
        <f t="shared" si="27"/>
        <v>2256.0817092729649</v>
      </c>
      <c r="I116" s="577">
        <f t="shared" si="28"/>
        <v>2256.0817092729649</v>
      </c>
      <c r="J116" s="514">
        <f t="shared" si="23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 ht="12.5">
      <c r="B117" s="195" t="str">
        <f t="shared" si="20"/>
        <v/>
      </c>
      <c r="C117" s="507">
        <f>IF(D93="","-",+C116+1)</f>
        <v>2028</v>
      </c>
      <c r="D117" s="374">
        <f>IF(F116+SUM(E$99:E116)=D$92,F116,D$92-SUM(E$99:E116))</f>
        <v>15557.579453365324</v>
      </c>
      <c r="E117" s="522">
        <f t="shared" si="24"/>
        <v>552.76190476190482</v>
      </c>
      <c r="F117" s="523">
        <f t="shared" si="25"/>
        <v>15004.81754860342</v>
      </c>
      <c r="G117" s="523">
        <f t="shared" si="26"/>
        <v>15281.198500984372</v>
      </c>
      <c r="H117" s="526">
        <f t="shared" si="27"/>
        <v>2196.6189927173191</v>
      </c>
      <c r="I117" s="577">
        <f t="shared" si="28"/>
        <v>2196.6189927173191</v>
      </c>
      <c r="J117" s="514">
        <f t="shared" si="23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 ht="12.5">
      <c r="B118" s="195" t="str">
        <f t="shared" si="20"/>
        <v/>
      </c>
      <c r="C118" s="507">
        <f>IF(D93="","-",+C117+1)</f>
        <v>2029</v>
      </c>
      <c r="D118" s="374">
        <f>IF(F117+SUM(E$99:E117)=D$92,F117,D$92-SUM(E$99:E117))</f>
        <v>15004.81754860342</v>
      </c>
      <c r="E118" s="522">
        <f t="shared" si="24"/>
        <v>552.76190476190482</v>
      </c>
      <c r="F118" s="523">
        <f t="shared" si="25"/>
        <v>14452.055643841515</v>
      </c>
      <c r="G118" s="523">
        <f t="shared" si="26"/>
        <v>14728.436596222467</v>
      </c>
      <c r="H118" s="526">
        <f t="shared" si="27"/>
        <v>2137.1562761616733</v>
      </c>
      <c r="I118" s="577">
        <f t="shared" si="28"/>
        <v>2137.1562761616733</v>
      </c>
      <c r="J118" s="514">
        <f t="shared" si="23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 ht="12.5">
      <c r="B119" s="195" t="str">
        <f t="shared" si="20"/>
        <v/>
      </c>
      <c r="C119" s="507">
        <f>IF(D93="","-",+C118+1)</f>
        <v>2030</v>
      </c>
      <c r="D119" s="374">
        <f>IF(F118+SUM(E$99:E118)=D$92,F118,D$92-SUM(E$99:E118))</f>
        <v>14452.055643841515</v>
      </c>
      <c r="E119" s="522">
        <f t="shared" si="24"/>
        <v>552.76190476190482</v>
      </c>
      <c r="F119" s="523">
        <f t="shared" si="25"/>
        <v>13899.293739079611</v>
      </c>
      <c r="G119" s="523">
        <f t="shared" si="26"/>
        <v>14175.674691460563</v>
      </c>
      <c r="H119" s="526">
        <f t="shared" si="27"/>
        <v>2077.6935596060275</v>
      </c>
      <c r="I119" s="577">
        <f t="shared" si="28"/>
        <v>2077.6935596060275</v>
      </c>
      <c r="J119" s="514">
        <f t="shared" si="23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 ht="12.5">
      <c r="B120" s="195" t="str">
        <f t="shared" si="20"/>
        <v/>
      </c>
      <c r="C120" s="507">
        <f>IF(D93="","-",+C119+1)</f>
        <v>2031</v>
      </c>
      <c r="D120" s="374">
        <f>IF(F119+SUM(E$99:E119)=D$92,F119,D$92-SUM(E$99:E119))</f>
        <v>13899.293739079611</v>
      </c>
      <c r="E120" s="522">
        <f t="shared" si="24"/>
        <v>552.76190476190482</v>
      </c>
      <c r="F120" s="523">
        <f t="shared" si="25"/>
        <v>13346.531834317706</v>
      </c>
      <c r="G120" s="523">
        <f t="shared" si="26"/>
        <v>13622.912786698658</v>
      </c>
      <c r="H120" s="526">
        <f t="shared" si="27"/>
        <v>2018.230843050382</v>
      </c>
      <c r="I120" s="577">
        <f t="shared" si="28"/>
        <v>2018.230843050382</v>
      </c>
      <c r="J120" s="514">
        <f t="shared" si="23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 ht="12.5">
      <c r="B121" s="195" t="str">
        <f t="shared" si="20"/>
        <v/>
      </c>
      <c r="C121" s="507">
        <f>IF(D93="","-",+C120+1)</f>
        <v>2032</v>
      </c>
      <c r="D121" s="374">
        <f>IF(F120+SUM(E$99:E120)=D$92,F120,D$92-SUM(E$99:E120))</f>
        <v>13346.531834317706</v>
      </c>
      <c r="E121" s="522">
        <f t="shared" si="24"/>
        <v>552.76190476190482</v>
      </c>
      <c r="F121" s="523">
        <f t="shared" si="25"/>
        <v>12793.769929555801</v>
      </c>
      <c r="G121" s="523">
        <f t="shared" si="26"/>
        <v>13070.150881936754</v>
      </c>
      <c r="H121" s="526">
        <f t="shared" si="27"/>
        <v>1958.7681264947362</v>
      </c>
      <c r="I121" s="577">
        <f t="shared" si="28"/>
        <v>1958.7681264947362</v>
      </c>
      <c r="J121" s="514">
        <f t="shared" si="23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 ht="12.5">
      <c r="B122" s="195" t="str">
        <f t="shared" si="20"/>
        <v/>
      </c>
      <c r="C122" s="507">
        <f>IF(D93="","-",+C121+1)</f>
        <v>2033</v>
      </c>
      <c r="D122" s="374">
        <f>IF(F121+SUM(E$99:E121)=D$92,F121,D$92-SUM(E$99:E121))</f>
        <v>12793.769929555801</v>
      </c>
      <c r="E122" s="522">
        <f t="shared" si="24"/>
        <v>552.76190476190482</v>
      </c>
      <c r="F122" s="523">
        <f t="shared" si="25"/>
        <v>12241.008024793897</v>
      </c>
      <c r="G122" s="523">
        <f t="shared" si="26"/>
        <v>12517.388977174849</v>
      </c>
      <c r="H122" s="526">
        <f t="shared" si="27"/>
        <v>1899.3054099390904</v>
      </c>
      <c r="I122" s="577">
        <f t="shared" si="28"/>
        <v>1899.3054099390904</v>
      </c>
      <c r="J122" s="514">
        <f t="shared" si="23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 ht="12.5">
      <c r="B123" s="195" t="str">
        <f t="shared" si="20"/>
        <v/>
      </c>
      <c r="C123" s="507">
        <f>IF(D93="","-",+C122+1)</f>
        <v>2034</v>
      </c>
      <c r="D123" s="374">
        <f>IF(F122+SUM(E$99:E122)=D$92,F122,D$92-SUM(E$99:E122))</f>
        <v>12241.008024793897</v>
      </c>
      <c r="E123" s="522">
        <f t="shared" si="24"/>
        <v>552.76190476190482</v>
      </c>
      <c r="F123" s="523">
        <f t="shared" si="25"/>
        <v>11688.246120031992</v>
      </c>
      <c r="G123" s="523">
        <f t="shared" si="26"/>
        <v>11964.627072412944</v>
      </c>
      <c r="H123" s="526">
        <f t="shared" si="27"/>
        <v>1839.8426933834446</v>
      </c>
      <c r="I123" s="577">
        <f t="shared" si="28"/>
        <v>1839.8426933834446</v>
      </c>
      <c r="J123" s="514">
        <f t="shared" si="23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 ht="12.5">
      <c r="B124" s="195" t="str">
        <f t="shared" si="20"/>
        <v/>
      </c>
      <c r="C124" s="507">
        <f>IF(D93="","-",+C123+1)</f>
        <v>2035</v>
      </c>
      <c r="D124" s="374">
        <f>IF(F123+SUM(E$99:E123)=D$92,F123,D$92-SUM(E$99:E123))</f>
        <v>11688.246120031992</v>
      </c>
      <c r="E124" s="522">
        <f t="shared" si="24"/>
        <v>552.76190476190482</v>
      </c>
      <c r="F124" s="523">
        <f t="shared" si="25"/>
        <v>11135.484215270088</v>
      </c>
      <c r="G124" s="523">
        <f t="shared" si="26"/>
        <v>11411.86516765104</v>
      </c>
      <c r="H124" s="526">
        <f t="shared" si="27"/>
        <v>1780.3799768277988</v>
      </c>
      <c r="I124" s="577">
        <f t="shared" si="28"/>
        <v>1780.3799768277988</v>
      </c>
      <c r="J124" s="514">
        <f t="shared" si="23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 ht="12.5">
      <c r="B125" s="195" t="str">
        <f t="shared" si="20"/>
        <v/>
      </c>
      <c r="C125" s="507">
        <f>IF(D93="","-",+C124+1)</f>
        <v>2036</v>
      </c>
      <c r="D125" s="374">
        <f>IF(F124+SUM(E$99:E124)=D$92,F124,D$92-SUM(E$99:E124))</f>
        <v>11135.484215270088</v>
      </c>
      <c r="E125" s="522">
        <f t="shared" si="24"/>
        <v>552.76190476190482</v>
      </c>
      <c r="F125" s="523">
        <f t="shared" si="25"/>
        <v>10582.722310508183</v>
      </c>
      <c r="G125" s="523">
        <f t="shared" si="26"/>
        <v>10859.103262889135</v>
      </c>
      <c r="H125" s="526">
        <f t="shared" si="27"/>
        <v>1720.9172602721533</v>
      </c>
      <c r="I125" s="577">
        <f t="shared" si="28"/>
        <v>1720.9172602721533</v>
      </c>
      <c r="J125" s="514">
        <f t="shared" si="23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 ht="12.5">
      <c r="B126" s="195" t="str">
        <f t="shared" si="20"/>
        <v/>
      </c>
      <c r="C126" s="507">
        <f>IF(D93="","-",+C125+1)</f>
        <v>2037</v>
      </c>
      <c r="D126" s="374">
        <f>IF(F125+SUM(E$99:E125)=D$92,F125,D$92-SUM(E$99:E125))</f>
        <v>10582.722310508183</v>
      </c>
      <c r="E126" s="522">
        <f t="shared" si="24"/>
        <v>552.76190476190482</v>
      </c>
      <c r="F126" s="523">
        <f t="shared" si="25"/>
        <v>10029.960405746278</v>
      </c>
      <c r="G126" s="523">
        <f t="shared" si="26"/>
        <v>10306.341358127231</v>
      </c>
      <c r="H126" s="526">
        <f t="shared" si="27"/>
        <v>1661.4545437165075</v>
      </c>
      <c r="I126" s="577">
        <f t="shared" si="28"/>
        <v>1661.4545437165075</v>
      </c>
      <c r="J126" s="514">
        <f t="shared" si="23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 ht="12.5">
      <c r="B127" s="195" t="str">
        <f t="shared" si="20"/>
        <v/>
      </c>
      <c r="C127" s="507">
        <f>IF(D93="","-",+C126+1)</f>
        <v>2038</v>
      </c>
      <c r="D127" s="374">
        <f>IF(F126+SUM(E$99:E126)=D$92,F126,D$92-SUM(E$99:E126))</f>
        <v>10029.960405746278</v>
      </c>
      <c r="E127" s="522">
        <f t="shared" si="24"/>
        <v>552.76190476190482</v>
      </c>
      <c r="F127" s="523">
        <f t="shared" si="25"/>
        <v>9477.1985009843738</v>
      </c>
      <c r="G127" s="523">
        <f t="shared" si="26"/>
        <v>9753.5794533653261</v>
      </c>
      <c r="H127" s="526">
        <f t="shared" si="27"/>
        <v>1601.9918271608617</v>
      </c>
      <c r="I127" s="577">
        <f t="shared" si="28"/>
        <v>1601.9918271608617</v>
      </c>
      <c r="J127" s="514">
        <f t="shared" si="23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 ht="12.5">
      <c r="B128" s="195" t="str">
        <f t="shared" si="20"/>
        <v/>
      </c>
      <c r="C128" s="507">
        <f>IF(D93="","-",+C127+1)</f>
        <v>2039</v>
      </c>
      <c r="D128" s="374">
        <f>IF(F127+SUM(E$99:E127)=D$92,F127,D$92-SUM(E$99:E127))</f>
        <v>9477.1985009843738</v>
      </c>
      <c r="E128" s="522">
        <f t="shared" si="24"/>
        <v>552.76190476190482</v>
      </c>
      <c r="F128" s="523">
        <f t="shared" si="25"/>
        <v>8924.4365962224692</v>
      </c>
      <c r="G128" s="523">
        <f t="shared" si="26"/>
        <v>9200.8175486034215</v>
      </c>
      <c r="H128" s="526">
        <f t="shared" si="27"/>
        <v>1542.5291106052159</v>
      </c>
      <c r="I128" s="577">
        <f t="shared" si="28"/>
        <v>1542.5291106052159</v>
      </c>
      <c r="J128" s="514">
        <f t="shared" si="23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 ht="12.5">
      <c r="B129" s="195" t="str">
        <f t="shared" si="20"/>
        <v/>
      </c>
      <c r="C129" s="507">
        <f>IF(D93="","-",+C128+1)</f>
        <v>2040</v>
      </c>
      <c r="D129" s="374">
        <f>IF(F128+SUM(E$99:E128)=D$92,F128,D$92-SUM(E$99:E128))</f>
        <v>8924.4365962224692</v>
      </c>
      <c r="E129" s="522">
        <f t="shared" si="24"/>
        <v>552.76190476190482</v>
      </c>
      <c r="F129" s="523">
        <f t="shared" si="25"/>
        <v>8371.6746914605646</v>
      </c>
      <c r="G129" s="523">
        <f t="shared" si="26"/>
        <v>8648.0556438415169</v>
      </c>
      <c r="H129" s="526">
        <f t="shared" si="27"/>
        <v>1483.0663940495701</v>
      </c>
      <c r="I129" s="577">
        <f t="shared" si="28"/>
        <v>1483.0663940495701</v>
      </c>
      <c r="J129" s="514">
        <f t="shared" si="23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 ht="12.5">
      <c r="B130" s="195" t="str">
        <f t="shared" si="20"/>
        <v/>
      </c>
      <c r="C130" s="507">
        <f>IF(D93="","-",+C129+1)</f>
        <v>2041</v>
      </c>
      <c r="D130" s="374">
        <f>IF(F129+SUM(E$99:E129)=D$92,F129,D$92-SUM(E$99:E129))</f>
        <v>8371.6746914605646</v>
      </c>
      <c r="E130" s="522">
        <f t="shared" si="24"/>
        <v>552.76190476190482</v>
      </c>
      <c r="F130" s="523">
        <f t="shared" si="25"/>
        <v>7818.9127866986601</v>
      </c>
      <c r="G130" s="523">
        <f t="shared" si="26"/>
        <v>8095.2937390796124</v>
      </c>
      <c r="H130" s="526">
        <f t="shared" si="27"/>
        <v>1423.6036774939244</v>
      </c>
      <c r="I130" s="577">
        <f t="shared" si="28"/>
        <v>1423.6036774939244</v>
      </c>
      <c r="J130" s="514">
        <f t="shared" si="23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 ht="12.5">
      <c r="B131" s="195" t="str">
        <f t="shared" si="20"/>
        <v/>
      </c>
      <c r="C131" s="507">
        <f>IF(D93="","-",+C130+1)</f>
        <v>2042</v>
      </c>
      <c r="D131" s="374">
        <f>IF(F130+SUM(E$99:E130)=D$92,F130,D$92-SUM(E$99:E130))</f>
        <v>7818.9127866986601</v>
      </c>
      <c r="E131" s="522">
        <f t="shared" si="24"/>
        <v>552.76190476190482</v>
      </c>
      <c r="F131" s="523">
        <f t="shared" si="25"/>
        <v>7266.1508819367555</v>
      </c>
      <c r="G131" s="523">
        <f t="shared" si="26"/>
        <v>7542.5318343177078</v>
      </c>
      <c r="H131" s="526">
        <f t="shared" si="27"/>
        <v>1364.1409609382786</v>
      </c>
      <c r="I131" s="577">
        <f t="shared" si="28"/>
        <v>1364.1409609382786</v>
      </c>
      <c r="J131" s="514">
        <f t="shared" si="23"/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 ht="12.5">
      <c r="B132" s="195" t="str">
        <f t="shared" si="20"/>
        <v/>
      </c>
      <c r="C132" s="507">
        <f>IF(D93="","-",+C131+1)</f>
        <v>2043</v>
      </c>
      <c r="D132" s="374">
        <f>IF(F131+SUM(E$99:E131)=D$92,F131,D$92-SUM(E$99:E131))</f>
        <v>7266.1508819367555</v>
      </c>
      <c r="E132" s="522">
        <f t="shared" si="24"/>
        <v>552.76190476190482</v>
      </c>
      <c r="F132" s="523">
        <f t="shared" si="25"/>
        <v>6713.3889771748509</v>
      </c>
      <c r="G132" s="523">
        <f t="shared" si="26"/>
        <v>6989.7699295558032</v>
      </c>
      <c r="H132" s="526">
        <f t="shared" si="27"/>
        <v>1304.6782443826328</v>
      </c>
      <c r="I132" s="577">
        <f t="shared" si="28"/>
        <v>1304.6782443826328</v>
      </c>
      <c r="J132" s="514">
        <f t="shared" si="23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 ht="12.5">
      <c r="B133" s="195" t="str">
        <f t="shared" si="20"/>
        <v/>
      </c>
      <c r="C133" s="507">
        <f>IF(D93="","-",+C132+1)</f>
        <v>2044</v>
      </c>
      <c r="D133" s="374">
        <f>IF(F132+SUM(E$99:E132)=D$92,F132,D$92-SUM(E$99:E132))</f>
        <v>6713.3889771748509</v>
      </c>
      <c r="E133" s="522">
        <f t="shared" si="24"/>
        <v>552.76190476190482</v>
      </c>
      <c r="F133" s="523">
        <f t="shared" si="25"/>
        <v>6160.6270724129463</v>
      </c>
      <c r="G133" s="523">
        <f t="shared" si="26"/>
        <v>6437.0080247938986</v>
      </c>
      <c r="H133" s="526">
        <f t="shared" si="27"/>
        <v>1245.215527826987</v>
      </c>
      <c r="I133" s="577">
        <f t="shared" si="28"/>
        <v>1245.215527826987</v>
      </c>
      <c r="J133" s="514">
        <f t="shared" si="23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 ht="12.5">
      <c r="B134" s="195" t="str">
        <f t="shared" si="20"/>
        <v/>
      </c>
      <c r="C134" s="507">
        <f>IF(D93="","-",+C133+1)</f>
        <v>2045</v>
      </c>
      <c r="D134" s="374">
        <f>IF(F133+SUM(E$99:E133)=D$92,F133,D$92-SUM(E$99:E133))</f>
        <v>6160.6270724129463</v>
      </c>
      <c r="E134" s="522">
        <f t="shared" si="24"/>
        <v>552.76190476190482</v>
      </c>
      <c r="F134" s="523">
        <f t="shared" si="25"/>
        <v>5607.8651676510417</v>
      </c>
      <c r="G134" s="523">
        <f t="shared" si="26"/>
        <v>5884.246120031994</v>
      </c>
      <c r="H134" s="526">
        <f t="shared" si="27"/>
        <v>1185.7528112713412</v>
      </c>
      <c r="I134" s="577">
        <f t="shared" si="28"/>
        <v>1185.7528112713412</v>
      </c>
      <c r="J134" s="514">
        <f t="shared" si="23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 ht="12.5">
      <c r="B135" s="195" t="str">
        <f t="shared" si="20"/>
        <v/>
      </c>
      <c r="C135" s="507">
        <f>IF(D93="","-",+C134+1)</f>
        <v>2046</v>
      </c>
      <c r="D135" s="374">
        <f>IF(F134+SUM(E$99:E134)=D$92,F134,D$92-SUM(E$99:E134))</f>
        <v>5607.8651676510417</v>
      </c>
      <c r="E135" s="522">
        <f t="shared" si="24"/>
        <v>552.76190476190482</v>
      </c>
      <c r="F135" s="523">
        <f t="shared" si="25"/>
        <v>5055.1032628891371</v>
      </c>
      <c r="G135" s="523">
        <f t="shared" si="26"/>
        <v>5331.4842152700894</v>
      </c>
      <c r="H135" s="526">
        <f t="shared" si="27"/>
        <v>1126.2900947156954</v>
      </c>
      <c r="I135" s="577">
        <f t="shared" si="28"/>
        <v>1126.2900947156954</v>
      </c>
      <c r="J135" s="514">
        <f t="shared" si="23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 ht="12.5">
      <c r="B136" s="195" t="str">
        <f t="shared" si="20"/>
        <v/>
      </c>
      <c r="C136" s="507">
        <f>IF(D93="","-",+C135+1)</f>
        <v>2047</v>
      </c>
      <c r="D136" s="374">
        <f>IF(F135+SUM(E$99:E135)=D$92,F135,D$92-SUM(E$99:E135))</f>
        <v>5055.1032628891371</v>
      </c>
      <c r="E136" s="522">
        <f t="shared" si="24"/>
        <v>552.76190476190482</v>
      </c>
      <c r="F136" s="523">
        <f t="shared" si="25"/>
        <v>4502.3413581272325</v>
      </c>
      <c r="G136" s="523">
        <f t="shared" si="26"/>
        <v>4778.7223105081848</v>
      </c>
      <c r="H136" s="526">
        <f t="shared" si="27"/>
        <v>1066.8273781600496</v>
      </c>
      <c r="I136" s="577">
        <f t="shared" si="28"/>
        <v>1066.8273781600496</v>
      </c>
      <c r="J136" s="514">
        <f t="shared" si="23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 ht="12.5">
      <c r="B137" s="195" t="str">
        <f t="shared" si="20"/>
        <v/>
      </c>
      <c r="C137" s="507">
        <f>IF(D93="","-",+C136+1)</f>
        <v>2048</v>
      </c>
      <c r="D137" s="374">
        <f>IF(F136+SUM(E$99:E136)=D$92,F136,D$92-SUM(E$99:E136))</f>
        <v>4502.3413581272325</v>
      </c>
      <c r="E137" s="522">
        <f t="shared" si="24"/>
        <v>552.76190476190482</v>
      </c>
      <c r="F137" s="523">
        <f t="shared" si="25"/>
        <v>3949.5794533653279</v>
      </c>
      <c r="G137" s="523">
        <f t="shared" si="26"/>
        <v>4225.9604057462802</v>
      </c>
      <c r="H137" s="526">
        <f t="shared" si="27"/>
        <v>1007.3646616044041</v>
      </c>
      <c r="I137" s="577">
        <f t="shared" si="28"/>
        <v>1007.3646616044041</v>
      </c>
      <c r="J137" s="514">
        <f t="shared" si="23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 ht="12.5">
      <c r="B138" s="195" t="str">
        <f t="shared" si="20"/>
        <v/>
      </c>
      <c r="C138" s="507">
        <f>IF(D93="","-",+C137+1)</f>
        <v>2049</v>
      </c>
      <c r="D138" s="374">
        <f>IF(F137+SUM(E$99:E137)=D$92,F137,D$92-SUM(E$99:E137))</f>
        <v>3949.5794533653279</v>
      </c>
      <c r="E138" s="522">
        <f t="shared" si="24"/>
        <v>552.76190476190482</v>
      </c>
      <c r="F138" s="523">
        <f t="shared" si="25"/>
        <v>3396.8175486034233</v>
      </c>
      <c r="G138" s="523">
        <f t="shared" si="26"/>
        <v>3673.1985009843756</v>
      </c>
      <c r="H138" s="526">
        <f t="shared" si="27"/>
        <v>947.90194504875831</v>
      </c>
      <c r="I138" s="577">
        <f t="shared" si="28"/>
        <v>947.90194504875831</v>
      </c>
      <c r="J138" s="514">
        <f t="shared" si="23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 ht="12.5">
      <c r="B139" s="195" t="str">
        <f t="shared" si="20"/>
        <v/>
      </c>
      <c r="C139" s="507">
        <f>IF(D93="","-",+C138+1)</f>
        <v>2050</v>
      </c>
      <c r="D139" s="374">
        <f>IF(F138+SUM(E$99:E138)=D$92,F138,D$92-SUM(E$99:E138))</f>
        <v>3396.8175486034233</v>
      </c>
      <c r="E139" s="522">
        <f t="shared" si="24"/>
        <v>552.76190476190482</v>
      </c>
      <c r="F139" s="523">
        <f t="shared" si="25"/>
        <v>2844.0556438415188</v>
      </c>
      <c r="G139" s="523">
        <f t="shared" si="26"/>
        <v>3120.4365962224711</v>
      </c>
      <c r="H139" s="526">
        <f t="shared" si="27"/>
        <v>888.43922849311252</v>
      </c>
      <c r="I139" s="577">
        <f t="shared" si="28"/>
        <v>888.43922849311252</v>
      </c>
      <c r="J139" s="514">
        <f t="shared" si="23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 ht="12.5">
      <c r="B140" s="195" t="str">
        <f t="shared" si="20"/>
        <v/>
      </c>
      <c r="C140" s="507">
        <f>IF(D93="","-",+C139+1)</f>
        <v>2051</v>
      </c>
      <c r="D140" s="374">
        <f>IF(F139+SUM(E$99:E139)=D$92,F139,D$92-SUM(E$99:E139))</f>
        <v>2844.0556438415188</v>
      </c>
      <c r="E140" s="522">
        <f t="shared" si="24"/>
        <v>552.76190476190482</v>
      </c>
      <c r="F140" s="523">
        <f t="shared" si="25"/>
        <v>2291.2937390796142</v>
      </c>
      <c r="G140" s="523">
        <f t="shared" si="26"/>
        <v>2567.6746914605665</v>
      </c>
      <c r="H140" s="526">
        <f t="shared" si="27"/>
        <v>828.97651193746674</v>
      </c>
      <c r="I140" s="577">
        <f t="shared" si="28"/>
        <v>828.97651193746674</v>
      </c>
      <c r="J140" s="514">
        <f t="shared" si="23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 ht="12.5">
      <c r="B141" s="195" t="str">
        <f t="shared" si="20"/>
        <v/>
      </c>
      <c r="C141" s="507">
        <f>IF(D93="","-",+C140+1)</f>
        <v>2052</v>
      </c>
      <c r="D141" s="374">
        <f>IF(F140+SUM(E$99:E140)=D$92,F140,D$92-SUM(E$99:E140))</f>
        <v>2291.2937390796142</v>
      </c>
      <c r="E141" s="522">
        <f t="shared" si="24"/>
        <v>552.76190476190482</v>
      </c>
      <c r="F141" s="523">
        <f t="shared" si="25"/>
        <v>1738.5318343177094</v>
      </c>
      <c r="G141" s="523">
        <f t="shared" si="26"/>
        <v>2014.9127866986619</v>
      </c>
      <c r="H141" s="526">
        <f t="shared" si="27"/>
        <v>769.51379538182096</v>
      </c>
      <c r="I141" s="577">
        <f t="shared" si="28"/>
        <v>769.51379538182096</v>
      </c>
      <c r="J141" s="514">
        <f t="shared" si="23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 ht="12.5">
      <c r="B142" s="195" t="str">
        <f t="shared" si="20"/>
        <v/>
      </c>
      <c r="C142" s="507">
        <f>IF(D93="","-",+C141+1)</f>
        <v>2053</v>
      </c>
      <c r="D142" s="374">
        <f>IF(F141+SUM(E$99:E141)=D$92,F141,D$92-SUM(E$99:E141))</f>
        <v>1738.5318343177094</v>
      </c>
      <c r="E142" s="522">
        <f t="shared" si="24"/>
        <v>552.76190476190482</v>
      </c>
      <c r="F142" s="523">
        <f t="shared" si="25"/>
        <v>1185.7699295558045</v>
      </c>
      <c r="G142" s="523">
        <f t="shared" si="26"/>
        <v>1462.1508819367568</v>
      </c>
      <c r="H142" s="526">
        <f t="shared" si="27"/>
        <v>710.05107882617517</v>
      </c>
      <c r="I142" s="577">
        <f t="shared" si="28"/>
        <v>710.05107882617517</v>
      </c>
      <c r="J142" s="514">
        <f t="shared" si="23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 ht="12.5">
      <c r="B143" s="195" t="str">
        <f t="shared" si="20"/>
        <v/>
      </c>
      <c r="C143" s="507">
        <f>IF(D93="","-",+C142+1)</f>
        <v>2054</v>
      </c>
      <c r="D143" s="374">
        <f>IF(F142+SUM(E$99:E142)=D$92,F142,D$92-SUM(E$99:E142))</f>
        <v>1185.7699295558045</v>
      </c>
      <c r="E143" s="522">
        <f t="shared" si="24"/>
        <v>552.76190476190482</v>
      </c>
      <c r="F143" s="523">
        <f t="shared" si="25"/>
        <v>633.00802479389972</v>
      </c>
      <c r="G143" s="523">
        <f t="shared" si="26"/>
        <v>909.38897717485213</v>
      </c>
      <c r="H143" s="526">
        <f t="shared" si="27"/>
        <v>650.58836227052939</v>
      </c>
      <c r="I143" s="577">
        <f t="shared" si="28"/>
        <v>650.58836227052939</v>
      </c>
      <c r="J143" s="514">
        <f t="shared" si="23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 ht="12.5">
      <c r="B144" s="195" t="str">
        <f t="shared" si="20"/>
        <v/>
      </c>
      <c r="C144" s="507">
        <f>IF(D93="","-",+C143+1)</f>
        <v>2055</v>
      </c>
      <c r="D144" s="374">
        <f>IF(F143+SUM(E$99:E143)=D$92,F143,D$92-SUM(E$99:E143))</f>
        <v>633.00802479389972</v>
      </c>
      <c r="E144" s="522">
        <f t="shared" si="24"/>
        <v>552.76190476190482</v>
      </c>
      <c r="F144" s="523">
        <f t="shared" si="25"/>
        <v>80.246120031994906</v>
      </c>
      <c r="G144" s="523">
        <f t="shared" si="26"/>
        <v>356.62707241294731</v>
      </c>
      <c r="H144" s="526">
        <f t="shared" si="27"/>
        <v>591.1256457148836</v>
      </c>
      <c r="I144" s="577">
        <f t="shared" si="28"/>
        <v>591.1256457148836</v>
      </c>
      <c r="J144" s="514">
        <f t="shared" si="23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 ht="12.5">
      <c r="B145" s="195" t="str">
        <f t="shared" si="20"/>
        <v/>
      </c>
      <c r="C145" s="507">
        <f>IF(D93="","-",+C144+1)</f>
        <v>2056</v>
      </c>
      <c r="D145" s="374">
        <f>IF(F144+SUM(E$99:E144)=D$92,F144,D$92-SUM(E$99:E144))</f>
        <v>80.246120031994906</v>
      </c>
      <c r="E145" s="522">
        <f t="shared" si="24"/>
        <v>80.246120031994906</v>
      </c>
      <c r="F145" s="523">
        <f t="shared" si="25"/>
        <v>0</v>
      </c>
      <c r="G145" s="523">
        <f t="shared" si="26"/>
        <v>40.123060015997453</v>
      </c>
      <c r="H145" s="526">
        <f t="shared" si="27"/>
        <v>84.562311369572853</v>
      </c>
      <c r="I145" s="577">
        <f t="shared" si="28"/>
        <v>84.562311369572853</v>
      </c>
      <c r="J145" s="514">
        <f t="shared" si="23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 ht="12.5">
      <c r="B146" s="195" t="str">
        <f t="shared" si="20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 t="shared" si="24"/>
        <v>0</v>
      </c>
      <c r="F146" s="523">
        <f t="shared" si="25"/>
        <v>0</v>
      </c>
      <c r="G146" s="523">
        <f t="shared" si="26"/>
        <v>0</v>
      </c>
      <c r="H146" s="526">
        <f t="shared" si="27"/>
        <v>0</v>
      </c>
      <c r="I146" s="577">
        <f t="shared" si="28"/>
        <v>0</v>
      </c>
      <c r="J146" s="514">
        <f t="shared" si="23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 ht="12.5">
      <c r="B147" s="195" t="str">
        <f t="shared" si="20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 t="shared" si="24"/>
        <v>0</v>
      </c>
      <c r="F147" s="523">
        <f t="shared" si="25"/>
        <v>0</v>
      </c>
      <c r="G147" s="523">
        <f t="shared" si="26"/>
        <v>0</v>
      </c>
      <c r="H147" s="526">
        <f t="shared" si="27"/>
        <v>0</v>
      </c>
      <c r="I147" s="577">
        <f t="shared" si="28"/>
        <v>0</v>
      </c>
      <c r="J147" s="514">
        <f t="shared" si="23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 ht="12.5">
      <c r="B148" s="195" t="str">
        <f t="shared" si="20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 t="shared" si="24"/>
        <v>0</v>
      </c>
      <c r="F148" s="523">
        <f t="shared" si="25"/>
        <v>0</v>
      </c>
      <c r="G148" s="523">
        <f t="shared" si="26"/>
        <v>0</v>
      </c>
      <c r="H148" s="526">
        <f t="shared" si="27"/>
        <v>0</v>
      </c>
      <c r="I148" s="577">
        <f t="shared" si="28"/>
        <v>0</v>
      </c>
      <c r="J148" s="514">
        <f t="shared" si="23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 ht="12.5">
      <c r="B149" s="195" t="str">
        <f t="shared" si="20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 t="shared" si="24"/>
        <v>0</v>
      </c>
      <c r="F149" s="523">
        <f t="shared" si="25"/>
        <v>0</v>
      </c>
      <c r="G149" s="523">
        <f t="shared" si="26"/>
        <v>0</v>
      </c>
      <c r="H149" s="526">
        <f t="shared" si="27"/>
        <v>0</v>
      </c>
      <c r="I149" s="577">
        <f t="shared" si="28"/>
        <v>0</v>
      </c>
      <c r="J149" s="514">
        <f t="shared" si="23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 ht="12.5">
      <c r="B150" s="195" t="str">
        <f t="shared" si="20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 t="shared" si="24"/>
        <v>0</v>
      </c>
      <c r="F150" s="523">
        <f t="shared" si="25"/>
        <v>0</v>
      </c>
      <c r="G150" s="523">
        <f t="shared" si="26"/>
        <v>0</v>
      </c>
      <c r="H150" s="526">
        <f t="shared" si="27"/>
        <v>0</v>
      </c>
      <c r="I150" s="577">
        <f t="shared" si="28"/>
        <v>0</v>
      </c>
      <c r="J150" s="514">
        <f t="shared" si="23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 ht="12.5">
      <c r="B151" s="195" t="str">
        <f t="shared" si="20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 t="shared" si="24"/>
        <v>0</v>
      </c>
      <c r="F151" s="523">
        <f t="shared" si="25"/>
        <v>0</v>
      </c>
      <c r="G151" s="523">
        <f t="shared" si="26"/>
        <v>0</v>
      </c>
      <c r="H151" s="526">
        <f t="shared" si="27"/>
        <v>0</v>
      </c>
      <c r="I151" s="577">
        <f t="shared" si="28"/>
        <v>0</v>
      </c>
      <c r="J151" s="514">
        <f t="shared" si="23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 ht="12.5">
      <c r="B152" s="195" t="str">
        <f t="shared" si="20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 t="shared" si="24"/>
        <v>0</v>
      </c>
      <c r="F152" s="523">
        <f t="shared" si="25"/>
        <v>0</v>
      </c>
      <c r="G152" s="523">
        <f t="shared" si="26"/>
        <v>0</v>
      </c>
      <c r="H152" s="526">
        <f t="shared" si="27"/>
        <v>0</v>
      </c>
      <c r="I152" s="577">
        <f t="shared" si="28"/>
        <v>0</v>
      </c>
      <c r="J152" s="514">
        <f t="shared" si="23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 ht="12.5">
      <c r="B153" s="195" t="str">
        <f t="shared" si="20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 t="shared" si="24"/>
        <v>0</v>
      </c>
      <c r="F153" s="523">
        <f t="shared" si="25"/>
        <v>0</v>
      </c>
      <c r="G153" s="523">
        <f t="shared" si="26"/>
        <v>0</v>
      </c>
      <c r="H153" s="526">
        <f t="shared" si="27"/>
        <v>0</v>
      </c>
      <c r="I153" s="577">
        <f t="shared" si="28"/>
        <v>0</v>
      </c>
      <c r="J153" s="514">
        <f t="shared" si="23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" thickBot="1">
      <c r="B154" s="195" t="str">
        <f t="shared" si="20"/>
        <v/>
      </c>
      <c r="C154" s="527">
        <f>IF(D93="","-",+C153+1)</f>
        <v>2065</v>
      </c>
      <c r="D154" s="374">
        <f>IF(F153+SUM(E$99:E153)=D$92,F153,D$92-SUM(E$99:E153))</f>
        <v>0</v>
      </c>
      <c r="E154" s="522">
        <f t="shared" si="24"/>
        <v>0</v>
      </c>
      <c r="F154" s="523">
        <f t="shared" si="25"/>
        <v>0</v>
      </c>
      <c r="G154" s="523">
        <f t="shared" si="26"/>
        <v>0</v>
      </c>
      <c r="H154" s="526">
        <f t="shared" si="27"/>
        <v>0</v>
      </c>
      <c r="I154" s="577">
        <f t="shared" si="28"/>
        <v>0</v>
      </c>
      <c r="J154" s="514">
        <f t="shared" si="23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 ht="12.5">
      <c r="C155" s="374" t="s">
        <v>78</v>
      </c>
      <c r="D155" s="375"/>
      <c r="E155" s="375">
        <f>SUM(E99:E154)</f>
        <v>23216</v>
      </c>
      <c r="F155" s="375"/>
      <c r="G155" s="375"/>
      <c r="H155" s="375">
        <f>SUM(H99:H154)</f>
        <v>77010.70237142015</v>
      </c>
      <c r="I155" s="375">
        <f>SUM(I99:I154)</f>
        <v>77010.70237142015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2" priority="1" stopIfTrue="1" operator="equal">
      <formula>$I$10</formula>
    </cfRule>
  </conditionalFormatting>
  <conditionalFormatting sqref="C99:C154">
    <cfRule type="cellIs" dxfId="6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P162"/>
  <sheetViews>
    <sheetView view="pageBreakPreview" zoomScale="82" zoomScaleNormal="100" zoomScaleSheetLayoutView="82" workbookViewId="0">
      <selection activeCell="E87" sqref="E8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50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1858641.3891753859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1858641.3891753859</v>
      </c>
      <c r="O6" s="269"/>
      <c r="P6" s="269"/>
    </row>
    <row r="7" spans="1:16" ht="13.5" thickBot="1">
      <c r="C7" s="467" t="s">
        <v>48</v>
      </c>
      <c r="D7" s="624" t="s">
        <v>342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/>
      <c r="E9" s="637" t="s">
        <v>401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15930624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379300.57142857142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15500000</v>
      </c>
      <c r="E17" s="638">
        <v>184523.80952380953</v>
      </c>
      <c r="F17" s="629">
        <v>15315476.19047619</v>
      </c>
      <c r="G17" s="638">
        <v>2201645.5530295321</v>
      </c>
      <c r="H17" s="639">
        <v>2201645.5530295321</v>
      </c>
      <c r="I17" s="511">
        <v>0</v>
      </c>
      <c r="J17" s="511"/>
      <c r="K17" s="518">
        <f t="shared" ref="K17:K22" si="0">G17</f>
        <v>2201645.5530295321</v>
      </c>
      <c r="L17" s="519">
        <f t="shared" ref="L17:L22" si="1">IF(K17&lt;&gt;0,+G17-K17,0)</f>
        <v>0</v>
      </c>
      <c r="M17" s="518">
        <f t="shared" ref="M17:M22" si="2">H17</f>
        <v>2201645.5530295321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15593387.19047619</v>
      </c>
      <c r="E18" s="630">
        <v>375664.54761904763</v>
      </c>
      <c r="F18" s="631">
        <v>15217722.642857142</v>
      </c>
      <c r="G18" s="630">
        <v>2355185.5288467337</v>
      </c>
      <c r="H18" s="639">
        <v>2355185.5288467337</v>
      </c>
      <c r="I18" s="511">
        <f>H18-G18</f>
        <v>0</v>
      </c>
      <c r="J18" s="511"/>
      <c r="K18" s="518">
        <f t="shared" si="0"/>
        <v>2355185.5288467337</v>
      </c>
      <c r="L18" s="519">
        <f t="shared" si="1"/>
        <v>0</v>
      </c>
      <c r="M18" s="518">
        <f t="shared" si="2"/>
        <v>2355185.5288467337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15438728.642857144</v>
      </c>
      <c r="E19" s="630">
        <v>372067.83720930235</v>
      </c>
      <c r="F19" s="631">
        <v>15066660.805647841</v>
      </c>
      <c r="G19" s="630">
        <v>2261762.8310746681</v>
      </c>
      <c r="H19" s="639">
        <v>2261762.8310746681</v>
      </c>
      <c r="I19" s="511">
        <f t="shared" ref="I19:I72" si="3">H19-G19</f>
        <v>0</v>
      </c>
      <c r="J19" s="511"/>
      <c r="K19" s="518">
        <f t="shared" si="0"/>
        <v>2261762.8310746681</v>
      </c>
      <c r="L19" s="519">
        <f t="shared" si="1"/>
        <v>0</v>
      </c>
      <c r="M19" s="518">
        <f t="shared" si="2"/>
        <v>2261762.8310746681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15066660.805647841</v>
      </c>
      <c r="E20" s="630">
        <v>390217.48780487804</v>
      </c>
      <c r="F20" s="631">
        <v>14676443.317842962</v>
      </c>
      <c r="G20" s="630">
        <v>2280303.9967571078</v>
      </c>
      <c r="H20" s="639">
        <v>2280303.9967571078</v>
      </c>
      <c r="I20" s="511">
        <f t="shared" si="3"/>
        <v>0</v>
      </c>
      <c r="J20" s="511"/>
      <c r="K20" s="518">
        <f t="shared" si="0"/>
        <v>2280303.9967571078</v>
      </c>
      <c r="L20" s="519">
        <f t="shared" si="1"/>
        <v>0</v>
      </c>
      <c r="M20" s="518">
        <f t="shared" si="2"/>
        <v>2280303.9967571078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14676443.317842962</v>
      </c>
      <c r="E21" s="630">
        <v>390217.48780487804</v>
      </c>
      <c r="F21" s="631">
        <v>14286225.830038084</v>
      </c>
      <c r="G21" s="630">
        <v>2230709.6567584975</v>
      </c>
      <c r="H21" s="639">
        <v>2230709.6567584975</v>
      </c>
      <c r="I21" s="511">
        <f t="shared" si="3"/>
        <v>0</v>
      </c>
      <c r="J21" s="511"/>
      <c r="K21" s="518">
        <f t="shared" si="0"/>
        <v>2230709.6567584975</v>
      </c>
      <c r="L21" s="519">
        <f t="shared" si="1"/>
        <v>0</v>
      </c>
      <c r="M21" s="518">
        <f t="shared" si="2"/>
        <v>2230709.6567584975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>IU</v>
      </c>
      <c r="C22" s="507">
        <f>IF(D11="","-",+C21+1)</f>
        <v>2020</v>
      </c>
      <c r="D22" s="631">
        <v>14496645.830038084</v>
      </c>
      <c r="E22" s="630">
        <v>395349.68292682926</v>
      </c>
      <c r="F22" s="631">
        <v>14101296.147111254</v>
      </c>
      <c r="G22" s="630">
        <v>1858641.3891753859</v>
      </c>
      <c r="H22" s="639">
        <v>1858641.3891753859</v>
      </c>
      <c r="I22" s="511">
        <f t="shared" si="3"/>
        <v>0</v>
      </c>
      <c r="J22" s="511"/>
      <c r="K22" s="518">
        <f t="shared" si="0"/>
        <v>1858641.3891753859</v>
      </c>
      <c r="L22" s="519">
        <f t="shared" si="1"/>
        <v>0</v>
      </c>
      <c r="M22" s="518">
        <f t="shared" si="2"/>
        <v>1858641.3891753859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523">
        <f>IF(F22+SUM(E$17:E22)=D$10,F22,D$10-SUM(E$17:E22))</f>
        <v>13822583.147111256</v>
      </c>
      <c r="E23" s="522">
        <f t="shared" ref="E23:E72" si="7">IF(+$I$14&lt;F22,$I$14,D23)</f>
        <v>379300.57142857142</v>
      </c>
      <c r="F23" s="523">
        <f t="shared" ref="F23:F72" si="8">+D23-E23</f>
        <v>13443282.575682685</v>
      </c>
      <c r="G23" s="524">
        <f t="shared" ref="G23:G50" si="9">+I$12*((D23+F23)/2)+E23</f>
        <v>1835542.836095951</v>
      </c>
      <c r="H23" s="491">
        <f t="shared" ref="H23:H50" si="10">+I$13*((D23+F23)/2)+E23</f>
        <v>1835542.836095951</v>
      </c>
      <c r="I23" s="511">
        <f t="shared" si="3"/>
        <v>0</v>
      </c>
      <c r="J23" s="511"/>
      <c r="K23" s="525"/>
      <c r="L23" s="514">
        <f t="shared" ref="L23:L72" si="11">IF(K23&lt;&gt;0,+G23-K23,0)</f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/>
      </c>
      <c r="C24" s="507">
        <f>IF(D11="","-",+C23+1)</f>
        <v>2022</v>
      </c>
      <c r="D24" s="523">
        <f>IF(F23+SUM(E$17:E23)=D$10,F23,D$10-SUM(E$17:E23))</f>
        <v>13443282.575682685</v>
      </c>
      <c r="E24" s="522">
        <f t="shared" si="7"/>
        <v>379300.57142857142</v>
      </c>
      <c r="F24" s="523">
        <f t="shared" si="8"/>
        <v>13063982.004254114</v>
      </c>
      <c r="G24" s="524">
        <f t="shared" si="9"/>
        <v>1795026.7176097508</v>
      </c>
      <c r="H24" s="491">
        <f t="shared" si="10"/>
        <v>1795026.7176097508</v>
      </c>
      <c r="I24" s="511">
        <f t="shared" si="3"/>
        <v>0</v>
      </c>
      <c r="J24" s="511"/>
      <c r="K24" s="525"/>
      <c r="L24" s="514">
        <f t="shared" si="11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13063982.004254114</v>
      </c>
      <c r="E25" s="522">
        <f t="shared" si="7"/>
        <v>379300.57142857142</v>
      </c>
      <c r="F25" s="523">
        <f t="shared" si="8"/>
        <v>12684681.432825543</v>
      </c>
      <c r="G25" s="524">
        <f t="shared" si="9"/>
        <v>1754510.5991235506</v>
      </c>
      <c r="H25" s="491">
        <f t="shared" si="10"/>
        <v>1754510.5991235506</v>
      </c>
      <c r="I25" s="511">
        <f t="shared" si="3"/>
        <v>0</v>
      </c>
      <c r="J25" s="511"/>
      <c r="K25" s="525"/>
      <c r="L25" s="514">
        <f t="shared" si="11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12684681.432825543</v>
      </c>
      <c r="E26" s="522">
        <f t="shared" si="7"/>
        <v>379300.57142857142</v>
      </c>
      <c r="F26" s="523">
        <f t="shared" si="8"/>
        <v>12305380.861396972</v>
      </c>
      <c r="G26" s="524">
        <f t="shared" si="9"/>
        <v>1713994.4806373501</v>
      </c>
      <c r="H26" s="491">
        <f t="shared" si="10"/>
        <v>1713994.4806373501</v>
      </c>
      <c r="I26" s="511">
        <f t="shared" si="3"/>
        <v>0</v>
      </c>
      <c r="J26" s="511"/>
      <c r="K26" s="525"/>
      <c r="L26" s="514">
        <f t="shared" si="11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12305380.861396972</v>
      </c>
      <c r="E27" s="522">
        <f t="shared" si="7"/>
        <v>379300.57142857142</v>
      </c>
      <c r="F27" s="523">
        <f t="shared" si="8"/>
        <v>11926080.289968401</v>
      </c>
      <c r="G27" s="524">
        <f t="shared" si="9"/>
        <v>1673478.3621511499</v>
      </c>
      <c r="H27" s="491">
        <f t="shared" si="10"/>
        <v>1673478.3621511499</v>
      </c>
      <c r="I27" s="511">
        <f t="shared" si="3"/>
        <v>0</v>
      </c>
      <c r="J27" s="511"/>
      <c r="K27" s="525"/>
      <c r="L27" s="514">
        <f t="shared" si="11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11926080.289968401</v>
      </c>
      <c r="E28" s="522">
        <f t="shared" si="7"/>
        <v>379300.57142857142</v>
      </c>
      <c r="F28" s="523">
        <f t="shared" si="8"/>
        <v>11546779.71853983</v>
      </c>
      <c r="G28" s="524">
        <f t="shared" si="9"/>
        <v>1632962.2436649497</v>
      </c>
      <c r="H28" s="491">
        <f t="shared" si="10"/>
        <v>1632962.2436649497</v>
      </c>
      <c r="I28" s="511">
        <f t="shared" si="3"/>
        <v>0</v>
      </c>
      <c r="J28" s="511"/>
      <c r="K28" s="525"/>
      <c r="L28" s="514">
        <f t="shared" si="11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11546779.71853983</v>
      </c>
      <c r="E29" s="522">
        <f t="shared" si="7"/>
        <v>379300.57142857142</v>
      </c>
      <c r="F29" s="523">
        <f t="shared" si="8"/>
        <v>11167479.147111259</v>
      </c>
      <c r="G29" s="524">
        <f t="shared" si="9"/>
        <v>1592446.1251787492</v>
      </c>
      <c r="H29" s="491">
        <f t="shared" si="10"/>
        <v>1592446.1251787492</v>
      </c>
      <c r="I29" s="511">
        <f t="shared" si="3"/>
        <v>0</v>
      </c>
      <c r="J29" s="511"/>
      <c r="K29" s="525"/>
      <c r="L29" s="514">
        <f t="shared" si="11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11167479.147111259</v>
      </c>
      <c r="E30" s="522">
        <f t="shared" si="7"/>
        <v>379300.57142857142</v>
      </c>
      <c r="F30" s="523">
        <f t="shared" si="8"/>
        <v>10788178.575682689</v>
      </c>
      <c r="G30" s="524">
        <f t="shared" si="9"/>
        <v>1551930.006692549</v>
      </c>
      <c r="H30" s="491">
        <f t="shared" si="10"/>
        <v>1551930.006692549</v>
      </c>
      <c r="I30" s="511">
        <f t="shared" si="3"/>
        <v>0</v>
      </c>
      <c r="J30" s="511"/>
      <c r="K30" s="525"/>
      <c r="L30" s="514">
        <f t="shared" si="11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10788178.575682689</v>
      </c>
      <c r="E31" s="522">
        <f t="shared" si="7"/>
        <v>379300.57142857142</v>
      </c>
      <c r="F31" s="523">
        <f t="shared" si="8"/>
        <v>10408878.004254118</v>
      </c>
      <c r="G31" s="524">
        <f t="shared" si="9"/>
        <v>1511413.8882063488</v>
      </c>
      <c r="H31" s="491">
        <f t="shared" si="10"/>
        <v>1511413.8882063488</v>
      </c>
      <c r="I31" s="511">
        <f t="shared" si="3"/>
        <v>0</v>
      </c>
      <c r="J31" s="511"/>
      <c r="K31" s="525"/>
      <c r="L31" s="514">
        <f t="shared" si="11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10408878.004254118</v>
      </c>
      <c r="E32" s="522">
        <f t="shared" si="7"/>
        <v>379300.57142857142</v>
      </c>
      <c r="F32" s="523">
        <f t="shared" si="8"/>
        <v>10029577.432825547</v>
      </c>
      <c r="G32" s="524">
        <f t="shared" si="9"/>
        <v>1470897.7697201483</v>
      </c>
      <c r="H32" s="491">
        <f t="shared" si="10"/>
        <v>1470897.7697201483</v>
      </c>
      <c r="I32" s="511">
        <f t="shared" si="3"/>
        <v>0</v>
      </c>
      <c r="J32" s="511"/>
      <c r="K32" s="525"/>
      <c r="L32" s="514">
        <f t="shared" si="11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10029577.432825547</v>
      </c>
      <c r="E33" s="522">
        <f t="shared" si="7"/>
        <v>379300.57142857142</v>
      </c>
      <c r="F33" s="523">
        <f t="shared" si="8"/>
        <v>9650276.8613969758</v>
      </c>
      <c r="G33" s="524">
        <f t="shared" si="9"/>
        <v>1430381.6512339481</v>
      </c>
      <c r="H33" s="491">
        <f t="shared" si="10"/>
        <v>1430381.6512339481</v>
      </c>
      <c r="I33" s="511">
        <f t="shared" si="3"/>
        <v>0</v>
      </c>
      <c r="J33" s="511"/>
      <c r="K33" s="525"/>
      <c r="L33" s="514">
        <f t="shared" si="11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9650276.8613969758</v>
      </c>
      <c r="E34" s="522">
        <f t="shared" si="7"/>
        <v>379300.57142857142</v>
      </c>
      <c r="F34" s="523">
        <f t="shared" si="8"/>
        <v>9270976.2899684049</v>
      </c>
      <c r="G34" s="524">
        <f t="shared" si="9"/>
        <v>1389865.5327477478</v>
      </c>
      <c r="H34" s="491">
        <f t="shared" si="10"/>
        <v>1389865.5327477478</v>
      </c>
      <c r="I34" s="511">
        <f t="shared" si="3"/>
        <v>0</v>
      </c>
      <c r="J34" s="511"/>
      <c r="K34" s="525"/>
      <c r="L34" s="514">
        <f t="shared" si="11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9270976.2899684049</v>
      </c>
      <c r="E35" s="522">
        <f t="shared" si="7"/>
        <v>379300.57142857142</v>
      </c>
      <c r="F35" s="523">
        <f t="shared" si="8"/>
        <v>8891675.718539834</v>
      </c>
      <c r="G35" s="524">
        <f t="shared" si="9"/>
        <v>1349349.4142615476</v>
      </c>
      <c r="H35" s="491">
        <f t="shared" si="10"/>
        <v>1349349.4142615476</v>
      </c>
      <c r="I35" s="511">
        <f t="shared" si="3"/>
        <v>0</v>
      </c>
      <c r="J35" s="511"/>
      <c r="K35" s="525"/>
      <c r="L35" s="514">
        <f t="shared" si="11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8891675.718539834</v>
      </c>
      <c r="E36" s="522">
        <f t="shared" si="7"/>
        <v>379300.57142857142</v>
      </c>
      <c r="F36" s="523">
        <f t="shared" si="8"/>
        <v>8512375.1471112631</v>
      </c>
      <c r="G36" s="524">
        <f t="shared" si="9"/>
        <v>1308833.2957753472</v>
      </c>
      <c r="H36" s="491">
        <f t="shared" si="10"/>
        <v>1308833.2957753472</v>
      </c>
      <c r="I36" s="511">
        <f t="shared" si="3"/>
        <v>0</v>
      </c>
      <c r="J36" s="511"/>
      <c r="K36" s="525"/>
      <c r="L36" s="514">
        <f t="shared" si="11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8512375.1471112631</v>
      </c>
      <c r="E37" s="522">
        <f t="shared" si="7"/>
        <v>379300.57142857142</v>
      </c>
      <c r="F37" s="523">
        <f t="shared" si="8"/>
        <v>8133074.5756826913</v>
      </c>
      <c r="G37" s="524">
        <f t="shared" si="9"/>
        <v>1268317.1772891469</v>
      </c>
      <c r="H37" s="491">
        <f t="shared" si="10"/>
        <v>1268317.1772891469</v>
      </c>
      <c r="I37" s="511">
        <f t="shared" si="3"/>
        <v>0</v>
      </c>
      <c r="J37" s="511"/>
      <c r="K37" s="525"/>
      <c r="L37" s="514">
        <f t="shared" si="11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8133074.5756826913</v>
      </c>
      <c r="E38" s="522">
        <f t="shared" si="7"/>
        <v>379300.57142857142</v>
      </c>
      <c r="F38" s="523">
        <f t="shared" si="8"/>
        <v>7753774.0042541195</v>
      </c>
      <c r="G38" s="524">
        <f t="shared" si="9"/>
        <v>1227801.0588029465</v>
      </c>
      <c r="H38" s="491">
        <f t="shared" si="10"/>
        <v>1227801.0588029465</v>
      </c>
      <c r="I38" s="511">
        <f t="shared" si="3"/>
        <v>0</v>
      </c>
      <c r="J38" s="511"/>
      <c r="K38" s="525"/>
      <c r="L38" s="514">
        <f t="shared" si="11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7753774.0042541195</v>
      </c>
      <c r="E39" s="522">
        <f t="shared" si="7"/>
        <v>379300.57142857142</v>
      </c>
      <c r="F39" s="523">
        <f t="shared" si="8"/>
        <v>7374473.4328255476</v>
      </c>
      <c r="G39" s="524">
        <f t="shared" si="9"/>
        <v>1187284.9403167462</v>
      </c>
      <c r="H39" s="491">
        <f t="shared" si="10"/>
        <v>1187284.9403167462</v>
      </c>
      <c r="I39" s="511">
        <f t="shared" si="3"/>
        <v>0</v>
      </c>
      <c r="J39" s="511"/>
      <c r="K39" s="525"/>
      <c r="L39" s="514">
        <f t="shared" si="11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7374473.4328255476</v>
      </c>
      <c r="E40" s="522">
        <f t="shared" si="7"/>
        <v>379300.57142857142</v>
      </c>
      <c r="F40" s="523">
        <f t="shared" si="8"/>
        <v>6995172.8613969758</v>
      </c>
      <c r="G40" s="524">
        <f t="shared" si="9"/>
        <v>1146768.8218305458</v>
      </c>
      <c r="H40" s="491">
        <f t="shared" si="10"/>
        <v>1146768.8218305458</v>
      </c>
      <c r="I40" s="511">
        <f t="shared" si="3"/>
        <v>0</v>
      </c>
      <c r="J40" s="511"/>
      <c r="K40" s="525"/>
      <c r="L40" s="514">
        <f t="shared" si="11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6995172.8613969758</v>
      </c>
      <c r="E41" s="522">
        <f t="shared" si="7"/>
        <v>379300.57142857142</v>
      </c>
      <c r="F41" s="523">
        <f t="shared" si="8"/>
        <v>6615872.289968404</v>
      </c>
      <c r="G41" s="524">
        <f t="shared" si="9"/>
        <v>1106252.7033443453</v>
      </c>
      <c r="H41" s="491">
        <f t="shared" si="10"/>
        <v>1106252.7033443453</v>
      </c>
      <c r="I41" s="511">
        <f t="shared" si="3"/>
        <v>0</v>
      </c>
      <c r="J41" s="511"/>
      <c r="K41" s="525"/>
      <c r="L41" s="514">
        <f t="shared" si="11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6615872.289968404</v>
      </c>
      <c r="E42" s="522">
        <f t="shared" si="7"/>
        <v>379300.57142857142</v>
      </c>
      <c r="F42" s="523">
        <f t="shared" si="8"/>
        <v>6236571.7185398322</v>
      </c>
      <c r="G42" s="524">
        <f t="shared" si="9"/>
        <v>1065736.5848581449</v>
      </c>
      <c r="H42" s="491">
        <f t="shared" si="10"/>
        <v>1065736.5848581449</v>
      </c>
      <c r="I42" s="511">
        <f t="shared" si="3"/>
        <v>0</v>
      </c>
      <c r="J42" s="511"/>
      <c r="K42" s="525"/>
      <c r="L42" s="514">
        <f t="shared" si="11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6236571.7185398322</v>
      </c>
      <c r="E43" s="522">
        <f t="shared" si="7"/>
        <v>379300.57142857142</v>
      </c>
      <c r="F43" s="523">
        <f t="shared" si="8"/>
        <v>5857271.1471112603</v>
      </c>
      <c r="G43" s="524">
        <f t="shared" si="9"/>
        <v>1025220.4663719446</v>
      </c>
      <c r="H43" s="491">
        <f t="shared" si="10"/>
        <v>1025220.4663719446</v>
      </c>
      <c r="I43" s="511">
        <f t="shared" si="3"/>
        <v>0</v>
      </c>
      <c r="J43" s="511"/>
      <c r="K43" s="525"/>
      <c r="L43" s="514">
        <f t="shared" si="11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5857271.1471112603</v>
      </c>
      <c r="E44" s="522">
        <f t="shared" si="7"/>
        <v>379300.57142857142</v>
      </c>
      <c r="F44" s="523">
        <f t="shared" si="8"/>
        <v>5477970.5756826885</v>
      </c>
      <c r="G44" s="524">
        <f t="shared" si="9"/>
        <v>984704.34788574418</v>
      </c>
      <c r="H44" s="491">
        <f t="shared" si="10"/>
        <v>984704.34788574418</v>
      </c>
      <c r="I44" s="511">
        <f t="shared" si="3"/>
        <v>0</v>
      </c>
      <c r="J44" s="511"/>
      <c r="K44" s="525"/>
      <c r="L44" s="514">
        <f t="shared" si="11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5477970.5756826885</v>
      </c>
      <c r="E45" s="522">
        <f t="shared" si="7"/>
        <v>379300.57142857142</v>
      </c>
      <c r="F45" s="523">
        <f t="shared" si="8"/>
        <v>5098670.0042541167</v>
      </c>
      <c r="G45" s="524">
        <f t="shared" si="9"/>
        <v>944188.22939954372</v>
      </c>
      <c r="H45" s="491">
        <f t="shared" si="10"/>
        <v>944188.22939954372</v>
      </c>
      <c r="I45" s="511">
        <f t="shared" si="3"/>
        <v>0</v>
      </c>
      <c r="J45" s="511"/>
      <c r="K45" s="525"/>
      <c r="L45" s="514">
        <f t="shared" si="11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5098670.0042541167</v>
      </c>
      <c r="E46" s="522">
        <f t="shared" si="7"/>
        <v>379300.57142857142</v>
      </c>
      <c r="F46" s="523">
        <f t="shared" si="8"/>
        <v>4719369.4328255448</v>
      </c>
      <c r="G46" s="524">
        <f t="shared" si="9"/>
        <v>903672.11091334326</v>
      </c>
      <c r="H46" s="491">
        <f t="shared" si="10"/>
        <v>903672.11091334326</v>
      </c>
      <c r="I46" s="511">
        <f t="shared" si="3"/>
        <v>0</v>
      </c>
      <c r="J46" s="511"/>
      <c r="K46" s="525"/>
      <c r="L46" s="514">
        <f t="shared" si="11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4719369.4328255448</v>
      </c>
      <c r="E47" s="522">
        <f t="shared" si="7"/>
        <v>379300.57142857142</v>
      </c>
      <c r="F47" s="523">
        <f t="shared" si="8"/>
        <v>4340068.861396973</v>
      </c>
      <c r="G47" s="524">
        <f t="shared" si="9"/>
        <v>863155.99242714304</v>
      </c>
      <c r="H47" s="491">
        <f t="shared" si="10"/>
        <v>863155.99242714304</v>
      </c>
      <c r="I47" s="511">
        <f t="shared" si="3"/>
        <v>0</v>
      </c>
      <c r="J47" s="511"/>
      <c r="K47" s="525"/>
      <c r="L47" s="514">
        <f t="shared" si="11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4340068.861396973</v>
      </c>
      <c r="E48" s="522">
        <f t="shared" si="7"/>
        <v>379300.57142857142</v>
      </c>
      <c r="F48" s="523">
        <f t="shared" si="8"/>
        <v>3960768.2899684017</v>
      </c>
      <c r="G48" s="524">
        <f t="shared" si="9"/>
        <v>822639.87394094258</v>
      </c>
      <c r="H48" s="491">
        <f t="shared" si="10"/>
        <v>822639.87394094258</v>
      </c>
      <c r="I48" s="511">
        <f t="shared" si="3"/>
        <v>0</v>
      </c>
      <c r="J48" s="511"/>
      <c r="K48" s="525"/>
      <c r="L48" s="514">
        <f t="shared" si="11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3960768.2899684017</v>
      </c>
      <c r="E49" s="522">
        <f t="shared" si="7"/>
        <v>379300.57142857142</v>
      </c>
      <c r="F49" s="523">
        <f t="shared" si="8"/>
        <v>3581467.7185398303</v>
      </c>
      <c r="G49" s="524">
        <f t="shared" si="9"/>
        <v>782123.75545474212</v>
      </c>
      <c r="H49" s="491">
        <f t="shared" si="10"/>
        <v>782123.75545474212</v>
      </c>
      <c r="I49" s="511">
        <f t="shared" si="3"/>
        <v>0</v>
      </c>
      <c r="J49" s="511"/>
      <c r="K49" s="525"/>
      <c r="L49" s="514">
        <f t="shared" si="11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3581467.7185398303</v>
      </c>
      <c r="E50" s="522">
        <f t="shared" si="7"/>
        <v>379300.57142857142</v>
      </c>
      <c r="F50" s="523">
        <f t="shared" si="8"/>
        <v>3202167.1471112589</v>
      </c>
      <c r="G50" s="524">
        <f t="shared" si="9"/>
        <v>741607.63696854189</v>
      </c>
      <c r="H50" s="491">
        <f t="shared" si="10"/>
        <v>741607.63696854189</v>
      </c>
      <c r="I50" s="511">
        <f t="shared" si="3"/>
        <v>0</v>
      </c>
      <c r="J50" s="511"/>
      <c r="K50" s="525"/>
      <c r="L50" s="514">
        <f t="shared" si="11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3202167.1471112589</v>
      </c>
      <c r="E51" s="522">
        <f t="shared" si="7"/>
        <v>379300.57142857142</v>
      </c>
      <c r="F51" s="523">
        <f t="shared" si="8"/>
        <v>2822866.5756826876</v>
      </c>
      <c r="G51" s="524">
        <f t="shared" ref="G51:G72" si="12">+I$12*((D51+F51)/2)+E51</f>
        <v>701091.51848234143</v>
      </c>
      <c r="H51" s="491">
        <f t="shared" ref="H51:H72" si="13">+I$13*((D51+F51)/2)+E51</f>
        <v>701091.51848234143</v>
      </c>
      <c r="I51" s="511">
        <f t="shared" si="3"/>
        <v>0</v>
      </c>
      <c r="J51" s="511"/>
      <c r="K51" s="525"/>
      <c r="L51" s="514">
        <f t="shared" si="11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2822866.5756826876</v>
      </c>
      <c r="E52" s="522">
        <f t="shared" si="7"/>
        <v>379300.57142857142</v>
      </c>
      <c r="F52" s="523">
        <f t="shared" si="8"/>
        <v>2443566.0042541162</v>
      </c>
      <c r="G52" s="524">
        <f t="shared" si="12"/>
        <v>660575.3999961412</v>
      </c>
      <c r="H52" s="491">
        <f t="shared" si="13"/>
        <v>660575.3999961412</v>
      </c>
      <c r="I52" s="511">
        <f t="shared" si="3"/>
        <v>0</v>
      </c>
      <c r="J52" s="511"/>
      <c r="K52" s="525"/>
      <c r="L52" s="514">
        <f t="shared" si="11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2443566.0042541162</v>
      </c>
      <c r="E53" s="522">
        <f t="shared" si="7"/>
        <v>379300.57142857142</v>
      </c>
      <c r="F53" s="523">
        <f t="shared" si="8"/>
        <v>2064265.4328255448</v>
      </c>
      <c r="G53" s="524">
        <f t="shared" si="12"/>
        <v>620059.28150994075</v>
      </c>
      <c r="H53" s="491">
        <f t="shared" si="13"/>
        <v>620059.28150994075</v>
      </c>
      <c r="I53" s="511">
        <f t="shared" si="3"/>
        <v>0</v>
      </c>
      <c r="J53" s="511"/>
      <c r="K53" s="525"/>
      <c r="L53" s="514">
        <f t="shared" si="11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2064265.4328255448</v>
      </c>
      <c r="E54" s="522">
        <f t="shared" si="7"/>
        <v>379300.57142857142</v>
      </c>
      <c r="F54" s="523">
        <f t="shared" si="8"/>
        <v>1684964.8613969735</v>
      </c>
      <c r="G54" s="524">
        <f t="shared" si="12"/>
        <v>579543.16302374052</v>
      </c>
      <c r="H54" s="491">
        <f t="shared" si="13"/>
        <v>579543.16302374052</v>
      </c>
      <c r="I54" s="511">
        <f t="shared" si="3"/>
        <v>0</v>
      </c>
      <c r="J54" s="511"/>
      <c r="K54" s="525"/>
      <c r="L54" s="514">
        <f t="shared" si="11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1684964.8613969735</v>
      </c>
      <c r="E55" s="522">
        <f t="shared" si="7"/>
        <v>379300.57142857142</v>
      </c>
      <c r="F55" s="523">
        <f t="shared" si="8"/>
        <v>1305664.2899684021</v>
      </c>
      <c r="G55" s="524">
        <f t="shared" si="12"/>
        <v>539027.04453754018</v>
      </c>
      <c r="H55" s="491">
        <f t="shared" si="13"/>
        <v>539027.04453754018</v>
      </c>
      <c r="I55" s="511">
        <f t="shared" si="3"/>
        <v>0</v>
      </c>
      <c r="J55" s="511"/>
      <c r="K55" s="525"/>
      <c r="L55" s="514">
        <f t="shared" si="11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1305664.2899684021</v>
      </c>
      <c r="E56" s="522">
        <f t="shared" si="7"/>
        <v>379300.57142857142</v>
      </c>
      <c r="F56" s="523">
        <f t="shared" si="8"/>
        <v>926363.71853983076</v>
      </c>
      <c r="G56" s="524">
        <f t="shared" si="12"/>
        <v>498510.92605133983</v>
      </c>
      <c r="H56" s="491">
        <f t="shared" si="13"/>
        <v>498510.92605133983</v>
      </c>
      <c r="I56" s="511">
        <f t="shared" si="3"/>
        <v>0</v>
      </c>
      <c r="J56" s="511"/>
      <c r="K56" s="525"/>
      <c r="L56" s="514">
        <f t="shared" si="11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926363.71853983076</v>
      </c>
      <c r="E57" s="522">
        <f t="shared" si="7"/>
        <v>379300.57142857142</v>
      </c>
      <c r="F57" s="523">
        <f t="shared" si="8"/>
        <v>547063.1471112594</v>
      </c>
      <c r="G57" s="524">
        <f t="shared" si="12"/>
        <v>457994.80756513943</v>
      </c>
      <c r="H57" s="491">
        <f t="shared" si="13"/>
        <v>457994.80756513943</v>
      </c>
      <c r="I57" s="511">
        <f t="shared" si="3"/>
        <v>0</v>
      </c>
      <c r="J57" s="511"/>
      <c r="K57" s="525"/>
      <c r="L57" s="514">
        <f t="shared" si="11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547063.1471112594</v>
      </c>
      <c r="E58" s="522">
        <f t="shared" si="7"/>
        <v>379300.57142857142</v>
      </c>
      <c r="F58" s="523">
        <f t="shared" si="8"/>
        <v>167762.57568268798</v>
      </c>
      <c r="G58" s="524">
        <f t="shared" si="12"/>
        <v>417478.68907893909</v>
      </c>
      <c r="H58" s="491">
        <f t="shared" si="13"/>
        <v>417478.68907893909</v>
      </c>
      <c r="I58" s="511">
        <f t="shared" si="3"/>
        <v>0</v>
      </c>
      <c r="J58" s="511"/>
      <c r="K58" s="525"/>
      <c r="L58" s="514">
        <f t="shared" si="11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167762.57568268798</v>
      </c>
      <c r="E59" s="522">
        <f t="shared" si="7"/>
        <v>167762.57568268798</v>
      </c>
      <c r="F59" s="523">
        <f t="shared" si="8"/>
        <v>0</v>
      </c>
      <c r="G59" s="524">
        <f t="shared" si="12"/>
        <v>176722.60488632173</v>
      </c>
      <c r="H59" s="491">
        <f t="shared" si="13"/>
        <v>176722.60488632173</v>
      </c>
      <c r="I59" s="511">
        <f t="shared" si="3"/>
        <v>0</v>
      </c>
      <c r="J59" s="511"/>
      <c r="K59" s="525"/>
      <c r="L59" s="514">
        <f t="shared" si="11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7"/>
        <v>0</v>
      </c>
      <c r="F60" s="523">
        <f t="shared" si="8"/>
        <v>0</v>
      </c>
      <c r="G60" s="524">
        <f t="shared" si="12"/>
        <v>0</v>
      </c>
      <c r="H60" s="491">
        <f t="shared" si="13"/>
        <v>0</v>
      </c>
      <c r="I60" s="511">
        <f t="shared" si="3"/>
        <v>0</v>
      </c>
      <c r="J60" s="511"/>
      <c r="K60" s="525"/>
      <c r="L60" s="514">
        <f t="shared" si="11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7"/>
        <v>0</v>
      </c>
      <c r="F61" s="523">
        <f t="shared" si="8"/>
        <v>0</v>
      </c>
      <c r="G61" s="524">
        <f t="shared" si="12"/>
        <v>0</v>
      </c>
      <c r="H61" s="491">
        <f t="shared" si="13"/>
        <v>0</v>
      </c>
      <c r="I61" s="511">
        <f t="shared" si="3"/>
        <v>0</v>
      </c>
      <c r="J61" s="511"/>
      <c r="K61" s="525"/>
      <c r="L61" s="514">
        <f t="shared" si="11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7"/>
        <v>0</v>
      </c>
      <c r="F62" s="523">
        <f t="shared" si="8"/>
        <v>0</v>
      </c>
      <c r="G62" s="524">
        <f t="shared" si="12"/>
        <v>0</v>
      </c>
      <c r="H62" s="491">
        <f t="shared" si="13"/>
        <v>0</v>
      </c>
      <c r="I62" s="511">
        <f t="shared" si="3"/>
        <v>0</v>
      </c>
      <c r="J62" s="511"/>
      <c r="K62" s="525"/>
      <c r="L62" s="514">
        <f t="shared" si="11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7"/>
        <v>0</v>
      </c>
      <c r="F63" s="523">
        <f t="shared" si="8"/>
        <v>0</v>
      </c>
      <c r="G63" s="524">
        <f t="shared" si="12"/>
        <v>0</v>
      </c>
      <c r="H63" s="491">
        <f t="shared" si="13"/>
        <v>0</v>
      </c>
      <c r="I63" s="511">
        <f t="shared" si="3"/>
        <v>0</v>
      </c>
      <c r="J63" s="511"/>
      <c r="K63" s="525"/>
      <c r="L63" s="514">
        <f t="shared" si="11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7"/>
        <v>0</v>
      </c>
      <c r="F64" s="523">
        <f t="shared" si="8"/>
        <v>0</v>
      </c>
      <c r="G64" s="524">
        <f t="shared" si="12"/>
        <v>0</v>
      </c>
      <c r="H64" s="491">
        <f t="shared" si="13"/>
        <v>0</v>
      </c>
      <c r="I64" s="511">
        <f t="shared" si="3"/>
        <v>0</v>
      </c>
      <c r="J64" s="511"/>
      <c r="K64" s="525"/>
      <c r="L64" s="514">
        <f t="shared" si="11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7"/>
        <v>0</v>
      </c>
      <c r="F65" s="523">
        <f t="shared" si="8"/>
        <v>0</v>
      </c>
      <c r="G65" s="524">
        <f t="shared" si="12"/>
        <v>0</v>
      </c>
      <c r="H65" s="491">
        <f t="shared" si="13"/>
        <v>0</v>
      </c>
      <c r="I65" s="511">
        <f t="shared" si="3"/>
        <v>0</v>
      </c>
      <c r="J65" s="511"/>
      <c r="K65" s="525"/>
      <c r="L65" s="514">
        <f t="shared" si="11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7"/>
        <v>0</v>
      </c>
      <c r="F66" s="523">
        <f t="shared" si="8"/>
        <v>0</v>
      </c>
      <c r="G66" s="524">
        <f t="shared" si="12"/>
        <v>0</v>
      </c>
      <c r="H66" s="491">
        <f t="shared" si="13"/>
        <v>0</v>
      </c>
      <c r="I66" s="511">
        <f t="shared" si="3"/>
        <v>0</v>
      </c>
      <c r="J66" s="511"/>
      <c r="K66" s="525"/>
      <c r="L66" s="514">
        <f t="shared" si="11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7"/>
        <v>0</v>
      </c>
      <c r="F67" s="523">
        <f t="shared" si="8"/>
        <v>0</v>
      </c>
      <c r="G67" s="524">
        <f t="shared" si="12"/>
        <v>0</v>
      </c>
      <c r="H67" s="491">
        <f t="shared" si="13"/>
        <v>0</v>
      </c>
      <c r="I67" s="511">
        <f t="shared" si="3"/>
        <v>0</v>
      </c>
      <c r="J67" s="511"/>
      <c r="K67" s="525"/>
      <c r="L67" s="514">
        <f t="shared" si="11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7"/>
        <v>0</v>
      </c>
      <c r="F68" s="523">
        <f t="shared" si="8"/>
        <v>0</v>
      </c>
      <c r="G68" s="524">
        <f t="shared" si="12"/>
        <v>0</v>
      </c>
      <c r="H68" s="491">
        <f t="shared" si="13"/>
        <v>0</v>
      </c>
      <c r="I68" s="511">
        <f t="shared" si="3"/>
        <v>0</v>
      </c>
      <c r="J68" s="511"/>
      <c r="K68" s="525"/>
      <c r="L68" s="514">
        <f t="shared" si="11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7"/>
        <v>0</v>
      </c>
      <c r="F69" s="523">
        <f t="shared" si="8"/>
        <v>0</v>
      </c>
      <c r="G69" s="524">
        <f t="shared" si="12"/>
        <v>0</v>
      </c>
      <c r="H69" s="491">
        <f t="shared" si="13"/>
        <v>0</v>
      </c>
      <c r="I69" s="511">
        <f t="shared" si="3"/>
        <v>0</v>
      </c>
      <c r="J69" s="511"/>
      <c r="K69" s="525"/>
      <c r="L69" s="514">
        <f t="shared" si="11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7"/>
        <v>0</v>
      </c>
      <c r="F70" s="523">
        <f t="shared" si="8"/>
        <v>0</v>
      </c>
      <c r="G70" s="524">
        <f t="shared" si="12"/>
        <v>0</v>
      </c>
      <c r="H70" s="491">
        <f t="shared" si="13"/>
        <v>0</v>
      </c>
      <c r="I70" s="511">
        <f t="shared" si="3"/>
        <v>0</v>
      </c>
      <c r="J70" s="511"/>
      <c r="K70" s="525"/>
      <c r="L70" s="514">
        <f t="shared" si="11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7"/>
        <v>0</v>
      </c>
      <c r="F71" s="523">
        <f t="shared" si="8"/>
        <v>0</v>
      </c>
      <c r="G71" s="524">
        <f t="shared" si="12"/>
        <v>0</v>
      </c>
      <c r="H71" s="491">
        <f t="shared" si="13"/>
        <v>0</v>
      </c>
      <c r="I71" s="511">
        <f t="shared" si="3"/>
        <v>0</v>
      </c>
      <c r="J71" s="511"/>
      <c r="K71" s="525"/>
      <c r="L71" s="514">
        <f t="shared" si="11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7"/>
        <v>0</v>
      </c>
      <c r="F72" s="523">
        <f t="shared" si="8"/>
        <v>0</v>
      </c>
      <c r="G72" s="524">
        <f t="shared" si="12"/>
        <v>0</v>
      </c>
      <c r="H72" s="491">
        <f t="shared" si="13"/>
        <v>0</v>
      </c>
      <c r="I72" s="511">
        <f t="shared" si="3"/>
        <v>0</v>
      </c>
      <c r="J72" s="511"/>
      <c r="K72" s="532"/>
      <c r="L72" s="533">
        <f t="shared" si="11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15930623.999999998</v>
      </c>
      <c r="F73" s="375"/>
      <c r="G73" s="375">
        <f>SUM(G17:G72)</f>
        <v>53919359.013676271</v>
      </c>
      <c r="H73" s="375">
        <f>SUM(H17:H72)</f>
        <v>53919359.013676271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50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1858641.3891753859</v>
      </c>
      <c r="N87" s="546">
        <f>IF(J92&lt;D11,0,VLOOKUP(J92,C17:O72,11))</f>
        <v>1858641.3891753859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1889689.0307729272</v>
      </c>
      <c r="N88" s="550">
        <f>IF(J92&lt;D11,0,VLOOKUP(J92,C99:P154,7))</f>
        <v>1889689.0307729272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Dekalb-New Boston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31047.641597541282</v>
      </c>
      <c r="N89" s="555">
        <f>+N88-N87</f>
        <v>31047.641597541282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15930624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379300.57142857142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187832.27380952382</v>
      </c>
      <c r="F99" s="631">
        <v>15590078.726190476</v>
      </c>
      <c r="G99" s="632">
        <v>7795039.3630952379</v>
      </c>
      <c r="H99" s="633">
        <v>1214975.8636759706</v>
      </c>
      <c r="I99" s="634">
        <v>1214975.8636759706</v>
      </c>
      <c r="J99" s="514">
        <f>+I99-H99</f>
        <v>0</v>
      </c>
      <c r="K99" s="514"/>
      <c r="L99" s="512">
        <f>+H99</f>
        <v>1214975.8636759706</v>
      </c>
      <c r="M99" s="513">
        <f t="shared" ref="M99:M130" si="14">IF(L99&lt;&gt;0,+H99-L99,0)</f>
        <v>0</v>
      </c>
      <c r="N99" s="512">
        <f>+I99</f>
        <v>1214975.8636759706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15804084.726190476</v>
      </c>
      <c r="E100" s="630">
        <v>371905.04651162791</v>
      </c>
      <c r="F100" s="631">
        <v>15432179.679678848</v>
      </c>
      <c r="G100" s="631">
        <v>15618132.202934662</v>
      </c>
      <c r="H100" s="633">
        <v>2354626.7467602715</v>
      </c>
      <c r="I100" s="634">
        <v>2354626.7467602715</v>
      </c>
      <c r="J100" s="514">
        <f>+I100-H100</f>
        <v>0</v>
      </c>
      <c r="K100" s="514"/>
      <c r="L100" s="518">
        <f>+H100</f>
        <v>2354626.7467602715</v>
      </c>
      <c r="M100" s="514">
        <f>IF(L100&lt;&gt;0,+H100-L100,0)</f>
        <v>0</v>
      </c>
      <c r="N100" s="518">
        <f>+I100</f>
        <v>2354626.7467602715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17">IF(D101=F100,"","IU")</f>
        <v>IU</v>
      </c>
      <c r="C101" s="507">
        <f>IF(D93="","-",+C100+1)</f>
        <v>2017</v>
      </c>
      <c r="D101" s="629">
        <v>15582465.679678848</v>
      </c>
      <c r="E101" s="630">
        <v>384338.16666666669</v>
      </c>
      <c r="F101" s="631">
        <v>15198127.513012182</v>
      </c>
      <c r="G101" s="631">
        <v>15390296.596345514</v>
      </c>
      <c r="H101" s="633">
        <v>2253819.9284135839</v>
      </c>
      <c r="I101" s="634">
        <v>2253819.9284135839</v>
      </c>
      <c r="J101" s="514">
        <f t="shared" ref="J101:J154" si="18">+I101-H101</f>
        <v>0</v>
      </c>
      <c r="K101" s="514"/>
      <c r="L101" s="518">
        <f>+H101</f>
        <v>2253819.9284135839</v>
      </c>
      <c r="M101" s="514">
        <f>IF(L101&lt;&gt;0,+H101-L101,0)</f>
        <v>0</v>
      </c>
      <c r="N101" s="518">
        <f>+I101</f>
        <v>2253819.9284135839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17"/>
        <v>IU</v>
      </c>
      <c r="C102" s="507">
        <f>IF(D93="","-",+C101+1)</f>
        <v>2018</v>
      </c>
      <c r="D102" s="629">
        <v>15265261.513012182</v>
      </c>
      <c r="E102" s="630">
        <v>385936.59523809527</v>
      </c>
      <c r="F102" s="631">
        <v>14879324.917774087</v>
      </c>
      <c r="G102" s="631">
        <v>15072293.215393133</v>
      </c>
      <c r="H102" s="633">
        <v>1977639.8776041078</v>
      </c>
      <c r="I102" s="634">
        <v>1977639.8776041078</v>
      </c>
      <c r="J102" s="514">
        <f t="shared" si="18"/>
        <v>0</v>
      </c>
      <c r="K102" s="514"/>
      <c r="L102" s="518">
        <f>+H102</f>
        <v>1977639.8776041078</v>
      </c>
      <c r="M102" s="514">
        <f>IF(L102&lt;&gt;0,+H102-L102,0)</f>
        <v>0</v>
      </c>
      <c r="N102" s="518">
        <f>+I102</f>
        <v>1977639.8776041078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17"/>
        <v>IU</v>
      </c>
      <c r="C103" s="507">
        <f>IF(D93="","-",+C102+1)</f>
        <v>2019</v>
      </c>
      <c r="D103" s="629">
        <v>14600611.917774087</v>
      </c>
      <c r="E103" s="630">
        <v>370479.62790697673</v>
      </c>
      <c r="F103" s="631">
        <v>14230132.289867111</v>
      </c>
      <c r="G103" s="631">
        <v>14415372.1038206</v>
      </c>
      <c r="H103" s="633">
        <v>1913508.9365071231</v>
      </c>
      <c r="I103" s="634">
        <v>1913508.9365071231</v>
      </c>
      <c r="J103" s="514">
        <f t="shared" si="18"/>
        <v>0</v>
      </c>
      <c r="K103" s="514"/>
      <c r="L103" s="518">
        <f>+H103</f>
        <v>1913508.9365071231</v>
      </c>
      <c r="M103" s="514">
        <f>IF(L103&lt;&gt;0,+H103-L103,0)</f>
        <v>0</v>
      </c>
      <c r="N103" s="518">
        <f>+I103</f>
        <v>1913508.9365071231</v>
      </c>
      <c r="O103" s="514">
        <f t="shared" si="15"/>
        <v>0</v>
      </c>
      <c r="P103" s="514">
        <f t="shared" si="16"/>
        <v>0</v>
      </c>
    </row>
    <row r="104" spans="1:16" ht="12.5">
      <c r="B104" s="195" t="str">
        <f t="shared" si="17"/>
        <v/>
      </c>
      <c r="C104" s="507">
        <f>IF(D93="","-",+C103+1)</f>
        <v>2020</v>
      </c>
      <c r="D104" s="374">
        <f>IF(F103+SUM(E$99:E103)=D$92,F103,D$92-SUM(E$99:E103))</f>
        <v>14230132.289867111</v>
      </c>
      <c r="E104" s="522">
        <f t="shared" ref="E104:E154" si="19">IF(+$J$96&lt;F103,$J$96,D104)</f>
        <v>379300.57142857142</v>
      </c>
      <c r="F104" s="523">
        <f t="shared" ref="F104:F154" si="20">+D104-E104</f>
        <v>13850831.71843854</v>
      </c>
      <c r="G104" s="523">
        <f t="shared" ref="G104:G154" si="21">+(F104+D104)/2</f>
        <v>14040482.004152825</v>
      </c>
      <c r="H104" s="526">
        <f t="shared" ref="H104:H154" si="22">+J$94*G104+E104</f>
        <v>1889689.0307729272</v>
      </c>
      <c r="I104" s="577">
        <f t="shared" ref="I104:I154" si="23">+J$95*G104+E104</f>
        <v>1889689.0307729272</v>
      </c>
      <c r="J104" s="514">
        <f t="shared" si="18"/>
        <v>0</v>
      </c>
      <c r="K104" s="514"/>
      <c r="L104" s="525"/>
      <c r="M104" s="514">
        <f t="shared" si="14"/>
        <v>0</v>
      </c>
      <c r="N104" s="525"/>
      <c r="O104" s="514">
        <f t="shared" si="15"/>
        <v>0</v>
      </c>
      <c r="P104" s="514">
        <f t="shared" si="16"/>
        <v>0</v>
      </c>
    </row>
    <row r="105" spans="1:16" ht="12.5">
      <c r="B105" s="195" t="str">
        <f t="shared" si="17"/>
        <v/>
      </c>
      <c r="C105" s="507">
        <f>IF(D93="","-",+C104+1)</f>
        <v>2021</v>
      </c>
      <c r="D105" s="374">
        <f>IF(F104+SUM(E$99:E104)=D$92,F104,D$92-SUM(E$99:E104))</f>
        <v>13850831.71843854</v>
      </c>
      <c r="E105" s="522">
        <f t="shared" si="19"/>
        <v>379300.57142857142</v>
      </c>
      <c r="F105" s="523">
        <f t="shared" si="20"/>
        <v>13471531.147009969</v>
      </c>
      <c r="G105" s="523">
        <f t="shared" si="21"/>
        <v>13661181.432724254</v>
      </c>
      <c r="H105" s="526">
        <f t="shared" si="22"/>
        <v>1848886.214634636</v>
      </c>
      <c r="I105" s="577">
        <f t="shared" si="23"/>
        <v>1848886.214634636</v>
      </c>
      <c r="J105" s="514">
        <f t="shared" si="18"/>
        <v>0</v>
      </c>
      <c r="K105" s="514"/>
      <c r="L105" s="525"/>
      <c r="M105" s="514">
        <f t="shared" si="14"/>
        <v>0</v>
      </c>
      <c r="N105" s="525"/>
      <c r="O105" s="514">
        <f t="shared" si="15"/>
        <v>0</v>
      </c>
      <c r="P105" s="514">
        <f t="shared" si="16"/>
        <v>0</v>
      </c>
    </row>
    <row r="106" spans="1:16" ht="12.5">
      <c r="B106" s="195" t="str">
        <f t="shared" si="17"/>
        <v/>
      </c>
      <c r="C106" s="507">
        <f>IF(D93="","-",+C105+1)</f>
        <v>2022</v>
      </c>
      <c r="D106" s="374">
        <f>IF(F105+SUM(E$99:E105)=D$92,F105,D$92-SUM(E$99:E105))</f>
        <v>13471531.147009969</v>
      </c>
      <c r="E106" s="522">
        <f t="shared" si="19"/>
        <v>379300.57142857142</v>
      </c>
      <c r="F106" s="523">
        <f t="shared" si="20"/>
        <v>13092230.575581398</v>
      </c>
      <c r="G106" s="523">
        <f t="shared" si="21"/>
        <v>13281880.861295683</v>
      </c>
      <c r="H106" s="526">
        <f t="shared" si="22"/>
        <v>1808083.3984963449</v>
      </c>
      <c r="I106" s="577">
        <f t="shared" si="23"/>
        <v>1808083.3984963449</v>
      </c>
      <c r="J106" s="514">
        <f t="shared" si="18"/>
        <v>0</v>
      </c>
      <c r="K106" s="514"/>
      <c r="L106" s="525"/>
      <c r="M106" s="514">
        <f t="shared" si="14"/>
        <v>0</v>
      </c>
      <c r="N106" s="525"/>
      <c r="O106" s="514">
        <f t="shared" si="15"/>
        <v>0</v>
      </c>
      <c r="P106" s="514">
        <f t="shared" si="16"/>
        <v>0</v>
      </c>
    </row>
    <row r="107" spans="1:16" ht="12.5">
      <c r="B107" s="195" t="str">
        <f t="shared" si="17"/>
        <v/>
      </c>
      <c r="C107" s="507">
        <f>IF(D93="","-",+C106+1)</f>
        <v>2023</v>
      </c>
      <c r="D107" s="374">
        <f>IF(F106+SUM(E$99:E106)=D$92,F106,D$92-SUM(E$99:E106))</f>
        <v>13092230.575581398</v>
      </c>
      <c r="E107" s="522">
        <f t="shared" si="19"/>
        <v>379300.57142857142</v>
      </c>
      <c r="F107" s="523">
        <f t="shared" si="20"/>
        <v>12712930.004152827</v>
      </c>
      <c r="G107" s="523">
        <f t="shared" si="21"/>
        <v>12902580.289867112</v>
      </c>
      <c r="H107" s="526">
        <f t="shared" si="22"/>
        <v>1767280.5823580537</v>
      </c>
      <c r="I107" s="577">
        <f t="shared" si="23"/>
        <v>1767280.5823580537</v>
      </c>
      <c r="J107" s="514">
        <f t="shared" si="18"/>
        <v>0</v>
      </c>
      <c r="K107" s="514"/>
      <c r="L107" s="525"/>
      <c r="M107" s="514">
        <f t="shared" si="14"/>
        <v>0</v>
      </c>
      <c r="N107" s="525"/>
      <c r="O107" s="514">
        <f t="shared" si="15"/>
        <v>0</v>
      </c>
      <c r="P107" s="514">
        <f t="shared" si="16"/>
        <v>0</v>
      </c>
    </row>
    <row r="108" spans="1:16" ht="12.5">
      <c r="B108" s="195" t="str">
        <f t="shared" si="17"/>
        <v/>
      </c>
      <c r="C108" s="507">
        <f>IF(D93="","-",+C107+1)</f>
        <v>2024</v>
      </c>
      <c r="D108" s="374">
        <f>IF(F107+SUM(E$99:E107)=D$92,F107,D$92-SUM(E$99:E107))</f>
        <v>12712930.004152827</v>
      </c>
      <c r="E108" s="522">
        <f t="shared" si="19"/>
        <v>379300.57142857142</v>
      </c>
      <c r="F108" s="523">
        <f t="shared" si="20"/>
        <v>12333629.432724256</v>
      </c>
      <c r="G108" s="523">
        <f t="shared" si="21"/>
        <v>12523279.718438542</v>
      </c>
      <c r="H108" s="526">
        <f t="shared" si="22"/>
        <v>1726477.7662197626</v>
      </c>
      <c r="I108" s="577">
        <f t="shared" si="23"/>
        <v>1726477.7662197626</v>
      </c>
      <c r="J108" s="514">
        <f t="shared" si="18"/>
        <v>0</v>
      </c>
      <c r="K108" s="514"/>
      <c r="L108" s="525"/>
      <c r="M108" s="514">
        <f t="shared" si="14"/>
        <v>0</v>
      </c>
      <c r="N108" s="525"/>
      <c r="O108" s="514">
        <f t="shared" si="15"/>
        <v>0</v>
      </c>
      <c r="P108" s="514">
        <f t="shared" si="16"/>
        <v>0</v>
      </c>
    </row>
    <row r="109" spans="1:16" ht="12.5">
      <c r="B109" s="195" t="str">
        <f t="shared" si="17"/>
        <v/>
      </c>
      <c r="C109" s="507">
        <f>IF(D93="","-",+C108+1)</f>
        <v>2025</v>
      </c>
      <c r="D109" s="374">
        <f>IF(F108+SUM(E$99:E108)=D$92,F108,D$92-SUM(E$99:E108))</f>
        <v>12333629.432724256</v>
      </c>
      <c r="E109" s="522">
        <f t="shared" si="19"/>
        <v>379300.57142857142</v>
      </c>
      <c r="F109" s="523">
        <f t="shared" si="20"/>
        <v>11954328.861295685</v>
      </c>
      <c r="G109" s="523">
        <f t="shared" si="21"/>
        <v>12143979.147009971</v>
      </c>
      <c r="H109" s="526">
        <f t="shared" si="22"/>
        <v>1685674.9500814716</v>
      </c>
      <c r="I109" s="577">
        <f t="shared" si="23"/>
        <v>1685674.9500814716</v>
      </c>
      <c r="J109" s="514">
        <f t="shared" si="18"/>
        <v>0</v>
      </c>
      <c r="K109" s="514"/>
      <c r="L109" s="525"/>
      <c r="M109" s="514">
        <f t="shared" si="14"/>
        <v>0</v>
      </c>
      <c r="N109" s="525"/>
      <c r="O109" s="514">
        <f t="shared" si="15"/>
        <v>0</v>
      </c>
      <c r="P109" s="514">
        <f t="shared" si="16"/>
        <v>0</v>
      </c>
    </row>
    <row r="110" spans="1:16" ht="12.5">
      <c r="B110" s="195" t="str">
        <f t="shared" si="17"/>
        <v/>
      </c>
      <c r="C110" s="507">
        <f>IF(D93="","-",+C109+1)</f>
        <v>2026</v>
      </c>
      <c r="D110" s="374">
        <f>IF(F109+SUM(E$99:E109)=D$92,F109,D$92-SUM(E$99:E109))</f>
        <v>11954328.861295685</v>
      </c>
      <c r="E110" s="522">
        <f t="shared" si="19"/>
        <v>379300.57142857142</v>
      </c>
      <c r="F110" s="523">
        <f t="shared" si="20"/>
        <v>11575028.289867114</v>
      </c>
      <c r="G110" s="523">
        <f t="shared" si="21"/>
        <v>11764678.5755814</v>
      </c>
      <c r="H110" s="526">
        <f t="shared" si="22"/>
        <v>1644872.1339431803</v>
      </c>
      <c r="I110" s="577">
        <f t="shared" si="23"/>
        <v>1644872.1339431803</v>
      </c>
      <c r="J110" s="514">
        <f t="shared" si="18"/>
        <v>0</v>
      </c>
      <c r="K110" s="514"/>
      <c r="L110" s="525"/>
      <c r="M110" s="514">
        <f t="shared" si="14"/>
        <v>0</v>
      </c>
      <c r="N110" s="525"/>
      <c r="O110" s="514">
        <f t="shared" si="15"/>
        <v>0</v>
      </c>
      <c r="P110" s="514">
        <f t="shared" si="16"/>
        <v>0</v>
      </c>
    </row>
    <row r="111" spans="1:16" ht="12.5">
      <c r="B111" s="195" t="str">
        <f t="shared" si="17"/>
        <v/>
      </c>
      <c r="C111" s="507">
        <f>IF(D93="","-",+C110+1)</f>
        <v>2027</v>
      </c>
      <c r="D111" s="374">
        <f>IF(F110+SUM(E$99:E110)=D$92,F110,D$92-SUM(E$99:E110))</f>
        <v>11575028.289867114</v>
      </c>
      <c r="E111" s="522">
        <f t="shared" si="19"/>
        <v>379300.57142857142</v>
      </c>
      <c r="F111" s="523">
        <f t="shared" si="20"/>
        <v>11195727.718438543</v>
      </c>
      <c r="G111" s="523">
        <f t="shared" si="21"/>
        <v>11385378.004152829</v>
      </c>
      <c r="H111" s="526">
        <f t="shared" si="22"/>
        <v>1604069.3178048893</v>
      </c>
      <c r="I111" s="577">
        <f t="shared" si="23"/>
        <v>1604069.3178048893</v>
      </c>
      <c r="J111" s="514">
        <f t="shared" si="18"/>
        <v>0</v>
      </c>
      <c r="K111" s="514"/>
      <c r="L111" s="525"/>
      <c r="M111" s="514">
        <f t="shared" si="14"/>
        <v>0</v>
      </c>
      <c r="N111" s="525"/>
      <c r="O111" s="514">
        <f t="shared" si="15"/>
        <v>0</v>
      </c>
      <c r="P111" s="514">
        <f t="shared" si="16"/>
        <v>0</v>
      </c>
    </row>
    <row r="112" spans="1:16" ht="12.5">
      <c r="B112" s="195" t="str">
        <f t="shared" si="17"/>
        <v/>
      </c>
      <c r="C112" s="507">
        <f>IF(D93="","-",+C111+1)</f>
        <v>2028</v>
      </c>
      <c r="D112" s="374">
        <f>IF(F111+SUM(E$99:E111)=D$92,F111,D$92-SUM(E$99:E111))</f>
        <v>11195727.718438543</v>
      </c>
      <c r="E112" s="522">
        <f t="shared" si="19"/>
        <v>379300.57142857142</v>
      </c>
      <c r="F112" s="523">
        <f t="shared" si="20"/>
        <v>10816427.147009972</v>
      </c>
      <c r="G112" s="523">
        <f t="shared" si="21"/>
        <v>11006077.432724258</v>
      </c>
      <c r="H112" s="526">
        <f t="shared" si="22"/>
        <v>1563266.5016665983</v>
      </c>
      <c r="I112" s="577">
        <f t="shared" si="23"/>
        <v>1563266.5016665983</v>
      </c>
      <c r="J112" s="514">
        <f t="shared" si="18"/>
        <v>0</v>
      </c>
      <c r="K112" s="514"/>
      <c r="L112" s="525"/>
      <c r="M112" s="514">
        <f t="shared" si="14"/>
        <v>0</v>
      </c>
      <c r="N112" s="525"/>
      <c r="O112" s="514">
        <f t="shared" si="15"/>
        <v>0</v>
      </c>
      <c r="P112" s="514">
        <f t="shared" si="16"/>
        <v>0</v>
      </c>
    </row>
    <row r="113" spans="2:16" ht="12.5">
      <c r="B113" s="195" t="str">
        <f t="shared" si="17"/>
        <v/>
      </c>
      <c r="C113" s="507">
        <f>IF(D93="","-",+C112+1)</f>
        <v>2029</v>
      </c>
      <c r="D113" s="374">
        <f>IF(F112+SUM(E$99:E112)=D$92,F112,D$92-SUM(E$99:E112))</f>
        <v>10816427.147009972</v>
      </c>
      <c r="E113" s="522">
        <f t="shared" si="19"/>
        <v>379300.57142857142</v>
      </c>
      <c r="F113" s="523">
        <f t="shared" si="20"/>
        <v>10437126.575581402</v>
      </c>
      <c r="G113" s="523">
        <f t="shared" si="21"/>
        <v>10626776.861295687</v>
      </c>
      <c r="H113" s="526">
        <f t="shared" si="22"/>
        <v>1522463.685528307</v>
      </c>
      <c r="I113" s="577">
        <f t="shared" si="23"/>
        <v>1522463.685528307</v>
      </c>
      <c r="J113" s="514">
        <f t="shared" si="18"/>
        <v>0</v>
      </c>
      <c r="K113" s="514"/>
      <c r="L113" s="525"/>
      <c r="M113" s="514">
        <f t="shared" si="14"/>
        <v>0</v>
      </c>
      <c r="N113" s="525"/>
      <c r="O113" s="514">
        <f t="shared" si="15"/>
        <v>0</v>
      </c>
      <c r="P113" s="514">
        <f t="shared" si="16"/>
        <v>0</v>
      </c>
    </row>
    <row r="114" spans="2:16" ht="12.5">
      <c r="B114" s="195" t="str">
        <f t="shared" si="17"/>
        <v/>
      </c>
      <c r="C114" s="507">
        <f>IF(D93="","-",+C113+1)</f>
        <v>2030</v>
      </c>
      <c r="D114" s="374">
        <f>IF(F113+SUM(E$99:E113)=D$92,F113,D$92-SUM(E$99:E113))</f>
        <v>10437126.575581402</v>
      </c>
      <c r="E114" s="522">
        <f t="shared" si="19"/>
        <v>379300.57142857142</v>
      </c>
      <c r="F114" s="523">
        <f t="shared" si="20"/>
        <v>10057826.004152831</v>
      </c>
      <c r="G114" s="523">
        <f t="shared" si="21"/>
        <v>10247476.289867116</v>
      </c>
      <c r="H114" s="526">
        <f t="shared" si="22"/>
        <v>1481660.869390016</v>
      </c>
      <c r="I114" s="577">
        <f t="shared" si="23"/>
        <v>1481660.869390016</v>
      </c>
      <c r="J114" s="514">
        <f t="shared" si="18"/>
        <v>0</v>
      </c>
      <c r="K114" s="514"/>
      <c r="L114" s="525"/>
      <c r="M114" s="514">
        <f t="shared" si="14"/>
        <v>0</v>
      </c>
      <c r="N114" s="525"/>
      <c r="O114" s="514">
        <f t="shared" si="15"/>
        <v>0</v>
      </c>
      <c r="P114" s="514">
        <f t="shared" si="16"/>
        <v>0</v>
      </c>
    </row>
    <row r="115" spans="2:16" ht="12.5">
      <c r="B115" s="195" t="str">
        <f t="shared" si="17"/>
        <v/>
      </c>
      <c r="C115" s="507">
        <f>IF(D93="","-",+C114+1)</f>
        <v>2031</v>
      </c>
      <c r="D115" s="374">
        <f>IF(F114+SUM(E$99:E114)=D$92,F114,D$92-SUM(E$99:E114))</f>
        <v>10057826.004152831</v>
      </c>
      <c r="E115" s="522">
        <f t="shared" si="19"/>
        <v>379300.57142857142</v>
      </c>
      <c r="F115" s="523">
        <f t="shared" si="20"/>
        <v>9678525.4327242598</v>
      </c>
      <c r="G115" s="523">
        <f t="shared" si="21"/>
        <v>9868175.7184385452</v>
      </c>
      <c r="H115" s="526">
        <f t="shared" si="22"/>
        <v>1440858.0532517247</v>
      </c>
      <c r="I115" s="577">
        <f t="shared" si="23"/>
        <v>1440858.0532517247</v>
      </c>
      <c r="J115" s="514">
        <f t="shared" si="18"/>
        <v>0</v>
      </c>
      <c r="K115" s="514"/>
      <c r="L115" s="525"/>
      <c r="M115" s="514">
        <f t="shared" si="14"/>
        <v>0</v>
      </c>
      <c r="N115" s="525"/>
      <c r="O115" s="514">
        <f t="shared" si="15"/>
        <v>0</v>
      </c>
      <c r="P115" s="514">
        <f t="shared" si="16"/>
        <v>0</v>
      </c>
    </row>
    <row r="116" spans="2:16" ht="12.5">
      <c r="B116" s="195" t="str">
        <f t="shared" si="17"/>
        <v/>
      </c>
      <c r="C116" s="507">
        <f>IF(D93="","-",+C115+1)</f>
        <v>2032</v>
      </c>
      <c r="D116" s="374">
        <f>IF(F115+SUM(E$99:E115)=D$92,F115,D$92-SUM(E$99:E115))</f>
        <v>9678525.4327242598</v>
      </c>
      <c r="E116" s="522">
        <f t="shared" si="19"/>
        <v>379300.57142857142</v>
      </c>
      <c r="F116" s="523">
        <f t="shared" si="20"/>
        <v>9299224.8612956889</v>
      </c>
      <c r="G116" s="523">
        <f t="shared" si="21"/>
        <v>9488875.1470099743</v>
      </c>
      <c r="H116" s="526">
        <f t="shared" si="22"/>
        <v>1400055.2371134337</v>
      </c>
      <c r="I116" s="577">
        <f t="shared" si="23"/>
        <v>1400055.2371134337</v>
      </c>
      <c r="J116" s="514">
        <f t="shared" si="18"/>
        <v>0</v>
      </c>
      <c r="K116" s="514"/>
      <c r="L116" s="525"/>
      <c r="M116" s="514">
        <f t="shared" si="14"/>
        <v>0</v>
      </c>
      <c r="N116" s="525"/>
      <c r="O116" s="514">
        <f t="shared" si="15"/>
        <v>0</v>
      </c>
      <c r="P116" s="514">
        <f t="shared" si="16"/>
        <v>0</v>
      </c>
    </row>
    <row r="117" spans="2:16" ht="12.5">
      <c r="B117" s="195" t="str">
        <f t="shared" si="17"/>
        <v/>
      </c>
      <c r="C117" s="507">
        <f>IF(D93="","-",+C116+1)</f>
        <v>2033</v>
      </c>
      <c r="D117" s="374">
        <f>IF(F116+SUM(E$99:E116)=D$92,F116,D$92-SUM(E$99:E116))</f>
        <v>9299224.8612956889</v>
      </c>
      <c r="E117" s="522">
        <f t="shared" si="19"/>
        <v>379300.57142857142</v>
      </c>
      <c r="F117" s="523">
        <f t="shared" si="20"/>
        <v>8919924.289867118</v>
      </c>
      <c r="G117" s="523">
        <f t="shared" si="21"/>
        <v>9109574.5755814034</v>
      </c>
      <c r="H117" s="526">
        <f t="shared" si="22"/>
        <v>1359252.4209751426</v>
      </c>
      <c r="I117" s="577">
        <f t="shared" si="23"/>
        <v>1359252.4209751426</v>
      </c>
      <c r="J117" s="514">
        <f t="shared" si="18"/>
        <v>0</v>
      </c>
      <c r="K117" s="514"/>
      <c r="L117" s="525"/>
      <c r="M117" s="514">
        <f t="shared" si="14"/>
        <v>0</v>
      </c>
      <c r="N117" s="525"/>
      <c r="O117" s="514">
        <f t="shared" si="15"/>
        <v>0</v>
      </c>
      <c r="P117" s="514">
        <f t="shared" si="16"/>
        <v>0</v>
      </c>
    </row>
    <row r="118" spans="2:16" ht="12.5">
      <c r="B118" s="195" t="str">
        <f t="shared" si="17"/>
        <v/>
      </c>
      <c r="C118" s="507">
        <f>IF(D93="","-",+C117+1)</f>
        <v>2034</v>
      </c>
      <c r="D118" s="374">
        <f>IF(F117+SUM(E$99:E117)=D$92,F117,D$92-SUM(E$99:E117))</f>
        <v>8919924.289867118</v>
      </c>
      <c r="E118" s="522">
        <f t="shared" si="19"/>
        <v>379300.57142857142</v>
      </c>
      <c r="F118" s="523">
        <f t="shared" si="20"/>
        <v>8540623.7184385471</v>
      </c>
      <c r="G118" s="523">
        <f t="shared" si="21"/>
        <v>8730274.0041528326</v>
      </c>
      <c r="H118" s="526">
        <f t="shared" si="22"/>
        <v>1318449.6048368516</v>
      </c>
      <c r="I118" s="577">
        <f t="shared" si="23"/>
        <v>1318449.6048368516</v>
      </c>
      <c r="J118" s="514">
        <f t="shared" si="18"/>
        <v>0</v>
      </c>
      <c r="K118" s="514"/>
      <c r="L118" s="525"/>
      <c r="M118" s="514">
        <f t="shared" si="14"/>
        <v>0</v>
      </c>
      <c r="N118" s="525"/>
      <c r="O118" s="514">
        <f t="shared" si="15"/>
        <v>0</v>
      </c>
      <c r="P118" s="514">
        <f t="shared" si="16"/>
        <v>0</v>
      </c>
    </row>
    <row r="119" spans="2:16" ht="12.5">
      <c r="B119" s="195" t="str">
        <f t="shared" si="17"/>
        <v/>
      </c>
      <c r="C119" s="507">
        <f>IF(D93="","-",+C118+1)</f>
        <v>2035</v>
      </c>
      <c r="D119" s="374">
        <f>IF(F118+SUM(E$99:E118)=D$92,F118,D$92-SUM(E$99:E118))</f>
        <v>8540623.7184385471</v>
      </c>
      <c r="E119" s="522">
        <f t="shared" si="19"/>
        <v>379300.57142857142</v>
      </c>
      <c r="F119" s="523">
        <f t="shared" si="20"/>
        <v>8161323.1470099753</v>
      </c>
      <c r="G119" s="523">
        <f t="shared" si="21"/>
        <v>8350973.4327242617</v>
      </c>
      <c r="H119" s="526">
        <f t="shared" si="22"/>
        <v>1277646.7886985603</v>
      </c>
      <c r="I119" s="577">
        <f t="shared" si="23"/>
        <v>1277646.7886985603</v>
      </c>
      <c r="J119" s="514">
        <f t="shared" si="18"/>
        <v>0</v>
      </c>
      <c r="K119" s="514"/>
      <c r="L119" s="525"/>
      <c r="M119" s="514">
        <f t="shared" si="14"/>
        <v>0</v>
      </c>
      <c r="N119" s="525"/>
      <c r="O119" s="514">
        <f t="shared" si="15"/>
        <v>0</v>
      </c>
      <c r="P119" s="514">
        <f t="shared" si="16"/>
        <v>0</v>
      </c>
    </row>
    <row r="120" spans="2:16" ht="12.5">
      <c r="B120" s="195" t="str">
        <f t="shared" si="17"/>
        <v/>
      </c>
      <c r="C120" s="507">
        <f>IF(D93="","-",+C119+1)</f>
        <v>2036</v>
      </c>
      <c r="D120" s="374">
        <f>IF(F119+SUM(E$99:E119)=D$92,F119,D$92-SUM(E$99:E119))</f>
        <v>8161323.1470099753</v>
      </c>
      <c r="E120" s="522">
        <f t="shared" si="19"/>
        <v>379300.57142857142</v>
      </c>
      <c r="F120" s="523">
        <f t="shared" si="20"/>
        <v>7782022.5755814034</v>
      </c>
      <c r="G120" s="523">
        <f t="shared" si="21"/>
        <v>7971672.8612956889</v>
      </c>
      <c r="H120" s="526">
        <f t="shared" si="22"/>
        <v>1236843.9725602691</v>
      </c>
      <c r="I120" s="577">
        <f t="shared" si="23"/>
        <v>1236843.9725602691</v>
      </c>
      <c r="J120" s="514">
        <f t="shared" si="18"/>
        <v>0</v>
      </c>
      <c r="K120" s="514"/>
      <c r="L120" s="525"/>
      <c r="M120" s="514">
        <f t="shared" si="14"/>
        <v>0</v>
      </c>
      <c r="N120" s="525"/>
      <c r="O120" s="514">
        <f t="shared" si="15"/>
        <v>0</v>
      </c>
      <c r="P120" s="514">
        <f t="shared" si="16"/>
        <v>0</v>
      </c>
    </row>
    <row r="121" spans="2:16" ht="12.5">
      <c r="B121" s="195" t="str">
        <f t="shared" si="17"/>
        <v/>
      </c>
      <c r="C121" s="507">
        <f>IF(D93="","-",+C120+1)</f>
        <v>2037</v>
      </c>
      <c r="D121" s="374">
        <f>IF(F120+SUM(E$99:E120)=D$92,F120,D$92-SUM(E$99:E120))</f>
        <v>7782022.5755814034</v>
      </c>
      <c r="E121" s="522">
        <f t="shared" si="19"/>
        <v>379300.57142857142</v>
      </c>
      <c r="F121" s="523">
        <f t="shared" si="20"/>
        <v>7402722.0041528316</v>
      </c>
      <c r="G121" s="523">
        <f t="shared" si="21"/>
        <v>7592372.289867118</v>
      </c>
      <c r="H121" s="526">
        <f t="shared" si="22"/>
        <v>1196041.156421978</v>
      </c>
      <c r="I121" s="577">
        <f t="shared" si="23"/>
        <v>1196041.156421978</v>
      </c>
      <c r="J121" s="514">
        <f t="shared" si="18"/>
        <v>0</v>
      </c>
      <c r="K121" s="514"/>
      <c r="L121" s="525"/>
      <c r="M121" s="514">
        <f t="shared" si="14"/>
        <v>0</v>
      </c>
      <c r="N121" s="525"/>
      <c r="O121" s="514">
        <f t="shared" si="15"/>
        <v>0</v>
      </c>
      <c r="P121" s="514">
        <f t="shared" si="16"/>
        <v>0</v>
      </c>
    </row>
    <row r="122" spans="2:16" ht="12.5">
      <c r="B122" s="195" t="str">
        <f t="shared" si="17"/>
        <v/>
      </c>
      <c r="C122" s="507">
        <f>IF(D93="","-",+C121+1)</f>
        <v>2038</v>
      </c>
      <c r="D122" s="374">
        <f>IF(F121+SUM(E$99:E121)=D$92,F121,D$92-SUM(E$99:E121))</f>
        <v>7402722.0041528316</v>
      </c>
      <c r="E122" s="522">
        <f t="shared" si="19"/>
        <v>379300.57142857142</v>
      </c>
      <c r="F122" s="523">
        <f t="shared" si="20"/>
        <v>7023421.4327242598</v>
      </c>
      <c r="G122" s="523">
        <f t="shared" si="21"/>
        <v>7213071.7184385452</v>
      </c>
      <c r="H122" s="526">
        <f t="shared" si="22"/>
        <v>1155238.3402836865</v>
      </c>
      <c r="I122" s="577">
        <f t="shared" si="23"/>
        <v>1155238.3402836865</v>
      </c>
      <c r="J122" s="514">
        <f t="shared" si="18"/>
        <v>0</v>
      </c>
      <c r="K122" s="514"/>
      <c r="L122" s="525"/>
      <c r="M122" s="514">
        <f t="shared" si="14"/>
        <v>0</v>
      </c>
      <c r="N122" s="525"/>
      <c r="O122" s="514">
        <f t="shared" si="15"/>
        <v>0</v>
      </c>
      <c r="P122" s="514">
        <f t="shared" si="16"/>
        <v>0</v>
      </c>
    </row>
    <row r="123" spans="2:16" ht="12.5">
      <c r="B123" s="195" t="str">
        <f t="shared" si="17"/>
        <v/>
      </c>
      <c r="C123" s="507">
        <f>IF(D93="","-",+C122+1)</f>
        <v>2039</v>
      </c>
      <c r="D123" s="374">
        <f>IF(F122+SUM(E$99:E122)=D$92,F122,D$92-SUM(E$99:E122))</f>
        <v>7023421.4327242598</v>
      </c>
      <c r="E123" s="522">
        <f t="shared" si="19"/>
        <v>379300.57142857142</v>
      </c>
      <c r="F123" s="523">
        <f t="shared" si="20"/>
        <v>6644120.861295688</v>
      </c>
      <c r="G123" s="523">
        <f t="shared" si="21"/>
        <v>6833771.1470099743</v>
      </c>
      <c r="H123" s="526">
        <f t="shared" si="22"/>
        <v>1114435.5241453955</v>
      </c>
      <c r="I123" s="577">
        <f t="shared" si="23"/>
        <v>1114435.5241453955</v>
      </c>
      <c r="J123" s="514">
        <f t="shared" si="18"/>
        <v>0</v>
      </c>
      <c r="K123" s="514"/>
      <c r="L123" s="525"/>
      <c r="M123" s="514">
        <f t="shared" si="14"/>
        <v>0</v>
      </c>
      <c r="N123" s="525"/>
      <c r="O123" s="514">
        <f t="shared" si="15"/>
        <v>0</v>
      </c>
      <c r="P123" s="514">
        <f t="shared" si="16"/>
        <v>0</v>
      </c>
    </row>
    <row r="124" spans="2:16" ht="12.5">
      <c r="B124" s="195" t="str">
        <f t="shared" si="17"/>
        <v/>
      </c>
      <c r="C124" s="507">
        <f>IF(D93="","-",+C123+1)</f>
        <v>2040</v>
      </c>
      <c r="D124" s="374">
        <f>IF(F123+SUM(E$99:E123)=D$92,F123,D$92-SUM(E$99:E123))</f>
        <v>6644120.861295688</v>
      </c>
      <c r="E124" s="522">
        <f t="shared" si="19"/>
        <v>379300.57142857142</v>
      </c>
      <c r="F124" s="523">
        <f t="shared" si="20"/>
        <v>6264820.2898671161</v>
      </c>
      <c r="G124" s="523">
        <f t="shared" si="21"/>
        <v>6454470.5755814016</v>
      </c>
      <c r="H124" s="526">
        <f t="shared" si="22"/>
        <v>1073632.7080071042</v>
      </c>
      <c r="I124" s="577">
        <f t="shared" si="23"/>
        <v>1073632.7080071042</v>
      </c>
      <c r="J124" s="514">
        <f t="shared" si="18"/>
        <v>0</v>
      </c>
      <c r="K124" s="514"/>
      <c r="L124" s="525"/>
      <c r="M124" s="514">
        <f t="shared" si="14"/>
        <v>0</v>
      </c>
      <c r="N124" s="525"/>
      <c r="O124" s="514">
        <f t="shared" si="15"/>
        <v>0</v>
      </c>
      <c r="P124" s="514">
        <f t="shared" si="16"/>
        <v>0</v>
      </c>
    </row>
    <row r="125" spans="2:16" ht="12.5">
      <c r="B125" s="195" t="str">
        <f t="shared" si="17"/>
        <v/>
      </c>
      <c r="C125" s="507">
        <f>IF(D93="","-",+C124+1)</f>
        <v>2041</v>
      </c>
      <c r="D125" s="374">
        <f>IF(F124+SUM(E$99:E124)=D$92,F124,D$92-SUM(E$99:E124))</f>
        <v>6264820.2898671161</v>
      </c>
      <c r="E125" s="522">
        <f t="shared" si="19"/>
        <v>379300.57142857142</v>
      </c>
      <c r="F125" s="523">
        <f t="shared" si="20"/>
        <v>5885519.7184385443</v>
      </c>
      <c r="G125" s="523">
        <f t="shared" si="21"/>
        <v>6075170.0041528307</v>
      </c>
      <c r="H125" s="526">
        <f t="shared" si="22"/>
        <v>1032829.891868813</v>
      </c>
      <c r="I125" s="577">
        <f t="shared" si="23"/>
        <v>1032829.891868813</v>
      </c>
      <c r="J125" s="514">
        <f t="shared" si="18"/>
        <v>0</v>
      </c>
      <c r="K125" s="514"/>
      <c r="L125" s="525"/>
      <c r="M125" s="514">
        <f t="shared" si="14"/>
        <v>0</v>
      </c>
      <c r="N125" s="525"/>
      <c r="O125" s="514">
        <f t="shared" si="15"/>
        <v>0</v>
      </c>
      <c r="P125" s="514">
        <f t="shared" si="16"/>
        <v>0</v>
      </c>
    </row>
    <row r="126" spans="2:16" ht="12.5">
      <c r="B126" s="195" t="str">
        <f t="shared" si="17"/>
        <v/>
      </c>
      <c r="C126" s="507">
        <f>IF(D93="","-",+C125+1)</f>
        <v>2042</v>
      </c>
      <c r="D126" s="374">
        <f>IF(F125+SUM(E$99:E125)=D$92,F125,D$92-SUM(E$99:E125))</f>
        <v>5885519.7184385443</v>
      </c>
      <c r="E126" s="522">
        <f t="shared" si="19"/>
        <v>379300.57142857142</v>
      </c>
      <c r="F126" s="523">
        <f t="shared" si="20"/>
        <v>5506219.1470099725</v>
      </c>
      <c r="G126" s="523">
        <f t="shared" si="21"/>
        <v>5695869.4327242579</v>
      </c>
      <c r="H126" s="526">
        <f t="shared" si="22"/>
        <v>992027.0757305217</v>
      </c>
      <c r="I126" s="577">
        <f t="shared" si="23"/>
        <v>992027.0757305217</v>
      </c>
      <c r="J126" s="514">
        <f t="shared" si="18"/>
        <v>0</v>
      </c>
      <c r="K126" s="514"/>
      <c r="L126" s="525"/>
      <c r="M126" s="514">
        <f t="shared" si="14"/>
        <v>0</v>
      </c>
      <c r="N126" s="525"/>
      <c r="O126" s="514">
        <f t="shared" si="15"/>
        <v>0</v>
      </c>
      <c r="P126" s="514">
        <f t="shared" si="16"/>
        <v>0</v>
      </c>
    </row>
    <row r="127" spans="2:16" ht="12.5">
      <c r="B127" s="195" t="str">
        <f t="shared" si="17"/>
        <v/>
      </c>
      <c r="C127" s="507">
        <f>IF(D93="","-",+C126+1)</f>
        <v>2043</v>
      </c>
      <c r="D127" s="374">
        <f>IF(F126+SUM(E$99:E126)=D$92,F126,D$92-SUM(E$99:E126))</f>
        <v>5506219.1470099725</v>
      </c>
      <c r="E127" s="522">
        <f t="shared" si="19"/>
        <v>379300.57142857142</v>
      </c>
      <c r="F127" s="523">
        <f t="shared" si="20"/>
        <v>5126918.5755814007</v>
      </c>
      <c r="G127" s="523">
        <f t="shared" si="21"/>
        <v>5316568.861295687</v>
      </c>
      <c r="H127" s="526">
        <f t="shared" si="22"/>
        <v>951224.25959223066</v>
      </c>
      <c r="I127" s="577">
        <f t="shared" si="23"/>
        <v>951224.25959223066</v>
      </c>
      <c r="J127" s="514">
        <f t="shared" si="18"/>
        <v>0</v>
      </c>
      <c r="K127" s="514"/>
      <c r="L127" s="525"/>
      <c r="M127" s="514">
        <f t="shared" si="14"/>
        <v>0</v>
      </c>
      <c r="N127" s="525"/>
      <c r="O127" s="514">
        <f t="shared" si="15"/>
        <v>0</v>
      </c>
      <c r="P127" s="514">
        <f t="shared" si="16"/>
        <v>0</v>
      </c>
    </row>
    <row r="128" spans="2:16" ht="12.5">
      <c r="B128" s="195" t="str">
        <f t="shared" si="17"/>
        <v/>
      </c>
      <c r="C128" s="507">
        <f>IF(D93="","-",+C127+1)</f>
        <v>2044</v>
      </c>
      <c r="D128" s="374">
        <f>IF(F127+SUM(E$99:E127)=D$92,F127,D$92-SUM(E$99:E127))</f>
        <v>5126918.5755814007</v>
      </c>
      <c r="E128" s="522">
        <f t="shared" si="19"/>
        <v>379300.57142857142</v>
      </c>
      <c r="F128" s="523">
        <f t="shared" si="20"/>
        <v>4747618.0041528288</v>
      </c>
      <c r="G128" s="523">
        <f t="shared" si="21"/>
        <v>4937268.2898671143</v>
      </c>
      <c r="H128" s="526">
        <f t="shared" si="22"/>
        <v>910421.44345393917</v>
      </c>
      <c r="I128" s="577">
        <f t="shared" si="23"/>
        <v>910421.44345393917</v>
      </c>
      <c r="J128" s="514">
        <f t="shared" si="18"/>
        <v>0</v>
      </c>
      <c r="K128" s="514"/>
      <c r="L128" s="525"/>
      <c r="M128" s="514">
        <f t="shared" si="14"/>
        <v>0</v>
      </c>
      <c r="N128" s="525"/>
      <c r="O128" s="514">
        <f t="shared" si="15"/>
        <v>0</v>
      </c>
      <c r="P128" s="514">
        <f t="shared" si="16"/>
        <v>0</v>
      </c>
    </row>
    <row r="129" spans="2:16" ht="12.5">
      <c r="B129" s="195" t="str">
        <f t="shared" si="17"/>
        <v/>
      </c>
      <c r="C129" s="507">
        <f>IF(D93="","-",+C128+1)</f>
        <v>2045</v>
      </c>
      <c r="D129" s="374">
        <f>IF(F128+SUM(E$99:E128)=D$92,F128,D$92-SUM(E$99:E128))</f>
        <v>4747618.0041528288</v>
      </c>
      <c r="E129" s="522">
        <f t="shared" si="19"/>
        <v>379300.57142857142</v>
      </c>
      <c r="F129" s="523">
        <f t="shared" si="20"/>
        <v>4368317.432724257</v>
      </c>
      <c r="G129" s="523">
        <f t="shared" si="21"/>
        <v>4557967.7184385434</v>
      </c>
      <c r="H129" s="526">
        <f t="shared" si="22"/>
        <v>869618.62731564813</v>
      </c>
      <c r="I129" s="577">
        <f t="shared" si="23"/>
        <v>869618.62731564813</v>
      </c>
      <c r="J129" s="514">
        <f t="shared" si="18"/>
        <v>0</v>
      </c>
      <c r="K129" s="514"/>
      <c r="L129" s="525"/>
      <c r="M129" s="514">
        <f t="shared" si="14"/>
        <v>0</v>
      </c>
      <c r="N129" s="525"/>
      <c r="O129" s="514">
        <f t="shared" si="15"/>
        <v>0</v>
      </c>
      <c r="P129" s="514">
        <f t="shared" si="16"/>
        <v>0</v>
      </c>
    </row>
    <row r="130" spans="2:16" ht="12.5">
      <c r="B130" s="195" t="str">
        <f t="shared" si="17"/>
        <v/>
      </c>
      <c r="C130" s="507">
        <f>IF(D93="","-",+C129+1)</f>
        <v>2046</v>
      </c>
      <c r="D130" s="374">
        <f>IF(F129+SUM(E$99:E129)=D$92,F129,D$92-SUM(E$99:E129))</f>
        <v>4368317.432724257</v>
      </c>
      <c r="E130" s="522">
        <f t="shared" si="19"/>
        <v>379300.57142857142</v>
      </c>
      <c r="F130" s="523">
        <f t="shared" si="20"/>
        <v>3989016.8612956856</v>
      </c>
      <c r="G130" s="523">
        <f t="shared" si="21"/>
        <v>4178667.1470099716</v>
      </c>
      <c r="H130" s="526">
        <f t="shared" si="22"/>
        <v>828815.81117735687</v>
      </c>
      <c r="I130" s="577">
        <f t="shared" si="23"/>
        <v>828815.81117735687</v>
      </c>
      <c r="J130" s="514">
        <f t="shared" si="18"/>
        <v>0</v>
      </c>
      <c r="K130" s="514"/>
      <c r="L130" s="525"/>
      <c r="M130" s="514">
        <f t="shared" si="14"/>
        <v>0</v>
      </c>
      <c r="N130" s="525"/>
      <c r="O130" s="514">
        <f t="shared" si="15"/>
        <v>0</v>
      </c>
      <c r="P130" s="514">
        <f t="shared" si="16"/>
        <v>0</v>
      </c>
    </row>
    <row r="131" spans="2:16" ht="12.5">
      <c r="B131" s="195" t="str">
        <f t="shared" si="17"/>
        <v/>
      </c>
      <c r="C131" s="507">
        <f>IF(D93="","-",+C130+1)</f>
        <v>2047</v>
      </c>
      <c r="D131" s="374">
        <f>IF(F130+SUM(E$99:E130)=D$92,F130,D$92-SUM(E$99:E130))</f>
        <v>3989016.8612956856</v>
      </c>
      <c r="E131" s="522">
        <f t="shared" si="19"/>
        <v>379300.57142857142</v>
      </c>
      <c r="F131" s="523">
        <f t="shared" si="20"/>
        <v>3609716.2898671143</v>
      </c>
      <c r="G131" s="523">
        <f t="shared" si="21"/>
        <v>3799366.5755813997</v>
      </c>
      <c r="H131" s="526">
        <f t="shared" si="22"/>
        <v>788012.99503906572</v>
      </c>
      <c r="I131" s="577">
        <f t="shared" si="23"/>
        <v>788012.99503906572</v>
      </c>
      <c r="J131" s="514">
        <f t="shared" si="18"/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 ht="12.5">
      <c r="B132" s="195" t="str">
        <f t="shared" si="17"/>
        <v/>
      </c>
      <c r="C132" s="507">
        <f>IF(D93="","-",+C131+1)</f>
        <v>2048</v>
      </c>
      <c r="D132" s="374">
        <f>IF(F131+SUM(E$99:E131)=D$92,F131,D$92-SUM(E$99:E131))</f>
        <v>3609716.2898671143</v>
      </c>
      <c r="E132" s="522">
        <f t="shared" si="19"/>
        <v>379300.57142857142</v>
      </c>
      <c r="F132" s="523">
        <f t="shared" si="20"/>
        <v>3230415.7184385429</v>
      </c>
      <c r="G132" s="523">
        <f t="shared" si="21"/>
        <v>3420066.0041528288</v>
      </c>
      <c r="H132" s="526">
        <f t="shared" si="22"/>
        <v>747210.17890077457</v>
      </c>
      <c r="I132" s="577">
        <f t="shared" si="23"/>
        <v>747210.17890077457</v>
      </c>
      <c r="J132" s="514">
        <f t="shared" si="18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 ht="12.5">
      <c r="B133" s="195" t="str">
        <f t="shared" si="17"/>
        <v/>
      </c>
      <c r="C133" s="507">
        <f>IF(D93="","-",+C132+1)</f>
        <v>2049</v>
      </c>
      <c r="D133" s="374">
        <f>IF(F132+SUM(E$99:E132)=D$92,F132,D$92-SUM(E$99:E132))</f>
        <v>3230415.7184385429</v>
      </c>
      <c r="E133" s="522">
        <f t="shared" si="19"/>
        <v>379300.57142857142</v>
      </c>
      <c r="F133" s="523">
        <f t="shared" si="20"/>
        <v>2851115.1470099716</v>
      </c>
      <c r="G133" s="523">
        <f t="shared" si="21"/>
        <v>3040765.432724257</v>
      </c>
      <c r="H133" s="526">
        <f t="shared" si="22"/>
        <v>706407.3627624833</v>
      </c>
      <c r="I133" s="577">
        <f t="shared" si="23"/>
        <v>706407.3627624833</v>
      </c>
      <c r="J133" s="514">
        <f t="shared" si="18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 ht="12.5">
      <c r="B134" s="195" t="str">
        <f t="shared" si="17"/>
        <v/>
      </c>
      <c r="C134" s="507">
        <f>IF(D93="","-",+C133+1)</f>
        <v>2050</v>
      </c>
      <c r="D134" s="374">
        <f>IF(F133+SUM(E$99:E133)=D$92,F133,D$92-SUM(E$99:E133))</f>
        <v>2851115.1470099716</v>
      </c>
      <c r="E134" s="522">
        <f t="shared" si="19"/>
        <v>379300.57142857142</v>
      </c>
      <c r="F134" s="523">
        <f t="shared" si="20"/>
        <v>2471814.5755814002</v>
      </c>
      <c r="G134" s="523">
        <f t="shared" si="21"/>
        <v>2661464.8612956861</v>
      </c>
      <c r="H134" s="526">
        <f t="shared" si="22"/>
        <v>665604.54662419227</v>
      </c>
      <c r="I134" s="577">
        <f t="shared" si="23"/>
        <v>665604.54662419227</v>
      </c>
      <c r="J134" s="514">
        <f t="shared" si="18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 ht="12.5">
      <c r="B135" s="195" t="str">
        <f t="shared" si="17"/>
        <v/>
      </c>
      <c r="C135" s="507">
        <f>IF(D93="","-",+C134+1)</f>
        <v>2051</v>
      </c>
      <c r="D135" s="374">
        <f>IF(F134+SUM(E$99:E134)=D$92,F134,D$92-SUM(E$99:E134))</f>
        <v>2471814.5755814002</v>
      </c>
      <c r="E135" s="522">
        <f t="shared" si="19"/>
        <v>379300.57142857142</v>
      </c>
      <c r="F135" s="523">
        <f t="shared" si="20"/>
        <v>2092514.0041528288</v>
      </c>
      <c r="G135" s="523">
        <f t="shared" si="21"/>
        <v>2282164.2898671143</v>
      </c>
      <c r="H135" s="526">
        <f t="shared" si="22"/>
        <v>624801.730485901</v>
      </c>
      <c r="I135" s="577">
        <f t="shared" si="23"/>
        <v>624801.730485901</v>
      </c>
      <c r="J135" s="514">
        <f t="shared" si="18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 ht="12.5">
      <c r="B136" s="195" t="str">
        <f t="shared" si="17"/>
        <v/>
      </c>
      <c r="C136" s="507">
        <f>IF(D93="","-",+C135+1)</f>
        <v>2052</v>
      </c>
      <c r="D136" s="374">
        <f>IF(F135+SUM(E$99:E135)=D$92,F135,D$92-SUM(E$99:E135))</f>
        <v>2092514.0041528288</v>
      </c>
      <c r="E136" s="522">
        <f t="shared" si="19"/>
        <v>379300.57142857142</v>
      </c>
      <c r="F136" s="523">
        <f t="shared" si="20"/>
        <v>1713213.4327242575</v>
      </c>
      <c r="G136" s="523">
        <f t="shared" si="21"/>
        <v>1902863.7184385431</v>
      </c>
      <c r="H136" s="526">
        <f t="shared" si="22"/>
        <v>583998.91434760985</v>
      </c>
      <c r="I136" s="577">
        <f t="shared" si="23"/>
        <v>583998.91434760985</v>
      </c>
      <c r="J136" s="514">
        <f t="shared" si="18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 ht="12.5">
      <c r="B137" s="195" t="str">
        <f t="shared" si="17"/>
        <v/>
      </c>
      <c r="C137" s="507">
        <f>IF(D93="","-",+C136+1)</f>
        <v>2053</v>
      </c>
      <c r="D137" s="374">
        <f>IF(F136+SUM(E$99:E136)=D$92,F136,D$92-SUM(E$99:E136))</f>
        <v>1713213.4327242575</v>
      </c>
      <c r="E137" s="522">
        <f t="shared" si="19"/>
        <v>379300.57142857142</v>
      </c>
      <c r="F137" s="523">
        <f t="shared" si="20"/>
        <v>1333912.8612956861</v>
      </c>
      <c r="G137" s="523">
        <f t="shared" si="21"/>
        <v>1523563.1470099718</v>
      </c>
      <c r="H137" s="526">
        <f t="shared" si="22"/>
        <v>543196.0982093187</v>
      </c>
      <c r="I137" s="577">
        <f t="shared" si="23"/>
        <v>543196.0982093187</v>
      </c>
      <c r="J137" s="514">
        <f t="shared" si="18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 ht="12.5">
      <c r="B138" s="195" t="str">
        <f t="shared" si="17"/>
        <v/>
      </c>
      <c r="C138" s="507">
        <f>IF(D93="","-",+C137+1)</f>
        <v>2054</v>
      </c>
      <c r="D138" s="374">
        <f>IF(F137+SUM(E$99:E137)=D$92,F137,D$92-SUM(E$99:E137))</f>
        <v>1333912.8612956861</v>
      </c>
      <c r="E138" s="522">
        <f t="shared" si="19"/>
        <v>379300.57142857142</v>
      </c>
      <c r="F138" s="523">
        <f t="shared" si="20"/>
        <v>954612.28986711474</v>
      </c>
      <c r="G138" s="523">
        <f t="shared" si="21"/>
        <v>1144262.5755814004</v>
      </c>
      <c r="H138" s="526">
        <f t="shared" si="22"/>
        <v>502393.28207102756</v>
      </c>
      <c r="I138" s="577">
        <f t="shared" si="23"/>
        <v>502393.28207102756</v>
      </c>
      <c r="J138" s="514">
        <f t="shared" si="18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 ht="12.5">
      <c r="B139" s="195" t="str">
        <f t="shared" si="17"/>
        <v/>
      </c>
      <c r="C139" s="507">
        <f>IF(D93="","-",+C138+1)</f>
        <v>2055</v>
      </c>
      <c r="D139" s="374">
        <f>IF(F138+SUM(E$99:E138)=D$92,F138,D$92-SUM(E$99:E138))</f>
        <v>954612.28986711474</v>
      </c>
      <c r="E139" s="522">
        <f t="shared" si="19"/>
        <v>379300.57142857142</v>
      </c>
      <c r="F139" s="523">
        <f t="shared" si="20"/>
        <v>575311.71843854338</v>
      </c>
      <c r="G139" s="523">
        <f t="shared" si="21"/>
        <v>764962.00415282906</v>
      </c>
      <c r="H139" s="526">
        <f t="shared" si="22"/>
        <v>461590.46593273635</v>
      </c>
      <c r="I139" s="577">
        <f t="shared" si="23"/>
        <v>461590.46593273635</v>
      </c>
      <c r="J139" s="514">
        <f t="shared" si="18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 ht="12.5">
      <c r="B140" s="195" t="str">
        <f t="shared" si="17"/>
        <v/>
      </c>
      <c r="C140" s="507">
        <f>IF(D93="","-",+C139+1)</f>
        <v>2056</v>
      </c>
      <c r="D140" s="374">
        <f>IF(F139+SUM(E$99:E139)=D$92,F139,D$92-SUM(E$99:E139))</f>
        <v>575311.71843854338</v>
      </c>
      <c r="E140" s="522">
        <f t="shared" si="19"/>
        <v>379300.57142857142</v>
      </c>
      <c r="F140" s="523">
        <f t="shared" si="20"/>
        <v>196011.14700997196</v>
      </c>
      <c r="G140" s="523">
        <f t="shared" si="21"/>
        <v>385661.4327242577</v>
      </c>
      <c r="H140" s="526">
        <f t="shared" si="22"/>
        <v>420787.6497944452</v>
      </c>
      <c r="I140" s="577">
        <f t="shared" si="23"/>
        <v>420787.6497944452</v>
      </c>
      <c r="J140" s="514">
        <f t="shared" si="18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 ht="12.5">
      <c r="B141" s="195" t="str">
        <f t="shared" si="17"/>
        <v/>
      </c>
      <c r="C141" s="507">
        <f>IF(D93="","-",+C140+1)</f>
        <v>2057</v>
      </c>
      <c r="D141" s="374">
        <f>IF(F140+SUM(E$99:E140)=D$92,F140,D$92-SUM(E$99:E140))</f>
        <v>196011.14700997196</v>
      </c>
      <c r="E141" s="522">
        <f t="shared" si="19"/>
        <v>196011.14700997196</v>
      </c>
      <c r="F141" s="523">
        <f t="shared" si="20"/>
        <v>0</v>
      </c>
      <c r="G141" s="523">
        <f t="shared" si="21"/>
        <v>98005.57350498598</v>
      </c>
      <c r="H141" s="526">
        <f t="shared" si="22"/>
        <v>206553.98215833603</v>
      </c>
      <c r="I141" s="577">
        <f t="shared" si="23"/>
        <v>206553.98215833603</v>
      </c>
      <c r="J141" s="514">
        <f t="shared" si="18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 ht="12.5">
      <c r="B142" s="195" t="str">
        <f t="shared" si="17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19"/>
        <v>0</v>
      </c>
      <c r="F142" s="523">
        <f t="shared" si="20"/>
        <v>0</v>
      </c>
      <c r="G142" s="523">
        <f t="shared" si="21"/>
        <v>0</v>
      </c>
      <c r="H142" s="526">
        <f t="shared" si="22"/>
        <v>0</v>
      </c>
      <c r="I142" s="577">
        <f t="shared" si="23"/>
        <v>0</v>
      </c>
      <c r="J142" s="514">
        <f t="shared" si="18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 ht="12.5">
      <c r="B143" s="195" t="str">
        <f t="shared" si="17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19"/>
        <v>0</v>
      </c>
      <c r="F143" s="523">
        <f t="shared" si="20"/>
        <v>0</v>
      </c>
      <c r="G143" s="523">
        <f t="shared" si="21"/>
        <v>0</v>
      </c>
      <c r="H143" s="526">
        <f t="shared" si="22"/>
        <v>0</v>
      </c>
      <c r="I143" s="577">
        <f t="shared" si="23"/>
        <v>0</v>
      </c>
      <c r="J143" s="514">
        <f t="shared" si="18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 ht="12.5">
      <c r="B144" s="195" t="str">
        <f t="shared" si="17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19"/>
        <v>0</v>
      </c>
      <c r="F144" s="523">
        <f t="shared" si="20"/>
        <v>0</v>
      </c>
      <c r="G144" s="523">
        <f t="shared" si="21"/>
        <v>0</v>
      </c>
      <c r="H144" s="526">
        <f t="shared" si="22"/>
        <v>0</v>
      </c>
      <c r="I144" s="577">
        <f t="shared" si="23"/>
        <v>0</v>
      </c>
      <c r="J144" s="514">
        <f t="shared" si="18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 ht="12.5">
      <c r="B145" s="195" t="str">
        <f t="shared" si="17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19"/>
        <v>0</v>
      </c>
      <c r="F145" s="523">
        <f t="shared" si="20"/>
        <v>0</v>
      </c>
      <c r="G145" s="523">
        <f t="shared" si="21"/>
        <v>0</v>
      </c>
      <c r="H145" s="526">
        <f t="shared" si="22"/>
        <v>0</v>
      </c>
      <c r="I145" s="577">
        <f t="shared" si="23"/>
        <v>0</v>
      </c>
      <c r="J145" s="514">
        <f t="shared" si="18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 ht="12.5">
      <c r="B146" s="195" t="str">
        <f t="shared" si="17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19"/>
        <v>0</v>
      </c>
      <c r="F146" s="523">
        <f t="shared" si="20"/>
        <v>0</v>
      </c>
      <c r="G146" s="523">
        <f t="shared" si="21"/>
        <v>0</v>
      </c>
      <c r="H146" s="526">
        <f t="shared" si="22"/>
        <v>0</v>
      </c>
      <c r="I146" s="577">
        <f t="shared" si="23"/>
        <v>0</v>
      </c>
      <c r="J146" s="514">
        <f t="shared" si="18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 ht="12.5">
      <c r="B147" s="195" t="str">
        <f t="shared" si="17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19"/>
        <v>0</v>
      </c>
      <c r="F147" s="523">
        <f t="shared" si="20"/>
        <v>0</v>
      </c>
      <c r="G147" s="523">
        <f t="shared" si="21"/>
        <v>0</v>
      </c>
      <c r="H147" s="526">
        <f t="shared" si="22"/>
        <v>0</v>
      </c>
      <c r="I147" s="577">
        <f t="shared" si="23"/>
        <v>0</v>
      </c>
      <c r="J147" s="514">
        <f t="shared" si="18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 ht="12.5">
      <c r="B148" s="195" t="str">
        <f t="shared" si="17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19"/>
        <v>0</v>
      </c>
      <c r="F148" s="523">
        <f t="shared" si="20"/>
        <v>0</v>
      </c>
      <c r="G148" s="523">
        <f t="shared" si="21"/>
        <v>0</v>
      </c>
      <c r="H148" s="526">
        <f t="shared" si="22"/>
        <v>0</v>
      </c>
      <c r="I148" s="577">
        <f t="shared" si="23"/>
        <v>0</v>
      </c>
      <c r="J148" s="514">
        <f t="shared" si="18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 ht="12.5">
      <c r="B149" s="195" t="str">
        <f t="shared" si="17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19"/>
        <v>0</v>
      </c>
      <c r="F149" s="523">
        <f t="shared" si="20"/>
        <v>0</v>
      </c>
      <c r="G149" s="523">
        <f t="shared" si="21"/>
        <v>0</v>
      </c>
      <c r="H149" s="526">
        <f t="shared" si="22"/>
        <v>0</v>
      </c>
      <c r="I149" s="577">
        <f t="shared" si="23"/>
        <v>0</v>
      </c>
      <c r="J149" s="514">
        <f t="shared" si="18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 ht="12.5">
      <c r="B150" s="195" t="str">
        <f t="shared" si="17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19"/>
        <v>0</v>
      </c>
      <c r="F150" s="523">
        <f t="shared" si="20"/>
        <v>0</v>
      </c>
      <c r="G150" s="523">
        <f t="shared" si="21"/>
        <v>0</v>
      </c>
      <c r="H150" s="526">
        <f t="shared" si="22"/>
        <v>0</v>
      </c>
      <c r="I150" s="577">
        <f t="shared" si="23"/>
        <v>0</v>
      </c>
      <c r="J150" s="514">
        <f t="shared" si="18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 ht="12.5">
      <c r="B151" s="195" t="str">
        <f t="shared" si="17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19"/>
        <v>0</v>
      </c>
      <c r="F151" s="523">
        <f t="shared" si="20"/>
        <v>0</v>
      </c>
      <c r="G151" s="523">
        <f t="shared" si="21"/>
        <v>0</v>
      </c>
      <c r="H151" s="526">
        <f t="shared" si="22"/>
        <v>0</v>
      </c>
      <c r="I151" s="577">
        <f t="shared" si="23"/>
        <v>0</v>
      </c>
      <c r="J151" s="514">
        <f t="shared" si="18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 ht="12.5">
      <c r="B152" s="195" t="str">
        <f t="shared" si="17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19"/>
        <v>0</v>
      </c>
      <c r="F152" s="523">
        <f t="shared" si="20"/>
        <v>0</v>
      </c>
      <c r="G152" s="523">
        <f t="shared" si="21"/>
        <v>0</v>
      </c>
      <c r="H152" s="526">
        <f t="shared" si="22"/>
        <v>0</v>
      </c>
      <c r="I152" s="577">
        <f t="shared" si="23"/>
        <v>0</v>
      </c>
      <c r="J152" s="514">
        <f t="shared" si="18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 ht="12.5">
      <c r="B153" s="195" t="str">
        <f t="shared" si="17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19"/>
        <v>0</v>
      </c>
      <c r="F153" s="523">
        <f t="shared" si="20"/>
        <v>0</v>
      </c>
      <c r="G153" s="523">
        <f t="shared" si="21"/>
        <v>0</v>
      </c>
      <c r="H153" s="526">
        <f t="shared" si="22"/>
        <v>0</v>
      </c>
      <c r="I153" s="577">
        <f t="shared" si="23"/>
        <v>0</v>
      </c>
      <c r="J153" s="514">
        <f t="shared" si="18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" thickBot="1">
      <c r="B154" s="195" t="str">
        <f t="shared" si="17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19"/>
        <v>0</v>
      </c>
      <c r="F154" s="523">
        <f t="shared" si="20"/>
        <v>0</v>
      </c>
      <c r="G154" s="523">
        <f t="shared" si="21"/>
        <v>0</v>
      </c>
      <c r="H154" s="526">
        <f t="shared" si="22"/>
        <v>0</v>
      </c>
      <c r="I154" s="577">
        <f t="shared" si="23"/>
        <v>0</v>
      </c>
      <c r="J154" s="514">
        <f t="shared" si="18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 ht="12.5">
      <c r="C155" s="374" t="s">
        <v>78</v>
      </c>
      <c r="D155" s="375"/>
      <c r="E155" s="375">
        <f>SUM(E99:E154)</f>
        <v>15930624</v>
      </c>
      <c r="F155" s="375"/>
      <c r="G155" s="375"/>
      <c r="H155" s="375">
        <f>SUM(H99:H154)</f>
        <v>52664943.925615795</v>
      </c>
      <c r="I155" s="375">
        <f>SUM(I99:I154)</f>
        <v>52664943.925615795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0" priority="1" stopIfTrue="1" operator="equal">
      <formula>$I$10</formula>
    </cfRule>
  </conditionalFormatting>
  <conditionalFormatting sqref="C99:C154">
    <cfRule type="cellIs" dxfId="5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P162"/>
  <sheetViews>
    <sheetView view="pageBreakPreview" zoomScale="82" zoomScaleNormal="100" zoomScaleSheetLayoutView="82" workbookViewId="0">
      <selection activeCell="D21" sqref="D2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51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639836.49401838449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639836.49401838449</v>
      </c>
      <c r="O6" s="269"/>
      <c r="P6" s="269"/>
    </row>
    <row r="7" spans="1:16" ht="13.5" thickBot="1">
      <c r="C7" s="467" t="s">
        <v>48</v>
      </c>
      <c r="D7" s="624" t="s">
        <v>343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/>
      <c r="E9" s="637" t="s">
        <v>402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5522411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131485.97619047618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5200000</v>
      </c>
      <c r="E17" s="638">
        <v>0</v>
      </c>
      <c r="F17" s="629">
        <v>5200000</v>
      </c>
      <c r="G17" s="638">
        <v>684864.96507057885</v>
      </c>
      <c r="H17" s="639">
        <v>684864.96507057885</v>
      </c>
      <c r="I17" s="511">
        <v>0</v>
      </c>
      <c r="J17" s="511"/>
      <c r="K17" s="518">
        <f t="shared" ref="K17:K22" si="0">G17</f>
        <v>684864.96507057885</v>
      </c>
      <c r="L17" s="519">
        <f t="shared" ref="L17:L22" si="1">IF(K17&lt;&gt;0,+G17-K17,0)</f>
        <v>0</v>
      </c>
      <c r="M17" s="518">
        <f t="shared" ref="M17:M22" si="2">H17</f>
        <v>684864.96507057885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5366606</v>
      </c>
      <c r="E18" s="630">
        <v>127776.33333333333</v>
      </c>
      <c r="F18" s="631">
        <v>5238829.666666667</v>
      </c>
      <c r="G18" s="630">
        <v>809243.16550170211</v>
      </c>
      <c r="H18" s="639">
        <v>809243.16550170211</v>
      </c>
      <c r="I18" s="511">
        <f>H18-G18</f>
        <v>0</v>
      </c>
      <c r="J18" s="511"/>
      <c r="K18" s="518">
        <f t="shared" si="0"/>
        <v>809243.16550170211</v>
      </c>
      <c r="L18" s="519">
        <f t="shared" si="1"/>
        <v>0</v>
      </c>
      <c r="M18" s="518">
        <f t="shared" si="2"/>
        <v>809243.16550170211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5301908.666666667</v>
      </c>
      <c r="E19" s="630">
        <v>126271.74418604652</v>
      </c>
      <c r="F19" s="631">
        <v>5175636.9224806204</v>
      </c>
      <c r="G19" s="630">
        <v>775316.5787465215</v>
      </c>
      <c r="H19" s="639">
        <v>775316.5787465215</v>
      </c>
      <c r="I19" s="511">
        <f t="shared" ref="I19:I72" si="3">H19-G19</f>
        <v>0</v>
      </c>
      <c r="J19" s="511"/>
      <c r="K19" s="518">
        <f t="shared" si="0"/>
        <v>775316.5787465215</v>
      </c>
      <c r="L19" s="519">
        <f t="shared" si="1"/>
        <v>0</v>
      </c>
      <c r="M19" s="518">
        <f t="shared" si="2"/>
        <v>775316.5787465215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5175636.9224806204</v>
      </c>
      <c r="E20" s="630">
        <v>132431.34146341463</v>
      </c>
      <c r="F20" s="631">
        <v>5043205.5810172055</v>
      </c>
      <c r="G20" s="630">
        <v>781808.63149934181</v>
      </c>
      <c r="H20" s="639">
        <v>781808.63149934181</v>
      </c>
      <c r="I20" s="511">
        <f t="shared" si="3"/>
        <v>0</v>
      </c>
      <c r="J20" s="511"/>
      <c r="K20" s="518">
        <f t="shared" si="0"/>
        <v>781808.63149934181</v>
      </c>
      <c r="L20" s="519">
        <f t="shared" si="1"/>
        <v>0</v>
      </c>
      <c r="M20" s="518">
        <f t="shared" si="2"/>
        <v>781808.63149934181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5043205.5810172055</v>
      </c>
      <c r="E21" s="630">
        <v>132431.34146341463</v>
      </c>
      <c r="F21" s="631">
        <v>4910774.2395537905</v>
      </c>
      <c r="G21" s="630">
        <v>764977.38948618842</v>
      </c>
      <c r="H21" s="639">
        <v>764977.38948618842</v>
      </c>
      <c r="I21" s="511">
        <f t="shared" si="3"/>
        <v>0</v>
      </c>
      <c r="J21" s="511"/>
      <c r="K21" s="518">
        <f t="shared" si="0"/>
        <v>764977.38948618842</v>
      </c>
      <c r="L21" s="519">
        <f t="shared" si="1"/>
        <v>0</v>
      </c>
      <c r="M21" s="518">
        <f t="shared" si="2"/>
        <v>764977.38948618842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>IU</v>
      </c>
      <c r="C22" s="507">
        <f>IF(D11="","-",+C21+1)</f>
        <v>2020</v>
      </c>
      <c r="D22" s="631">
        <v>5003500.2395537905</v>
      </c>
      <c r="E22" s="630">
        <v>134692.95121951221</v>
      </c>
      <c r="F22" s="631">
        <v>4868807.2883342784</v>
      </c>
      <c r="G22" s="630">
        <v>639836.49401838449</v>
      </c>
      <c r="H22" s="639">
        <v>639836.49401838449</v>
      </c>
      <c r="I22" s="511">
        <f t="shared" si="3"/>
        <v>0</v>
      </c>
      <c r="J22" s="511"/>
      <c r="K22" s="518">
        <f t="shared" si="0"/>
        <v>639836.49401838449</v>
      </c>
      <c r="L22" s="519">
        <f t="shared" si="1"/>
        <v>0</v>
      </c>
      <c r="M22" s="518">
        <f t="shared" si="2"/>
        <v>639836.49401838449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/>
      </c>
      <c r="C23" s="507">
        <f>IF(D11="","-",+C22+1)</f>
        <v>2021</v>
      </c>
      <c r="D23" s="523">
        <f>IF(F22+SUM(E$17:E22)=D$10,F22,D$10-SUM(E$17:E22))</f>
        <v>4868807.2883342784</v>
      </c>
      <c r="E23" s="522">
        <f t="shared" ref="E23:E72" si="7">IF(+$I$14&lt;F22,$I$14,D23)</f>
        <v>131485.97619047618</v>
      </c>
      <c r="F23" s="523">
        <f t="shared" ref="F23:F72" si="8">+D23-E23</f>
        <v>4737321.3121438026</v>
      </c>
      <c r="G23" s="524">
        <f t="shared" ref="G23:G50" si="9">+I$12*((D23+F23)/2)+E23</f>
        <v>644539.57258341135</v>
      </c>
      <c r="H23" s="491">
        <f t="shared" ref="H23:H50" si="10">+I$13*((D23+F23)/2)+E23</f>
        <v>644539.57258341135</v>
      </c>
      <c r="I23" s="511">
        <f t="shared" si="3"/>
        <v>0</v>
      </c>
      <c r="J23" s="511"/>
      <c r="K23" s="525"/>
      <c r="L23" s="514">
        <f t="shared" ref="L23:L72" si="11">IF(K23&lt;&gt;0,+G23-K23,0)</f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/>
      </c>
      <c r="C24" s="507">
        <f>IF(D11="","-",+C23+1)</f>
        <v>2022</v>
      </c>
      <c r="D24" s="523">
        <f>IF(F23+SUM(E$17:E23)=D$10,F23,D$10-SUM(E$17:E23))</f>
        <v>4737321.3121438026</v>
      </c>
      <c r="E24" s="522">
        <f t="shared" si="7"/>
        <v>131485.97619047618</v>
      </c>
      <c r="F24" s="523">
        <f t="shared" si="8"/>
        <v>4605835.3359533269</v>
      </c>
      <c r="G24" s="524">
        <f t="shared" si="9"/>
        <v>630494.50702882314</v>
      </c>
      <c r="H24" s="491">
        <f t="shared" si="10"/>
        <v>630494.50702882314</v>
      </c>
      <c r="I24" s="511">
        <f t="shared" si="3"/>
        <v>0</v>
      </c>
      <c r="J24" s="511"/>
      <c r="K24" s="525"/>
      <c r="L24" s="514">
        <f t="shared" si="11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4605835.3359533269</v>
      </c>
      <c r="E25" s="522">
        <f t="shared" si="7"/>
        <v>131485.97619047618</v>
      </c>
      <c r="F25" s="523">
        <f t="shared" si="8"/>
        <v>4474349.3597628511</v>
      </c>
      <c r="G25" s="524">
        <f t="shared" si="9"/>
        <v>616449.44147423503</v>
      </c>
      <c r="H25" s="491">
        <f t="shared" si="10"/>
        <v>616449.44147423503</v>
      </c>
      <c r="I25" s="511">
        <f t="shared" si="3"/>
        <v>0</v>
      </c>
      <c r="J25" s="511"/>
      <c r="K25" s="525"/>
      <c r="L25" s="514">
        <f t="shared" si="11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4474349.3597628511</v>
      </c>
      <c r="E26" s="522">
        <f t="shared" si="7"/>
        <v>131485.97619047618</v>
      </c>
      <c r="F26" s="523">
        <f t="shared" si="8"/>
        <v>4342863.3835723754</v>
      </c>
      <c r="G26" s="524">
        <f t="shared" si="9"/>
        <v>602404.37591964682</v>
      </c>
      <c r="H26" s="491">
        <f t="shared" si="10"/>
        <v>602404.37591964682</v>
      </c>
      <c r="I26" s="511">
        <f t="shared" si="3"/>
        <v>0</v>
      </c>
      <c r="J26" s="511"/>
      <c r="K26" s="525"/>
      <c r="L26" s="514">
        <f t="shared" si="11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4342863.3835723754</v>
      </c>
      <c r="E27" s="522">
        <f t="shared" si="7"/>
        <v>131485.97619047618</v>
      </c>
      <c r="F27" s="523">
        <f t="shared" si="8"/>
        <v>4211377.4073818997</v>
      </c>
      <c r="G27" s="524">
        <f t="shared" si="9"/>
        <v>588359.31036505871</v>
      </c>
      <c r="H27" s="491">
        <f t="shared" si="10"/>
        <v>588359.31036505871</v>
      </c>
      <c r="I27" s="511">
        <f t="shared" si="3"/>
        <v>0</v>
      </c>
      <c r="J27" s="511"/>
      <c r="K27" s="525"/>
      <c r="L27" s="514">
        <f t="shared" si="11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4211377.4073818997</v>
      </c>
      <c r="E28" s="522">
        <f t="shared" si="7"/>
        <v>131485.97619047618</v>
      </c>
      <c r="F28" s="523">
        <f t="shared" si="8"/>
        <v>4079891.4311914234</v>
      </c>
      <c r="G28" s="524">
        <f t="shared" si="9"/>
        <v>574314.2448104705</v>
      </c>
      <c r="H28" s="491">
        <f t="shared" si="10"/>
        <v>574314.2448104705</v>
      </c>
      <c r="I28" s="511">
        <f t="shared" si="3"/>
        <v>0</v>
      </c>
      <c r="J28" s="511"/>
      <c r="K28" s="525"/>
      <c r="L28" s="514">
        <f t="shared" si="11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4079891.4311914234</v>
      </c>
      <c r="E29" s="522">
        <f t="shared" si="7"/>
        <v>131485.97619047618</v>
      </c>
      <c r="F29" s="523">
        <f t="shared" si="8"/>
        <v>3948405.4550009472</v>
      </c>
      <c r="G29" s="524">
        <f t="shared" si="9"/>
        <v>560269.17925588228</v>
      </c>
      <c r="H29" s="491">
        <f t="shared" si="10"/>
        <v>560269.17925588228</v>
      </c>
      <c r="I29" s="511">
        <f t="shared" si="3"/>
        <v>0</v>
      </c>
      <c r="J29" s="511"/>
      <c r="K29" s="525"/>
      <c r="L29" s="514">
        <f t="shared" si="11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3948405.4550009472</v>
      </c>
      <c r="E30" s="522">
        <f t="shared" si="7"/>
        <v>131485.97619047618</v>
      </c>
      <c r="F30" s="523">
        <f t="shared" si="8"/>
        <v>3816919.478810471</v>
      </c>
      <c r="G30" s="524">
        <f t="shared" si="9"/>
        <v>546224.11370129418</v>
      </c>
      <c r="H30" s="491">
        <f t="shared" si="10"/>
        <v>546224.11370129418</v>
      </c>
      <c r="I30" s="511">
        <f t="shared" si="3"/>
        <v>0</v>
      </c>
      <c r="J30" s="511"/>
      <c r="K30" s="525"/>
      <c r="L30" s="514">
        <f t="shared" si="11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3816919.478810471</v>
      </c>
      <c r="E31" s="522">
        <f t="shared" si="7"/>
        <v>131485.97619047618</v>
      </c>
      <c r="F31" s="523">
        <f t="shared" si="8"/>
        <v>3685433.5026199948</v>
      </c>
      <c r="G31" s="524">
        <f t="shared" si="9"/>
        <v>532179.04814670584</v>
      </c>
      <c r="H31" s="491">
        <f t="shared" si="10"/>
        <v>532179.04814670584</v>
      </c>
      <c r="I31" s="511">
        <f t="shared" si="3"/>
        <v>0</v>
      </c>
      <c r="J31" s="511"/>
      <c r="K31" s="525"/>
      <c r="L31" s="514">
        <f t="shared" si="11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3685433.5026199948</v>
      </c>
      <c r="E32" s="522">
        <f t="shared" si="7"/>
        <v>131485.97619047618</v>
      </c>
      <c r="F32" s="523">
        <f t="shared" si="8"/>
        <v>3553947.5264295186</v>
      </c>
      <c r="G32" s="524">
        <f t="shared" si="9"/>
        <v>518133.98259211774</v>
      </c>
      <c r="H32" s="491">
        <f t="shared" si="10"/>
        <v>518133.98259211774</v>
      </c>
      <c r="I32" s="511">
        <f t="shared" si="3"/>
        <v>0</v>
      </c>
      <c r="J32" s="511"/>
      <c r="K32" s="525"/>
      <c r="L32" s="514">
        <f t="shared" si="11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3553947.5264295186</v>
      </c>
      <c r="E33" s="522">
        <f t="shared" si="7"/>
        <v>131485.97619047618</v>
      </c>
      <c r="F33" s="523">
        <f t="shared" si="8"/>
        <v>3422461.5502390424</v>
      </c>
      <c r="G33" s="524">
        <f t="shared" si="9"/>
        <v>504088.91703752941</v>
      </c>
      <c r="H33" s="491">
        <f t="shared" si="10"/>
        <v>504088.91703752941</v>
      </c>
      <c r="I33" s="511">
        <f t="shared" si="3"/>
        <v>0</v>
      </c>
      <c r="J33" s="511"/>
      <c r="K33" s="525"/>
      <c r="L33" s="514">
        <f t="shared" si="11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3422461.5502390424</v>
      </c>
      <c r="E34" s="522">
        <f t="shared" si="7"/>
        <v>131485.97619047618</v>
      </c>
      <c r="F34" s="523">
        <f t="shared" si="8"/>
        <v>3290975.5740485662</v>
      </c>
      <c r="G34" s="524">
        <f t="shared" si="9"/>
        <v>490043.8514829413</v>
      </c>
      <c r="H34" s="491">
        <f t="shared" si="10"/>
        <v>490043.8514829413</v>
      </c>
      <c r="I34" s="511">
        <f t="shared" si="3"/>
        <v>0</v>
      </c>
      <c r="J34" s="511"/>
      <c r="K34" s="525"/>
      <c r="L34" s="514">
        <f t="shared" si="11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3290975.5740485662</v>
      </c>
      <c r="E35" s="522">
        <f t="shared" si="7"/>
        <v>131485.97619047618</v>
      </c>
      <c r="F35" s="523">
        <f t="shared" si="8"/>
        <v>3159489.59785809</v>
      </c>
      <c r="G35" s="524">
        <f t="shared" si="9"/>
        <v>475998.78592835309</v>
      </c>
      <c r="H35" s="491">
        <f t="shared" si="10"/>
        <v>475998.78592835309</v>
      </c>
      <c r="I35" s="511">
        <f t="shared" si="3"/>
        <v>0</v>
      </c>
      <c r="J35" s="511"/>
      <c r="K35" s="525"/>
      <c r="L35" s="514">
        <f t="shared" si="11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3159489.59785809</v>
      </c>
      <c r="E36" s="522">
        <f t="shared" si="7"/>
        <v>131485.97619047618</v>
      </c>
      <c r="F36" s="523">
        <f t="shared" si="8"/>
        <v>3028003.6216676137</v>
      </c>
      <c r="G36" s="524">
        <f t="shared" si="9"/>
        <v>461953.72037376487</v>
      </c>
      <c r="H36" s="491">
        <f t="shared" si="10"/>
        <v>461953.72037376487</v>
      </c>
      <c r="I36" s="511">
        <f t="shared" si="3"/>
        <v>0</v>
      </c>
      <c r="J36" s="511"/>
      <c r="K36" s="525"/>
      <c r="L36" s="514">
        <f t="shared" si="11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3028003.6216676137</v>
      </c>
      <c r="E37" s="522">
        <f t="shared" si="7"/>
        <v>131485.97619047618</v>
      </c>
      <c r="F37" s="523">
        <f t="shared" si="8"/>
        <v>2896517.6454771375</v>
      </c>
      <c r="G37" s="524">
        <f t="shared" si="9"/>
        <v>447908.65481917665</v>
      </c>
      <c r="H37" s="491">
        <f t="shared" si="10"/>
        <v>447908.65481917665</v>
      </c>
      <c r="I37" s="511">
        <f t="shared" si="3"/>
        <v>0</v>
      </c>
      <c r="J37" s="511"/>
      <c r="K37" s="525"/>
      <c r="L37" s="514">
        <f t="shared" si="11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2896517.6454771375</v>
      </c>
      <c r="E38" s="522">
        <f t="shared" si="7"/>
        <v>131485.97619047618</v>
      </c>
      <c r="F38" s="523">
        <f t="shared" si="8"/>
        <v>2765031.6692866613</v>
      </c>
      <c r="G38" s="524">
        <f t="shared" si="9"/>
        <v>433863.58926458843</v>
      </c>
      <c r="H38" s="491">
        <f t="shared" si="10"/>
        <v>433863.58926458843</v>
      </c>
      <c r="I38" s="511">
        <f t="shared" si="3"/>
        <v>0</v>
      </c>
      <c r="J38" s="511"/>
      <c r="K38" s="525"/>
      <c r="L38" s="514">
        <f t="shared" si="11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2765031.6692866613</v>
      </c>
      <c r="E39" s="522">
        <f t="shared" si="7"/>
        <v>131485.97619047618</v>
      </c>
      <c r="F39" s="523">
        <f t="shared" si="8"/>
        <v>2633545.6930961851</v>
      </c>
      <c r="G39" s="524">
        <f t="shared" si="9"/>
        <v>419818.52371000021</v>
      </c>
      <c r="H39" s="491">
        <f t="shared" si="10"/>
        <v>419818.52371000021</v>
      </c>
      <c r="I39" s="511">
        <f t="shared" si="3"/>
        <v>0</v>
      </c>
      <c r="J39" s="511"/>
      <c r="K39" s="525"/>
      <c r="L39" s="514">
        <f t="shared" si="11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2633545.6930961851</v>
      </c>
      <c r="E40" s="522">
        <f t="shared" si="7"/>
        <v>131485.97619047618</v>
      </c>
      <c r="F40" s="523">
        <f t="shared" si="8"/>
        <v>2502059.7169057089</v>
      </c>
      <c r="G40" s="524">
        <f t="shared" si="9"/>
        <v>405773.45815541199</v>
      </c>
      <c r="H40" s="491">
        <f t="shared" si="10"/>
        <v>405773.45815541199</v>
      </c>
      <c r="I40" s="511">
        <f t="shared" si="3"/>
        <v>0</v>
      </c>
      <c r="J40" s="511"/>
      <c r="K40" s="525"/>
      <c r="L40" s="514">
        <f t="shared" si="11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2502059.7169057089</v>
      </c>
      <c r="E41" s="522">
        <f t="shared" si="7"/>
        <v>131485.97619047618</v>
      </c>
      <c r="F41" s="523">
        <f t="shared" si="8"/>
        <v>2370573.7407152327</v>
      </c>
      <c r="G41" s="524">
        <f t="shared" si="9"/>
        <v>391728.39260082378</v>
      </c>
      <c r="H41" s="491">
        <f t="shared" si="10"/>
        <v>391728.39260082378</v>
      </c>
      <c r="I41" s="511">
        <f t="shared" si="3"/>
        <v>0</v>
      </c>
      <c r="J41" s="511"/>
      <c r="K41" s="525"/>
      <c r="L41" s="514">
        <f t="shared" si="11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2370573.7407152327</v>
      </c>
      <c r="E42" s="522">
        <f t="shared" si="7"/>
        <v>131485.97619047618</v>
      </c>
      <c r="F42" s="523">
        <f t="shared" si="8"/>
        <v>2239087.7645247565</v>
      </c>
      <c r="G42" s="524">
        <f t="shared" si="9"/>
        <v>377683.32704623562</v>
      </c>
      <c r="H42" s="491">
        <f t="shared" si="10"/>
        <v>377683.32704623562</v>
      </c>
      <c r="I42" s="511">
        <f t="shared" si="3"/>
        <v>0</v>
      </c>
      <c r="J42" s="511"/>
      <c r="K42" s="525"/>
      <c r="L42" s="514">
        <f t="shared" si="11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2239087.7645247565</v>
      </c>
      <c r="E43" s="522">
        <f t="shared" si="7"/>
        <v>131485.97619047618</v>
      </c>
      <c r="F43" s="523">
        <f t="shared" si="8"/>
        <v>2107601.7883342803</v>
      </c>
      <c r="G43" s="524">
        <f t="shared" si="9"/>
        <v>363638.26149164734</v>
      </c>
      <c r="H43" s="491">
        <f t="shared" si="10"/>
        <v>363638.26149164734</v>
      </c>
      <c r="I43" s="511">
        <f t="shared" si="3"/>
        <v>0</v>
      </c>
      <c r="J43" s="511"/>
      <c r="K43" s="525"/>
      <c r="L43" s="514">
        <f t="shared" si="11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2107601.7883342803</v>
      </c>
      <c r="E44" s="522">
        <f t="shared" si="7"/>
        <v>131485.97619047618</v>
      </c>
      <c r="F44" s="523">
        <f t="shared" si="8"/>
        <v>1976115.812143804</v>
      </c>
      <c r="G44" s="524">
        <f t="shared" si="9"/>
        <v>349593.19593705918</v>
      </c>
      <c r="H44" s="491">
        <f t="shared" si="10"/>
        <v>349593.19593705918</v>
      </c>
      <c r="I44" s="511">
        <f t="shared" si="3"/>
        <v>0</v>
      </c>
      <c r="J44" s="511"/>
      <c r="K44" s="525"/>
      <c r="L44" s="514">
        <f t="shared" si="11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1976115.812143804</v>
      </c>
      <c r="E45" s="522">
        <f t="shared" si="7"/>
        <v>131485.97619047618</v>
      </c>
      <c r="F45" s="523">
        <f t="shared" si="8"/>
        <v>1844629.8359533278</v>
      </c>
      <c r="G45" s="524">
        <f t="shared" si="9"/>
        <v>335548.13038247102</v>
      </c>
      <c r="H45" s="491">
        <f t="shared" si="10"/>
        <v>335548.13038247102</v>
      </c>
      <c r="I45" s="511">
        <f t="shared" si="3"/>
        <v>0</v>
      </c>
      <c r="J45" s="511"/>
      <c r="K45" s="525"/>
      <c r="L45" s="514">
        <f t="shared" si="11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1844629.8359533278</v>
      </c>
      <c r="E46" s="522">
        <f t="shared" si="7"/>
        <v>131485.97619047618</v>
      </c>
      <c r="F46" s="523">
        <f t="shared" si="8"/>
        <v>1713143.8597628516</v>
      </c>
      <c r="G46" s="524">
        <f t="shared" si="9"/>
        <v>321503.0648278828</v>
      </c>
      <c r="H46" s="491">
        <f t="shared" si="10"/>
        <v>321503.0648278828</v>
      </c>
      <c r="I46" s="511">
        <f t="shared" si="3"/>
        <v>0</v>
      </c>
      <c r="J46" s="511"/>
      <c r="K46" s="525"/>
      <c r="L46" s="514">
        <f t="shared" si="11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1713143.8597628516</v>
      </c>
      <c r="E47" s="522">
        <f t="shared" si="7"/>
        <v>131485.97619047618</v>
      </c>
      <c r="F47" s="523">
        <f t="shared" si="8"/>
        <v>1581657.8835723754</v>
      </c>
      <c r="G47" s="524">
        <f t="shared" si="9"/>
        <v>307457.99927329458</v>
      </c>
      <c r="H47" s="491">
        <f t="shared" si="10"/>
        <v>307457.99927329458</v>
      </c>
      <c r="I47" s="511">
        <f t="shared" si="3"/>
        <v>0</v>
      </c>
      <c r="J47" s="511"/>
      <c r="K47" s="525"/>
      <c r="L47" s="514">
        <f t="shared" si="11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1581657.8835723754</v>
      </c>
      <c r="E48" s="522">
        <f t="shared" si="7"/>
        <v>131485.97619047618</v>
      </c>
      <c r="F48" s="523">
        <f t="shared" si="8"/>
        <v>1450171.9073818992</v>
      </c>
      <c r="G48" s="524">
        <f t="shared" si="9"/>
        <v>293412.93371870636</v>
      </c>
      <c r="H48" s="491">
        <f t="shared" si="10"/>
        <v>293412.93371870636</v>
      </c>
      <c r="I48" s="511">
        <f t="shared" si="3"/>
        <v>0</v>
      </c>
      <c r="J48" s="511"/>
      <c r="K48" s="525"/>
      <c r="L48" s="514">
        <f t="shared" si="11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1450171.9073818992</v>
      </c>
      <c r="E49" s="522">
        <f t="shared" si="7"/>
        <v>131485.97619047618</v>
      </c>
      <c r="F49" s="523">
        <f t="shared" si="8"/>
        <v>1318685.931191423</v>
      </c>
      <c r="G49" s="524">
        <f t="shared" si="9"/>
        <v>279367.86816411815</v>
      </c>
      <c r="H49" s="491">
        <f t="shared" si="10"/>
        <v>279367.86816411815</v>
      </c>
      <c r="I49" s="511">
        <f t="shared" si="3"/>
        <v>0</v>
      </c>
      <c r="J49" s="511"/>
      <c r="K49" s="525"/>
      <c r="L49" s="514">
        <f t="shared" si="11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1318685.931191423</v>
      </c>
      <c r="E50" s="522">
        <f t="shared" si="7"/>
        <v>131485.97619047618</v>
      </c>
      <c r="F50" s="523">
        <f t="shared" si="8"/>
        <v>1187199.9550009468</v>
      </c>
      <c r="G50" s="524">
        <f t="shared" si="9"/>
        <v>265322.80260952993</v>
      </c>
      <c r="H50" s="491">
        <f t="shared" si="10"/>
        <v>265322.80260952993</v>
      </c>
      <c r="I50" s="511">
        <f t="shared" si="3"/>
        <v>0</v>
      </c>
      <c r="J50" s="511"/>
      <c r="K50" s="525"/>
      <c r="L50" s="514">
        <f t="shared" si="11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1187199.9550009468</v>
      </c>
      <c r="E51" s="522">
        <f t="shared" si="7"/>
        <v>131485.97619047618</v>
      </c>
      <c r="F51" s="523">
        <f t="shared" si="8"/>
        <v>1055713.9788104706</v>
      </c>
      <c r="G51" s="524">
        <f t="shared" ref="G51:G72" si="12">+I$12*((D51+F51)/2)+E51</f>
        <v>251277.73705494171</v>
      </c>
      <c r="H51" s="491">
        <f t="shared" ref="H51:H72" si="13">+I$13*((D51+F51)/2)+E51</f>
        <v>251277.73705494171</v>
      </c>
      <c r="I51" s="511">
        <f t="shared" si="3"/>
        <v>0</v>
      </c>
      <c r="J51" s="511"/>
      <c r="K51" s="525"/>
      <c r="L51" s="514">
        <f t="shared" si="11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1055713.9788104706</v>
      </c>
      <c r="E52" s="522">
        <f t="shared" si="7"/>
        <v>131485.97619047618</v>
      </c>
      <c r="F52" s="523">
        <f t="shared" si="8"/>
        <v>924228.00261999434</v>
      </c>
      <c r="G52" s="524">
        <f t="shared" si="12"/>
        <v>237232.67150035352</v>
      </c>
      <c r="H52" s="491">
        <f t="shared" si="13"/>
        <v>237232.67150035352</v>
      </c>
      <c r="I52" s="511">
        <f t="shared" si="3"/>
        <v>0</v>
      </c>
      <c r="J52" s="511"/>
      <c r="K52" s="525"/>
      <c r="L52" s="514">
        <f t="shared" si="11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924228.00261999434</v>
      </c>
      <c r="E53" s="522">
        <f t="shared" si="7"/>
        <v>131485.97619047618</v>
      </c>
      <c r="F53" s="523">
        <f t="shared" si="8"/>
        <v>792742.02642951813</v>
      </c>
      <c r="G53" s="524">
        <f t="shared" si="12"/>
        <v>223187.60594576533</v>
      </c>
      <c r="H53" s="491">
        <f t="shared" si="13"/>
        <v>223187.60594576533</v>
      </c>
      <c r="I53" s="511">
        <f t="shared" si="3"/>
        <v>0</v>
      </c>
      <c r="J53" s="511"/>
      <c r="K53" s="525"/>
      <c r="L53" s="514">
        <f t="shared" si="11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792742.02642951813</v>
      </c>
      <c r="E54" s="522">
        <f t="shared" si="7"/>
        <v>131485.97619047618</v>
      </c>
      <c r="F54" s="523">
        <f t="shared" si="8"/>
        <v>661256.05023904191</v>
      </c>
      <c r="G54" s="524">
        <f t="shared" si="12"/>
        <v>209142.54039117711</v>
      </c>
      <c r="H54" s="491">
        <f t="shared" si="13"/>
        <v>209142.54039117711</v>
      </c>
      <c r="I54" s="511">
        <f t="shared" si="3"/>
        <v>0</v>
      </c>
      <c r="J54" s="511"/>
      <c r="K54" s="525"/>
      <c r="L54" s="514">
        <f t="shared" si="11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661256.05023904191</v>
      </c>
      <c r="E55" s="522">
        <f t="shared" si="7"/>
        <v>131485.97619047618</v>
      </c>
      <c r="F55" s="523">
        <f t="shared" si="8"/>
        <v>529770.0740485657</v>
      </c>
      <c r="G55" s="524">
        <f t="shared" si="12"/>
        <v>195097.4748365889</v>
      </c>
      <c r="H55" s="491">
        <f t="shared" si="13"/>
        <v>195097.4748365889</v>
      </c>
      <c r="I55" s="511">
        <f t="shared" si="3"/>
        <v>0</v>
      </c>
      <c r="J55" s="511"/>
      <c r="K55" s="525"/>
      <c r="L55" s="514">
        <f t="shared" si="11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529770.0740485657</v>
      </c>
      <c r="E56" s="522">
        <f t="shared" si="7"/>
        <v>131485.97619047618</v>
      </c>
      <c r="F56" s="523">
        <f t="shared" si="8"/>
        <v>398284.09785808949</v>
      </c>
      <c r="G56" s="524">
        <f t="shared" si="12"/>
        <v>181052.40928200068</v>
      </c>
      <c r="H56" s="491">
        <f t="shared" si="13"/>
        <v>181052.40928200068</v>
      </c>
      <c r="I56" s="511">
        <f t="shared" si="3"/>
        <v>0</v>
      </c>
      <c r="J56" s="511"/>
      <c r="K56" s="525"/>
      <c r="L56" s="514">
        <f t="shared" si="11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398284.09785808949</v>
      </c>
      <c r="E57" s="522">
        <f t="shared" si="7"/>
        <v>131485.97619047618</v>
      </c>
      <c r="F57" s="523">
        <f t="shared" si="8"/>
        <v>266798.12166761328</v>
      </c>
      <c r="G57" s="524">
        <f t="shared" si="12"/>
        <v>167007.34372741249</v>
      </c>
      <c r="H57" s="491">
        <f t="shared" si="13"/>
        <v>167007.34372741249</v>
      </c>
      <c r="I57" s="511">
        <f t="shared" si="3"/>
        <v>0</v>
      </c>
      <c r="J57" s="511"/>
      <c r="K57" s="525"/>
      <c r="L57" s="514">
        <f t="shared" si="11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266798.12166761328</v>
      </c>
      <c r="E58" s="522">
        <f t="shared" si="7"/>
        <v>131485.97619047618</v>
      </c>
      <c r="F58" s="523">
        <f t="shared" si="8"/>
        <v>135312.14547713709</v>
      </c>
      <c r="G58" s="524">
        <f t="shared" si="12"/>
        <v>152962.27817282427</v>
      </c>
      <c r="H58" s="491">
        <f t="shared" si="13"/>
        <v>152962.27817282427</v>
      </c>
      <c r="I58" s="511">
        <f t="shared" si="3"/>
        <v>0</v>
      </c>
      <c r="J58" s="511"/>
      <c r="K58" s="525"/>
      <c r="L58" s="514">
        <f t="shared" si="11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135312.14547713709</v>
      </c>
      <c r="E59" s="522">
        <f t="shared" si="7"/>
        <v>131485.97619047618</v>
      </c>
      <c r="F59" s="523">
        <f t="shared" si="8"/>
        <v>3826.1692866609083</v>
      </c>
      <c r="G59" s="524">
        <f t="shared" si="12"/>
        <v>138917.21261823608</v>
      </c>
      <c r="H59" s="491">
        <f t="shared" si="13"/>
        <v>138917.21261823608</v>
      </c>
      <c r="I59" s="511">
        <f t="shared" si="3"/>
        <v>0</v>
      </c>
      <c r="J59" s="511"/>
      <c r="K59" s="525"/>
      <c r="L59" s="514">
        <f t="shared" si="11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3826.1692866609083</v>
      </c>
      <c r="E60" s="522">
        <f t="shared" si="7"/>
        <v>3826.1692866609083</v>
      </c>
      <c r="F60" s="523">
        <f t="shared" si="8"/>
        <v>0</v>
      </c>
      <c r="G60" s="524">
        <f t="shared" si="12"/>
        <v>4030.5211118937991</v>
      </c>
      <c r="H60" s="491">
        <f t="shared" si="13"/>
        <v>4030.5211118937991</v>
      </c>
      <c r="I60" s="511">
        <f t="shared" si="3"/>
        <v>0</v>
      </c>
      <c r="J60" s="511"/>
      <c r="K60" s="525"/>
      <c r="L60" s="514">
        <f t="shared" si="11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7"/>
        <v>0</v>
      </c>
      <c r="F61" s="523">
        <f t="shared" si="8"/>
        <v>0</v>
      </c>
      <c r="G61" s="524">
        <f t="shared" si="12"/>
        <v>0</v>
      </c>
      <c r="H61" s="491">
        <f t="shared" si="13"/>
        <v>0</v>
      </c>
      <c r="I61" s="511">
        <f t="shared" si="3"/>
        <v>0</v>
      </c>
      <c r="J61" s="511"/>
      <c r="K61" s="525"/>
      <c r="L61" s="514">
        <f t="shared" si="11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7"/>
        <v>0</v>
      </c>
      <c r="F62" s="523">
        <f t="shared" si="8"/>
        <v>0</v>
      </c>
      <c r="G62" s="524">
        <f t="shared" si="12"/>
        <v>0</v>
      </c>
      <c r="H62" s="491">
        <f t="shared" si="13"/>
        <v>0</v>
      </c>
      <c r="I62" s="511">
        <f t="shared" si="3"/>
        <v>0</v>
      </c>
      <c r="J62" s="511"/>
      <c r="K62" s="525"/>
      <c r="L62" s="514">
        <f t="shared" si="11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7"/>
        <v>0</v>
      </c>
      <c r="F63" s="523">
        <f t="shared" si="8"/>
        <v>0</v>
      </c>
      <c r="G63" s="524">
        <f t="shared" si="12"/>
        <v>0</v>
      </c>
      <c r="H63" s="491">
        <f t="shared" si="13"/>
        <v>0</v>
      </c>
      <c r="I63" s="511">
        <f t="shared" si="3"/>
        <v>0</v>
      </c>
      <c r="J63" s="511"/>
      <c r="K63" s="525"/>
      <c r="L63" s="514">
        <f t="shared" si="11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7"/>
        <v>0</v>
      </c>
      <c r="F64" s="523">
        <f t="shared" si="8"/>
        <v>0</v>
      </c>
      <c r="G64" s="524">
        <f t="shared" si="12"/>
        <v>0</v>
      </c>
      <c r="H64" s="491">
        <f t="shared" si="13"/>
        <v>0</v>
      </c>
      <c r="I64" s="511">
        <f t="shared" si="3"/>
        <v>0</v>
      </c>
      <c r="J64" s="511"/>
      <c r="K64" s="525"/>
      <c r="L64" s="514">
        <f t="shared" si="11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7"/>
        <v>0</v>
      </c>
      <c r="F65" s="523">
        <f t="shared" si="8"/>
        <v>0</v>
      </c>
      <c r="G65" s="524">
        <f t="shared" si="12"/>
        <v>0</v>
      </c>
      <c r="H65" s="491">
        <f t="shared" si="13"/>
        <v>0</v>
      </c>
      <c r="I65" s="511">
        <f t="shared" si="3"/>
        <v>0</v>
      </c>
      <c r="J65" s="511"/>
      <c r="K65" s="525"/>
      <c r="L65" s="514">
        <f t="shared" si="11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7"/>
        <v>0</v>
      </c>
      <c r="F66" s="523">
        <f t="shared" si="8"/>
        <v>0</v>
      </c>
      <c r="G66" s="524">
        <f t="shared" si="12"/>
        <v>0</v>
      </c>
      <c r="H66" s="491">
        <f t="shared" si="13"/>
        <v>0</v>
      </c>
      <c r="I66" s="511">
        <f t="shared" si="3"/>
        <v>0</v>
      </c>
      <c r="J66" s="511"/>
      <c r="K66" s="525"/>
      <c r="L66" s="514">
        <f t="shared" si="11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7"/>
        <v>0</v>
      </c>
      <c r="F67" s="523">
        <f t="shared" si="8"/>
        <v>0</v>
      </c>
      <c r="G67" s="524">
        <f t="shared" si="12"/>
        <v>0</v>
      </c>
      <c r="H67" s="491">
        <f t="shared" si="13"/>
        <v>0</v>
      </c>
      <c r="I67" s="511">
        <f t="shared" si="3"/>
        <v>0</v>
      </c>
      <c r="J67" s="511"/>
      <c r="K67" s="525"/>
      <c r="L67" s="514">
        <f t="shared" si="11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7"/>
        <v>0</v>
      </c>
      <c r="F68" s="523">
        <f t="shared" si="8"/>
        <v>0</v>
      </c>
      <c r="G68" s="524">
        <f t="shared" si="12"/>
        <v>0</v>
      </c>
      <c r="H68" s="491">
        <f t="shared" si="13"/>
        <v>0</v>
      </c>
      <c r="I68" s="511">
        <f t="shared" si="3"/>
        <v>0</v>
      </c>
      <c r="J68" s="511"/>
      <c r="K68" s="525"/>
      <c r="L68" s="514">
        <f t="shared" si="11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7"/>
        <v>0</v>
      </c>
      <c r="F69" s="523">
        <f t="shared" si="8"/>
        <v>0</v>
      </c>
      <c r="G69" s="524">
        <f t="shared" si="12"/>
        <v>0</v>
      </c>
      <c r="H69" s="491">
        <f t="shared" si="13"/>
        <v>0</v>
      </c>
      <c r="I69" s="511">
        <f t="shared" si="3"/>
        <v>0</v>
      </c>
      <c r="J69" s="511"/>
      <c r="K69" s="525"/>
      <c r="L69" s="514">
        <f t="shared" si="11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7"/>
        <v>0</v>
      </c>
      <c r="F70" s="523">
        <f t="shared" si="8"/>
        <v>0</v>
      </c>
      <c r="G70" s="524">
        <f t="shared" si="12"/>
        <v>0</v>
      </c>
      <c r="H70" s="491">
        <f t="shared" si="13"/>
        <v>0</v>
      </c>
      <c r="I70" s="511">
        <f t="shared" si="3"/>
        <v>0</v>
      </c>
      <c r="J70" s="511"/>
      <c r="K70" s="525"/>
      <c r="L70" s="514">
        <f t="shared" si="11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7"/>
        <v>0</v>
      </c>
      <c r="F71" s="523">
        <f t="shared" si="8"/>
        <v>0</v>
      </c>
      <c r="G71" s="524">
        <f t="shared" si="12"/>
        <v>0</v>
      </c>
      <c r="H71" s="491">
        <f t="shared" si="13"/>
        <v>0</v>
      </c>
      <c r="I71" s="511">
        <f t="shared" si="3"/>
        <v>0</v>
      </c>
      <c r="J71" s="511"/>
      <c r="K71" s="525"/>
      <c r="L71" s="514">
        <f t="shared" si="11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7"/>
        <v>0</v>
      </c>
      <c r="F72" s="523">
        <f t="shared" si="8"/>
        <v>0</v>
      </c>
      <c r="G72" s="524">
        <f t="shared" si="12"/>
        <v>0</v>
      </c>
      <c r="H72" s="491">
        <f t="shared" si="13"/>
        <v>0</v>
      </c>
      <c r="I72" s="511">
        <f t="shared" si="3"/>
        <v>0</v>
      </c>
      <c r="J72" s="511"/>
      <c r="K72" s="532"/>
      <c r="L72" s="533">
        <f t="shared" si="11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5522410.9999999972</v>
      </c>
      <c r="F73" s="375"/>
      <c r="G73" s="375">
        <f>SUM(G17:G72)</f>
        <v>18954028.271665089</v>
      </c>
      <c r="H73" s="375">
        <f>SUM(H17:H72)</f>
        <v>18954028.271665089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51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639836.49401838449</v>
      </c>
      <c r="N87" s="546">
        <f>IF(J92&lt;D11,0,VLOOKUP(J92,C17:O72,11))</f>
        <v>639836.49401838449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662862.25625134655</v>
      </c>
      <c r="N88" s="550">
        <f>IF(J92&lt;D11,0,VLOOKUP(J92,C99:P154,7))</f>
        <v>662862.25625134655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Hardy Street-Waterworks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23025.762232962064</v>
      </c>
      <c r="N89" s="555">
        <f>+N88-N87</f>
        <v>23025.762232962064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5522411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131485.97619047618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0</v>
      </c>
      <c r="F99" s="631">
        <v>5366606</v>
      </c>
      <c r="G99" s="632">
        <v>2683303</v>
      </c>
      <c r="H99" s="633">
        <v>353575.82530859788</v>
      </c>
      <c r="I99" s="634">
        <v>353575.82530859788</v>
      </c>
      <c r="J99" s="514">
        <f>+I99-H99</f>
        <v>0</v>
      </c>
      <c r="K99" s="514"/>
      <c r="L99" s="512">
        <f>+H99</f>
        <v>353575.82530859788</v>
      </c>
      <c r="M99" s="513">
        <f t="shared" ref="M99:M130" si="14">IF(L99&lt;&gt;0,+H99-L99,0)</f>
        <v>0</v>
      </c>
      <c r="N99" s="512">
        <f>+I99</f>
        <v>353575.82530859788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5401890</v>
      </c>
      <c r="E100" s="630">
        <v>125625.3488372093</v>
      </c>
      <c r="F100" s="631">
        <v>5276264.6511627911</v>
      </c>
      <c r="G100" s="631">
        <v>5339077.325581396</v>
      </c>
      <c r="H100" s="633">
        <v>803421.15279042628</v>
      </c>
      <c r="I100" s="634">
        <v>803421.15279042628</v>
      </c>
      <c r="J100" s="514">
        <f>+I100-H100</f>
        <v>0</v>
      </c>
      <c r="K100" s="514"/>
      <c r="L100" s="518">
        <f>+H100</f>
        <v>803421.15279042628</v>
      </c>
      <c r="M100" s="514">
        <f>IF(L100&lt;&gt;0,+H100-L100,0)</f>
        <v>0</v>
      </c>
      <c r="N100" s="518">
        <f>+I100</f>
        <v>803421.15279042628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17">IF(D101=F100,"","IU")</f>
        <v>IU</v>
      </c>
      <c r="C101" s="507">
        <f>IF(D93="","-",+C100+1)</f>
        <v>2017</v>
      </c>
      <c r="D101" s="629">
        <v>5396785.6511627911</v>
      </c>
      <c r="E101" s="630">
        <v>131485.97619047618</v>
      </c>
      <c r="F101" s="631">
        <v>5265299.6749723153</v>
      </c>
      <c r="G101" s="631">
        <v>5331042.6630675532</v>
      </c>
      <c r="H101" s="633">
        <v>779055.49944878952</v>
      </c>
      <c r="I101" s="634">
        <v>779055.49944878952</v>
      </c>
      <c r="J101" s="514">
        <f t="shared" ref="J101:J154" si="18">+I101-H101</f>
        <v>0</v>
      </c>
      <c r="K101" s="514"/>
      <c r="L101" s="518">
        <f>+H101</f>
        <v>779055.49944878952</v>
      </c>
      <c r="M101" s="514">
        <f>IF(L101&lt;&gt;0,+H101-L101,0)</f>
        <v>0</v>
      </c>
      <c r="N101" s="518">
        <f>+I101</f>
        <v>779055.49944878952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17"/>
        <v/>
      </c>
      <c r="C102" s="507">
        <f>IF(D93="","-",+C101+1)</f>
        <v>2018</v>
      </c>
      <c r="D102" s="629">
        <v>5265299.6749723153</v>
      </c>
      <c r="E102" s="630">
        <v>131485.97619047618</v>
      </c>
      <c r="F102" s="631">
        <v>5133813.6987818396</v>
      </c>
      <c r="G102" s="631">
        <v>5199556.6868770774</v>
      </c>
      <c r="H102" s="633">
        <v>680583.00655464595</v>
      </c>
      <c r="I102" s="634">
        <v>680583.00655464595</v>
      </c>
      <c r="J102" s="514">
        <f t="shared" si="18"/>
        <v>0</v>
      </c>
      <c r="K102" s="514"/>
      <c r="L102" s="518">
        <f>+H102</f>
        <v>680583.00655464595</v>
      </c>
      <c r="M102" s="514">
        <f>IF(L102&lt;&gt;0,+H102-L102,0)</f>
        <v>0</v>
      </c>
      <c r="N102" s="518">
        <f>+I102</f>
        <v>680583.00655464595</v>
      </c>
      <c r="O102" s="514">
        <f>IF(N102&lt;&gt;0,+I102-N102,0)</f>
        <v>0</v>
      </c>
      <c r="P102" s="514">
        <f t="shared" si="16"/>
        <v>0</v>
      </c>
    </row>
    <row r="103" spans="1:16" ht="12.5">
      <c r="B103" s="195" t="str">
        <f t="shared" si="17"/>
        <v/>
      </c>
      <c r="C103" s="507">
        <f>IF(D93="","-",+C102+1)</f>
        <v>2019</v>
      </c>
      <c r="D103" s="629">
        <v>5133813.6987818396</v>
      </c>
      <c r="E103" s="630">
        <v>128428.16279069768</v>
      </c>
      <c r="F103" s="631">
        <v>5005385.5359911416</v>
      </c>
      <c r="G103" s="631">
        <v>5069599.6173864901</v>
      </c>
      <c r="H103" s="633">
        <v>671080.87658517435</v>
      </c>
      <c r="I103" s="634">
        <v>671080.87658517435</v>
      </c>
      <c r="J103" s="514">
        <f t="shared" si="18"/>
        <v>0</v>
      </c>
      <c r="K103" s="514"/>
      <c r="L103" s="518">
        <f>+H103</f>
        <v>671080.87658517435</v>
      </c>
      <c r="M103" s="514">
        <f>IF(L103&lt;&gt;0,+H103-L103,0)</f>
        <v>0</v>
      </c>
      <c r="N103" s="518">
        <f>+I103</f>
        <v>671080.87658517435</v>
      </c>
      <c r="O103" s="514">
        <f t="shared" si="15"/>
        <v>0</v>
      </c>
      <c r="P103" s="514">
        <f t="shared" si="16"/>
        <v>0</v>
      </c>
    </row>
    <row r="104" spans="1:16" ht="12.5">
      <c r="B104" s="195" t="str">
        <f t="shared" si="17"/>
        <v/>
      </c>
      <c r="C104" s="507">
        <f>IF(D93="","-",+C103+1)</f>
        <v>2020</v>
      </c>
      <c r="D104" s="374">
        <f>IF(F103+SUM(E$99:E103)=D$92,F103,D$92-SUM(E$99:E103))</f>
        <v>5005385.5359911416</v>
      </c>
      <c r="E104" s="522">
        <f t="shared" ref="E104:E154" si="19">IF(+$J$96&lt;F103,$J$96,D104)</f>
        <v>131485.97619047618</v>
      </c>
      <c r="F104" s="523">
        <f t="shared" ref="F104:F154" si="20">+D104-E104</f>
        <v>4873899.5598006658</v>
      </c>
      <c r="G104" s="523">
        <f t="shared" ref="G104:G154" si="21">+(F104+D104)/2</f>
        <v>4939642.5478959037</v>
      </c>
      <c r="H104" s="526">
        <f t="shared" ref="H104:H154" si="22">+J$94*G104+E104</f>
        <v>662862.25625134655</v>
      </c>
      <c r="I104" s="577">
        <f t="shared" ref="I104:I154" si="23">+J$95*G104+E104</f>
        <v>662862.25625134655</v>
      </c>
      <c r="J104" s="514">
        <f t="shared" si="18"/>
        <v>0</v>
      </c>
      <c r="K104" s="514"/>
      <c r="L104" s="525"/>
      <c r="M104" s="514">
        <f t="shared" si="14"/>
        <v>0</v>
      </c>
      <c r="N104" s="525"/>
      <c r="O104" s="514">
        <f t="shared" si="15"/>
        <v>0</v>
      </c>
      <c r="P104" s="514">
        <f t="shared" si="16"/>
        <v>0</v>
      </c>
    </row>
    <row r="105" spans="1:16" ht="12.5">
      <c r="B105" s="195" t="str">
        <f t="shared" si="17"/>
        <v/>
      </c>
      <c r="C105" s="507">
        <f>IF(D93="","-",+C104+1)</f>
        <v>2021</v>
      </c>
      <c r="D105" s="374">
        <f>IF(F104+SUM(E$99:E104)=D$92,F104,D$92-SUM(E$99:E104))</f>
        <v>4873899.5598006658</v>
      </c>
      <c r="E105" s="522">
        <f t="shared" si="19"/>
        <v>131485.97619047618</v>
      </c>
      <c r="F105" s="523">
        <f t="shared" si="20"/>
        <v>4742413.5836101901</v>
      </c>
      <c r="G105" s="523">
        <f t="shared" si="21"/>
        <v>4808156.571705428</v>
      </c>
      <c r="H105" s="526">
        <f t="shared" si="22"/>
        <v>648717.80587243638</v>
      </c>
      <c r="I105" s="577">
        <f t="shared" si="23"/>
        <v>648717.80587243638</v>
      </c>
      <c r="J105" s="514">
        <f t="shared" si="18"/>
        <v>0</v>
      </c>
      <c r="K105" s="514"/>
      <c r="L105" s="525"/>
      <c r="M105" s="514">
        <f t="shared" si="14"/>
        <v>0</v>
      </c>
      <c r="N105" s="525"/>
      <c r="O105" s="514">
        <f t="shared" si="15"/>
        <v>0</v>
      </c>
      <c r="P105" s="514">
        <f t="shared" si="16"/>
        <v>0</v>
      </c>
    </row>
    <row r="106" spans="1:16" ht="12.5">
      <c r="B106" s="195" t="str">
        <f t="shared" si="17"/>
        <v/>
      </c>
      <c r="C106" s="507">
        <f>IF(D93="","-",+C105+1)</f>
        <v>2022</v>
      </c>
      <c r="D106" s="374">
        <f>IF(F105+SUM(E$99:E105)=D$92,F105,D$92-SUM(E$99:E105))</f>
        <v>4742413.5836101901</v>
      </c>
      <c r="E106" s="522">
        <f t="shared" si="19"/>
        <v>131485.97619047618</v>
      </c>
      <c r="F106" s="523">
        <f t="shared" si="20"/>
        <v>4610927.6074197143</v>
      </c>
      <c r="G106" s="523">
        <f t="shared" si="21"/>
        <v>4676670.5955149522</v>
      </c>
      <c r="H106" s="526">
        <f t="shared" si="22"/>
        <v>634573.35549352609</v>
      </c>
      <c r="I106" s="577">
        <f t="shared" si="23"/>
        <v>634573.35549352609</v>
      </c>
      <c r="J106" s="514">
        <f t="shared" si="18"/>
        <v>0</v>
      </c>
      <c r="K106" s="514"/>
      <c r="L106" s="525"/>
      <c r="M106" s="514">
        <f t="shared" si="14"/>
        <v>0</v>
      </c>
      <c r="N106" s="525"/>
      <c r="O106" s="514">
        <f t="shared" si="15"/>
        <v>0</v>
      </c>
      <c r="P106" s="514">
        <f t="shared" si="16"/>
        <v>0</v>
      </c>
    </row>
    <row r="107" spans="1:16" ht="12.5">
      <c r="B107" s="195" t="str">
        <f t="shared" si="17"/>
        <v/>
      </c>
      <c r="C107" s="507">
        <f>IF(D93="","-",+C106+1)</f>
        <v>2023</v>
      </c>
      <c r="D107" s="374">
        <f>IF(F106+SUM(E$99:E106)=D$92,F106,D$92-SUM(E$99:E106))</f>
        <v>4610927.6074197143</v>
      </c>
      <c r="E107" s="522">
        <f t="shared" si="19"/>
        <v>131485.97619047618</v>
      </c>
      <c r="F107" s="523">
        <f t="shared" si="20"/>
        <v>4479441.6312292386</v>
      </c>
      <c r="G107" s="523">
        <f t="shared" si="21"/>
        <v>4545184.6193244765</v>
      </c>
      <c r="H107" s="526">
        <f t="shared" si="22"/>
        <v>620428.90511461592</v>
      </c>
      <c r="I107" s="577">
        <f t="shared" si="23"/>
        <v>620428.90511461592</v>
      </c>
      <c r="J107" s="514">
        <f t="shared" si="18"/>
        <v>0</v>
      </c>
      <c r="K107" s="514"/>
      <c r="L107" s="525"/>
      <c r="M107" s="514">
        <f t="shared" si="14"/>
        <v>0</v>
      </c>
      <c r="N107" s="525"/>
      <c r="O107" s="514">
        <f t="shared" si="15"/>
        <v>0</v>
      </c>
      <c r="P107" s="514">
        <f t="shared" si="16"/>
        <v>0</v>
      </c>
    </row>
    <row r="108" spans="1:16" ht="12.5">
      <c r="B108" s="195" t="str">
        <f t="shared" si="17"/>
        <v/>
      </c>
      <c r="C108" s="507">
        <f>IF(D93="","-",+C107+1)</f>
        <v>2024</v>
      </c>
      <c r="D108" s="374">
        <f>IF(F107+SUM(E$99:E107)=D$92,F107,D$92-SUM(E$99:E107))</f>
        <v>4479441.6312292386</v>
      </c>
      <c r="E108" s="522">
        <f t="shared" si="19"/>
        <v>131485.97619047618</v>
      </c>
      <c r="F108" s="523">
        <f t="shared" si="20"/>
        <v>4347955.6550387628</v>
      </c>
      <c r="G108" s="523">
        <f t="shared" si="21"/>
        <v>4413698.6431340007</v>
      </c>
      <c r="H108" s="526">
        <f t="shared" si="22"/>
        <v>606284.45473570575</v>
      </c>
      <c r="I108" s="577">
        <f t="shared" si="23"/>
        <v>606284.45473570575</v>
      </c>
      <c r="J108" s="514">
        <f t="shared" si="18"/>
        <v>0</v>
      </c>
      <c r="K108" s="514"/>
      <c r="L108" s="525"/>
      <c r="M108" s="514">
        <f t="shared" si="14"/>
        <v>0</v>
      </c>
      <c r="N108" s="525"/>
      <c r="O108" s="514">
        <f t="shared" si="15"/>
        <v>0</v>
      </c>
      <c r="P108" s="514">
        <f t="shared" si="16"/>
        <v>0</v>
      </c>
    </row>
    <row r="109" spans="1:16" ht="12.5">
      <c r="B109" s="195" t="str">
        <f t="shared" si="17"/>
        <v/>
      </c>
      <c r="C109" s="507">
        <f>IF(D93="","-",+C108+1)</f>
        <v>2025</v>
      </c>
      <c r="D109" s="374">
        <f>IF(F108+SUM(E$99:E108)=D$92,F108,D$92-SUM(E$99:E108))</f>
        <v>4347955.6550387628</v>
      </c>
      <c r="E109" s="522">
        <f t="shared" si="19"/>
        <v>131485.97619047618</v>
      </c>
      <c r="F109" s="523">
        <f t="shared" si="20"/>
        <v>4216469.6788482871</v>
      </c>
      <c r="G109" s="523">
        <f t="shared" si="21"/>
        <v>4282212.666943525</v>
      </c>
      <c r="H109" s="526">
        <f t="shared" si="22"/>
        <v>592140.00435679557</v>
      </c>
      <c r="I109" s="577">
        <f t="shared" si="23"/>
        <v>592140.00435679557</v>
      </c>
      <c r="J109" s="514">
        <f t="shared" si="18"/>
        <v>0</v>
      </c>
      <c r="K109" s="514"/>
      <c r="L109" s="525"/>
      <c r="M109" s="514">
        <f t="shared" si="14"/>
        <v>0</v>
      </c>
      <c r="N109" s="525"/>
      <c r="O109" s="514">
        <f t="shared" si="15"/>
        <v>0</v>
      </c>
      <c r="P109" s="514">
        <f t="shared" si="16"/>
        <v>0</v>
      </c>
    </row>
    <row r="110" spans="1:16" ht="12.5">
      <c r="B110" s="195" t="str">
        <f t="shared" si="17"/>
        <v/>
      </c>
      <c r="C110" s="507">
        <f>IF(D93="","-",+C109+1)</f>
        <v>2026</v>
      </c>
      <c r="D110" s="374">
        <f>IF(F109+SUM(E$99:E109)=D$92,F109,D$92-SUM(E$99:E109))</f>
        <v>4216469.6788482871</v>
      </c>
      <c r="E110" s="522">
        <f t="shared" si="19"/>
        <v>131485.97619047618</v>
      </c>
      <c r="F110" s="523">
        <f t="shared" si="20"/>
        <v>4084983.7026578109</v>
      </c>
      <c r="G110" s="523">
        <f t="shared" si="21"/>
        <v>4150726.6907530492</v>
      </c>
      <c r="H110" s="526">
        <f t="shared" si="22"/>
        <v>577995.55397788528</v>
      </c>
      <c r="I110" s="577">
        <f t="shared" si="23"/>
        <v>577995.55397788528</v>
      </c>
      <c r="J110" s="514">
        <f t="shared" si="18"/>
        <v>0</v>
      </c>
      <c r="K110" s="514"/>
      <c r="L110" s="525"/>
      <c r="M110" s="514">
        <f t="shared" si="14"/>
        <v>0</v>
      </c>
      <c r="N110" s="525"/>
      <c r="O110" s="514">
        <f t="shared" si="15"/>
        <v>0</v>
      </c>
      <c r="P110" s="514">
        <f t="shared" si="16"/>
        <v>0</v>
      </c>
    </row>
    <row r="111" spans="1:16" ht="12.5">
      <c r="B111" s="195" t="str">
        <f t="shared" si="17"/>
        <v/>
      </c>
      <c r="C111" s="507">
        <f>IF(D93="","-",+C110+1)</f>
        <v>2027</v>
      </c>
      <c r="D111" s="374">
        <f>IF(F110+SUM(E$99:E110)=D$92,F110,D$92-SUM(E$99:E110))</f>
        <v>4084983.7026578109</v>
      </c>
      <c r="E111" s="522">
        <f t="shared" si="19"/>
        <v>131485.97619047618</v>
      </c>
      <c r="F111" s="523">
        <f t="shared" si="20"/>
        <v>3953497.7264673347</v>
      </c>
      <c r="G111" s="523">
        <f t="shared" si="21"/>
        <v>4019240.7145625725</v>
      </c>
      <c r="H111" s="526">
        <f t="shared" si="22"/>
        <v>563851.10359897499</v>
      </c>
      <c r="I111" s="577">
        <f t="shared" si="23"/>
        <v>563851.10359897499</v>
      </c>
      <c r="J111" s="514">
        <f t="shared" si="18"/>
        <v>0</v>
      </c>
      <c r="K111" s="514"/>
      <c r="L111" s="525"/>
      <c r="M111" s="514">
        <f t="shared" si="14"/>
        <v>0</v>
      </c>
      <c r="N111" s="525"/>
      <c r="O111" s="514">
        <f t="shared" si="15"/>
        <v>0</v>
      </c>
      <c r="P111" s="514">
        <f t="shared" si="16"/>
        <v>0</v>
      </c>
    </row>
    <row r="112" spans="1:16" ht="12.5">
      <c r="B112" s="195" t="str">
        <f t="shared" si="17"/>
        <v/>
      </c>
      <c r="C112" s="507">
        <f>IF(D93="","-",+C111+1)</f>
        <v>2028</v>
      </c>
      <c r="D112" s="374">
        <f>IF(F111+SUM(E$99:E111)=D$92,F111,D$92-SUM(E$99:E111))</f>
        <v>3953497.7264673347</v>
      </c>
      <c r="E112" s="522">
        <f t="shared" si="19"/>
        <v>131485.97619047618</v>
      </c>
      <c r="F112" s="523">
        <f t="shared" si="20"/>
        <v>3822011.7502768585</v>
      </c>
      <c r="G112" s="523">
        <f t="shared" si="21"/>
        <v>3887754.7383720968</v>
      </c>
      <c r="H112" s="526">
        <f t="shared" si="22"/>
        <v>549706.65322006482</v>
      </c>
      <c r="I112" s="577">
        <f t="shared" si="23"/>
        <v>549706.65322006482</v>
      </c>
      <c r="J112" s="514">
        <f t="shared" si="18"/>
        <v>0</v>
      </c>
      <c r="K112" s="514"/>
      <c r="L112" s="525"/>
      <c r="M112" s="514">
        <f t="shared" si="14"/>
        <v>0</v>
      </c>
      <c r="N112" s="525"/>
      <c r="O112" s="514">
        <f t="shared" si="15"/>
        <v>0</v>
      </c>
      <c r="P112" s="514">
        <f t="shared" si="16"/>
        <v>0</v>
      </c>
    </row>
    <row r="113" spans="2:16" ht="12.5">
      <c r="B113" s="195" t="str">
        <f t="shared" si="17"/>
        <v/>
      </c>
      <c r="C113" s="507">
        <f>IF(D93="","-",+C112+1)</f>
        <v>2029</v>
      </c>
      <c r="D113" s="374">
        <f>IF(F112+SUM(E$99:E112)=D$92,F112,D$92-SUM(E$99:E112))</f>
        <v>3822011.7502768585</v>
      </c>
      <c r="E113" s="522">
        <f t="shared" si="19"/>
        <v>131485.97619047618</v>
      </c>
      <c r="F113" s="523">
        <f t="shared" si="20"/>
        <v>3690525.7740863822</v>
      </c>
      <c r="G113" s="523">
        <f t="shared" si="21"/>
        <v>3756268.7621816201</v>
      </c>
      <c r="H113" s="526">
        <f t="shared" si="22"/>
        <v>535562.20284115453</v>
      </c>
      <c r="I113" s="577">
        <f t="shared" si="23"/>
        <v>535562.20284115453</v>
      </c>
      <c r="J113" s="514">
        <f t="shared" si="18"/>
        <v>0</v>
      </c>
      <c r="K113" s="514"/>
      <c r="L113" s="525"/>
      <c r="M113" s="514">
        <f t="shared" si="14"/>
        <v>0</v>
      </c>
      <c r="N113" s="525"/>
      <c r="O113" s="514">
        <f t="shared" si="15"/>
        <v>0</v>
      </c>
      <c r="P113" s="514">
        <f t="shared" si="16"/>
        <v>0</v>
      </c>
    </row>
    <row r="114" spans="2:16" ht="12.5">
      <c r="B114" s="195" t="str">
        <f t="shared" si="17"/>
        <v/>
      </c>
      <c r="C114" s="507">
        <f>IF(D93="","-",+C113+1)</f>
        <v>2030</v>
      </c>
      <c r="D114" s="374">
        <f>IF(F113+SUM(E$99:E113)=D$92,F113,D$92-SUM(E$99:E113))</f>
        <v>3690525.7740863822</v>
      </c>
      <c r="E114" s="522">
        <f t="shared" si="19"/>
        <v>131485.97619047618</v>
      </c>
      <c r="F114" s="523">
        <f t="shared" si="20"/>
        <v>3559039.797895906</v>
      </c>
      <c r="G114" s="523">
        <f t="shared" si="21"/>
        <v>3624782.7859911444</v>
      </c>
      <c r="H114" s="526">
        <f t="shared" si="22"/>
        <v>521417.75246224436</v>
      </c>
      <c r="I114" s="577">
        <f t="shared" si="23"/>
        <v>521417.75246224436</v>
      </c>
      <c r="J114" s="514">
        <f t="shared" si="18"/>
        <v>0</v>
      </c>
      <c r="K114" s="514"/>
      <c r="L114" s="525"/>
      <c r="M114" s="514">
        <f t="shared" si="14"/>
        <v>0</v>
      </c>
      <c r="N114" s="525"/>
      <c r="O114" s="514">
        <f t="shared" si="15"/>
        <v>0</v>
      </c>
      <c r="P114" s="514">
        <f t="shared" si="16"/>
        <v>0</v>
      </c>
    </row>
    <row r="115" spans="2:16" ht="12.5">
      <c r="B115" s="195" t="str">
        <f t="shared" si="17"/>
        <v/>
      </c>
      <c r="C115" s="507">
        <f>IF(D93="","-",+C114+1)</f>
        <v>2031</v>
      </c>
      <c r="D115" s="374">
        <f>IF(F114+SUM(E$99:E114)=D$92,F114,D$92-SUM(E$99:E114))</f>
        <v>3559039.797895906</v>
      </c>
      <c r="E115" s="522">
        <f t="shared" si="19"/>
        <v>131485.97619047618</v>
      </c>
      <c r="F115" s="523">
        <f t="shared" si="20"/>
        <v>3427553.8217054298</v>
      </c>
      <c r="G115" s="523">
        <f t="shared" si="21"/>
        <v>3493296.8098006677</v>
      </c>
      <c r="H115" s="526">
        <f t="shared" si="22"/>
        <v>507273.30208333407</v>
      </c>
      <c r="I115" s="577">
        <f t="shared" si="23"/>
        <v>507273.30208333407</v>
      </c>
      <c r="J115" s="514">
        <f t="shared" si="18"/>
        <v>0</v>
      </c>
      <c r="K115" s="514"/>
      <c r="L115" s="525"/>
      <c r="M115" s="514">
        <f t="shared" si="14"/>
        <v>0</v>
      </c>
      <c r="N115" s="525"/>
      <c r="O115" s="514">
        <f t="shared" si="15"/>
        <v>0</v>
      </c>
      <c r="P115" s="514">
        <f t="shared" si="16"/>
        <v>0</v>
      </c>
    </row>
    <row r="116" spans="2:16" ht="12.5">
      <c r="B116" s="195" t="str">
        <f t="shared" si="17"/>
        <v/>
      </c>
      <c r="C116" s="507">
        <f>IF(D93="","-",+C115+1)</f>
        <v>2032</v>
      </c>
      <c r="D116" s="374">
        <f>IF(F115+SUM(E$99:E115)=D$92,F115,D$92-SUM(E$99:E115))</f>
        <v>3427553.8217054298</v>
      </c>
      <c r="E116" s="522">
        <f t="shared" si="19"/>
        <v>131485.97619047618</v>
      </c>
      <c r="F116" s="523">
        <f t="shared" si="20"/>
        <v>3296067.8455149536</v>
      </c>
      <c r="G116" s="523">
        <f t="shared" si="21"/>
        <v>3361810.8336101919</v>
      </c>
      <c r="H116" s="526">
        <f t="shared" si="22"/>
        <v>493128.85170442378</v>
      </c>
      <c r="I116" s="577">
        <f t="shared" si="23"/>
        <v>493128.85170442378</v>
      </c>
      <c r="J116" s="514">
        <f t="shared" si="18"/>
        <v>0</v>
      </c>
      <c r="K116" s="514"/>
      <c r="L116" s="525"/>
      <c r="M116" s="514">
        <f t="shared" si="14"/>
        <v>0</v>
      </c>
      <c r="N116" s="525"/>
      <c r="O116" s="514">
        <f t="shared" si="15"/>
        <v>0</v>
      </c>
      <c r="P116" s="514">
        <f t="shared" si="16"/>
        <v>0</v>
      </c>
    </row>
    <row r="117" spans="2:16" ht="12.5">
      <c r="B117" s="195" t="str">
        <f t="shared" si="17"/>
        <v/>
      </c>
      <c r="C117" s="507">
        <f>IF(D93="","-",+C116+1)</f>
        <v>2033</v>
      </c>
      <c r="D117" s="374">
        <f>IF(F116+SUM(E$99:E116)=D$92,F116,D$92-SUM(E$99:E116))</f>
        <v>3296067.8455149536</v>
      </c>
      <c r="E117" s="522">
        <f t="shared" si="19"/>
        <v>131485.97619047618</v>
      </c>
      <c r="F117" s="523">
        <f t="shared" si="20"/>
        <v>3164581.8693244774</v>
      </c>
      <c r="G117" s="523">
        <f t="shared" si="21"/>
        <v>3230324.8574197153</v>
      </c>
      <c r="H117" s="526">
        <f t="shared" si="22"/>
        <v>478984.40132551349</v>
      </c>
      <c r="I117" s="577">
        <f t="shared" si="23"/>
        <v>478984.40132551349</v>
      </c>
      <c r="J117" s="514">
        <f t="shared" si="18"/>
        <v>0</v>
      </c>
      <c r="K117" s="514"/>
      <c r="L117" s="525"/>
      <c r="M117" s="514">
        <f t="shared" si="14"/>
        <v>0</v>
      </c>
      <c r="N117" s="525"/>
      <c r="O117" s="514">
        <f t="shared" si="15"/>
        <v>0</v>
      </c>
      <c r="P117" s="514">
        <f t="shared" si="16"/>
        <v>0</v>
      </c>
    </row>
    <row r="118" spans="2:16" ht="12.5">
      <c r="B118" s="195" t="str">
        <f t="shared" si="17"/>
        <v/>
      </c>
      <c r="C118" s="507">
        <f>IF(D93="","-",+C117+1)</f>
        <v>2034</v>
      </c>
      <c r="D118" s="374">
        <f>IF(F117+SUM(E$99:E117)=D$92,F117,D$92-SUM(E$99:E117))</f>
        <v>3164581.8693244774</v>
      </c>
      <c r="E118" s="522">
        <f t="shared" si="19"/>
        <v>131485.97619047618</v>
      </c>
      <c r="F118" s="523">
        <f t="shared" si="20"/>
        <v>3033095.8931340012</v>
      </c>
      <c r="G118" s="523">
        <f t="shared" si="21"/>
        <v>3098838.8812292395</v>
      </c>
      <c r="H118" s="526">
        <f t="shared" si="22"/>
        <v>464839.95094660332</v>
      </c>
      <c r="I118" s="577">
        <f t="shared" si="23"/>
        <v>464839.95094660332</v>
      </c>
      <c r="J118" s="514">
        <f t="shared" si="18"/>
        <v>0</v>
      </c>
      <c r="K118" s="514"/>
      <c r="L118" s="525"/>
      <c r="M118" s="514">
        <f t="shared" si="14"/>
        <v>0</v>
      </c>
      <c r="N118" s="525"/>
      <c r="O118" s="514">
        <f t="shared" si="15"/>
        <v>0</v>
      </c>
      <c r="P118" s="514">
        <f t="shared" si="16"/>
        <v>0</v>
      </c>
    </row>
    <row r="119" spans="2:16" ht="12.5">
      <c r="B119" s="195" t="str">
        <f t="shared" si="17"/>
        <v/>
      </c>
      <c r="C119" s="507">
        <f>IF(D93="","-",+C118+1)</f>
        <v>2035</v>
      </c>
      <c r="D119" s="374">
        <f>IF(F118+SUM(E$99:E118)=D$92,F118,D$92-SUM(E$99:E118))</f>
        <v>3033095.8931340012</v>
      </c>
      <c r="E119" s="522">
        <f t="shared" si="19"/>
        <v>131485.97619047618</v>
      </c>
      <c r="F119" s="523">
        <f t="shared" si="20"/>
        <v>2901609.916943525</v>
      </c>
      <c r="G119" s="523">
        <f t="shared" si="21"/>
        <v>2967352.9050387628</v>
      </c>
      <c r="H119" s="526">
        <f t="shared" si="22"/>
        <v>450695.50056769303</v>
      </c>
      <c r="I119" s="577">
        <f t="shared" si="23"/>
        <v>450695.50056769303</v>
      </c>
      <c r="J119" s="514">
        <f t="shared" si="18"/>
        <v>0</v>
      </c>
      <c r="K119" s="514"/>
      <c r="L119" s="525"/>
      <c r="M119" s="514">
        <f t="shared" si="14"/>
        <v>0</v>
      </c>
      <c r="N119" s="525"/>
      <c r="O119" s="514">
        <f t="shared" si="15"/>
        <v>0</v>
      </c>
      <c r="P119" s="514">
        <f t="shared" si="16"/>
        <v>0</v>
      </c>
    </row>
    <row r="120" spans="2:16" ht="12.5">
      <c r="B120" s="195" t="str">
        <f t="shared" si="17"/>
        <v/>
      </c>
      <c r="C120" s="507">
        <f>IF(D93="","-",+C119+1)</f>
        <v>2036</v>
      </c>
      <c r="D120" s="374">
        <f>IF(F119+SUM(E$99:E119)=D$92,F119,D$92-SUM(E$99:E119))</f>
        <v>2901609.916943525</v>
      </c>
      <c r="E120" s="522">
        <f t="shared" si="19"/>
        <v>131485.97619047618</v>
      </c>
      <c r="F120" s="523">
        <f t="shared" si="20"/>
        <v>2770123.9407530488</v>
      </c>
      <c r="G120" s="523">
        <f t="shared" si="21"/>
        <v>2835866.9288482871</v>
      </c>
      <c r="H120" s="526">
        <f t="shared" si="22"/>
        <v>436551.05018878286</v>
      </c>
      <c r="I120" s="577">
        <f t="shared" si="23"/>
        <v>436551.05018878286</v>
      </c>
      <c r="J120" s="514">
        <f t="shared" si="18"/>
        <v>0</v>
      </c>
      <c r="K120" s="514"/>
      <c r="L120" s="525"/>
      <c r="M120" s="514">
        <f t="shared" si="14"/>
        <v>0</v>
      </c>
      <c r="N120" s="525"/>
      <c r="O120" s="514">
        <f t="shared" si="15"/>
        <v>0</v>
      </c>
      <c r="P120" s="514">
        <f t="shared" si="16"/>
        <v>0</v>
      </c>
    </row>
    <row r="121" spans="2:16" ht="12.5">
      <c r="B121" s="195" t="str">
        <f t="shared" si="17"/>
        <v/>
      </c>
      <c r="C121" s="507">
        <f>IF(D93="","-",+C120+1)</f>
        <v>2037</v>
      </c>
      <c r="D121" s="374">
        <f>IF(F120+SUM(E$99:E120)=D$92,F120,D$92-SUM(E$99:E120))</f>
        <v>2770123.9407530488</v>
      </c>
      <c r="E121" s="522">
        <f t="shared" si="19"/>
        <v>131485.97619047618</v>
      </c>
      <c r="F121" s="523">
        <f t="shared" si="20"/>
        <v>2638637.9645625725</v>
      </c>
      <c r="G121" s="523">
        <f t="shared" si="21"/>
        <v>2704380.9526578104</v>
      </c>
      <c r="H121" s="526">
        <f t="shared" si="22"/>
        <v>422406.59980987245</v>
      </c>
      <c r="I121" s="577">
        <f t="shared" si="23"/>
        <v>422406.59980987245</v>
      </c>
      <c r="J121" s="514">
        <f t="shared" si="18"/>
        <v>0</v>
      </c>
      <c r="K121" s="514"/>
      <c r="L121" s="525"/>
      <c r="M121" s="514">
        <f t="shared" si="14"/>
        <v>0</v>
      </c>
      <c r="N121" s="525"/>
      <c r="O121" s="514">
        <f t="shared" si="15"/>
        <v>0</v>
      </c>
      <c r="P121" s="514">
        <f t="shared" si="16"/>
        <v>0</v>
      </c>
    </row>
    <row r="122" spans="2:16" ht="12.5">
      <c r="B122" s="195" t="str">
        <f t="shared" si="17"/>
        <v/>
      </c>
      <c r="C122" s="507">
        <f>IF(D93="","-",+C121+1)</f>
        <v>2038</v>
      </c>
      <c r="D122" s="374">
        <f>IF(F121+SUM(E$99:E121)=D$92,F121,D$92-SUM(E$99:E121))</f>
        <v>2638637.9645625725</v>
      </c>
      <c r="E122" s="522">
        <f t="shared" si="19"/>
        <v>131485.97619047618</v>
      </c>
      <c r="F122" s="523">
        <f t="shared" si="20"/>
        <v>2507151.9883720963</v>
      </c>
      <c r="G122" s="523">
        <f t="shared" si="21"/>
        <v>2572894.9764673347</v>
      </c>
      <c r="H122" s="526">
        <f t="shared" si="22"/>
        <v>408262.14943096228</v>
      </c>
      <c r="I122" s="577">
        <f t="shared" si="23"/>
        <v>408262.14943096228</v>
      </c>
      <c r="J122" s="514">
        <f t="shared" si="18"/>
        <v>0</v>
      </c>
      <c r="K122" s="514"/>
      <c r="L122" s="525"/>
      <c r="M122" s="514">
        <f t="shared" si="14"/>
        <v>0</v>
      </c>
      <c r="N122" s="525"/>
      <c r="O122" s="514">
        <f t="shared" si="15"/>
        <v>0</v>
      </c>
      <c r="P122" s="514">
        <f t="shared" si="16"/>
        <v>0</v>
      </c>
    </row>
    <row r="123" spans="2:16" ht="12.5">
      <c r="B123" s="195" t="str">
        <f t="shared" si="17"/>
        <v/>
      </c>
      <c r="C123" s="507">
        <f>IF(D93="","-",+C122+1)</f>
        <v>2039</v>
      </c>
      <c r="D123" s="374">
        <f>IF(F122+SUM(E$99:E122)=D$92,F122,D$92-SUM(E$99:E122))</f>
        <v>2507151.9883720963</v>
      </c>
      <c r="E123" s="522">
        <f t="shared" si="19"/>
        <v>131485.97619047618</v>
      </c>
      <c r="F123" s="523">
        <f t="shared" si="20"/>
        <v>2375666.0121816201</v>
      </c>
      <c r="G123" s="523">
        <f t="shared" si="21"/>
        <v>2441409.000276858</v>
      </c>
      <c r="H123" s="526">
        <f t="shared" si="22"/>
        <v>394117.69905205199</v>
      </c>
      <c r="I123" s="577">
        <f t="shared" si="23"/>
        <v>394117.69905205199</v>
      </c>
      <c r="J123" s="514">
        <f t="shared" si="18"/>
        <v>0</v>
      </c>
      <c r="K123" s="514"/>
      <c r="L123" s="525"/>
      <c r="M123" s="514">
        <f t="shared" si="14"/>
        <v>0</v>
      </c>
      <c r="N123" s="525"/>
      <c r="O123" s="514">
        <f t="shared" si="15"/>
        <v>0</v>
      </c>
      <c r="P123" s="514">
        <f t="shared" si="16"/>
        <v>0</v>
      </c>
    </row>
    <row r="124" spans="2:16" ht="12.5">
      <c r="B124" s="195" t="str">
        <f t="shared" si="17"/>
        <v/>
      </c>
      <c r="C124" s="507">
        <f>IF(D93="","-",+C123+1)</f>
        <v>2040</v>
      </c>
      <c r="D124" s="374">
        <f>IF(F123+SUM(E$99:E123)=D$92,F123,D$92-SUM(E$99:E123))</f>
        <v>2375666.0121816201</v>
      </c>
      <c r="E124" s="522">
        <f t="shared" si="19"/>
        <v>131485.97619047618</v>
      </c>
      <c r="F124" s="523">
        <f t="shared" si="20"/>
        <v>2244180.0359911439</v>
      </c>
      <c r="G124" s="523">
        <f t="shared" si="21"/>
        <v>2309923.0240863822</v>
      </c>
      <c r="H124" s="526">
        <f t="shared" si="22"/>
        <v>379973.24867314182</v>
      </c>
      <c r="I124" s="577">
        <f t="shared" si="23"/>
        <v>379973.24867314182</v>
      </c>
      <c r="J124" s="514">
        <f t="shared" si="18"/>
        <v>0</v>
      </c>
      <c r="K124" s="514"/>
      <c r="L124" s="525"/>
      <c r="M124" s="514">
        <f t="shared" si="14"/>
        <v>0</v>
      </c>
      <c r="N124" s="525"/>
      <c r="O124" s="514">
        <f t="shared" si="15"/>
        <v>0</v>
      </c>
      <c r="P124" s="514">
        <f t="shared" si="16"/>
        <v>0</v>
      </c>
    </row>
    <row r="125" spans="2:16" ht="12.5">
      <c r="B125" s="195" t="str">
        <f t="shared" si="17"/>
        <v/>
      </c>
      <c r="C125" s="507">
        <f>IF(D93="","-",+C124+1)</f>
        <v>2041</v>
      </c>
      <c r="D125" s="374">
        <f>IF(F124+SUM(E$99:E124)=D$92,F124,D$92-SUM(E$99:E124))</f>
        <v>2244180.0359911439</v>
      </c>
      <c r="E125" s="522">
        <f t="shared" si="19"/>
        <v>131485.97619047618</v>
      </c>
      <c r="F125" s="523">
        <f t="shared" si="20"/>
        <v>2112694.0598006677</v>
      </c>
      <c r="G125" s="523">
        <f t="shared" si="21"/>
        <v>2178437.0478959056</v>
      </c>
      <c r="H125" s="526">
        <f t="shared" si="22"/>
        <v>365828.79829423153</v>
      </c>
      <c r="I125" s="577">
        <f t="shared" si="23"/>
        <v>365828.79829423153</v>
      </c>
      <c r="J125" s="514">
        <f t="shared" si="18"/>
        <v>0</v>
      </c>
      <c r="K125" s="514"/>
      <c r="L125" s="525"/>
      <c r="M125" s="514">
        <f t="shared" si="14"/>
        <v>0</v>
      </c>
      <c r="N125" s="525"/>
      <c r="O125" s="514">
        <f t="shared" si="15"/>
        <v>0</v>
      </c>
      <c r="P125" s="514">
        <f t="shared" si="16"/>
        <v>0</v>
      </c>
    </row>
    <row r="126" spans="2:16" ht="12.5">
      <c r="B126" s="195" t="str">
        <f t="shared" si="17"/>
        <v/>
      </c>
      <c r="C126" s="507">
        <f>IF(D93="","-",+C125+1)</f>
        <v>2042</v>
      </c>
      <c r="D126" s="374">
        <f>IF(F125+SUM(E$99:E125)=D$92,F125,D$92-SUM(E$99:E125))</f>
        <v>2112694.0598006677</v>
      </c>
      <c r="E126" s="522">
        <f t="shared" si="19"/>
        <v>131485.97619047618</v>
      </c>
      <c r="F126" s="523">
        <f t="shared" si="20"/>
        <v>1981208.0836101915</v>
      </c>
      <c r="G126" s="523">
        <f t="shared" si="21"/>
        <v>2046951.0717054296</v>
      </c>
      <c r="H126" s="526">
        <f t="shared" si="22"/>
        <v>351684.34791532124</v>
      </c>
      <c r="I126" s="577">
        <f t="shared" si="23"/>
        <v>351684.34791532124</v>
      </c>
      <c r="J126" s="514">
        <f t="shared" si="18"/>
        <v>0</v>
      </c>
      <c r="K126" s="514"/>
      <c r="L126" s="525"/>
      <c r="M126" s="514">
        <f t="shared" si="14"/>
        <v>0</v>
      </c>
      <c r="N126" s="525"/>
      <c r="O126" s="514">
        <f t="shared" si="15"/>
        <v>0</v>
      </c>
      <c r="P126" s="514">
        <f t="shared" si="16"/>
        <v>0</v>
      </c>
    </row>
    <row r="127" spans="2:16" ht="12.5">
      <c r="B127" s="195" t="str">
        <f t="shared" si="17"/>
        <v/>
      </c>
      <c r="C127" s="507">
        <f>IF(D93="","-",+C126+1)</f>
        <v>2043</v>
      </c>
      <c r="D127" s="374">
        <f>IF(F126+SUM(E$99:E126)=D$92,F126,D$92-SUM(E$99:E126))</f>
        <v>1981208.0836101915</v>
      </c>
      <c r="E127" s="522">
        <f t="shared" si="19"/>
        <v>131485.97619047618</v>
      </c>
      <c r="F127" s="523">
        <f t="shared" si="20"/>
        <v>1849722.1074197153</v>
      </c>
      <c r="G127" s="523">
        <f t="shared" si="21"/>
        <v>1915465.0955149534</v>
      </c>
      <c r="H127" s="526">
        <f t="shared" si="22"/>
        <v>337539.89753641101</v>
      </c>
      <c r="I127" s="577">
        <f t="shared" si="23"/>
        <v>337539.89753641101</v>
      </c>
      <c r="J127" s="514">
        <f t="shared" si="18"/>
        <v>0</v>
      </c>
      <c r="K127" s="514"/>
      <c r="L127" s="525"/>
      <c r="M127" s="514">
        <f t="shared" si="14"/>
        <v>0</v>
      </c>
      <c r="N127" s="525"/>
      <c r="O127" s="514">
        <f t="shared" si="15"/>
        <v>0</v>
      </c>
      <c r="P127" s="514">
        <f t="shared" si="16"/>
        <v>0</v>
      </c>
    </row>
    <row r="128" spans="2:16" ht="12.5">
      <c r="B128" s="195" t="str">
        <f t="shared" si="17"/>
        <v/>
      </c>
      <c r="C128" s="507">
        <f>IF(D93="","-",+C127+1)</f>
        <v>2044</v>
      </c>
      <c r="D128" s="374">
        <f>IF(F127+SUM(E$99:E127)=D$92,F127,D$92-SUM(E$99:E127))</f>
        <v>1849722.1074197153</v>
      </c>
      <c r="E128" s="522">
        <f t="shared" si="19"/>
        <v>131485.97619047618</v>
      </c>
      <c r="F128" s="523">
        <f t="shared" si="20"/>
        <v>1718236.1312292391</v>
      </c>
      <c r="G128" s="523">
        <f t="shared" si="21"/>
        <v>1783979.1193244772</v>
      </c>
      <c r="H128" s="526">
        <f t="shared" si="22"/>
        <v>323395.44715750078</v>
      </c>
      <c r="I128" s="577">
        <f t="shared" si="23"/>
        <v>323395.44715750078</v>
      </c>
      <c r="J128" s="514">
        <f t="shared" si="18"/>
        <v>0</v>
      </c>
      <c r="K128" s="514"/>
      <c r="L128" s="525"/>
      <c r="M128" s="514">
        <f t="shared" si="14"/>
        <v>0</v>
      </c>
      <c r="N128" s="525"/>
      <c r="O128" s="514">
        <f t="shared" si="15"/>
        <v>0</v>
      </c>
      <c r="P128" s="514">
        <f t="shared" si="16"/>
        <v>0</v>
      </c>
    </row>
    <row r="129" spans="2:16" ht="12.5">
      <c r="B129" s="195" t="str">
        <f t="shared" si="17"/>
        <v/>
      </c>
      <c r="C129" s="507">
        <f>IF(D93="","-",+C128+1)</f>
        <v>2045</v>
      </c>
      <c r="D129" s="374">
        <f>IF(F128+SUM(E$99:E128)=D$92,F128,D$92-SUM(E$99:E128))</f>
        <v>1718236.1312292391</v>
      </c>
      <c r="E129" s="522">
        <f t="shared" si="19"/>
        <v>131485.97619047618</v>
      </c>
      <c r="F129" s="523">
        <f t="shared" si="20"/>
        <v>1586750.1550387628</v>
      </c>
      <c r="G129" s="523">
        <f t="shared" si="21"/>
        <v>1652493.1431340009</v>
      </c>
      <c r="H129" s="526">
        <f t="shared" si="22"/>
        <v>309250.99677859049</v>
      </c>
      <c r="I129" s="577">
        <f t="shared" si="23"/>
        <v>309250.99677859049</v>
      </c>
      <c r="J129" s="514">
        <f t="shared" si="18"/>
        <v>0</v>
      </c>
      <c r="K129" s="514"/>
      <c r="L129" s="525"/>
      <c r="M129" s="514">
        <f t="shared" si="14"/>
        <v>0</v>
      </c>
      <c r="N129" s="525"/>
      <c r="O129" s="514">
        <f t="shared" si="15"/>
        <v>0</v>
      </c>
      <c r="P129" s="514">
        <f t="shared" si="16"/>
        <v>0</v>
      </c>
    </row>
    <row r="130" spans="2:16" ht="12.5">
      <c r="B130" s="195" t="str">
        <f t="shared" si="17"/>
        <v/>
      </c>
      <c r="C130" s="507">
        <f>IF(D93="","-",+C129+1)</f>
        <v>2046</v>
      </c>
      <c r="D130" s="374">
        <f>IF(F129+SUM(E$99:E129)=D$92,F129,D$92-SUM(E$99:E129))</f>
        <v>1586750.1550387628</v>
      </c>
      <c r="E130" s="522">
        <f t="shared" si="19"/>
        <v>131485.97619047618</v>
      </c>
      <c r="F130" s="523">
        <f t="shared" si="20"/>
        <v>1455264.1788482866</v>
      </c>
      <c r="G130" s="523">
        <f t="shared" si="21"/>
        <v>1521007.1669435247</v>
      </c>
      <c r="H130" s="526">
        <f t="shared" si="22"/>
        <v>295106.54639968026</v>
      </c>
      <c r="I130" s="577">
        <f t="shared" si="23"/>
        <v>295106.54639968026</v>
      </c>
      <c r="J130" s="514">
        <f t="shared" si="18"/>
        <v>0</v>
      </c>
      <c r="K130" s="514"/>
      <c r="L130" s="525"/>
      <c r="M130" s="514">
        <f t="shared" si="14"/>
        <v>0</v>
      </c>
      <c r="N130" s="525"/>
      <c r="O130" s="514">
        <f t="shared" si="15"/>
        <v>0</v>
      </c>
      <c r="P130" s="514">
        <f t="shared" si="16"/>
        <v>0</v>
      </c>
    </row>
    <row r="131" spans="2:16" ht="12.5">
      <c r="B131" s="195" t="str">
        <f t="shared" si="17"/>
        <v/>
      </c>
      <c r="C131" s="507">
        <f>IF(D93="","-",+C130+1)</f>
        <v>2047</v>
      </c>
      <c r="D131" s="374">
        <f>IF(F130+SUM(E$99:E130)=D$92,F130,D$92-SUM(E$99:E130))</f>
        <v>1455264.1788482866</v>
      </c>
      <c r="E131" s="522">
        <f t="shared" si="19"/>
        <v>131485.97619047618</v>
      </c>
      <c r="F131" s="523">
        <f t="shared" si="20"/>
        <v>1323778.2026578104</v>
      </c>
      <c r="G131" s="523">
        <f t="shared" si="21"/>
        <v>1389521.1907530485</v>
      </c>
      <c r="H131" s="526">
        <f t="shared" si="22"/>
        <v>280962.09602077003</v>
      </c>
      <c r="I131" s="577">
        <f t="shared" si="23"/>
        <v>280962.09602077003</v>
      </c>
      <c r="J131" s="514">
        <f t="shared" si="18"/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 ht="12.5">
      <c r="B132" s="195" t="str">
        <f t="shared" si="17"/>
        <v/>
      </c>
      <c r="C132" s="507">
        <f>IF(D93="","-",+C131+1)</f>
        <v>2048</v>
      </c>
      <c r="D132" s="374">
        <f>IF(F131+SUM(E$99:E131)=D$92,F131,D$92-SUM(E$99:E131))</f>
        <v>1323778.2026578104</v>
      </c>
      <c r="E132" s="522">
        <f t="shared" si="19"/>
        <v>131485.97619047618</v>
      </c>
      <c r="F132" s="523">
        <f t="shared" si="20"/>
        <v>1192292.2264673342</v>
      </c>
      <c r="G132" s="523">
        <f t="shared" si="21"/>
        <v>1258035.2145625723</v>
      </c>
      <c r="H132" s="526">
        <f t="shared" si="22"/>
        <v>266817.64564185974</v>
      </c>
      <c r="I132" s="577">
        <f t="shared" si="23"/>
        <v>266817.64564185974</v>
      </c>
      <c r="J132" s="514">
        <f t="shared" si="18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 ht="12.5">
      <c r="B133" s="195" t="str">
        <f t="shared" si="17"/>
        <v/>
      </c>
      <c r="C133" s="507">
        <f>IF(D93="","-",+C132+1)</f>
        <v>2049</v>
      </c>
      <c r="D133" s="374">
        <f>IF(F132+SUM(E$99:E132)=D$92,F132,D$92-SUM(E$99:E132))</f>
        <v>1192292.2264673342</v>
      </c>
      <c r="E133" s="522">
        <f t="shared" si="19"/>
        <v>131485.97619047618</v>
      </c>
      <c r="F133" s="523">
        <f t="shared" si="20"/>
        <v>1060806.250276858</v>
      </c>
      <c r="G133" s="523">
        <f t="shared" si="21"/>
        <v>1126549.2383720961</v>
      </c>
      <c r="H133" s="526">
        <f t="shared" si="22"/>
        <v>252673.19526294951</v>
      </c>
      <c r="I133" s="577">
        <f t="shared" si="23"/>
        <v>252673.19526294951</v>
      </c>
      <c r="J133" s="514">
        <f t="shared" si="18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 ht="12.5">
      <c r="B134" s="195" t="str">
        <f t="shared" si="17"/>
        <v/>
      </c>
      <c r="C134" s="507">
        <f>IF(D93="","-",+C133+1)</f>
        <v>2050</v>
      </c>
      <c r="D134" s="374">
        <f>IF(F133+SUM(E$99:E133)=D$92,F133,D$92-SUM(E$99:E133))</f>
        <v>1060806.250276858</v>
      </c>
      <c r="E134" s="522">
        <f t="shared" si="19"/>
        <v>131485.97619047618</v>
      </c>
      <c r="F134" s="523">
        <f t="shared" si="20"/>
        <v>929320.27408638177</v>
      </c>
      <c r="G134" s="523">
        <f t="shared" si="21"/>
        <v>995063.26218161988</v>
      </c>
      <c r="H134" s="526">
        <f t="shared" si="22"/>
        <v>238528.74488403925</v>
      </c>
      <c r="I134" s="577">
        <f t="shared" si="23"/>
        <v>238528.74488403925</v>
      </c>
      <c r="J134" s="514">
        <f t="shared" si="18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 ht="12.5">
      <c r="B135" s="195" t="str">
        <f t="shared" si="17"/>
        <v/>
      </c>
      <c r="C135" s="507">
        <f>IF(D93="","-",+C134+1)</f>
        <v>2051</v>
      </c>
      <c r="D135" s="374">
        <f>IF(F134+SUM(E$99:E134)=D$92,F134,D$92-SUM(E$99:E134))</f>
        <v>929320.27408638177</v>
      </c>
      <c r="E135" s="522">
        <f t="shared" si="19"/>
        <v>131485.97619047618</v>
      </c>
      <c r="F135" s="523">
        <f t="shared" si="20"/>
        <v>797834.29789590556</v>
      </c>
      <c r="G135" s="523">
        <f t="shared" si="21"/>
        <v>863577.28599114367</v>
      </c>
      <c r="H135" s="526">
        <f t="shared" si="22"/>
        <v>224384.29450512899</v>
      </c>
      <c r="I135" s="577">
        <f t="shared" si="23"/>
        <v>224384.29450512899</v>
      </c>
      <c r="J135" s="514">
        <f t="shared" si="18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 ht="12.5">
      <c r="B136" s="195" t="str">
        <f t="shared" si="17"/>
        <v/>
      </c>
      <c r="C136" s="507">
        <f>IF(D93="","-",+C135+1)</f>
        <v>2052</v>
      </c>
      <c r="D136" s="374">
        <f>IF(F135+SUM(E$99:E135)=D$92,F135,D$92-SUM(E$99:E135))</f>
        <v>797834.29789590556</v>
      </c>
      <c r="E136" s="522">
        <f t="shared" si="19"/>
        <v>131485.97619047618</v>
      </c>
      <c r="F136" s="523">
        <f t="shared" si="20"/>
        <v>666348.32170542935</v>
      </c>
      <c r="G136" s="523">
        <f t="shared" si="21"/>
        <v>732091.30980066746</v>
      </c>
      <c r="H136" s="526">
        <f t="shared" si="22"/>
        <v>210239.84412621876</v>
      </c>
      <c r="I136" s="577">
        <f t="shared" si="23"/>
        <v>210239.84412621876</v>
      </c>
      <c r="J136" s="514">
        <f t="shared" si="18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 ht="12.5">
      <c r="B137" s="195" t="str">
        <f t="shared" si="17"/>
        <v/>
      </c>
      <c r="C137" s="507">
        <f>IF(D93="","-",+C136+1)</f>
        <v>2053</v>
      </c>
      <c r="D137" s="374">
        <f>IF(F136+SUM(E$99:E136)=D$92,F136,D$92-SUM(E$99:E136))</f>
        <v>666348.32170542935</v>
      </c>
      <c r="E137" s="522">
        <f t="shared" si="19"/>
        <v>131485.97619047618</v>
      </c>
      <c r="F137" s="523">
        <f t="shared" si="20"/>
        <v>534862.34551495314</v>
      </c>
      <c r="G137" s="523">
        <f t="shared" si="21"/>
        <v>600605.33361019124</v>
      </c>
      <c r="H137" s="526">
        <f t="shared" si="22"/>
        <v>196095.3937473085</v>
      </c>
      <c r="I137" s="577">
        <f t="shared" si="23"/>
        <v>196095.3937473085</v>
      </c>
      <c r="J137" s="514">
        <f t="shared" si="18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 ht="12.5">
      <c r="B138" s="195" t="str">
        <f t="shared" si="17"/>
        <v/>
      </c>
      <c r="C138" s="507">
        <f>IF(D93="","-",+C137+1)</f>
        <v>2054</v>
      </c>
      <c r="D138" s="374">
        <f>IF(F137+SUM(E$99:E137)=D$92,F137,D$92-SUM(E$99:E137))</f>
        <v>534862.34551495314</v>
      </c>
      <c r="E138" s="522">
        <f t="shared" si="19"/>
        <v>131485.97619047618</v>
      </c>
      <c r="F138" s="523">
        <f t="shared" si="20"/>
        <v>403376.36932447692</v>
      </c>
      <c r="G138" s="523">
        <f t="shared" si="21"/>
        <v>469119.35741971503</v>
      </c>
      <c r="H138" s="526">
        <f t="shared" si="22"/>
        <v>181950.94336839824</v>
      </c>
      <c r="I138" s="577">
        <f t="shared" si="23"/>
        <v>181950.94336839824</v>
      </c>
      <c r="J138" s="514">
        <f t="shared" si="18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 ht="12.5">
      <c r="B139" s="195" t="str">
        <f t="shared" si="17"/>
        <v/>
      </c>
      <c r="C139" s="507">
        <f>IF(D93="","-",+C138+1)</f>
        <v>2055</v>
      </c>
      <c r="D139" s="374">
        <f>IF(F138+SUM(E$99:E138)=D$92,F138,D$92-SUM(E$99:E138))</f>
        <v>403376.36932447692</v>
      </c>
      <c r="E139" s="522">
        <f t="shared" si="19"/>
        <v>131485.97619047618</v>
      </c>
      <c r="F139" s="523">
        <f t="shared" si="20"/>
        <v>271890.39313400071</v>
      </c>
      <c r="G139" s="523">
        <f t="shared" si="21"/>
        <v>337633.38122923882</v>
      </c>
      <c r="H139" s="526">
        <f t="shared" si="22"/>
        <v>167806.49298948798</v>
      </c>
      <c r="I139" s="577">
        <f t="shared" si="23"/>
        <v>167806.49298948798</v>
      </c>
      <c r="J139" s="514">
        <f t="shared" si="18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 ht="12.5">
      <c r="B140" s="195" t="str">
        <f t="shared" si="17"/>
        <v/>
      </c>
      <c r="C140" s="507">
        <f>IF(D93="","-",+C139+1)</f>
        <v>2056</v>
      </c>
      <c r="D140" s="374">
        <f>IF(F139+SUM(E$99:E139)=D$92,F139,D$92-SUM(E$99:E139))</f>
        <v>271890.39313400071</v>
      </c>
      <c r="E140" s="522">
        <f t="shared" si="19"/>
        <v>131485.97619047618</v>
      </c>
      <c r="F140" s="523">
        <f t="shared" si="20"/>
        <v>140404.41694352453</v>
      </c>
      <c r="G140" s="523">
        <f t="shared" si="21"/>
        <v>206147.4050387626</v>
      </c>
      <c r="H140" s="526">
        <f t="shared" si="22"/>
        <v>153662.04261057772</v>
      </c>
      <c r="I140" s="577">
        <f t="shared" si="23"/>
        <v>153662.04261057772</v>
      </c>
      <c r="J140" s="514">
        <f t="shared" si="18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 ht="12.5">
      <c r="B141" s="195" t="str">
        <f t="shared" si="17"/>
        <v/>
      </c>
      <c r="C141" s="507">
        <f>IF(D93="","-",+C140+1)</f>
        <v>2057</v>
      </c>
      <c r="D141" s="374">
        <f>IF(F140+SUM(E$99:E140)=D$92,F140,D$92-SUM(E$99:E140))</f>
        <v>140404.41694352453</v>
      </c>
      <c r="E141" s="522">
        <f t="shared" si="19"/>
        <v>131485.97619047618</v>
      </c>
      <c r="F141" s="523">
        <f t="shared" si="20"/>
        <v>8918.440753048344</v>
      </c>
      <c r="G141" s="523">
        <f t="shared" si="21"/>
        <v>74661.428848286436</v>
      </c>
      <c r="H141" s="526">
        <f t="shared" si="22"/>
        <v>139517.59223166748</v>
      </c>
      <c r="I141" s="577">
        <f t="shared" si="23"/>
        <v>139517.59223166748</v>
      </c>
      <c r="J141" s="514">
        <f t="shared" si="18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 ht="12.5">
      <c r="B142" s="195" t="str">
        <f t="shared" si="17"/>
        <v/>
      </c>
      <c r="C142" s="507">
        <f>IF(D93="","-",+C141+1)</f>
        <v>2058</v>
      </c>
      <c r="D142" s="374">
        <f>IF(F141+SUM(E$99:E141)=D$92,F141,D$92-SUM(E$99:E141))</f>
        <v>8918.440753048344</v>
      </c>
      <c r="E142" s="522">
        <f t="shared" si="19"/>
        <v>8918.440753048344</v>
      </c>
      <c r="F142" s="523">
        <f t="shared" si="20"/>
        <v>0</v>
      </c>
      <c r="G142" s="523">
        <f t="shared" si="21"/>
        <v>4459.220376524172</v>
      </c>
      <c r="H142" s="526">
        <f t="shared" si="22"/>
        <v>9398.1361789164312</v>
      </c>
      <c r="I142" s="577">
        <f t="shared" si="23"/>
        <v>9398.1361789164312</v>
      </c>
      <c r="J142" s="514">
        <f t="shared" si="18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 ht="12.5">
      <c r="B143" s="195" t="str">
        <f t="shared" si="17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19"/>
        <v>0</v>
      </c>
      <c r="F143" s="523">
        <f t="shared" si="20"/>
        <v>0</v>
      </c>
      <c r="G143" s="523">
        <f t="shared" si="21"/>
        <v>0</v>
      </c>
      <c r="H143" s="526">
        <f t="shared" si="22"/>
        <v>0</v>
      </c>
      <c r="I143" s="577">
        <f t="shared" si="23"/>
        <v>0</v>
      </c>
      <c r="J143" s="514">
        <f t="shared" si="18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 ht="12.5">
      <c r="B144" s="195" t="str">
        <f t="shared" si="17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19"/>
        <v>0</v>
      </c>
      <c r="F144" s="523">
        <f t="shared" si="20"/>
        <v>0</v>
      </c>
      <c r="G144" s="523">
        <f t="shared" si="21"/>
        <v>0</v>
      </c>
      <c r="H144" s="526">
        <f t="shared" si="22"/>
        <v>0</v>
      </c>
      <c r="I144" s="577">
        <f t="shared" si="23"/>
        <v>0</v>
      </c>
      <c r="J144" s="514">
        <f t="shared" si="18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 ht="12.5">
      <c r="B145" s="195" t="str">
        <f t="shared" si="17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19"/>
        <v>0</v>
      </c>
      <c r="F145" s="523">
        <f t="shared" si="20"/>
        <v>0</v>
      </c>
      <c r="G145" s="523">
        <f t="shared" si="21"/>
        <v>0</v>
      </c>
      <c r="H145" s="526">
        <f t="shared" si="22"/>
        <v>0</v>
      </c>
      <c r="I145" s="577">
        <f t="shared" si="23"/>
        <v>0</v>
      </c>
      <c r="J145" s="514">
        <f t="shared" si="18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 ht="12.5">
      <c r="B146" s="195" t="str">
        <f t="shared" si="17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19"/>
        <v>0</v>
      </c>
      <c r="F146" s="523">
        <f t="shared" si="20"/>
        <v>0</v>
      </c>
      <c r="G146" s="523">
        <f t="shared" si="21"/>
        <v>0</v>
      </c>
      <c r="H146" s="526">
        <f t="shared" si="22"/>
        <v>0</v>
      </c>
      <c r="I146" s="577">
        <f t="shared" si="23"/>
        <v>0</v>
      </c>
      <c r="J146" s="514">
        <f t="shared" si="18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 ht="12.5">
      <c r="B147" s="195" t="str">
        <f t="shared" si="17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19"/>
        <v>0</v>
      </c>
      <c r="F147" s="523">
        <f t="shared" si="20"/>
        <v>0</v>
      </c>
      <c r="G147" s="523">
        <f t="shared" si="21"/>
        <v>0</v>
      </c>
      <c r="H147" s="526">
        <f t="shared" si="22"/>
        <v>0</v>
      </c>
      <c r="I147" s="577">
        <f t="shared" si="23"/>
        <v>0</v>
      </c>
      <c r="J147" s="514">
        <f t="shared" si="18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 ht="12.5">
      <c r="B148" s="195" t="str">
        <f t="shared" si="17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19"/>
        <v>0</v>
      </c>
      <c r="F148" s="523">
        <f t="shared" si="20"/>
        <v>0</v>
      </c>
      <c r="G148" s="523">
        <f t="shared" si="21"/>
        <v>0</v>
      </c>
      <c r="H148" s="526">
        <f t="shared" si="22"/>
        <v>0</v>
      </c>
      <c r="I148" s="577">
        <f t="shared" si="23"/>
        <v>0</v>
      </c>
      <c r="J148" s="514">
        <f t="shared" si="18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 ht="12.5">
      <c r="B149" s="195" t="str">
        <f t="shared" si="17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19"/>
        <v>0</v>
      </c>
      <c r="F149" s="523">
        <f t="shared" si="20"/>
        <v>0</v>
      </c>
      <c r="G149" s="523">
        <f t="shared" si="21"/>
        <v>0</v>
      </c>
      <c r="H149" s="526">
        <f t="shared" si="22"/>
        <v>0</v>
      </c>
      <c r="I149" s="577">
        <f t="shared" si="23"/>
        <v>0</v>
      </c>
      <c r="J149" s="514">
        <f t="shared" si="18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 ht="12.5">
      <c r="B150" s="195" t="str">
        <f t="shared" si="17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19"/>
        <v>0</v>
      </c>
      <c r="F150" s="523">
        <f t="shared" si="20"/>
        <v>0</v>
      </c>
      <c r="G150" s="523">
        <f t="shared" si="21"/>
        <v>0</v>
      </c>
      <c r="H150" s="526">
        <f t="shared" si="22"/>
        <v>0</v>
      </c>
      <c r="I150" s="577">
        <f t="shared" si="23"/>
        <v>0</v>
      </c>
      <c r="J150" s="514">
        <f t="shared" si="18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 ht="12.5">
      <c r="B151" s="195" t="str">
        <f t="shared" si="17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19"/>
        <v>0</v>
      </c>
      <c r="F151" s="523">
        <f t="shared" si="20"/>
        <v>0</v>
      </c>
      <c r="G151" s="523">
        <f t="shared" si="21"/>
        <v>0</v>
      </c>
      <c r="H151" s="526">
        <f t="shared" si="22"/>
        <v>0</v>
      </c>
      <c r="I151" s="577">
        <f t="shared" si="23"/>
        <v>0</v>
      </c>
      <c r="J151" s="514">
        <f t="shared" si="18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 ht="12.5">
      <c r="B152" s="195" t="str">
        <f t="shared" si="17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19"/>
        <v>0</v>
      </c>
      <c r="F152" s="523">
        <f t="shared" si="20"/>
        <v>0</v>
      </c>
      <c r="G152" s="523">
        <f t="shared" si="21"/>
        <v>0</v>
      </c>
      <c r="H152" s="526">
        <f t="shared" si="22"/>
        <v>0</v>
      </c>
      <c r="I152" s="577">
        <f t="shared" si="23"/>
        <v>0</v>
      </c>
      <c r="J152" s="514">
        <f t="shared" si="18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 ht="12.5">
      <c r="B153" s="195" t="str">
        <f t="shared" si="17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19"/>
        <v>0</v>
      </c>
      <c r="F153" s="523">
        <f t="shared" si="20"/>
        <v>0</v>
      </c>
      <c r="G153" s="523">
        <f t="shared" si="21"/>
        <v>0</v>
      </c>
      <c r="H153" s="526">
        <f t="shared" si="22"/>
        <v>0</v>
      </c>
      <c r="I153" s="577">
        <f t="shared" si="23"/>
        <v>0</v>
      </c>
      <c r="J153" s="514">
        <f t="shared" si="18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" thickBot="1">
      <c r="B154" s="195" t="str">
        <f t="shared" si="17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19"/>
        <v>0</v>
      </c>
      <c r="F154" s="523">
        <f t="shared" si="20"/>
        <v>0</v>
      </c>
      <c r="G154" s="523">
        <f t="shared" si="21"/>
        <v>0</v>
      </c>
      <c r="H154" s="526">
        <f t="shared" si="22"/>
        <v>0</v>
      </c>
      <c r="I154" s="577">
        <f t="shared" si="23"/>
        <v>0</v>
      </c>
      <c r="J154" s="514">
        <f t="shared" si="18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 ht="12.5">
      <c r="C155" s="374" t="s">
        <v>78</v>
      </c>
      <c r="D155" s="375"/>
      <c r="E155" s="375">
        <f>SUM(E99:E154)</f>
        <v>5522410.9999999991</v>
      </c>
      <c r="F155" s="375"/>
      <c r="G155" s="375"/>
      <c r="H155" s="375">
        <f>SUM(H99:H154)</f>
        <v>18542331.618043821</v>
      </c>
      <c r="I155" s="375">
        <f>SUM(I99:I154)</f>
        <v>18542331.618043821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8" priority="1" stopIfTrue="1" operator="equal">
      <formula>$I$10</formula>
    </cfRule>
  </conditionalFormatting>
  <conditionalFormatting sqref="C99:C154">
    <cfRule type="cellIs" dxfId="5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P162"/>
  <sheetViews>
    <sheetView view="pageBreakPreview" zoomScale="82" zoomScaleNormal="100" zoomScaleSheetLayoutView="82" workbookViewId="0">
      <selection activeCell="D13" sqref="D13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52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1375144.4653373505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1375144.4653373505</v>
      </c>
      <c r="O6" s="269"/>
      <c r="P6" s="269"/>
    </row>
    <row r="7" spans="1:16" ht="13.5" thickBot="1">
      <c r="C7" s="467" t="s">
        <v>48</v>
      </c>
      <c r="D7" s="624" t="s">
        <v>344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338</v>
      </c>
      <c r="E9" s="637"/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12017567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286132.54761904763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12300000</v>
      </c>
      <c r="E17" s="638">
        <v>146428.57142857142</v>
      </c>
      <c r="F17" s="629">
        <v>12153571.428571429</v>
      </c>
      <c r="G17" s="638">
        <v>1747112.2775653705</v>
      </c>
      <c r="H17" s="639">
        <v>1747112.2775653705</v>
      </c>
      <c r="I17" s="511">
        <v>0</v>
      </c>
      <c r="J17" s="511"/>
      <c r="K17" s="518">
        <f t="shared" ref="K17:K22" si="0">G17</f>
        <v>1747112.2775653705</v>
      </c>
      <c r="L17" s="519">
        <f t="shared" ref="L17:L22" si="1">IF(K17&lt;&gt;0,+G17-K17,0)</f>
        <v>0</v>
      </c>
      <c r="M17" s="518">
        <f t="shared" ref="M17:M22" si="2">H17</f>
        <v>1747112.2775653705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11844058.428571429</v>
      </c>
      <c r="E18" s="630">
        <v>285487.78571428574</v>
      </c>
      <c r="F18" s="631">
        <v>11558570.642857144</v>
      </c>
      <c r="G18" s="630">
        <v>1789026.3661915467</v>
      </c>
      <c r="H18" s="639">
        <v>1789026.3661915467</v>
      </c>
      <c r="I18" s="511">
        <f>H18-G18</f>
        <v>0</v>
      </c>
      <c r="J18" s="511"/>
      <c r="K18" s="518">
        <f t="shared" si="0"/>
        <v>1789026.3661915467</v>
      </c>
      <c r="L18" s="519">
        <f t="shared" si="1"/>
        <v>0</v>
      </c>
      <c r="M18" s="518">
        <f t="shared" si="2"/>
        <v>1789026.3661915467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11585650.642857144</v>
      </c>
      <c r="E19" s="630">
        <v>279478.30232558138</v>
      </c>
      <c r="F19" s="631">
        <v>11306172.340531562</v>
      </c>
      <c r="G19" s="630">
        <v>1697541.2765808336</v>
      </c>
      <c r="H19" s="639">
        <v>1697541.2765808336</v>
      </c>
      <c r="I19" s="511">
        <f t="shared" ref="I19:I72" si="3">H19-G19</f>
        <v>0</v>
      </c>
      <c r="J19" s="511"/>
      <c r="K19" s="518">
        <f t="shared" si="0"/>
        <v>1697541.2765808336</v>
      </c>
      <c r="L19" s="519">
        <f t="shared" si="1"/>
        <v>0</v>
      </c>
      <c r="M19" s="518">
        <f t="shared" si="2"/>
        <v>1697541.2765808336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11306172.340531562</v>
      </c>
      <c r="E20" s="630">
        <v>293111.39024390245</v>
      </c>
      <c r="F20" s="631">
        <v>11013060.950287659</v>
      </c>
      <c r="G20" s="630">
        <v>1711432.8121770415</v>
      </c>
      <c r="H20" s="639">
        <v>1711432.8121770415</v>
      </c>
      <c r="I20" s="511">
        <f t="shared" si="3"/>
        <v>0</v>
      </c>
      <c r="J20" s="511"/>
      <c r="K20" s="518">
        <f t="shared" si="0"/>
        <v>1711432.8121770415</v>
      </c>
      <c r="L20" s="519">
        <f t="shared" si="1"/>
        <v>0</v>
      </c>
      <c r="M20" s="518">
        <f t="shared" si="2"/>
        <v>1711432.8121770415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11013060.950287659</v>
      </c>
      <c r="E21" s="630">
        <v>293111.39024390245</v>
      </c>
      <c r="F21" s="631">
        <v>10719949.560043756</v>
      </c>
      <c r="G21" s="630">
        <v>1674180.0841483832</v>
      </c>
      <c r="H21" s="639">
        <v>1674180.0841483832</v>
      </c>
      <c r="I21" s="511">
        <f t="shared" si="3"/>
        <v>0</v>
      </c>
      <c r="J21" s="511"/>
      <c r="K21" s="518">
        <f t="shared" si="0"/>
        <v>1674180.0841483832</v>
      </c>
      <c r="L21" s="519">
        <f t="shared" si="1"/>
        <v>0</v>
      </c>
      <c r="M21" s="518">
        <f t="shared" si="2"/>
        <v>1674180.0841483832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/>
      </c>
      <c r="C22" s="507">
        <f>IF(D11="","-",+C21+1)</f>
        <v>2020</v>
      </c>
      <c r="D22" s="631">
        <v>10719949.560043756</v>
      </c>
      <c r="E22" s="630">
        <v>293111.39024390245</v>
      </c>
      <c r="F22" s="631">
        <v>10426838.169799853</v>
      </c>
      <c r="G22" s="630">
        <v>1375144.4653373505</v>
      </c>
      <c r="H22" s="639">
        <v>1375144.4653373505</v>
      </c>
      <c r="I22" s="511">
        <f t="shared" si="3"/>
        <v>0</v>
      </c>
      <c r="J22" s="511"/>
      <c r="K22" s="518">
        <f t="shared" si="0"/>
        <v>1375144.4653373505</v>
      </c>
      <c r="L22" s="519">
        <f t="shared" si="1"/>
        <v>0</v>
      </c>
      <c r="M22" s="518">
        <f t="shared" si="2"/>
        <v>1375144.4653373505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/>
      </c>
      <c r="C23" s="507">
        <f>IF(D11="","-",+C22+1)</f>
        <v>2021</v>
      </c>
      <c r="D23" s="523">
        <f>IF(F22+SUM(E$17:E22)=D$10,F22,D$10-SUM(E$17:E22))</f>
        <v>10426838.169799853</v>
      </c>
      <c r="E23" s="522">
        <f t="shared" ref="E23:E72" si="7">IF(+$I$14&lt;F22,$I$14,D23)</f>
        <v>286132.54761904763</v>
      </c>
      <c r="F23" s="523">
        <f t="shared" ref="F23:F72" si="8">+D23-E23</f>
        <v>10140705.622180805</v>
      </c>
      <c r="G23" s="524">
        <f t="shared" ref="G23:G50" si="9">+I$12*((D23+F23)/2)+E23</f>
        <v>1384624.2241639248</v>
      </c>
      <c r="H23" s="491">
        <f t="shared" ref="H23:H50" si="10">+I$13*((D23+F23)/2)+E23</f>
        <v>1384624.2241639248</v>
      </c>
      <c r="I23" s="511">
        <f t="shared" si="3"/>
        <v>0</v>
      </c>
      <c r="J23" s="511"/>
      <c r="K23" s="525"/>
      <c r="L23" s="514">
        <f t="shared" ref="L23:L72" si="11">IF(K23&lt;&gt;0,+G23-K23,0)</f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/>
      </c>
      <c r="C24" s="507">
        <f>IF(D11="","-",+C23+1)</f>
        <v>2022</v>
      </c>
      <c r="D24" s="523">
        <f>IF(F23+SUM(E$17:E23)=D$10,F23,D$10-SUM(E$17:E23))</f>
        <v>10140705.622180805</v>
      </c>
      <c r="E24" s="522">
        <f t="shared" si="7"/>
        <v>286132.54761904763</v>
      </c>
      <c r="F24" s="523">
        <f t="shared" si="8"/>
        <v>9854573.0745617561</v>
      </c>
      <c r="G24" s="524">
        <f t="shared" si="9"/>
        <v>1354060.125200328</v>
      </c>
      <c r="H24" s="491">
        <f t="shared" si="10"/>
        <v>1354060.125200328</v>
      </c>
      <c r="I24" s="511">
        <f t="shared" si="3"/>
        <v>0</v>
      </c>
      <c r="J24" s="511"/>
      <c r="K24" s="525"/>
      <c r="L24" s="514">
        <f t="shared" si="11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9854573.0745617561</v>
      </c>
      <c r="E25" s="522">
        <f t="shared" si="7"/>
        <v>286132.54761904763</v>
      </c>
      <c r="F25" s="523">
        <f t="shared" si="8"/>
        <v>9568440.5269427076</v>
      </c>
      <c r="G25" s="524">
        <f t="shared" si="9"/>
        <v>1323496.0262367311</v>
      </c>
      <c r="H25" s="491">
        <f t="shared" si="10"/>
        <v>1323496.0262367311</v>
      </c>
      <c r="I25" s="511">
        <f t="shared" si="3"/>
        <v>0</v>
      </c>
      <c r="J25" s="511"/>
      <c r="K25" s="525"/>
      <c r="L25" s="514">
        <f t="shared" si="11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9568440.5269427076</v>
      </c>
      <c r="E26" s="522">
        <f t="shared" si="7"/>
        <v>286132.54761904763</v>
      </c>
      <c r="F26" s="523">
        <f t="shared" si="8"/>
        <v>9282307.9793236591</v>
      </c>
      <c r="G26" s="524">
        <f t="shared" si="9"/>
        <v>1292931.927273134</v>
      </c>
      <c r="H26" s="491">
        <f t="shared" si="10"/>
        <v>1292931.927273134</v>
      </c>
      <c r="I26" s="511">
        <f t="shared" si="3"/>
        <v>0</v>
      </c>
      <c r="J26" s="511"/>
      <c r="K26" s="525"/>
      <c r="L26" s="514">
        <f t="shared" si="11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9282307.9793236591</v>
      </c>
      <c r="E27" s="522">
        <f t="shared" si="7"/>
        <v>286132.54761904763</v>
      </c>
      <c r="F27" s="523">
        <f t="shared" si="8"/>
        <v>8996175.4317046106</v>
      </c>
      <c r="G27" s="524">
        <f t="shared" si="9"/>
        <v>1262367.8283095371</v>
      </c>
      <c r="H27" s="491">
        <f t="shared" si="10"/>
        <v>1262367.8283095371</v>
      </c>
      <c r="I27" s="511">
        <f t="shared" si="3"/>
        <v>0</v>
      </c>
      <c r="J27" s="511"/>
      <c r="K27" s="525"/>
      <c r="L27" s="514">
        <f t="shared" si="11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8996175.4317046106</v>
      </c>
      <c r="E28" s="522">
        <f t="shared" si="7"/>
        <v>286132.54761904763</v>
      </c>
      <c r="F28" s="523">
        <f t="shared" si="8"/>
        <v>8710042.8840855621</v>
      </c>
      <c r="G28" s="524">
        <f t="shared" si="9"/>
        <v>1231803.7293459403</v>
      </c>
      <c r="H28" s="491">
        <f t="shared" si="10"/>
        <v>1231803.7293459403</v>
      </c>
      <c r="I28" s="511">
        <f t="shared" si="3"/>
        <v>0</v>
      </c>
      <c r="J28" s="511"/>
      <c r="K28" s="525"/>
      <c r="L28" s="514">
        <f t="shared" si="11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8710042.8840855621</v>
      </c>
      <c r="E29" s="522">
        <f t="shared" si="7"/>
        <v>286132.54761904763</v>
      </c>
      <c r="F29" s="523">
        <f t="shared" si="8"/>
        <v>8423910.3364665136</v>
      </c>
      <c r="G29" s="524">
        <f t="shared" si="9"/>
        <v>1201239.6303823432</v>
      </c>
      <c r="H29" s="491">
        <f t="shared" si="10"/>
        <v>1201239.6303823432</v>
      </c>
      <c r="I29" s="511">
        <f t="shared" si="3"/>
        <v>0</v>
      </c>
      <c r="J29" s="511"/>
      <c r="K29" s="525"/>
      <c r="L29" s="514">
        <f t="shared" si="11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8423910.3364665136</v>
      </c>
      <c r="E30" s="522">
        <f t="shared" si="7"/>
        <v>286132.54761904763</v>
      </c>
      <c r="F30" s="523">
        <f t="shared" si="8"/>
        <v>8137777.788847466</v>
      </c>
      <c r="G30" s="524">
        <f t="shared" si="9"/>
        <v>1170675.5314187463</v>
      </c>
      <c r="H30" s="491">
        <f t="shared" si="10"/>
        <v>1170675.5314187463</v>
      </c>
      <c r="I30" s="511">
        <f t="shared" si="3"/>
        <v>0</v>
      </c>
      <c r="J30" s="511"/>
      <c r="K30" s="525"/>
      <c r="L30" s="514">
        <f t="shared" si="11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8137777.788847466</v>
      </c>
      <c r="E31" s="522">
        <f t="shared" si="7"/>
        <v>286132.54761904763</v>
      </c>
      <c r="F31" s="523">
        <f t="shared" si="8"/>
        <v>7851645.2412284184</v>
      </c>
      <c r="G31" s="524">
        <f t="shared" si="9"/>
        <v>1140111.4324551495</v>
      </c>
      <c r="H31" s="491">
        <f t="shared" si="10"/>
        <v>1140111.4324551495</v>
      </c>
      <c r="I31" s="511">
        <f t="shared" si="3"/>
        <v>0</v>
      </c>
      <c r="J31" s="511"/>
      <c r="K31" s="525"/>
      <c r="L31" s="514">
        <f t="shared" si="11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7851645.2412284184</v>
      </c>
      <c r="E32" s="522">
        <f t="shared" si="7"/>
        <v>286132.54761904763</v>
      </c>
      <c r="F32" s="523">
        <f t="shared" si="8"/>
        <v>7565512.6936093709</v>
      </c>
      <c r="G32" s="524">
        <f t="shared" si="9"/>
        <v>1109547.3334915526</v>
      </c>
      <c r="H32" s="491">
        <f t="shared" si="10"/>
        <v>1109547.3334915526</v>
      </c>
      <c r="I32" s="511">
        <f t="shared" si="3"/>
        <v>0</v>
      </c>
      <c r="J32" s="511"/>
      <c r="K32" s="525"/>
      <c r="L32" s="514">
        <f t="shared" si="11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7565512.6936093709</v>
      </c>
      <c r="E33" s="522">
        <f t="shared" si="7"/>
        <v>286132.54761904763</v>
      </c>
      <c r="F33" s="523">
        <f t="shared" si="8"/>
        <v>7279380.1459903233</v>
      </c>
      <c r="G33" s="524">
        <f t="shared" si="9"/>
        <v>1078983.2345279558</v>
      </c>
      <c r="H33" s="491">
        <f t="shared" si="10"/>
        <v>1078983.2345279558</v>
      </c>
      <c r="I33" s="511">
        <f t="shared" si="3"/>
        <v>0</v>
      </c>
      <c r="J33" s="511"/>
      <c r="K33" s="525"/>
      <c r="L33" s="514">
        <f t="shared" si="11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7279380.1459903233</v>
      </c>
      <c r="E34" s="522">
        <f t="shared" si="7"/>
        <v>286132.54761904763</v>
      </c>
      <c r="F34" s="523">
        <f t="shared" si="8"/>
        <v>6993247.5983712757</v>
      </c>
      <c r="G34" s="524">
        <f t="shared" si="9"/>
        <v>1048419.1355643589</v>
      </c>
      <c r="H34" s="491">
        <f t="shared" si="10"/>
        <v>1048419.1355643589</v>
      </c>
      <c r="I34" s="511">
        <f t="shared" si="3"/>
        <v>0</v>
      </c>
      <c r="J34" s="511"/>
      <c r="K34" s="525"/>
      <c r="L34" s="514">
        <f t="shared" si="11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6993247.5983712757</v>
      </c>
      <c r="E35" s="522">
        <f t="shared" si="7"/>
        <v>286132.54761904763</v>
      </c>
      <c r="F35" s="523">
        <f t="shared" si="8"/>
        <v>6707115.0507522281</v>
      </c>
      <c r="G35" s="524">
        <f t="shared" si="9"/>
        <v>1017855.036600762</v>
      </c>
      <c r="H35" s="491">
        <f t="shared" si="10"/>
        <v>1017855.036600762</v>
      </c>
      <c r="I35" s="511">
        <f t="shared" si="3"/>
        <v>0</v>
      </c>
      <c r="J35" s="511"/>
      <c r="K35" s="525"/>
      <c r="L35" s="514">
        <f t="shared" si="11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6707115.0507522281</v>
      </c>
      <c r="E36" s="522">
        <f t="shared" si="7"/>
        <v>286132.54761904763</v>
      </c>
      <c r="F36" s="523">
        <f t="shared" si="8"/>
        <v>6420982.5031331806</v>
      </c>
      <c r="G36" s="524">
        <f t="shared" si="9"/>
        <v>987290.93763716519</v>
      </c>
      <c r="H36" s="491">
        <f t="shared" si="10"/>
        <v>987290.93763716519</v>
      </c>
      <c r="I36" s="511">
        <f t="shared" si="3"/>
        <v>0</v>
      </c>
      <c r="J36" s="511"/>
      <c r="K36" s="525"/>
      <c r="L36" s="514">
        <f t="shared" si="11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6420982.5031331806</v>
      </c>
      <c r="E37" s="522">
        <f t="shared" si="7"/>
        <v>286132.54761904763</v>
      </c>
      <c r="F37" s="523">
        <f t="shared" si="8"/>
        <v>6134849.955514133</v>
      </c>
      <c r="G37" s="524">
        <f t="shared" si="9"/>
        <v>956726.83867356833</v>
      </c>
      <c r="H37" s="491">
        <f t="shared" si="10"/>
        <v>956726.83867356833</v>
      </c>
      <c r="I37" s="511">
        <f t="shared" si="3"/>
        <v>0</v>
      </c>
      <c r="J37" s="511"/>
      <c r="K37" s="525"/>
      <c r="L37" s="514">
        <f t="shared" si="11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6134849.955514133</v>
      </c>
      <c r="E38" s="522">
        <f t="shared" si="7"/>
        <v>286132.54761904763</v>
      </c>
      <c r="F38" s="523">
        <f t="shared" si="8"/>
        <v>5848717.4078950854</v>
      </c>
      <c r="G38" s="524">
        <f t="shared" si="9"/>
        <v>926162.73970997147</v>
      </c>
      <c r="H38" s="491">
        <f t="shared" si="10"/>
        <v>926162.73970997147</v>
      </c>
      <c r="I38" s="511">
        <f t="shared" si="3"/>
        <v>0</v>
      </c>
      <c r="J38" s="511"/>
      <c r="K38" s="525"/>
      <c r="L38" s="514">
        <f t="shared" si="11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5848717.4078950854</v>
      </c>
      <c r="E39" s="522">
        <f t="shared" si="7"/>
        <v>286132.54761904763</v>
      </c>
      <c r="F39" s="523">
        <f t="shared" si="8"/>
        <v>5562584.8602760378</v>
      </c>
      <c r="G39" s="524">
        <f t="shared" si="9"/>
        <v>895598.64074637461</v>
      </c>
      <c r="H39" s="491">
        <f t="shared" si="10"/>
        <v>895598.64074637461</v>
      </c>
      <c r="I39" s="511">
        <f t="shared" si="3"/>
        <v>0</v>
      </c>
      <c r="J39" s="511"/>
      <c r="K39" s="525"/>
      <c r="L39" s="514">
        <f t="shared" si="11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5562584.8602760378</v>
      </c>
      <c r="E40" s="522">
        <f t="shared" si="7"/>
        <v>286132.54761904763</v>
      </c>
      <c r="F40" s="523">
        <f t="shared" si="8"/>
        <v>5276452.3126569903</v>
      </c>
      <c r="G40" s="524">
        <f t="shared" si="9"/>
        <v>865034.54178277776</v>
      </c>
      <c r="H40" s="491">
        <f t="shared" si="10"/>
        <v>865034.54178277776</v>
      </c>
      <c r="I40" s="511">
        <f t="shared" si="3"/>
        <v>0</v>
      </c>
      <c r="J40" s="511"/>
      <c r="K40" s="525"/>
      <c r="L40" s="514">
        <f t="shared" si="11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5276452.3126569903</v>
      </c>
      <c r="E41" s="522">
        <f t="shared" si="7"/>
        <v>286132.54761904763</v>
      </c>
      <c r="F41" s="523">
        <f t="shared" si="8"/>
        <v>4990319.7650379427</v>
      </c>
      <c r="G41" s="524">
        <f t="shared" si="9"/>
        <v>834470.4428191809</v>
      </c>
      <c r="H41" s="491">
        <f t="shared" si="10"/>
        <v>834470.4428191809</v>
      </c>
      <c r="I41" s="511">
        <f t="shared" si="3"/>
        <v>0</v>
      </c>
      <c r="J41" s="511"/>
      <c r="K41" s="525"/>
      <c r="L41" s="514">
        <f t="shared" si="11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4990319.7650379427</v>
      </c>
      <c r="E42" s="522">
        <f t="shared" si="7"/>
        <v>286132.54761904763</v>
      </c>
      <c r="F42" s="523">
        <f t="shared" si="8"/>
        <v>4704187.2174188951</v>
      </c>
      <c r="G42" s="524">
        <f t="shared" si="9"/>
        <v>803906.34385558392</v>
      </c>
      <c r="H42" s="491">
        <f t="shared" si="10"/>
        <v>803906.34385558392</v>
      </c>
      <c r="I42" s="511">
        <f t="shared" si="3"/>
        <v>0</v>
      </c>
      <c r="J42" s="511"/>
      <c r="K42" s="525"/>
      <c r="L42" s="514">
        <f t="shared" si="11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4704187.2174188951</v>
      </c>
      <c r="E43" s="522">
        <f t="shared" si="7"/>
        <v>286132.54761904763</v>
      </c>
      <c r="F43" s="523">
        <f t="shared" si="8"/>
        <v>4418054.6697998475</v>
      </c>
      <c r="G43" s="524">
        <f t="shared" si="9"/>
        <v>773342.24489198718</v>
      </c>
      <c r="H43" s="491">
        <f t="shared" si="10"/>
        <v>773342.24489198718</v>
      </c>
      <c r="I43" s="511">
        <f t="shared" si="3"/>
        <v>0</v>
      </c>
      <c r="J43" s="511"/>
      <c r="K43" s="525"/>
      <c r="L43" s="514">
        <f t="shared" si="11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4418054.6697998475</v>
      </c>
      <c r="E44" s="522">
        <f t="shared" si="7"/>
        <v>286132.54761904763</v>
      </c>
      <c r="F44" s="523">
        <f t="shared" si="8"/>
        <v>4131922.1221808</v>
      </c>
      <c r="G44" s="524">
        <f t="shared" si="9"/>
        <v>742778.14592839021</v>
      </c>
      <c r="H44" s="491">
        <f t="shared" si="10"/>
        <v>742778.14592839021</v>
      </c>
      <c r="I44" s="511">
        <f t="shared" si="3"/>
        <v>0</v>
      </c>
      <c r="J44" s="511"/>
      <c r="K44" s="525"/>
      <c r="L44" s="514">
        <f t="shared" si="11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4131922.1221808</v>
      </c>
      <c r="E45" s="522">
        <f t="shared" si="7"/>
        <v>286132.54761904763</v>
      </c>
      <c r="F45" s="523">
        <f t="shared" si="8"/>
        <v>3845789.5745617524</v>
      </c>
      <c r="G45" s="524">
        <f t="shared" si="9"/>
        <v>712214.04696479347</v>
      </c>
      <c r="H45" s="491">
        <f t="shared" si="10"/>
        <v>712214.04696479347</v>
      </c>
      <c r="I45" s="511">
        <f t="shared" si="3"/>
        <v>0</v>
      </c>
      <c r="J45" s="511"/>
      <c r="K45" s="525"/>
      <c r="L45" s="514">
        <f t="shared" si="11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3845789.5745617524</v>
      </c>
      <c r="E46" s="522">
        <f t="shared" si="7"/>
        <v>286132.54761904763</v>
      </c>
      <c r="F46" s="523">
        <f t="shared" si="8"/>
        <v>3559657.0269427048</v>
      </c>
      <c r="G46" s="524">
        <f t="shared" si="9"/>
        <v>681649.94800119661</v>
      </c>
      <c r="H46" s="491">
        <f t="shared" si="10"/>
        <v>681649.94800119661</v>
      </c>
      <c r="I46" s="511">
        <f t="shared" si="3"/>
        <v>0</v>
      </c>
      <c r="J46" s="511"/>
      <c r="K46" s="525"/>
      <c r="L46" s="514">
        <f t="shared" si="11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3559657.0269427048</v>
      </c>
      <c r="E47" s="522">
        <f t="shared" si="7"/>
        <v>286132.54761904763</v>
      </c>
      <c r="F47" s="523">
        <f t="shared" si="8"/>
        <v>3273524.4793236572</v>
      </c>
      <c r="G47" s="524">
        <f t="shared" si="9"/>
        <v>651085.84903759975</v>
      </c>
      <c r="H47" s="491">
        <f t="shared" si="10"/>
        <v>651085.84903759975</v>
      </c>
      <c r="I47" s="511">
        <f t="shared" si="3"/>
        <v>0</v>
      </c>
      <c r="J47" s="511"/>
      <c r="K47" s="525"/>
      <c r="L47" s="514">
        <f t="shared" si="11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3273524.4793236572</v>
      </c>
      <c r="E48" s="522">
        <f t="shared" si="7"/>
        <v>286132.54761904763</v>
      </c>
      <c r="F48" s="523">
        <f t="shared" si="8"/>
        <v>2987391.9317046097</v>
      </c>
      <c r="G48" s="524">
        <f t="shared" si="9"/>
        <v>620521.75007400289</v>
      </c>
      <c r="H48" s="491">
        <f t="shared" si="10"/>
        <v>620521.75007400289</v>
      </c>
      <c r="I48" s="511">
        <f t="shared" si="3"/>
        <v>0</v>
      </c>
      <c r="J48" s="511"/>
      <c r="K48" s="525"/>
      <c r="L48" s="514">
        <f t="shared" si="11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2987391.9317046097</v>
      </c>
      <c r="E49" s="522">
        <f t="shared" si="7"/>
        <v>286132.54761904763</v>
      </c>
      <c r="F49" s="523">
        <f t="shared" si="8"/>
        <v>2701259.3840855621</v>
      </c>
      <c r="G49" s="524">
        <f t="shared" si="9"/>
        <v>589957.65111040603</v>
      </c>
      <c r="H49" s="491">
        <f t="shared" si="10"/>
        <v>589957.65111040603</v>
      </c>
      <c r="I49" s="511">
        <f t="shared" si="3"/>
        <v>0</v>
      </c>
      <c r="J49" s="511"/>
      <c r="K49" s="525"/>
      <c r="L49" s="514">
        <f t="shared" si="11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2701259.3840855621</v>
      </c>
      <c r="E50" s="522">
        <f t="shared" si="7"/>
        <v>286132.54761904763</v>
      </c>
      <c r="F50" s="523">
        <f t="shared" si="8"/>
        <v>2415126.8364665145</v>
      </c>
      <c r="G50" s="524">
        <f t="shared" si="9"/>
        <v>559393.55214680918</v>
      </c>
      <c r="H50" s="491">
        <f t="shared" si="10"/>
        <v>559393.55214680918</v>
      </c>
      <c r="I50" s="511">
        <f t="shared" si="3"/>
        <v>0</v>
      </c>
      <c r="J50" s="511"/>
      <c r="K50" s="525"/>
      <c r="L50" s="514">
        <f t="shared" si="11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2415126.8364665145</v>
      </c>
      <c r="E51" s="522">
        <f t="shared" si="7"/>
        <v>286132.54761904763</v>
      </c>
      <c r="F51" s="523">
        <f t="shared" si="8"/>
        <v>2128994.2888474669</v>
      </c>
      <c r="G51" s="524">
        <f t="shared" ref="G51:G72" si="12">+I$12*((D51+F51)/2)+E51</f>
        <v>528829.45318321232</v>
      </c>
      <c r="H51" s="491">
        <f t="shared" ref="H51:H72" si="13">+I$13*((D51+F51)/2)+E51</f>
        <v>528829.45318321232</v>
      </c>
      <c r="I51" s="511">
        <f t="shared" si="3"/>
        <v>0</v>
      </c>
      <c r="J51" s="511"/>
      <c r="K51" s="525"/>
      <c r="L51" s="514">
        <f t="shared" si="11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2128994.2888474669</v>
      </c>
      <c r="E52" s="522">
        <f t="shared" si="7"/>
        <v>286132.54761904763</v>
      </c>
      <c r="F52" s="523">
        <f t="shared" si="8"/>
        <v>1842861.7412284194</v>
      </c>
      <c r="G52" s="524">
        <f t="shared" si="12"/>
        <v>498265.3542196154</v>
      </c>
      <c r="H52" s="491">
        <f t="shared" si="13"/>
        <v>498265.3542196154</v>
      </c>
      <c r="I52" s="511">
        <f t="shared" si="3"/>
        <v>0</v>
      </c>
      <c r="J52" s="511"/>
      <c r="K52" s="525"/>
      <c r="L52" s="514">
        <f t="shared" si="11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1842861.7412284194</v>
      </c>
      <c r="E53" s="522">
        <f t="shared" si="7"/>
        <v>286132.54761904763</v>
      </c>
      <c r="F53" s="523">
        <f t="shared" si="8"/>
        <v>1556729.1936093718</v>
      </c>
      <c r="G53" s="524">
        <f t="shared" si="12"/>
        <v>467701.25525601854</v>
      </c>
      <c r="H53" s="491">
        <f t="shared" si="13"/>
        <v>467701.25525601854</v>
      </c>
      <c r="I53" s="511">
        <f t="shared" si="3"/>
        <v>0</v>
      </c>
      <c r="J53" s="511"/>
      <c r="K53" s="525"/>
      <c r="L53" s="514">
        <f t="shared" si="11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1556729.1936093718</v>
      </c>
      <c r="E54" s="522">
        <f t="shared" si="7"/>
        <v>286132.54761904763</v>
      </c>
      <c r="F54" s="523">
        <f t="shared" si="8"/>
        <v>1270596.6459903242</v>
      </c>
      <c r="G54" s="524">
        <f t="shared" si="12"/>
        <v>437137.15629242169</v>
      </c>
      <c r="H54" s="491">
        <f t="shared" si="13"/>
        <v>437137.15629242169</v>
      </c>
      <c r="I54" s="511">
        <f t="shared" si="3"/>
        <v>0</v>
      </c>
      <c r="J54" s="511"/>
      <c r="K54" s="525"/>
      <c r="L54" s="514">
        <f t="shared" si="11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1270596.6459903242</v>
      </c>
      <c r="E55" s="522">
        <f t="shared" si="7"/>
        <v>286132.54761904763</v>
      </c>
      <c r="F55" s="523">
        <f t="shared" si="8"/>
        <v>984464.09837127663</v>
      </c>
      <c r="G55" s="524">
        <f t="shared" si="12"/>
        <v>406573.05732882483</v>
      </c>
      <c r="H55" s="491">
        <f t="shared" si="13"/>
        <v>406573.05732882483</v>
      </c>
      <c r="I55" s="511">
        <f t="shared" si="3"/>
        <v>0</v>
      </c>
      <c r="J55" s="511"/>
      <c r="K55" s="525"/>
      <c r="L55" s="514">
        <f t="shared" si="11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984464.09837127663</v>
      </c>
      <c r="E56" s="522">
        <f t="shared" si="7"/>
        <v>286132.54761904763</v>
      </c>
      <c r="F56" s="523">
        <f t="shared" si="8"/>
        <v>698331.55075222906</v>
      </c>
      <c r="G56" s="524">
        <f t="shared" si="12"/>
        <v>376008.95836522797</v>
      </c>
      <c r="H56" s="491">
        <f t="shared" si="13"/>
        <v>376008.95836522797</v>
      </c>
      <c r="I56" s="511">
        <f t="shared" si="3"/>
        <v>0</v>
      </c>
      <c r="J56" s="511"/>
      <c r="K56" s="525"/>
      <c r="L56" s="514">
        <f t="shared" si="11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698331.55075222906</v>
      </c>
      <c r="E57" s="522">
        <f t="shared" si="7"/>
        <v>286132.54761904763</v>
      </c>
      <c r="F57" s="523">
        <f t="shared" si="8"/>
        <v>412199.00313318142</v>
      </c>
      <c r="G57" s="524">
        <f t="shared" si="12"/>
        <v>345444.85940163111</v>
      </c>
      <c r="H57" s="491">
        <f t="shared" si="13"/>
        <v>345444.85940163111</v>
      </c>
      <c r="I57" s="511">
        <f t="shared" si="3"/>
        <v>0</v>
      </c>
      <c r="J57" s="511"/>
      <c r="K57" s="525"/>
      <c r="L57" s="514">
        <f t="shared" si="11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412199.00313318142</v>
      </c>
      <c r="E58" s="522">
        <f t="shared" si="7"/>
        <v>286132.54761904763</v>
      </c>
      <c r="F58" s="523">
        <f t="shared" si="8"/>
        <v>126066.45551413379</v>
      </c>
      <c r="G58" s="524">
        <f t="shared" si="12"/>
        <v>314880.76043803425</v>
      </c>
      <c r="H58" s="491">
        <f t="shared" si="13"/>
        <v>314880.76043803425</v>
      </c>
      <c r="I58" s="511">
        <f t="shared" si="3"/>
        <v>0</v>
      </c>
      <c r="J58" s="511"/>
      <c r="K58" s="525"/>
      <c r="L58" s="514">
        <f t="shared" si="11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126066.45551413379</v>
      </c>
      <c r="E59" s="522">
        <f t="shared" si="7"/>
        <v>126066.45551413379</v>
      </c>
      <c r="F59" s="523">
        <f t="shared" si="8"/>
        <v>0</v>
      </c>
      <c r="G59" s="524">
        <f t="shared" si="12"/>
        <v>132799.53718272789</v>
      </c>
      <c r="H59" s="491">
        <f t="shared" si="13"/>
        <v>132799.53718272789</v>
      </c>
      <c r="I59" s="511">
        <f t="shared" si="3"/>
        <v>0</v>
      </c>
      <c r="J59" s="511"/>
      <c r="K59" s="525"/>
      <c r="L59" s="514">
        <f t="shared" si="11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7"/>
        <v>0</v>
      </c>
      <c r="F60" s="523">
        <f t="shared" si="8"/>
        <v>0</v>
      </c>
      <c r="G60" s="524">
        <f t="shared" si="12"/>
        <v>0</v>
      </c>
      <c r="H60" s="491">
        <f t="shared" si="13"/>
        <v>0</v>
      </c>
      <c r="I60" s="511">
        <f t="shared" si="3"/>
        <v>0</v>
      </c>
      <c r="J60" s="511"/>
      <c r="K60" s="525"/>
      <c r="L60" s="514">
        <f t="shared" si="11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7"/>
        <v>0</v>
      </c>
      <c r="F61" s="523">
        <f t="shared" si="8"/>
        <v>0</v>
      </c>
      <c r="G61" s="524">
        <f t="shared" si="12"/>
        <v>0</v>
      </c>
      <c r="H61" s="491">
        <f t="shared" si="13"/>
        <v>0</v>
      </c>
      <c r="I61" s="511">
        <f t="shared" si="3"/>
        <v>0</v>
      </c>
      <c r="J61" s="511"/>
      <c r="K61" s="525"/>
      <c r="L61" s="514">
        <f t="shared" si="11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7"/>
        <v>0</v>
      </c>
      <c r="F62" s="523">
        <f t="shared" si="8"/>
        <v>0</v>
      </c>
      <c r="G62" s="524">
        <f t="shared" si="12"/>
        <v>0</v>
      </c>
      <c r="H62" s="491">
        <f t="shared" si="13"/>
        <v>0</v>
      </c>
      <c r="I62" s="511">
        <f t="shared" si="3"/>
        <v>0</v>
      </c>
      <c r="J62" s="511"/>
      <c r="K62" s="525"/>
      <c r="L62" s="514">
        <f t="shared" si="11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7"/>
        <v>0</v>
      </c>
      <c r="F63" s="523">
        <f t="shared" si="8"/>
        <v>0</v>
      </c>
      <c r="G63" s="524">
        <f t="shared" si="12"/>
        <v>0</v>
      </c>
      <c r="H63" s="491">
        <f t="shared" si="13"/>
        <v>0</v>
      </c>
      <c r="I63" s="511">
        <f t="shared" si="3"/>
        <v>0</v>
      </c>
      <c r="J63" s="511"/>
      <c r="K63" s="525"/>
      <c r="L63" s="514">
        <f t="shared" si="11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7"/>
        <v>0</v>
      </c>
      <c r="F64" s="523">
        <f t="shared" si="8"/>
        <v>0</v>
      </c>
      <c r="G64" s="524">
        <f t="shared" si="12"/>
        <v>0</v>
      </c>
      <c r="H64" s="491">
        <f t="shared" si="13"/>
        <v>0</v>
      </c>
      <c r="I64" s="511">
        <f t="shared" si="3"/>
        <v>0</v>
      </c>
      <c r="J64" s="511"/>
      <c r="K64" s="525"/>
      <c r="L64" s="514">
        <f t="shared" si="11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7"/>
        <v>0</v>
      </c>
      <c r="F65" s="523">
        <f t="shared" si="8"/>
        <v>0</v>
      </c>
      <c r="G65" s="524">
        <f t="shared" si="12"/>
        <v>0</v>
      </c>
      <c r="H65" s="491">
        <f t="shared" si="13"/>
        <v>0</v>
      </c>
      <c r="I65" s="511">
        <f t="shared" si="3"/>
        <v>0</v>
      </c>
      <c r="J65" s="511"/>
      <c r="K65" s="525"/>
      <c r="L65" s="514">
        <f t="shared" si="11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7"/>
        <v>0</v>
      </c>
      <c r="F66" s="523">
        <f t="shared" si="8"/>
        <v>0</v>
      </c>
      <c r="G66" s="524">
        <f t="shared" si="12"/>
        <v>0</v>
      </c>
      <c r="H66" s="491">
        <f t="shared" si="13"/>
        <v>0</v>
      </c>
      <c r="I66" s="511">
        <f t="shared" si="3"/>
        <v>0</v>
      </c>
      <c r="J66" s="511"/>
      <c r="K66" s="525"/>
      <c r="L66" s="514">
        <f t="shared" si="11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7"/>
        <v>0</v>
      </c>
      <c r="F67" s="523">
        <f t="shared" si="8"/>
        <v>0</v>
      </c>
      <c r="G67" s="524">
        <f t="shared" si="12"/>
        <v>0</v>
      </c>
      <c r="H67" s="491">
        <f t="shared" si="13"/>
        <v>0</v>
      </c>
      <c r="I67" s="511">
        <f t="shared" si="3"/>
        <v>0</v>
      </c>
      <c r="J67" s="511"/>
      <c r="K67" s="525"/>
      <c r="L67" s="514">
        <f t="shared" si="11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7"/>
        <v>0</v>
      </c>
      <c r="F68" s="523">
        <f t="shared" si="8"/>
        <v>0</v>
      </c>
      <c r="G68" s="524">
        <f t="shared" si="12"/>
        <v>0</v>
      </c>
      <c r="H68" s="491">
        <f t="shared" si="13"/>
        <v>0</v>
      </c>
      <c r="I68" s="511">
        <f t="shared" si="3"/>
        <v>0</v>
      </c>
      <c r="J68" s="511"/>
      <c r="K68" s="525"/>
      <c r="L68" s="514">
        <f t="shared" si="11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7"/>
        <v>0</v>
      </c>
      <c r="F69" s="523">
        <f t="shared" si="8"/>
        <v>0</v>
      </c>
      <c r="G69" s="524">
        <f t="shared" si="12"/>
        <v>0</v>
      </c>
      <c r="H69" s="491">
        <f t="shared" si="13"/>
        <v>0</v>
      </c>
      <c r="I69" s="511">
        <f t="shared" si="3"/>
        <v>0</v>
      </c>
      <c r="J69" s="511"/>
      <c r="K69" s="525"/>
      <c r="L69" s="514">
        <f t="shared" si="11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7"/>
        <v>0</v>
      </c>
      <c r="F70" s="523">
        <f t="shared" si="8"/>
        <v>0</v>
      </c>
      <c r="G70" s="524">
        <f t="shared" si="12"/>
        <v>0</v>
      </c>
      <c r="H70" s="491">
        <f t="shared" si="13"/>
        <v>0</v>
      </c>
      <c r="I70" s="511">
        <f t="shared" si="3"/>
        <v>0</v>
      </c>
      <c r="J70" s="511"/>
      <c r="K70" s="525"/>
      <c r="L70" s="514">
        <f t="shared" si="11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7"/>
        <v>0</v>
      </c>
      <c r="F71" s="523">
        <f t="shared" si="8"/>
        <v>0</v>
      </c>
      <c r="G71" s="524">
        <f t="shared" si="12"/>
        <v>0</v>
      </c>
      <c r="H71" s="491">
        <f t="shared" si="13"/>
        <v>0</v>
      </c>
      <c r="I71" s="511">
        <f t="shared" si="3"/>
        <v>0</v>
      </c>
      <c r="J71" s="511"/>
      <c r="K71" s="525"/>
      <c r="L71" s="514">
        <f t="shared" si="11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7"/>
        <v>0</v>
      </c>
      <c r="F72" s="523">
        <f t="shared" si="8"/>
        <v>0</v>
      </c>
      <c r="G72" s="524">
        <f t="shared" si="12"/>
        <v>0</v>
      </c>
      <c r="H72" s="491">
        <f t="shared" si="13"/>
        <v>0</v>
      </c>
      <c r="I72" s="511">
        <f t="shared" si="3"/>
        <v>0</v>
      </c>
      <c r="J72" s="511"/>
      <c r="K72" s="532"/>
      <c r="L72" s="533">
        <f t="shared" si="11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12017567.000000004</v>
      </c>
      <c r="F73" s="375"/>
      <c r="G73" s="375">
        <f>SUM(G17:G72)</f>
        <v>40718326.54201851</v>
      </c>
      <c r="H73" s="375">
        <f>SUM(H17:H72)</f>
        <v>40718326.54201851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52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1375144.4653373505</v>
      </c>
      <c r="N87" s="546">
        <f>IF(J92&lt;D11,0,VLOOKUP(J92,C17:O72,11))</f>
        <v>1375144.4653373505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1426472.7384823435</v>
      </c>
      <c r="N88" s="550">
        <f>IF(J92&lt;D11,0,VLOOKUP(J92,C99:P154,7))</f>
        <v>1426472.7384823435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Red Oak (State Line)-North Huntington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51328.273144993</v>
      </c>
      <c r="N89" s="555">
        <f>+N88-N87</f>
        <v>51328.273144993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TP2007166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12017567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286132.54761904763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142743.89285714287</v>
      </c>
      <c r="F99" s="631">
        <v>11847743.107142856</v>
      </c>
      <c r="G99" s="632">
        <v>5923871.5535714282</v>
      </c>
      <c r="H99" s="633">
        <v>923325.80014683155</v>
      </c>
      <c r="I99" s="634">
        <v>923325.80014683155</v>
      </c>
      <c r="J99" s="514">
        <f>+I99-H99</f>
        <v>0</v>
      </c>
      <c r="K99" s="514"/>
      <c r="L99" s="512">
        <f>+H99</f>
        <v>923325.80014683155</v>
      </c>
      <c r="M99" s="513">
        <f t="shared" ref="M99:M130" si="14">IF(L99&lt;&gt;0,+H99-L99,0)</f>
        <v>0</v>
      </c>
      <c r="N99" s="512">
        <f>+I99</f>
        <v>923325.80014683155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11874823.107142856</v>
      </c>
      <c r="E100" s="630">
        <v>279478.30232558138</v>
      </c>
      <c r="F100" s="631">
        <v>11595344.804817274</v>
      </c>
      <c r="G100" s="631">
        <v>11735083.955980066</v>
      </c>
      <c r="H100" s="633">
        <v>1769247.0731001948</v>
      </c>
      <c r="I100" s="634">
        <v>1769247.0731001948</v>
      </c>
      <c r="J100" s="514">
        <f>+I100-H100</f>
        <v>0</v>
      </c>
      <c r="K100" s="514"/>
      <c r="L100" s="518">
        <f>+H100</f>
        <v>1769247.0731001948</v>
      </c>
      <c r="M100" s="514">
        <f>IF(L100&lt;&gt;0,+H100-L100,0)</f>
        <v>0</v>
      </c>
      <c r="N100" s="518">
        <f>+I100</f>
        <v>1769247.0731001948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17">IF(D101=F100,"","IU")</f>
        <v/>
      </c>
      <c r="C101" s="507">
        <f>IF(D93="","-",+C100+1)</f>
        <v>2017</v>
      </c>
      <c r="D101" s="629">
        <v>11595344.804817274</v>
      </c>
      <c r="E101" s="630">
        <v>286132.54761904763</v>
      </c>
      <c r="F101" s="631">
        <v>11309212.257198226</v>
      </c>
      <c r="G101" s="631">
        <v>11452278.53100775</v>
      </c>
      <c r="H101" s="633">
        <v>1677257.5145835318</v>
      </c>
      <c r="I101" s="634">
        <v>1677257.5145835318</v>
      </c>
      <c r="J101" s="514">
        <f t="shared" ref="J101:J154" si="18">+I101-H101</f>
        <v>0</v>
      </c>
      <c r="K101" s="514"/>
      <c r="L101" s="518">
        <f>+H101</f>
        <v>1677257.5145835318</v>
      </c>
      <c r="M101" s="514">
        <f>IF(L101&lt;&gt;0,+H101-L101,0)</f>
        <v>0</v>
      </c>
      <c r="N101" s="518">
        <f>+I101</f>
        <v>1677257.5145835318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17"/>
        <v/>
      </c>
      <c r="C102" s="507">
        <f>IF(D93="","-",+C101+1)</f>
        <v>2018</v>
      </c>
      <c r="D102" s="629">
        <v>11309212.257198226</v>
      </c>
      <c r="E102" s="630">
        <v>286132.54761904763</v>
      </c>
      <c r="F102" s="631">
        <v>11023079.709579177</v>
      </c>
      <c r="G102" s="631">
        <v>11166145.983388701</v>
      </c>
      <c r="H102" s="633">
        <v>1465328.7693981156</v>
      </c>
      <c r="I102" s="634">
        <v>1465328.7693981156</v>
      </c>
      <c r="J102" s="514">
        <f t="shared" si="18"/>
        <v>0</v>
      </c>
      <c r="K102" s="514"/>
      <c r="L102" s="518">
        <f>+H102</f>
        <v>1465328.7693981156</v>
      </c>
      <c r="M102" s="514">
        <f>IF(L102&lt;&gt;0,+H102-L102,0)</f>
        <v>0</v>
      </c>
      <c r="N102" s="518">
        <f>+I102</f>
        <v>1465328.7693981156</v>
      </c>
      <c r="O102" s="514">
        <f>IF(N102&lt;&gt;0,+I102-N102,0)</f>
        <v>0</v>
      </c>
      <c r="P102" s="514">
        <f t="shared" si="16"/>
        <v>0</v>
      </c>
    </row>
    <row r="103" spans="1:16" ht="12.5">
      <c r="B103" s="195" t="str">
        <f t="shared" si="17"/>
        <v/>
      </c>
      <c r="C103" s="507">
        <f>IF(D93="","-",+C102+1)</f>
        <v>2019</v>
      </c>
      <c r="D103" s="629">
        <v>11023079.709579177</v>
      </c>
      <c r="E103" s="630">
        <v>279478.30232558138</v>
      </c>
      <c r="F103" s="631">
        <v>10743601.407253595</v>
      </c>
      <c r="G103" s="631">
        <v>10883340.558416385</v>
      </c>
      <c r="H103" s="633">
        <v>1444437.0239018579</v>
      </c>
      <c r="I103" s="634">
        <v>1444437.0239018579</v>
      </c>
      <c r="J103" s="514">
        <f t="shared" si="18"/>
        <v>0</v>
      </c>
      <c r="K103" s="514"/>
      <c r="L103" s="518">
        <f>+H103</f>
        <v>1444437.0239018579</v>
      </c>
      <c r="M103" s="514">
        <f>IF(L103&lt;&gt;0,+H103-L103,0)</f>
        <v>0</v>
      </c>
      <c r="N103" s="518">
        <f>+I103</f>
        <v>1444437.0239018579</v>
      </c>
      <c r="O103" s="514">
        <f t="shared" si="15"/>
        <v>0</v>
      </c>
      <c r="P103" s="514">
        <f t="shared" si="16"/>
        <v>0</v>
      </c>
    </row>
    <row r="104" spans="1:16" ht="12.5">
      <c r="B104" s="195" t="str">
        <f t="shared" si="17"/>
        <v/>
      </c>
      <c r="C104" s="507">
        <f>IF(D93="","-",+C103+1)</f>
        <v>2020</v>
      </c>
      <c r="D104" s="374">
        <f>IF(F103+SUM(E$99:E103)=D$92,F103,D$92-SUM(E$99:E103))</f>
        <v>10743601.407253595</v>
      </c>
      <c r="E104" s="522">
        <f t="shared" ref="E104:E154" si="19">IF(+$J$96&lt;F103,$J$96,D104)</f>
        <v>286132.54761904763</v>
      </c>
      <c r="F104" s="523">
        <f t="shared" ref="F104:F154" si="20">+D104-E104</f>
        <v>10457468.859634547</v>
      </c>
      <c r="G104" s="523">
        <f t="shared" ref="G104:G154" si="21">+(F104+D104)/2</f>
        <v>10600535.133444071</v>
      </c>
      <c r="H104" s="526">
        <f t="shared" ref="H104:H154" si="22">+J$94*G104+E104</f>
        <v>1426472.7384823435</v>
      </c>
      <c r="I104" s="577">
        <f t="shared" ref="I104:I154" si="23">+J$95*G104+E104</f>
        <v>1426472.7384823435</v>
      </c>
      <c r="J104" s="514">
        <f t="shared" si="18"/>
        <v>0</v>
      </c>
      <c r="K104" s="514"/>
      <c r="L104" s="525"/>
      <c r="M104" s="514">
        <f t="shared" si="14"/>
        <v>0</v>
      </c>
      <c r="N104" s="525"/>
      <c r="O104" s="514">
        <f t="shared" si="15"/>
        <v>0</v>
      </c>
      <c r="P104" s="514">
        <f t="shared" si="16"/>
        <v>0</v>
      </c>
    </row>
    <row r="105" spans="1:16" ht="12.5">
      <c r="B105" s="195" t="str">
        <f t="shared" si="17"/>
        <v/>
      </c>
      <c r="C105" s="507">
        <f>IF(D93="","-",+C104+1)</f>
        <v>2021</v>
      </c>
      <c r="D105" s="374">
        <f>IF(F104+SUM(E$99:E104)=D$92,F104,D$92-SUM(E$99:E104))</f>
        <v>10457468.859634547</v>
      </c>
      <c r="E105" s="522">
        <f t="shared" si="19"/>
        <v>286132.54761904763</v>
      </c>
      <c r="F105" s="523">
        <f t="shared" si="20"/>
        <v>10171336.312015498</v>
      </c>
      <c r="G105" s="523">
        <f t="shared" si="21"/>
        <v>10314402.585825022</v>
      </c>
      <c r="H105" s="526">
        <f t="shared" si="22"/>
        <v>1395692.3637317626</v>
      </c>
      <c r="I105" s="577">
        <f t="shared" si="23"/>
        <v>1395692.3637317626</v>
      </c>
      <c r="J105" s="514">
        <f t="shared" si="18"/>
        <v>0</v>
      </c>
      <c r="K105" s="514"/>
      <c r="L105" s="525"/>
      <c r="M105" s="514">
        <f t="shared" si="14"/>
        <v>0</v>
      </c>
      <c r="N105" s="525"/>
      <c r="O105" s="514">
        <f t="shared" si="15"/>
        <v>0</v>
      </c>
      <c r="P105" s="514">
        <f t="shared" si="16"/>
        <v>0</v>
      </c>
    </row>
    <row r="106" spans="1:16" ht="12.5">
      <c r="B106" s="195" t="str">
        <f t="shared" si="17"/>
        <v/>
      </c>
      <c r="C106" s="507">
        <f>IF(D93="","-",+C105+1)</f>
        <v>2022</v>
      </c>
      <c r="D106" s="374">
        <f>IF(F105+SUM(E$99:E105)=D$92,F105,D$92-SUM(E$99:E105))</f>
        <v>10171336.312015498</v>
      </c>
      <c r="E106" s="522">
        <f t="shared" si="19"/>
        <v>286132.54761904763</v>
      </c>
      <c r="F106" s="523">
        <f t="shared" si="20"/>
        <v>9885203.7643964496</v>
      </c>
      <c r="G106" s="523">
        <f t="shared" si="21"/>
        <v>10028270.038205974</v>
      </c>
      <c r="H106" s="526">
        <f t="shared" si="22"/>
        <v>1364911.988981182</v>
      </c>
      <c r="I106" s="577">
        <f t="shared" si="23"/>
        <v>1364911.988981182</v>
      </c>
      <c r="J106" s="514">
        <f t="shared" si="18"/>
        <v>0</v>
      </c>
      <c r="K106" s="514"/>
      <c r="L106" s="525"/>
      <c r="M106" s="514">
        <f t="shared" si="14"/>
        <v>0</v>
      </c>
      <c r="N106" s="525"/>
      <c r="O106" s="514">
        <f t="shared" si="15"/>
        <v>0</v>
      </c>
      <c r="P106" s="514">
        <f t="shared" si="16"/>
        <v>0</v>
      </c>
    </row>
    <row r="107" spans="1:16" ht="12.5">
      <c r="B107" s="195" t="str">
        <f t="shared" si="17"/>
        <v/>
      </c>
      <c r="C107" s="507">
        <f>IF(D93="","-",+C106+1)</f>
        <v>2023</v>
      </c>
      <c r="D107" s="374">
        <f>IF(F106+SUM(E$99:E106)=D$92,F106,D$92-SUM(E$99:E106))</f>
        <v>9885203.7643964496</v>
      </c>
      <c r="E107" s="522">
        <f t="shared" si="19"/>
        <v>286132.54761904763</v>
      </c>
      <c r="F107" s="523">
        <f t="shared" si="20"/>
        <v>9599071.216777401</v>
      </c>
      <c r="G107" s="523">
        <f t="shared" si="21"/>
        <v>9742137.4905869253</v>
      </c>
      <c r="H107" s="526">
        <f t="shared" si="22"/>
        <v>1334131.6142306011</v>
      </c>
      <c r="I107" s="577">
        <f t="shared" si="23"/>
        <v>1334131.6142306011</v>
      </c>
      <c r="J107" s="514">
        <f t="shared" si="18"/>
        <v>0</v>
      </c>
      <c r="K107" s="514"/>
      <c r="L107" s="525"/>
      <c r="M107" s="514">
        <f t="shared" si="14"/>
        <v>0</v>
      </c>
      <c r="N107" s="525"/>
      <c r="O107" s="514">
        <f t="shared" si="15"/>
        <v>0</v>
      </c>
      <c r="P107" s="514">
        <f t="shared" si="16"/>
        <v>0</v>
      </c>
    </row>
    <row r="108" spans="1:16" ht="12.5">
      <c r="B108" s="195" t="str">
        <f t="shared" si="17"/>
        <v/>
      </c>
      <c r="C108" s="507">
        <f>IF(D93="","-",+C107+1)</f>
        <v>2024</v>
      </c>
      <c r="D108" s="374">
        <f>IF(F107+SUM(E$99:E107)=D$92,F107,D$92-SUM(E$99:E107))</f>
        <v>9599071.216777401</v>
      </c>
      <c r="E108" s="522">
        <f t="shared" si="19"/>
        <v>286132.54761904763</v>
      </c>
      <c r="F108" s="523">
        <f t="shared" si="20"/>
        <v>9312938.6691583525</v>
      </c>
      <c r="G108" s="523">
        <f t="shared" si="21"/>
        <v>9456004.9429678768</v>
      </c>
      <c r="H108" s="526">
        <f t="shared" si="22"/>
        <v>1303351.2394800202</v>
      </c>
      <c r="I108" s="577">
        <f t="shared" si="23"/>
        <v>1303351.2394800202</v>
      </c>
      <c r="J108" s="514">
        <f t="shared" si="18"/>
        <v>0</v>
      </c>
      <c r="K108" s="514"/>
      <c r="L108" s="525"/>
      <c r="M108" s="514">
        <f t="shared" si="14"/>
        <v>0</v>
      </c>
      <c r="N108" s="525"/>
      <c r="O108" s="514">
        <f t="shared" si="15"/>
        <v>0</v>
      </c>
      <c r="P108" s="514">
        <f t="shared" si="16"/>
        <v>0</v>
      </c>
    </row>
    <row r="109" spans="1:16" ht="12.5">
      <c r="B109" s="195" t="str">
        <f t="shared" si="17"/>
        <v/>
      </c>
      <c r="C109" s="507">
        <f>IF(D93="","-",+C108+1)</f>
        <v>2025</v>
      </c>
      <c r="D109" s="374">
        <f>IF(F108+SUM(E$99:E108)=D$92,F108,D$92-SUM(E$99:E108))</f>
        <v>9312938.6691583525</v>
      </c>
      <c r="E109" s="522">
        <f t="shared" si="19"/>
        <v>286132.54761904763</v>
      </c>
      <c r="F109" s="523">
        <f t="shared" si="20"/>
        <v>9026806.121539304</v>
      </c>
      <c r="G109" s="523">
        <f t="shared" si="21"/>
        <v>9169872.3953488283</v>
      </c>
      <c r="H109" s="526">
        <f t="shared" si="22"/>
        <v>1272570.8647294394</v>
      </c>
      <c r="I109" s="577">
        <f t="shared" si="23"/>
        <v>1272570.8647294394</v>
      </c>
      <c r="J109" s="514">
        <f t="shared" si="18"/>
        <v>0</v>
      </c>
      <c r="K109" s="514"/>
      <c r="L109" s="525"/>
      <c r="M109" s="514">
        <f t="shared" si="14"/>
        <v>0</v>
      </c>
      <c r="N109" s="525"/>
      <c r="O109" s="514">
        <f t="shared" si="15"/>
        <v>0</v>
      </c>
      <c r="P109" s="514">
        <f t="shared" si="16"/>
        <v>0</v>
      </c>
    </row>
    <row r="110" spans="1:16" ht="12.5">
      <c r="B110" s="195" t="str">
        <f t="shared" si="17"/>
        <v/>
      </c>
      <c r="C110" s="507">
        <f>IF(D93="","-",+C109+1)</f>
        <v>2026</v>
      </c>
      <c r="D110" s="374">
        <f>IF(F109+SUM(E$99:E109)=D$92,F109,D$92-SUM(E$99:E109))</f>
        <v>9026806.121539304</v>
      </c>
      <c r="E110" s="522">
        <f t="shared" si="19"/>
        <v>286132.54761904763</v>
      </c>
      <c r="F110" s="523">
        <f t="shared" si="20"/>
        <v>8740673.5739202555</v>
      </c>
      <c r="G110" s="523">
        <f t="shared" si="21"/>
        <v>8883739.8477297798</v>
      </c>
      <c r="H110" s="526">
        <f t="shared" si="22"/>
        <v>1241790.4899788585</v>
      </c>
      <c r="I110" s="577">
        <f t="shared" si="23"/>
        <v>1241790.4899788585</v>
      </c>
      <c r="J110" s="514">
        <f t="shared" si="18"/>
        <v>0</v>
      </c>
      <c r="K110" s="514"/>
      <c r="L110" s="525"/>
      <c r="M110" s="514">
        <f t="shared" si="14"/>
        <v>0</v>
      </c>
      <c r="N110" s="525"/>
      <c r="O110" s="514">
        <f t="shared" si="15"/>
        <v>0</v>
      </c>
      <c r="P110" s="514">
        <f t="shared" si="16"/>
        <v>0</v>
      </c>
    </row>
    <row r="111" spans="1:16" ht="12.5">
      <c r="B111" s="195" t="str">
        <f t="shared" si="17"/>
        <v/>
      </c>
      <c r="C111" s="507">
        <f>IF(D93="","-",+C110+1)</f>
        <v>2027</v>
      </c>
      <c r="D111" s="374">
        <f>IF(F110+SUM(E$99:E110)=D$92,F110,D$92-SUM(E$99:E110))</f>
        <v>8740673.5739202555</v>
      </c>
      <c r="E111" s="522">
        <f t="shared" si="19"/>
        <v>286132.54761904763</v>
      </c>
      <c r="F111" s="523">
        <f t="shared" si="20"/>
        <v>8454541.026301207</v>
      </c>
      <c r="G111" s="523">
        <f t="shared" si="21"/>
        <v>8597607.3001107313</v>
      </c>
      <c r="H111" s="526">
        <f t="shared" si="22"/>
        <v>1211010.1152282779</v>
      </c>
      <c r="I111" s="577">
        <f t="shared" si="23"/>
        <v>1211010.1152282779</v>
      </c>
      <c r="J111" s="514">
        <f t="shared" si="18"/>
        <v>0</v>
      </c>
      <c r="K111" s="514"/>
      <c r="L111" s="525"/>
      <c r="M111" s="514">
        <f t="shared" si="14"/>
        <v>0</v>
      </c>
      <c r="N111" s="525"/>
      <c r="O111" s="514">
        <f t="shared" si="15"/>
        <v>0</v>
      </c>
      <c r="P111" s="514">
        <f t="shared" si="16"/>
        <v>0</v>
      </c>
    </row>
    <row r="112" spans="1:16" ht="12.5">
      <c r="B112" s="195" t="str">
        <f t="shared" si="17"/>
        <v/>
      </c>
      <c r="C112" s="507">
        <f>IF(D93="","-",+C111+1)</f>
        <v>2028</v>
      </c>
      <c r="D112" s="374">
        <f>IF(F111+SUM(E$99:E111)=D$92,F111,D$92-SUM(E$99:E111))</f>
        <v>8454541.026301207</v>
      </c>
      <c r="E112" s="522">
        <f t="shared" si="19"/>
        <v>286132.54761904763</v>
      </c>
      <c r="F112" s="523">
        <f t="shared" si="20"/>
        <v>8168408.4786821594</v>
      </c>
      <c r="G112" s="523">
        <f t="shared" si="21"/>
        <v>8311474.7524916828</v>
      </c>
      <c r="H112" s="526">
        <f t="shared" si="22"/>
        <v>1180229.740477697</v>
      </c>
      <c r="I112" s="577">
        <f t="shared" si="23"/>
        <v>1180229.740477697</v>
      </c>
      <c r="J112" s="514">
        <f t="shared" si="18"/>
        <v>0</v>
      </c>
      <c r="K112" s="514"/>
      <c r="L112" s="525"/>
      <c r="M112" s="514">
        <f t="shared" si="14"/>
        <v>0</v>
      </c>
      <c r="N112" s="525"/>
      <c r="O112" s="514">
        <f t="shared" si="15"/>
        <v>0</v>
      </c>
      <c r="P112" s="514">
        <f t="shared" si="16"/>
        <v>0</v>
      </c>
    </row>
    <row r="113" spans="2:16" ht="12.5">
      <c r="B113" s="195" t="str">
        <f t="shared" si="17"/>
        <v/>
      </c>
      <c r="C113" s="507">
        <f>IF(D93="","-",+C112+1)</f>
        <v>2029</v>
      </c>
      <c r="D113" s="374">
        <f>IF(F112+SUM(E$99:E112)=D$92,F112,D$92-SUM(E$99:E112))</f>
        <v>8168408.4786821594</v>
      </c>
      <c r="E113" s="522">
        <f t="shared" si="19"/>
        <v>286132.54761904763</v>
      </c>
      <c r="F113" s="523">
        <f t="shared" si="20"/>
        <v>7882275.9310631119</v>
      </c>
      <c r="G113" s="523">
        <f t="shared" si="21"/>
        <v>8025342.2048726361</v>
      </c>
      <c r="H113" s="526">
        <f t="shared" si="22"/>
        <v>1149449.3657271164</v>
      </c>
      <c r="I113" s="577">
        <f t="shared" si="23"/>
        <v>1149449.3657271164</v>
      </c>
      <c r="J113" s="514">
        <f t="shared" si="18"/>
        <v>0</v>
      </c>
      <c r="K113" s="514"/>
      <c r="L113" s="525"/>
      <c r="M113" s="514">
        <f t="shared" si="14"/>
        <v>0</v>
      </c>
      <c r="N113" s="525"/>
      <c r="O113" s="514">
        <f t="shared" si="15"/>
        <v>0</v>
      </c>
      <c r="P113" s="514">
        <f t="shared" si="16"/>
        <v>0</v>
      </c>
    </row>
    <row r="114" spans="2:16" ht="12.5">
      <c r="B114" s="195" t="str">
        <f t="shared" si="17"/>
        <v/>
      </c>
      <c r="C114" s="507">
        <f>IF(D93="","-",+C113+1)</f>
        <v>2030</v>
      </c>
      <c r="D114" s="374">
        <f>IF(F113+SUM(E$99:E113)=D$92,F113,D$92-SUM(E$99:E113))</f>
        <v>7882275.9310631119</v>
      </c>
      <c r="E114" s="522">
        <f t="shared" si="19"/>
        <v>286132.54761904763</v>
      </c>
      <c r="F114" s="523">
        <f t="shared" si="20"/>
        <v>7596143.3834440643</v>
      </c>
      <c r="G114" s="523">
        <f t="shared" si="21"/>
        <v>7739209.6572535876</v>
      </c>
      <c r="H114" s="526">
        <f t="shared" si="22"/>
        <v>1118668.9909765355</v>
      </c>
      <c r="I114" s="577">
        <f t="shared" si="23"/>
        <v>1118668.9909765355</v>
      </c>
      <c r="J114" s="514">
        <f t="shared" si="18"/>
        <v>0</v>
      </c>
      <c r="K114" s="514"/>
      <c r="L114" s="525"/>
      <c r="M114" s="514">
        <f t="shared" si="14"/>
        <v>0</v>
      </c>
      <c r="N114" s="525"/>
      <c r="O114" s="514">
        <f t="shared" si="15"/>
        <v>0</v>
      </c>
      <c r="P114" s="514">
        <f t="shared" si="16"/>
        <v>0</v>
      </c>
    </row>
    <row r="115" spans="2:16" ht="12.5">
      <c r="B115" s="195" t="str">
        <f t="shared" si="17"/>
        <v/>
      </c>
      <c r="C115" s="507">
        <f>IF(D93="","-",+C114+1)</f>
        <v>2031</v>
      </c>
      <c r="D115" s="374">
        <f>IF(F114+SUM(E$99:E114)=D$92,F114,D$92-SUM(E$99:E114))</f>
        <v>7596143.3834440643</v>
      </c>
      <c r="E115" s="522">
        <f t="shared" si="19"/>
        <v>286132.54761904763</v>
      </c>
      <c r="F115" s="523">
        <f t="shared" si="20"/>
        <v>7310010.8358250167</v>
      </c>
      <c r="G115" s="523">
        <f t="shared" si="21"/>
        <v>7453077.109634541</v>
      </c>
      <c r="H115" s="526">
        <f t="shared" si="22"/>
        <v>1087888.6162259548</v>
      </c>
      <c r="I115" s="577">
        <f t="shared" si="23"/>
        <v>1087888.6162259548</v>
      </c>
      <c r="J115" s="514">
        <f t="shared" si="18"/>
        <v>0</v>
      </c>
      <c r="K115" s="514"/>
      <c r="L115" s="525"/>
      <c r="M115" s="514">
        <f t="shared" si="14"/>
        <v>0</v>
      </c>
      <c r="N115" s="525"/>
      <c r="O115" s="514">
        <f t="shared" si="15"/>
        <v>0</v>
      </c>
      <c r="P115" s="514">
        <f t="shared" si="16"/>
        <v>0</v>
      </c>
    </row>
    <row r="116" spans="2:16" ht="12.5">
      <c r="B116" s="195" t="str">
        <f t="shared" si="17"/>
        <v/>
      </c>
      <c r="C116" s="507">
        <f>IF(D93="","-",+C115+1)</f>
        <v>2032</v>
      </c>
      <c r="D116" s="374">
        <f>IF(F115+SUM(E$99:E115)=D$92,F115,D$92-SUM(E$99:E115))</f>
        <v>7310010.8358250167</v>
      </c>
      <c r="E116" s="522">
        <f t="shared" si="19"/>
        <v>286132.54761904763</v>
      </c>
      <c r="F116" s="523">
        <f t="shared" si="20"/>
        <v>7023878.2882059691</v>
      </c>
      <c r="G116" s="523">
        <f t="shared" si="21"/>
        <v>7166944.5620154925</v>
      </c>
      <c r="H116" s="526">
        <f t="shared" si="22"/>
        <v>1057108.241475374</v>
      </c>
      <c r="I116" s="577">
        <f t="shared" si="23"/>
        <v>1057108.241475374</v>
      </c>
      <c r="J116" s="514">
        <f t="shared" si="18"/>
        <v>0</v>
      </c>
      <c r="K116" s="514"/>
      <c r="L116" s="525"/>
      <c r="M116" s="514">
        <f t="shared" si="14"/>
        <v>0</v>
      </c>
      <c r="N116" s="525"/>
      <c r="O116" s="514">
        <f t="shared" si="15"/>
        <v>0</v>
      </c>
      <c r="P116" s="514">
        <f t="shared" si="16"/>
        <v>0</v>
      </c>
    </row>
    <row r="117" spans="2:16" ht="12.5">
      <c r="B117" s="195" t="str">
        <f t="shared" si="17"/>
        <v/>
      </c>
      <c r="C117" s="507">
        <f>IF(D93="","-",+C116+1)</f>
        <v>2033</v>
      </c>
      <c r="D117" s="374">
        <f>IF(F116+SUM(E$99:E116)=D$92,F116,D$92-SUM(E$99:E116))</f>
        <v>7023878.2882059691</v>
      </c>
      <c r="E117" s="522">
        <f t="shared" si="19"/>
        <v>286132.54761904763</v>
      </c>
      <c r="F117" s="523">
        <f t="shared" si="20"/>
        <v>6737745.7405869216</v>
      </c>
      <c r="G117" s="523">
        <f t="shared" si="21"/>
        <v>6880812.0143964458</v>
      </c>
      <c r="H117" s="526">
        <f t="shared" si="22"/>
        <v>1026327.8667247933</v>
      </c>
      <c r="I117" s="577">
        <f t="shared" si="23"/>
        <v>1026327.8667247933</v>
      </c>
      <c r="J117" s="514">
        <f t="shared" si="18"/>
        <v>0</v>
      </c>
      <c r="K117" s="514"/>
      <c r="L117" s="525"/>
      <c r="M117" s="514">
        <f t="shared" si="14"/>
        <v>0</v>
      </c>
      <c r="N117" s="525"/>
      <c r="O117" s="514">
        <f t="shared" si="15"/>
        <v>0</v>
      </c>
      <c r="P117" s="514">
        <f t="shared" si="16"/>
        <v>0</v>
      </c>
    </row>
    <row r="118" spans="2:16" ht="12.5">
      <c r="B118" s="195" t="str">
        <f t="shared" si="17"/>
        <v/>
      </c>
      <c r="C118" s="507">
        <f>IF(D93="","-",+C117+1)</f>
        <v>2034</v>
      </c>
      <c r="D118" s="374">
        <f>IF(F117+SUM(E$99:E117)=D$92,F117,D$92-SUM(E$99:E117))</f>
        <v>6737745.7405869216</v>
      </c>
      <c r="E118" s="522">
        <f t="shared" si="19"/>
        <v>286132.54761904763</v>
      </c>
      <c r="F118" s="523">
        <f t="shared" si="20"/>
        <v>6451613.192967874</v>
      </c>
      <c r="G118" s="523">
        <f t="shared" si="21"/>
        <v>6594679.4667773973</v>
      </c>
      <c r="H118" s="526">
        <f t="shared" si="22"/>
        <v>995547.49197421246</v>
      </c>
      <c r="I118" s="577">
        <f t="shared" si="23"/>
        <v>995547.49197421246</v>
      </c>
      <c r="J118" s="514">
        <f t="shared" si="18"/>
        <v>0</v>
      </c>
      <c r="K118" s="514"/>
      <c r="L118" s="525"/>
      <c r="M118" s="514">
        <f t="shared" si="14"/>
        <v>0</v>
      </c>
      <c r="N118" s="525"/>
      <c r="O118" s="514">
        <f t="shared" si="15"/>
        <v>0</v>
      </c>
      <c r="P118" s="514">
        <f t="shared" si="16"/>
        <v>0</v>
      </c>
    </row>
    <row r="119" spans="2:16" ht="12.5">
      <c r="B119" s="195" t="str">
        <f t="shared" si="17"/>
        <v/>
      </c>
      <c r="C119" s="507">
        <f>IF(D93="","-",+C118+1)</f>
        <v>2035</v>
      </c>
      <c r="D119" s="374">
        <f>IF(F118+SUM(E$99:E118)=D$92,F118,D$92-SUM(E$99:E118))</f>
        <v>6451613.192967874</v>
      </c>
      <c r="E119" s="522">
        <f t="shared" si="19"/>
        <v>286132.54761904763</v>
      </c>
      <c r="F119" s="523">
        <f t="shared" si="20"/>
        <v>6165480.6453488264</v>
      </c>
      <c r="G119" s="523">
        <f t="shared" si="21"/>
        <v>6308546.9191583507</v>
      </c>
      <c r="H119" s="526">
        <f t="shared" si="22"/>
        <v>964767.11722363182</v>
      </c>
      <c r="I119" s="577">
        <f t="shared" si="23"/>
        <v>964767.11722363182</v>
      </c>
      <c r="J119" s="514">
        <f t="shared" si="18"/>
        <v>0</v>
      </c>
      <c r="K119" s="514"/>
      <c r="L119" s="525"/>
      <c r="M119" s="514">
        <f t="shared" si="14"/>
        <v>0</v>
      </c>
      <c r="N119" s="525"/>
      <c r="O119" s="514">
        <f t="shared" si="15"/>
        <v>0</v>
      </c>
      <c r="P119" s="514">
        <f t="shared" si="16"/>
        <v>0</v>
      </c>
    </row>
    <row r="120" spans="2:16" ht="12.5">
      <c r="B120" s="195" t="str">
        <f t="shared" si="17"/>
        <v/>
      </c>
      <c r="C120" s="507">
        <f>IF(D93="","-",+C119+1)</f>
        <v>2036</v>
      </c>
      <c r="D120" s="374">
        <f>IF(F119+SUM(E$99:E119)=D$92,F119,D$92-SUM(E$99:E119))</f>
        <v>6165480.6453488264</v>
      </c>
      <c r="E120" s="522">
        <f t="shared" si="19"/>
        <v>286132.54761904763</v>
      </c>
      <c r="F120" s="523">
        <f t="shared" si="20"/>
        <v>5879348.0977297788</v>
      </c>
      <c r="G120" s="523">
        <f t="shared" si="21"/>
        <v>6022414.3715393022</v>
      </c>
      <c r="H120" s="526">
        <f t="shared" si="22"/>
        <v>933986.74247305118</v>
      </c>
      <c r="I120" s="577">
        <f t="shared" si="23"/>
        <v>933986.74247305118</v>
      </c>
      <c r="J120" s="514">
        <f t="shared" si="18"/>
        <v>0</v>
      </c>
      <c r="K120" s="514"/>
      <c r="L120" s="525"/>
      <c r="M120" s="514">
        <f t="shared" si="14"/>
        <v>0</v>
      </c>
      <c r="N120" s="525"/>
      <c r="O120" s="514">
        <f t="shared" si="15"/>
        <v>0</v>
      </c>
      <c r="P120" s="514">
        <f t="shared" si="16"/>
        <v>0</v>
      </c>
    </row>
    <row r="121" spans="2:16" ht="12.5">
      <c r="B121" s="195" t="str">
        <f t="shared" si="17"/>
        <v/>
      </c>
      <c r="C121" s="507">
        <f>IF(D93="","-",+C120+1)</f>
        <v>2037</v>
      </c>
      <c r="D121" s="374">
        <f>IF(F120+SUM(E$99:E120)=D$92,F120,D$92-SUM(E$99:E120))</f>
        <v>5879348.0977297788</v>
      </c>
      <c r="E121" s="522">
        <f t="shared" si="19"/>
        <v>286132.54761904763</v>
      </c>
      <c r="F121" s="523">
        <f t="shared" si="20"/>
        <v>5593215.5501107313</v>
      </c>
      <c r="G121" s="523">
        <f t="shared" si="21"/>
        <v>5736281.8239202555</v>
      </c>
      <c r="H121" s="526">
        <f t="shared" si="22"/>
        <v>903206.36772247055</v>
      </c>
      <c r="I121" s="577">
        <f t="shared" si="23"/>
        <v>903206.36772247055</v>
      </c>
      <c r="J121" s="514">
        <f t="shared" si="18"/>
        <v>0</v>
      </c>
      <c r="K121" s="514"/>
      <c r="L121" s="525"/>
      <c r="M121" s="514">
        <f t="shared" si="14"/>
        <v>0</v>
      </c>
      <c r="N121" s="525"/>
      <c r="O121" s="514">
        <f t="shared" si="15"/>
        <v>0</v>
      </c>
      <c r="P121" s="514">
        <f t="shared" si="16"/>
        <v>0</v>
      </c>
    </row>
    <row r="122" spans="2:16" ht="12.5">
      <c r="B122" s="195" t="str">
        <f t="shared" si="17"/>
        <v/>
      </c>
      <c r="C122" s="507">
        <f>IF(D93="","-",+C121+1)</f>
        <v>2038</v>
      </c>
      <c r="D122" s="374">
        <f>IF(F121+SUM(E$99:E121)=D$92,F121,D$92-SUM(E$99:E121))</f>
        <v>5593215.5501107313</v>
      </c>
      <c r="E122" s="522">
        <f t="shared" si="19"/>
        <v>286132.54761904763</v>
      </c>
      <c r="F122" s="523">
        <f t="shared" si="20"/>
        <v>5307083.0024916837</v>
      </c>
      <c r="G122" s="523">
        <f t="shared" si="21"/>
        <v>5450149.276301207</v>
      </c>
      <c r="H122" s="526">
        <f t="shared" si="22"/>
        <v>872425.99297188967</v>
      </c>
      <c r="I122" s="577">
        <f t="shared" si="23"/>
        <v>872425.99297188967</v>
      </c>
      <c r="J122" s="514">
        <f t="shared" si="18"/>
        <v>0</v>
      </c>
      <c r="K122" s="514"/>
      <c r="L122" s="525"/>
      <c r="M122" s="514">
        <f t="shared" si="14"/>
        <v>0</v>
      </c>
      <c r="N122" s="525"/>
      <c r="O122" s="514">
        <f t="shared" si="15"/>
        <v>0</v>
      </c>
      <c r="P122" s="514">
        <f t="shared" si="16"/>
        <v>0</v>
      </c>
    </row>
    <row r="123" spans="2:16" ht="12.5">
      <c r="B123" s="195" t="str">
        <f t="shared" si="17"/>
        <v/>
      </c>
      <c r="C123" s="507">
        <f>IF(D93="","-",+C122+1)</f>
        <v>2039</v>
      </c>
      <c r="D123" s="374">
        <f>IF(F122+SUM(E$99:E122)=D$92,F122,D$92-SUM(E$99:E122))</f>
        <v>5307083.0024916837</v>
      </c>
      <c r="E123" s="522">
        <f t="shared" si="19"/>
        <v>286132.54761904763</v>
      </c>
      <c r="F123" s="523">
        <f t="shared" si="20"/>
        <v>5020950.4548726361</v>
      </c>
      <c r="G123" s="523">
        <f t="shared" si="21"/>
        <v>5164016.7286821604</v>
      </c>
      <c r="H123" s="526">
        <f t="shared" si="22"/>
        <v>841645.61822130904</v>
      </c>
      <c r="I123" s="577">
        <f t="shared" si="23"/>
        <v>841645.61822130904</v>
      </c>
      <c r="J123" s="514">
        <f t="shared" si="18"/>
        <v>0</v>
      </c>
      <c r="K123" s="514"/>
      <c r="L123" s="525"/>
      <c r="M123" s="514">
        <f t="shared" si="14"/>
        <v>0</v>
      </c>
      <c r="N123" s="525"/>
      <c r="O123" s="514">
        <f t="shared" si="15"/>
        <v>0</v>
      </c>
      <c r="P123" s="514">
        <f t="shared" si="16"/>
        <v>0</v>
      </c>
    </row>
    <row r="124" spans="2:16" ht="12.5">
      <c r="B124" s="195" t="str">
        <f t="shared" si="17"/>
        <v/>
      </c>
      <c r="C124" s="507">
        <f>IF(D93="","-",+C123+1)</f>
        <v>2040</v>
      </c>
      <c r="D124" s="374">
        <f>IF(F123+SUM(E$99:E123)=D$92,F123,D$92-SUM(E$99:E123))</f>
        <v>5020950.4548726361</v>
      </c>
      <c r="E124" s="522">
        <f t="shared" si="19"/>
        <v>286132.54761904763</v>
      </c>
      <c r="F124" s="523">
        <f t="shared" si="20"/>
        <v>4734817.9072535885</v>
      </c>
      <c r="G124" s="523">
        <f t="shared" si="21"/>
        <v>4877884.1810631119</v>
      </c>
      <c r="H124" s="526">
        <f t="shared" si="22"/>
        <v>810865.24347072816</v>
      </c>
      <c r="I124" s="577">
        <f t="shared" si="23"/>
        <v>810865.24347072816</v>
      </c>
      <c r="J124" s="514">
        <f t="shared" si="18"/>
        <v>0</v>
      </c>
      <c r="K124" s="514"/>
      <c r="L124" s="525"/>
      <c r="M124" s="514">
        <f t="shared" si="14"/>
        <v>0</v>
      </c>
      <c r="N124" s="525"/>
      <c r="O124" s="514">
        <f t="shared" si="15"/>
        <v>0</v>
      </c>
      <c r="P124" s="514">
        <f t="shared" si="16"/>
        <v>0</v>
      </c>
    </row>
    <row r="125" spans="2:16" ht="12.5">
      <c r="B125" s="195" t="str">
        <f t="shared" si="17"/>
        <v/>
      </c>
      <c r="C125" s="507">
        <f>IF(D93="","-",+C124+1)</f>
        <v>2041</v>
      </c>
      <c r="D125" s="374">
        <f>IF(F124+SUM(E$99:E124)=D$92,F124,D$92-SUM(E$99:E124))</f>
        <v>4734817.9072535885</v>
      </c>
      <c r="E125" s="522">
        <f t="shared" si="19"/>
        <v>286132.54761904763</v>
      </c>
      <c r="F125" s="523">
        <f t="shared" si="20"/>
        <v>4448685.359634541</v>
      </c>
      <c r="G125" s="523">
        <f t="shared" si="21"/>
        <v>4591751.6334440652</v>
      </c>
      <c r="H125" s="526">
        <f t="shared" si="22"/>
        <v>780084.86872014753</v>
      </c>
      <c r="I125" s="577">
        <f t="shared" si="23"/>
        <v>780084.86872014753</v>
      </c>
      <c r="J125" s="514">
        <f t="shared" si="18"/>
        <v>0</v>
      </c>
      <c r="K125" s="514"/>
      <c r="L125" s="525"/>
      <c r="M125" s="514">
        <f t="shared" si="14"/>
        <v>0</v>
      </c>
      <c r="N125" s="525"/>
      <c r="O125" s="514">
        <f t="shared" si="15"/>
        <v>0</v>
      </c>
      <c r="P125" s="514">
        <f t="shared" si="16"/>
        <v>0</v>
      </c>
    </row>
    <row r="126" spans="2:16" ht="12.5">
      <c r="B126" s="195" t="str">
        <f t="shared" si="17"/>
        <v/>
      </c>
      <c r="C126" s="507">
        <f>IF(D93="","-",+C125+1)</f>
        <v>2042</v>
      </c>
      <c r="D126" s="374">
        <f>IF(F125+SUM(E$99:E125)=D$92,F125,D$92-SUM(E$99:E125))</f>
        <v>4448685.359634541</v>
      </c>
      <c r="E126" s="522">
        <f t="shared" si="19"/>
        <v>286132.54761904763</v>
      </c>
      <c r="F126" s="523">
        <f t="shared" si="20"/>
        <v>4162552.8120154934</v>
      </c>
      <c r="G126" s="523">
        <f t="shared" si="21"/>
        <v>4305619.0858250167</v>
      </c>
      <c r="H126" s="526">
        <f t="shared" si="22"/>
        <v>749304.49396956665</v>
      </c>
      <c r="I126" s="577">
        <f t="shared" si="23"/>
        <v>749304.49396956665</v>
      </c>
      <c r="J126" s="514">
        <f t="shared" si="18"/>
        <v>0</v>
      </c>
      <c r="K126" s="514"/>
      <c r="L126" s="525"/>
      <c r="M126" s="514">
        <f t="shared" si="14"/>
        <v>0</v>
      </c>
      <c r="N126" s="525"/>
      <c r="O126" s="514">
        <f t="shared" si="15"/>
        <v>0</v>
      </c>
      <c r="P126" s="514">
        <f t="shared" si="16"/>
        <v>0</v>
      </c>
    </row>
    <row r="127" spans="2:16" ht="12.5">
      <c r="B127" s="195" t="str">
        <f t="shared" si="17"/>
        <v/>
      </c>
      <c r="C127" s="507">
        <f>IF(D93="","-",+C126+1)</f>
        <v>2043</v>
      </c>
      <c r="D127" s="374">
        <f>IF(F126+SUM(E$99:E126)=D$92,F126,D$92-SUM(E$99:E126))</f>
        <v>4162552.8120154934</v>
      </c>
      <c r="E127" s="522">
        <f t="shared" si="19"/>
        <v>286132.54761904763</v>
      </c>
      <c r="F127" s="523">
        <f t="shared" si="20"/>
        <v>3876420.2643964458</v>
      </c>
      <c r="G127" s="523">
        <f t="shared" si="21"/>
        <v>4019486.5382059696</v>
      </c>
      <c r="H127" s="526">
        <f t="shared" si="22"/>
        <v>718524.11921898602</v>
      </c>
      <c r="I127" s="577">
        <f t="shared" si="23"/>
        <v>718524.11921898602</v>
      </c>
      <c r="J127" s="514">
        <f t="shared" si="18"/>
        <v>0</v>
      </c>
      <c r="K127" s="514"/>
      <c r="L127" s="525"/>
      <c r="M127" s="514">
        <f t="shared" si="14"/>
        <v>0</v>
      </c>
      <c r="N127" s="525"/>
      <c r="O127" s="514">
        <f t="shared" si="15"/>
        <v>0</v>
      </c>
      <c r="P127" s="514">
        <f t="shared" si="16"/>
        <v>0</v>
      </c>
    </row>
    <row r="128" spans="2:16" ht="12.5">
      <c r="B128" s="195" t="str">
        <f t="shared" si="17"/>
        <v/>
      </c>
      <c r="C128" s="507">
        <f>IF(D93="","-",+C127+1)</f>
        <v>2044</v>
      </c>
      <c r="D128" s="374">
        <f>IF(F127+SUM(E$99:E127)=D$92,F127,D$92-SUM(E$99:E127))</f>
        <v>3876420.2643964458</v>
      </c>
      <c r="E128" s="522">
        <f t="shared" si="19"/>
        <v>286132.54761904763</v>
      </c>
      <c r="F128" s="523">
        <f t="shared" si="20"/>
        <v>3590287.7167773983</v>
      </c>
      <c r="G128" s="523">
        <f t="shared" si="21"/>
        <v>3733353.990586922</v>
      </c>
      <c r="H128" s="526">
        <f t="shared" si="22"/>
        <v>687743.74446840526</v>
      </c>
      <c r="I128" s="577">
        <f t="shared" si="23"/>
        <v>687743.74446840526</v>
      </c>
      <c r="J128" s="514">
        <f t="shared" si="18"/>
        <v>0</v>
      </c>
      <c r="K128" s="514"/>
      <c r="L128" s="525"/>
      <c r="M128" s="514">
        <f t="shared" si="14"/>
        <v>0</v>
      </c>
      <c r="N128" s="525"/>
      <c r="O128" s="514">
        <f t="shared" si="15"/>
        <v>0</v>
      </c>
      <c r="P128" s="514">
        <f t="shared" si="16"/>
        <v>0</v>
      </c>
    </row>
    <row r="129" spans="2:16" ht="12.5">
      <c r="B129" s="195" t="str">
        <f t="shared" si="17"/>
        <v/>
      </c>
      <c r="C129" s="507">
        <f>IF(D93="","-",+C128+1)</f>
        <v>2045</v>
      </c>
      <c r="D129" s="374">
        <f>IF(F128+SUM(E$99:E128)=D$92,F128,D$92-SUM(E$99:E128))</f>
        <v>3590287.7167773983</v>
      </c>
      <c r="E129" s="522">
        <f t="shared" si="19"/>
        <v>286132.54761904763</v>
      </c>
      <c r="F129" s="523">
        <f t="shared" si="20"/>
        <v>3304155.1691583507</v>
      </c>
      <c r="G129" s="523">
        <f t="shared" si="21"/>
        <v>3447221.4429678745</v>
      </c>
      <c r="H129" s="526">
        <f t="shared" si="22"/>
        <v>656963.36971782451</v>
      </c>
      <c r="I129" s="577">
        <f t="shared" si="23"/>
        <v>656963.36971782451</v>
      </c>
      <c r="J129" s="514">
        <f t="shared" si="18"/>
        <v>0</v>
      </c>
      <c r="K129" s="514"/>
      <c r="L129" s="525"/>
      <c r="M129" s="514">
        <f t="shared" si="14"/>
        <v>0</v>
      </c>
      <c r="N129" s="525"/>
      <c r="O129" s="514">
        <f t="shared" si="15"/>
        <v>0</v>
      </c>
      <c r="P129" s="514">
        <f t="shared" si="16"/>
        <v>0</v>
      </c>
    </row>
    <row r="130" spans="2:16" ht="12.5">
      <c r="B130" s="195" t="str">
        <f t="shared" si="17"/>
        <v/>
      </c>
      <c r="C130" s="507">
        <f>IF(D93="","-",+C129+1)</f>
        <v>2046</v>
      </c>
      <c r="D130" s="374">
        <f>IF(F129+SUM(E$99:E129)=D$92,F129,D$92-SUM(E$99:E129))</f>
        <v>3304155.1691583507</v>
      </c>
      <c r="E130" s="522">
        <f t="shared" si="19"/>
        <v>286132.54761904763</v>
      </c>
      <c r="F130" s="523">
        <f t="shared" si="20"/>
        <v>3018022.6215393031</v>
      </c>
      <c r="G130" s="523">
        <f t="shared" si="21"/>
        <v>3161088.8953488269</v>
      </c>
      <c r="H130" s="526">
        <f t="shared" si="22"/>
        <v>626182.99496724387</v>
      </c>
      <c r="I130" s="577">
        <f t="shared" si="23"/>
        <v>626182.99496724387</v>
      </c>
      <c r="J130" s="514">
        <f t="shared" si="18"/>
        <v>0</v>
      </c>
      <c r="K130" s="514"/>
      <c r="L130" s="525"/>
      <c r="M130" s="514">
        <f t="shared" si="14"/>
        <v>0</v>
      </c>
      <c r="N130" s="525"/>
      <c r="O130" s="514">
        <f t="shared" si="15"/>
        <v>0</v>
      </c>
      <c r="P130" s="514">
        <f t="shared" si="16"/>
        <v>0</v>
      </c>
    </row>
    <row r="131" spans="2:16" ht="12.5">
      <c r="B131" s="195" t="str">
        <f t="shared" si="17"/>
        <v/>
      </c>
      <c r="C131" s="507">
        <f>IF(D93="","-",+C130+1)</f>
        <v>2047</v>
      </c>
      <c r="D131" s="374">
        <f>IF(F130+SUM(E$99:E130)=D$92,F130,D$92-SUM(E$99:E130))</f>
        <v>3018022.6215393031</v>
      </c>
      <c r="E131" s="522">
        <f t="shared" si="19"/>
        <v>286132.54761904763</v>
      </c>
      <c r="F131" s="523">
        <f t="shared" si="20"/>
        <v>2731890.0739202555</v>
      </c>
      <c r="G131" s="523">
        <f t="shared" si="21"/>
        <v>2874956.3477297793</v>
      </c>
      <c r="H131" s="526">
        <f t="shared" si="22"/>
        <v>595402.620216663</v>
      </c>
      <c r="I131" s="577">
        <f t="shared" si="23"/>
        <v>595402.620216663</v>
      </c>
      <c r="J131" s="514">
        <f t="shared" si="18"/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 ht="12.5">
      <c r="B132" s="195" t="str">
        <f t="shared" si="17"/>
        <v/>
      </c>
      <c r="C132" s="507">
        <f>IF(D93="","-",+C131+1)</f>
        <v>2048</v>
      </c>
      <c r="D132" s="374">
        <f>IF(F131+SUM(E$99:E131)=D$92,F131,D$92-SUM(E$99:E131))</f>
        <v>2731890.0739202555</v>
      </c>
      <c r="E132" s="522">
        <f t="shared" si="19"/>
        <v>286132.54761904763</v>
      </c>
      <c r="F132" s="523">
        <f t="shared" si="20"/>
        <v>2445757.526301208</v>
      </c>
      <c r="G132" s="523">
        <f t="shared" si="21"/>
        <v>2588823.8001107317</v>
      </c>
      <c r="H132" s="526">
        <f t="shared" si="22"/>
        <v>564622.24546608236</v>
      </c>
      <c r="I132" s="577">
        <f t="shared" si="23"/>
        <v>564622.24546608236</v>
      </c>
      <c r="J132" s="514">
        <f t="shared" si="18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 ht="12.5">
      <c r="B133" s="195" t="str">
        <f t="shared" si="17"/>
        <v/>
      </c>
      <c r="C133" s="507">
        <f>IF(D93="","-",+C132+1)</f>
        <v>2049</v>
      </c>
      <c r="D133" s="374">
        <f>IF(F132+SUM(E$99:E132)=D$92,F132,D$92-SUM(E$99:E132))</f>
        <v>2445757.526301208</v>
      </c>
      <c r="E133" s="522">
        <f t="shared" si="19"/>
        <v>286132.54761904763</v>
      </c>
      <c r="F133" s="523">
        <f t="shared" si="20"/>
        <v>2159624.9786821604</v>
      </c>
      <c r="G133" s="523">
        <f t="shared" si="21"/>
        <v>2302691.2524916842</v>
      </c>
      <c r="H133" s="526">
        <f t="shared" si="22"/>
        <v>533841.8707155016</v>
      </c>
      <c r="I133" s="577">
        <f t="shared" si="23"/>
        <v>533841.8707155016</v>
      </c>
      <c r="J133" s="514">
        <f t="shared" si="18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 ht="12.5">
      <c r="B134" s="195" t="str">
        <f t="shared" si="17"/>
        <v/>
      </c>
      <c r="C134" s="507">
        <f>IF(D93="","-",+C133+1)</f>
        <v>2050</v>
      </c>
      <c r="D134" s="374">
        <f>IF(F133+SUM(E$99:E133)=D$92,F133,D$92-SUM(E$99:E133))</f>
        <v>2159624.9786821604</v>
      </c>
      <c r="E134" s="522">
        <f t="shared" si="19"/>
        <v>286132.54761904763</v>
      </c>
      <c r="F134" s="523">
        <f t="shared" si="20"/>
        <v>1873492.4310631128</v>
      </c>
      <c r="G134" s="523">
        <f t="shared" si="21"/>
        <v>2016558.7048726366</v>
      </c>
      <c r="H134" s="526">
        <f t="shared" si="22"/>
        <v>503061.49596492085</v>
      </c>
      <c r="I134" s="577">
        <f t="shared" si="23"/>
        <v>503061.49596492085</v>
      </c>
      <c r="J134" s="514">
        <f t="shared" si="18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 ht="12.5">
      <c r="B135" s="195" t="str">
        <f t="shared" si="17"/>
        <v/>
      </c>
      <c r="C135" s="507">
        <f>IF(D93="","-",+C134+1)</f>
        <v>2051</v>
      </c>
      <c r="D135" s="374">
        <f>IF(F134+SUM(E$99:E134)=D$92,F134,D$92-SUM(E$99:E134))</f>
        <v>1873492.4310631128</v>
      </c>
      <c r="E135" s="522">
        <f t="shared" si="19"/>
        <v>286132.54761904763</v>
      </c>
      <c r="F135" s="523">
        <f t="shared" si="20"/>
        <v>1587359.8834440652</v>
      </c>
      <c r="G135" s="523">
        <f t="shared" si="21"/>
        <v>1730426.157253589</v>
      </c>
      <c r="H135" s="526">
        <f t="shared" si="22"/>
        <v>472281.12121434015</v>
      </c>
      <c r="I135" s="577">
        <f t="shared" si="23"/>
        <v>472281.12121434015</v>
      </c>
      <c r="J135" s="514">
        <f t="shared" si="18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 ht="12.5">
      <c r="B136" s="195" t="str">
        <f t="shared" si="17"/>
        <v/>
      </c>
      <c r="C136" s="507">
        <f>IF(D93="","-",+C135+1)</f>
        <v>2052</v>
      </c>
      <c r="D136" s="374">
        <f>IF(F135+SUM(E$99:E135)=D$92,F135,D$92-SUM(E$99:E135))</f>
        <v>1587359.8834440652</v>
      </c>
      <c r="E136" s="522">
        <f t="shared" si="19"/>
        <v>286132.54761904763</v>
      </c>
      <c r="F136" s="523">
        <f t="shared" si="20"/>
        <v>1301227.3358250177</v>
      </c>
      <c r="G136" s="523">
        <f t="shared" si="21"/>
        <v>1444293.6096345414</v>
      </c>
      <c r="H136" s="526">
        <f t="shared" si="22"/>
        <v>441500.74646375939</v>
      </c>
      <c r="I136" s="577">
        <f t="shared" si="23"/>
        <v>441500.74646375939</v>
      </c>
      <c r="J136" s="514">
        <f t="shared" si="18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 ht="12.5">
      <c r="B137" s="195" t="str">
        <f t="shared" si="17"/>
        <v/>
      </c>
      <c r="C137" s="507">
        <f>IF(D93="","-",+C136+1)</f>
        <v>2053</v>
      </c>
      <c r="D137" s="374">
        <f>IF(F136+SUM(E$99:E136)=D$92,F136,D$92-SUM(E$99:E136))</f>
        <v>1301227.3358250177</v>
      </c>
      <c r="E137" s="522">
        <f t="shared" si="19"/>
        <v>286132.54761904763</v>
      </c>
      <c r="F137" s="523">
        <f t="shared" si="20"/>
        <v>1015094.7882059701</v>
      </c>
      <c r="G137" s="523">
        <f t="shared" si="21"/>
        <v>1158161.0620154939</v>
      </c>
      <c r="H137" s="526">
        <f t="shared" si="22"/>
        <v>410720.3717131787</v>
      </c>
      <c r="I137" s="577">
        <f t="shared" si="23"/>
        <v>410720.3717131787</v>
      </c>
      <c r="J137" s="514">
        <f t="shared" si="18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 ht="12.5">
      <c r="B138" s="195" t="str">
        <f t="shared" si="17"/>
        <v/>
      </c>
      <c r="C138" s="507">
        <f>IF(D93="","-",+C137+1)</f>
        <v>2054</v>
      </c>
      <c r="D138" s="374">
        <f>IF(F137+SUM(E$99:E137)=D$92,F137,D$92-SUM(E$99:E137))</f>
        <v>1015094.7882059701</v>
      </c>
      <c r="E138" s="522">
        <f t="shared" si="19"/>
        <v>286132.54761904763</v>
      </c>
      <c r="F138" s="523">
        <f t="shared" si="20"/>
        <v>728962.2405869225</v>
      </c>
      <c r="G138" s="523">
        <f t="shared" si="21"/>
        <v>872028.51439644629</v>
      </c>
      <c r="H138" s="526">
        <f t="shared" si="22"/>
        <v>379939.99696259794</v>
      </c>
      <c r="I138" s="577">
        <f t="shared" si="23"/>
        <v>379939.99696259794</v>
      </c>
      <c r="J138" s="514">
        <f t="shared" si="18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 ht="12.5">
      <c r="B139" s="195" t="str">
        <f t="shared" si="17"/>
        <v/>
      </c>
      <c r="C139" s="507">
        <f>IF(D93="","-",+C138+1)</f>
        <v>2055</v>
      </c>
      <c r="D139" s="374">
        <f>IF(F138+SUM(E$99:E138)=D$92,F138,D$92-SUM(E$99:E138))</f>
        <v>728962.2405869225</v>
      </c>
      <c r="E139" s="522">
        <f t="shared" si="19"/>
        <v>286132.54761904763</v>
      </c>
      <c r="F139" s="523">
        <f t="shared" si="20"/>
        <v>442829.69296787487</v>
      </c>
      <c r="G139" s="523">
        <f t="shared" si="21"/>
        <v>585895.96677739872</v>
      </c>
      <c r="H139" s="526">
        <f t="shared" si="22"/>
        <v>349159.62221201719</v>
      </c>
      <c r="I139" s="577">
        <f t="shared" si="23"/>
        <v>349159.62221201719</v>
      </c>
      <c r="J139" s="514">
        <f t="shared" si="18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 ht="12.5">
      <c r="B140" s="195" t="str">
        <f t="shared" si="17"/>
        <v/>
      </c>
      <c r="C140" s="507">
        <f>IF(D93="","-",+C139+1)</f>
        <v>2056</v>
      </c>
      <c r="D140" s="374">
        <f>IF(F139+SUM(E$99:E139)=D$92,F139,D$92-SUM(E$99:E139))</f>
        <v>442829.69296787487</v>
      </c>
      <c r="E140" s="522">
        <f t="shared" si="19"/>
        <v>286132.54761904763</v>
      </c>
      <c r="F140" s="523">
        <f t="shared" si="20"/>
        <v>156697.14534882724</v>
      </c>
      <c r="G140" s="523">
        <f t="shared" si="21"/>
        <v>299763.41915835103</v>
      </c>
      <c r="H140" s="526">
        <f t="shared" si="22"/>
        <v>318379.24746143649</v>
      </c>
      <c r="I140" s="577">
        <f t="shared" si="23"/>
        <v>318379.24746143649</v>
      </c>
      <c r="J140" s="514">
        <f t="shared" si="18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 ht="12.5">
      <c r="B141" s="195" t="str">
        <f t="shared" si="17"/>
        <v/>
      </c>
      <c r="C141" s="507">
        <f>IF(D93="","-",+C140+1)</f>
        <v>2057</v>
      </c>
      <c r="D141" s="374">
        <f>IF(F140+SUM(E$99:E140)=D$92,F140,D$92-SUM(E$99:E140))</f>
        <v>156697.14534882724</v>
      </c>
      <c r="E141" s="522">
        <f t="shared" si="19"/>
        <v>156697.14534882724</v>
      </c>
      <c r="F141" s="523">
        <f t="shared" si="20"/>
        <v>0</v>
      </c>
      <c r="G141" s="523">
        <f t="shared" si="21"/>
        <v>78348.572674413619</v>
      </c>
      <c r="H141" s="526">
        <f t="shared" si="22"/>
        <v>165125.40158237648</v>
      </c>
      <c r="I141" s="577">
        <f t="shared" si="23"/>
        <v>165125.40158237648</v>
      </c>
      <c r="J141" s="514">
        <f t="shared" si="18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 ht="12.5">
      <c r="B142" s="195" t="str">
        <f t="shared" si="17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19"/>
        <v>0</v>
      </c>
      <c r="F142" s="523">
        <f t="shared" si="20"/>
        <v>0</v>
      </c>
      <c r="G142" s="523">
        <f t="shared" si="21"/>
        <v>0</v>
      </c>
      <c r="H142" s="526">
        <f t="shared" si="22"/>
        <v>0</v>
      </c>
      <c r="I142" s="577">
        <f t="shared" si="23"/>
        <v>0</v>
      </c>
      <c r="J142" s="514">
        <f t="shared" si="18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 ht="12.5">
      <c r="B143" s="195" t="str">
        <f t="shared" si="17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19"/>
        <v>0</v>
      </c>
      <c r="F143" s="523">
        <f t="shared" si="20"/>
        <v>0</v>
      </c>
      <c r="G143" s="523">
        <f t="shared" si="21"/>
        <v>0</v>
      </c>
      <c r="H143" s="526">
        <f t="shared" si="22"/>
        <v>0</v>
      </c>
      <c r="I143" s="577">
        <f t="shared" si="23"/>
        <v>0</v>
      </c>
      <c r="J143" s="514">
        <f t="shared" si="18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 ht="12.5">
      <c r="B144" s="195" t="str">
        <f t="shared" si="17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19"/>
        <v>0</v>
      </c>
      <c r="F144" s="523">
        <f t="shared" si="20"/>
        <v>0</v>
      </c>
      <c r="G144" s="523">
        <f t="shared" si="21"/>
        <v>0</v>
      </c>
      <c r="H144" s="526">
        <f t="shared" si="22"/>
        <v>0</v>
      </c>
      <c r="I144" s="577">
        <f t="shared" si="23"/>
        <v>0</v>
      </c>
      <c r="J144" s="514">
        <f t="shared" si="18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 ht="12.5">
      <c r="B145" s="195" t="str">
        <f t="shared" si="17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19"/>
        <v>0</v>
      </c>
      <c r="F145" s="523">
        <f t="shared" si="20"/>
        <v>0</v>
      </c>
      <c r="G145" s="523">
        <f t="shared" si="21"/>
        <v>0</v>
      </c>
      <c r="H145" s="526">
        <f t="shared" si="22"/>
        <v>0</v>
      </c>
      <c r="I145" s="577">
        <f t="shared" si="23"/>
        <v>0</v>
      </c>
      <c r="J145" s="514">
        <f t="shared" si="18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 ht="12.5">
      <c r="B146" s="195" t="str">
        <f t="shared" si="17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19"/>
        <v>0</v>
      </c>
      <c r="F146" s="523">
        <f t="shared" si="20"/>
        <v>0</v>
      </c>
      <c r="G146" s="523">
        <f t="shared" si="21"/>
        <v>0</v>
      </c>
      <c r="H146" s="526">
        <f t="shared" si="22"/>
        <v>0</v>
      </c>
      <c r="I146" s="577">
        <f t="shared" si="23"/>
        <v>0</v>
      </c>
      <c r="J146" s="514">
        <f t="shared" si="18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 ht="12.5">
      <c r="B147" s="195" t="str">
        <f t="shared" si="17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19"/>
        <v>0</v>
      </c>
      <c r="F147" s="523">
        <f t="shared" si="20"/>
        <v>0</v>
      </c>
      <c r="G147" s="523">
        <f t="shared" si="21"/>
        <v>0</v>
      </c>
      <c r="H147" s="526">
        <f t="shared" si="22"/>
        <v>0</v>
      </c>
      <c r="I147" s="577">
        <f t="shared" si="23"/>
        <v>0</v>
      </c>
      <c r="J147" s="514">
        <f t="shared" si="18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 ht="12.5">
      <c r="B148" s="195" t="str">
        <f t="shared" si="17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19"/>
        <v>0</v>
      </c>
      <c r="F148" s="523">
        <f t="shared" si="20"/>
        <v>0</v>
      </c>
      <c r="G148" s="523">
        <f t="shared" si="21"/>
        <v>0</v>
      </c>
      <c r="H148" s="526">
        <f t="shared" si="22"/>
        <v>0</v>
      </c>
      <c r="I148" s="577">
        <f t="shared" si="23"/>
        <v>0</v>
      </c>
      <c r="J148" s="514">
        <f t="shared" si="18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 ht="12.5">
      <c r="B149" s="195" t="str">
        <f t="shared" si="17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19"/>
        <v>0</v>
      </c>
      <c r="F149" s="523">
        <f t="shared" si="20"/>
        <v>0</v>
      </c>
      <c r="G149" s="523">
        <f t="shared" si="21"/>
        <v>0</v>
      </c>
      <c r="H149" s="526">
        <f t="shared" si="22"/>
        <v>0</v>
      </c>
      <c r="I149" s="577">
        <f t="shared" si="23"/>
        <v>0</v>
      </c>
      <c r="J149" s="514">
        <f t="shared" si="18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 ht="12.5">
      <c r="B150" s="195" t="str">
        <f t="shared" si="17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19"/>
        <v>0</v>
      </c>
      <c r="F150" s="523">
        <f t="shared" si="20"/>
        <v>0</v>
      </c>
      <c r="G150" s="523">
        <f t="shared" si="21"/>
        <v>0</v>
      </c>
      <c r="H150" s="526">
        <f t="shared" si="22"/>
        <v>0</v>
      </c>
      <c r="I150" s="577">
        <f t="shared" si="23"/>
        <v>0</v>
      </c>
      <c r="J150" s="514">
        <f t="shared" si="18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 ht="12.5">
      <c r="B151" s="195" t="str">
        <f t="shared" si="17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19"/>
        <v>0</v>
      </c>
      <c r="F151" s="523">
        <f t="shared" si="20"/>
        <v>0</v>
      </c>
      <c r="G151" s="523">
        <f t="shared" si="21"/>
        <v>0</v>
      </c>
      <c r="H151" s="526">
        <f t="shared" si="22"/>
        <v>0</v>
      </c>
      <c r="I151" s="577">
        <f t="shared" si="23"/>
        <v>0</v>
      </c>
      <c r="J151" s="514">
        <f t="shared" si="18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 ht="12.5">
      <c r="B152" s="195" t="str">
        <f t="shared" si="17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19"/>
        <v>0</v>
      </c>
      <c r="F152" s="523">
        <f t="shared" si="20"/>
        <v>0</v>
      </c>
      <c r="G152" s="523">
        <f t="shared" si="21"/>
        <v>0</v>
      </c>
      <c r="H152" s="526">
        <f t="shared" si="22"/>
        <v>0</v>
      </c>
      <c r="I152" s="577">
        <f t="shared" si="23"/>
        <v>0</v>
      </c>
      <c r="J152" s="514">
        <f t="shared" si="18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 ht="12.5">
      <c r="B153" s="195" t="str">
        <f t="shared" si="17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19"/>
        <v>0</v>
      </c>
      <c r="F153" s="523">
        <f t="shared" si="20"/>
        <v>0</v>
      </c>
      <c r="G153" s="523">
        <f t="shared" si="21"/>
        <v>0</v>
      </c>
      <c r="H153" s="526">
        <f t="shared" si="22"/>
        <v>0</v>
      </c>
      <c r="I153" s="577">
        <f t="shared" si="23"/>
        <v>0</v>
      </c>
      <c r="J153" s="514">
        <f t="shared" si="18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" thickBot="1">
      <c r="B154" s="195" t="str">
        <f t="shared" si="17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19"/>
        <v>0</v>
      </c>
      <c r="F154" s="523">
        <f t="shared" si="20"/>
        <v>0</v>
      </c>
      <c r="G154" s="523">
        <f t="shared" si="21"/>
        <v>0</v>
      </c>
      <c r="H154" s="526">
        <f t="shared" si="22"/>
        <v>0</v>
      </c>
      <c r="I154" s="577">
        <f t="shared" si="23"/>
        <v>0</v>
      </c>
      <c r="J154" s="514">
        <f t="shared" si="18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 ht="12.5">
      <c r="C155" s="374" t="s">
        <v>78</v>
      </c>
      <c r="D155" s="375"/>
      <c r="E155" s="375">
        <f>SUM(E99:E154)</f>
        <v>12017567</v>
      </c>
      <c r="F155" s="375"/>
      <c r="G155" s="375"/>
      <c r="H155" s="375">
        <f>SUM(H99:H154)</f>
        <v>39724483.322672814</v>
      </c>
      <c r="I155" s="375">
        <f>SUM(I99:I154)</f>
        <v>39724483.322672814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6" priority="1" stopIfTrue="1" operator="equal">
      <formula>$I$10</formula>
    </cfRule>
  </conditionalFormatting>
  <conditionalFormatting sqref="C99:C154">
    <cfRule type="cellIs" dxfId="5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P162"/>
  <sheetViews>
    <sheetView view="pageBreakPreview" zoomScale="82" zoomScaleNormal="100" zoomScaleSheetLayoutView="82" workbookViewId="0">
      <selection activeCell="D12" sqref="D1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53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662546.66149504599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662546.66149504599</v>
      </c>
      <c r="O6" s="269"/>
      <c r="P6" s="269"/>
    </row>
    <row r="7" spans="1:16" ht="13.5" thickBot="1">
      <c r="C7" s="467" t="s">
        <v>48</v>
      </c>
      <c r="D7" s="624" t="s">
        <v>345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338</v>
      </c>
      <c r="E9" s="637" t="s">
        <v>403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5738013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136619.35714285713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5900000</v>
      </c>
      <c r="E17" s="638">
        <v>11706.349206349207</v>
      </c>
      <c r="F17" s="629">
        <v>5888293.6507936511</v>
      </c>
      <c r="G17" s="638">
        <v>787222.89256713865</v>
      </c>
      <c r="H17" s="639">
        <v>787222.89256713865</v>
      </c>
      <c r="I17" s="511">
        <v>0</v>
      </c>
      <c r="J17" s="511"/>
      <c r="K17" s="518">
        <f t="shared" ref="K17:K22" si="0">G17</f>
        <v>787222.89256713865</v>
      </c>
      <c r="L17" s="519">
        <f t="shared" ref="L17:L22" si="1">IF(K17&lt;&gt;0,+G17-K17,0)</f>
        <v>0</v>
      </c>
      <c r="M17" s="518">
        <f t="shared" ref="M17:M22" si="2">H17</f>
        <v>787222.89256713865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5712842.6507936511</v>
      </c>
      <c r="E18" s="630">
        <v>136298.78571428571</v>
      </c>
      <c r="F18" s="631">
        <v>5576543.8650793657</v>
      </c>
      <c r="G18" s="630">
        <v>861695.47237571224</v>
      </c>
      <c r="H18" s="639">
        <v>861695.47237571224</v>
      </c>
      <c r="I18" s="511">
        <f>H18-G18</f>
        <v>0</v>
      </c>
      <c r="J18" s="511"/>
      <c r="K18" s="518">
        <f t="shared" si="0"/>
        <v>861695.47237571224</v>
      </c>
      <c r="L18" s="519">
        <f t="shared" si="1"/>
        <v>0</v>
      </c>
      <c r="M18" s="518">
        <f t="shared" si="2"/>
        <v>861695.47237571224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5590007.8650793647</v>
      </c>
      <c r="E19" s="630">
        <v>133442.16279069768</v>
      </c>
      <c r="F19" s="631">
        <v>5456565.7022886667</v>
      </c>
      <c r="G19" s="630">
        <v>817736.15631136962</v>
      </c>
      <c r="H19" s="639">
        <v>817736.15631136962</v>
      </c>
      <c r="I19" s="511">
        <f t="shared" ref="I19:I72" si="3">H19-G19</f>
        <v>0</v>
      </c>
      <c r="J19" s="511"/>
      <c r="K19" s="518">
        <f t="shared" si="0"/>
        <v>817736.15631136962</v>
      </c>
      <c r="L19" s="519">
        <f t="shared" si="1"/>
        <v>0</v>
      </c>
      <c r="M19" s="518">
        <f t="shared" si="2"/>
        <v>817736.15631136962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5456565.7022886667</v>
      </c>
      <c r="E20" s="630">
        <v>139951.53658536586</v>
      </c>
      <c r="F20" s="631">
        <v>5316614.1657033013</v>
      </c>
      <c r="G20" s="630">
        <v>824555.33054261771</v>
      </c>
      <c r="H20" s="639">
        <v>824555.33054261771</v>
      </c>
      <c r="I20" s="511">
        <f t="shared" si="3"/>
        <v>0</v>
      </c>
      <c r="J20" s="511"/>
      <c r="K20" s="518">
        <f t="shared" si="0"/>
        <v>824555.33054261771</v>
      </c>
      <c r="L20" s="519">
        <f t="shared" si="1"/>
        <v>0</v>
      </c>
      <c r="M20" s="518">
        <f t="shared" si="2"/>
        <v>824555.33054261771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5316614.1657033013</v>
      </c>
      <c r="E21" s="630">
        <v>139951.53658536586</v>
      </c>
      <c r="F21" s="631">
        <v>5176662.6291179359</v>
      </c>
      <c r="G21" s="630">
        <v>806768.31610667519</v>
      </c>
      <c r="H21" s="639">
        <v>806768.31610667519</v>
      </c>
      <c r="I21" s="511">
        <f t="shared" si="3"/>
        <v>0</v>
      </c>
      <c r="J21" s="511"/>
      <c r="K21" s="518">
        <f t="shared" si="0"/>
        <v>806768.31610667519</v>
      </c>
      <c r="L21" s="519">
        <f t="shared" si="1"/>
        <v>0</v>
      </c>
      <c r="M21" s="518">
        <f t="shared" si="2"/>
        <v>806768.31610667519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/>
      </c>
      <c r="C22" s="507">
        <f>IF(D11="","-",+C21+1)</f>
        <v>2020</v>
      </c>
      <c r="D22" s="631">
        <v>5176662.6291179359</v>
      </c>
      <c r="E22" s="630">
        <v>139951.53658536586</v>
      </c>
      <c r="F22" s="631">
        <v>5036711.0925325705</v>
      </c>
      <c r="G22" s="630">
        <v>662546.66149504599</v>
      </c>
      <c r="H22" s="639">
        <v>662546.66149504599</v>
      </c>
      <c r="I22" s="511">
        <f t="shared" si="3"/>
        <v>0</v>
      </c>
      <c r="J22" s="511"/>
      <c r="K22" s="518">
        <f t="shared" si="0"/>
        <v>662546.66149504599</v>
      </c>
      <c r="L22" s="519">
        <f t="shared" si="1"/>
        <v>0</v>
      </c>
      <c r="M22" s="518">
        <f t="shared" si="2"/>
        <v>662546.66149504599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/>
      </c>
      <c r="C23" s="507">
        <f>IF(D11="","-",+C22+1)</f>
        <v>2021</v>
      </c>
      <c r="D23" s="523">
        <f>IF(F22+SUM(E$17:E22)=D$10,F22,D$10-SUM(E$17:E22))</f>
        <v>5036711.0925325705</v>
      </c>
      <c r="E23" s="522">
        <f t="shared" ref="E23:E72" si="7">IF(+$I$14&lt;F22,$I$14,D23)</f>
        <v>136619.35714285713</v>
      </c>
      <c r="F23" s="523">
        <f t="shared" ref="F23:F72" si="8">+D23-E23</f>
        <v>4900091.7353897132</v>
      </c>
      <c r="G23" s="524">
        <f t="shared" ref="G23:G50" si="9">+I$12*((D23+F23)/2)+E23</f>
        <v>667333.92901099683</v>
      </c>
      <c r="H23" s="491">
        <f t="shared" ref="H23:H50" si="10">+I$13*((D23+F23)/2)+E23</f>
        <v>667333.92901099683</v>
      </c>
      <c r="I23" s="511">
        <f t="shared" si="3"/>
        <v>0</v>
      </c>
      <c r="J23" s="511"/>
      <c r="K23" s="525"/>
      <c r="L23" s="514">
        <f t="shared" ref="L23:L72" si="11">IF(K23&lt;&gt;0,+G23-K23,0)</f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/>
      </c>
      <c r="C24" s="507">
        <f>IF(D11="","-",+C23+1)</f>
        <v>2022</v>
      </c>
      <c r="D24" s="523">
        <f>IF(F23+SUM(E$17:E23)=D$10,F23,D$10-SUM(E$17:E23))</f>
        <v>4900091.7353897132</v>
      </c>
      <c r="E24" s="522">
        <f t="shared" si="7"/>
        <v>136619.35714285713</v>
      </c>
      <c r="F24" s="523">
        <f t="shared" si="8"/>
        <v>4763472.3782468559</v>
      </c>
      <c r="G24" s="524">
        <f t="shared" si="9"/>
        <v>652740.52610453439</v>
      </c>
      <c r="H24" s="491">
        <f t="shared" si="10"/>
        <v>652740.52610453439</v>
      </c>
      <c r="I24" s="511">
        <f t="shared" si="3"/>
        <v>0</v>
      </c>
      <c r="J24" s="511"/>
      <c r="K24" s="525"/>
      <c r="L24" s="514">
        <f t="shared" si="11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4763472.3782468559</v>
      </c>
      <c r="E25" s="522">
        <f t="shared" si="7"/>
        <v>136619.35714285713</v>
      </c>
      <c r="F25" s="523">
        <f t="shared" si="8"/>
        <v>4626853.0211039986</v>
      </c>
      <c r="G25" s="524">
        <f t="shared" si="9"/>
        <v>638147.12319807219</v>
      </c>
      <c r="H25" s="491">
        <f t="shared" si="10"/>
        <v>638147.12319807219</v>
      </c>
      <c r="I25" s="511">
        <f t="shared" si="3"/>
        <v>0</v>
      </c>
      <c r="J25" s="511"/>
      <c r="K25" s="525"/>
      <c r="L25" s="514">
        <f t="shared" si="11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4626853.0211039986</v>
      </c>
      <c r="E26" s="522">
        <f t="shared" si="7"/>
        <v>136619.35714285713</v>
      </c>
      <c r="F26" s="523">
        <f t="shared" si="8"/>
        <v>4490233.6639611414</v>
      </c>
      <c r="G26" s="524">
        <f t="shared" si="9"/>
        <v>623553.72029160976</v>
      </c>
      <c r="H26" s="491">
        <f t="shared" si="10"/>
        <v>623553.72029160976</v>
      </c>
      <c r="I26" s="511">
        <f t="shared" si="3"/>
        <v>0</v>
      </c>
      <c r="J26" s="511"/>
      <c r="K26" s="525"/>
      <c r="L26" s="514">
        <f t="shared" si="11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4490233.6639611414</v>
      </c>
      <c r="E27" s="522">
        <f t="shared" si="7"/>
        <v>136619.35714285713</v>
      </c>
      <c r="F27" s="523">
        <f t="shared" si="8"/>
        <v>4353614.3068182841</v>
      </c>
      <c r="G27" s="524">
        <f t="shared" si="9"/>
        <v>608960.31738514756</v>
      </c>
      <c r="H27" s="491">
        <f t="shared" si="10"/>
        <v>608960.31738514756</v>
      </c>
      <c r="I27" s="511">
        <f t="shared" si="3"/>
        <v>0</v>
      </c>
      <c r="J27" s="511"/>
      <c r="K27" s="525"/>
      <c r="L27" s="514">
        <f t="shared" si="11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4353614.3068182841</v>
      </c>
      <c r="E28" s="522">
        <f t="shared" si="7"/>
        <v>136619.35714285713</v>
      </c>
      <c r="F28" s="523">
        <f t="shared" si="8"/>
        <v>4216994.9496754268</v>
      </c>
      <c r="G28" s="524">
        <f t="shared" si="9"/>
        <v>594366.91447868512</v>
      </c>
      <c r="H28" s="491">
        <f t="shared" si="10"/>
        <v>594366.91447868512</v>
      </c>
      <c r="I28" s="511">
        <f t="shared" si="3"/>
        <v>0</v>
      </c>
      <c r="J28" s="511"/>
      <c r="K28" s="525"/>
      <c r="L28" s="514">
        <f t="shared" si="11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4216994.9496754268</v>
      </c>
      <c r="E29" s="522">
        <f t="shared" si="7"/>
        <v>136619.35714285713</v>
      </c>
      <c r="F29" s="523">
        <f t="shared" si="8"/>
        <v>4080375.5925325695</v>
      </c>
      <c r="G29" s="524">
        <f t="shared" si="9"/>
        <v>579773.51157222292</v>
      </c>
      <c r="H29" s="491">
        <f t="shared" si="10"/>
        <v>579773.51157222292</v>
      </c>
      <c r="I29" s="511">
        <f t="shared" si="3"/>
        <v>0</v>
      </c>
      <c r="J29" s="511"/>
      <c r="K29" s="525"/>
      <c r="L29" s="514">
        <f t="shared" si="11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4080375.5925325695</v>
      </c>
      <c r="E30" s="522">
        <f t="shared" si="7"/>
        <v>136619.35714285713</v>
      </c>
      <c r="F30" s="523">
        <f t="shared" si="8"/>
        <v>3943756.2353897123</v>
      </c>
      <c r="G30" s="524">
        <f t="shared" si="9"/>
        <v>565180.10866576061</v>
      </c>
      <c r="H30" s="491">
        <f t="shared" si="10"/>
        <v>565180.10866576061</v>
      </c>
      <c r="I30" s="511">
        <f t="shared" si="3"/>
        <v>0</v>
      </c>
      <c r="J30" s="511"/>
      <c r="K30" s="525"/>
      <c r="L30" s="514">
        <f t="shared" si="11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3943756.2353897123</v>
      </c>
      <c r="E31" s="522">
        <f t="shared" si="7"/>
        <v>136619.35714285713</v>
      </c>
      <c r="F31" s="523">
        <f t="shared" si="8"/>
        <v>3807136.878246855</v>
      </c>
      <c r="G31" s="524">
        <f t="shared" si="9"/>
        <v>550586.70575929829</v>
      </c>
      <c r="H31" s="491">
        <f t="shared" si="10"/>
        <v>550586.70575929829</v>
      </c>
      <c r="I31" s="511">
        <f t="shared" si="3"/>
        <v>0</v>
      </c>
      <c r="J31" s="511"/>
      <c r="K31" s="525"/>
      <c r="L31" s="514">
        <f t="shared" si="11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3807136.878246855</v>
      </c>
      <c r="E32" s="522">
        <f t="shared" si="7"/>
        <v>136619.35714285713</v>
      </c>
      <c r="F32" s="523">
        <f t="shared" si="8"/>
        <v>3670517.5211039977</v>
      </c>
      <c r="G32" s="524">
        <f t="shared" si="9"/>
        <v>535993.30285283597</v>
      </c>
      <c r="H32" s="491">
        <f t="shared" si="10"/>
        <v>535993.30285283597</v>
      </c>
      <c r="I32" s="511">
        <f t="shared" si="3"/>
        <v>0</v>
      </c>
      <c r="J32" s="511"/>
      <c r="K32" s="525"/>
      <c r="L32" s="514">
        <f t="shared" si="11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3670517.5211039977</v>
      </c>
      <c r="E33" s="522">
        <f t="shared" si="7"/>
        <v>136619.35714285713</v>
      </c>
      <c r="F33" s="523">
        <f t="shared" si="8"/>
        <v>3533898.1639611404</v>
      </c>
      <c r="G33" s="524">
        <f t="shared" si="9"/>
        <v>521399.89994637365</v>
      </c>
      <c r="H33" s="491">
        <f t="shared" si="10"/>
        <v>521399.89994637365</v>
      </c>
      <c r="I33" s="511">
        <f t="shared" si="3"/>
        <v>0</v>
      </c>
      <c r="J33" s="511"/>
      <c r="K33" s="525"/>
      <c r="L33" s="514">
        <f t="shared" si="11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3533898.1639611404</v>
      </c>
      <c r="E34" s="522">
        <f t="shared" si="7"/>
        <v>136619.35714285713</v>
      </c>
      <c r="F34" s="523">
        <f t="shared" si="8"/>
        <v>3397278.8068182832</v>
      </c>
      <c r="G34" s="524">
        <f t="shared" si="9"/>
        <v>506806.49703991134</v>
      </c>
      <c r="H34" s="491">
        <f t="shared" si="10"/>
        <v>506806.49703991134</v>
      </c>
      <c r="I34" s="511">
        <f t="shared" si="3"/>
        <v>0</v>
      </c>
      <c r="J34" s="511"/>
      <c r="K34" s="525"/>
      <c r="L34" s="514">
        <f t="shared" si="11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3397278.8068182832</v>
      </c>
      <c r="E35" s="522">
        <f t="shared" si="7"/>
        <v>136619.35714285713</v>
      </c>
      <c r="F35" s="523">
        <f t="shared" si="8"/>
        <v>3260659.4496754259</v>
      </c>
      <c r="G35" s="524">
        <f t="shared" si="9"/>
        <v>492213.09413344902</v>
      </c>
      <c r="H35" s="491">
        <f t="shared" si="10"/>
        <v>492213.09413344902</v>
      </c>
      <c r="I35" s="511">
        <f t="shared" si="3"/>
        <v>0</v>
      </c>
      <c r="J35" s="511"/>
      <c r="K35" s="525"/>
      <c r="L35" s="514">
        <f t="shared" si="11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3260659.4496754259</v>
      </c>
      <c r="E36" s="522">
        <f t="shared" si="7"/>
        <v>136619.35714285713</v>
      </c>
      <c r="F36" s="523">
        <f t="shared" si="8"/>
        <v>3124040.0925325686</v>
      </c>
      <c r="G36" s="524">
        <f t="shared" si="9"/>
        <v>477619.69122698682</v>
      </c>
      <c r="H36" s="491">
        <f t="shared" si="10"/>
        <v>477619.69122698682</v>
      </c>
      <c r="I36" s="511">
        <f t="shared" si="3"/>
        <v>0</v>
      </c>
      <c r="J36" s="511"/>
      <c r="K36" s="525"/>
      <c r="L36" s="514">
        <f t="shared" si="11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3124040.0925325686</v>
      </c>
      <c r="E37" s="522">
        <f t="shared" si="7"/>
        <v>136619.35714285713</v>
      </c>
      <c r="F37" s="523">
        <f t="shared" si="8"/>
        <v>2987420.7353897113</v>
      </c>
      <c r="G37" s="524">
        <f t="shared" si="9"/>
        <v>463026.2883205245</v>
      </c>
      <c r="H37" s="491">
        <f t="shared" si="10"/>
        <v>463026.2883205245</v>
      </c>
      <c r="I37" s="511">
        <f t="shared" si="3"/>
        <v>0</v>
      </c>
      <c r="J37" s="511"/>
      <c r="K37" s="525"/>
      <c r="L37" s="514">
        <f t="shared" si="11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2987420.7353897113</v>
      </c>
      <c r="E38" s="522">
        <f t="shared" si="7"/>
        <v>136619.35714285713</v>
      </c>
      <c r="F38" s="523">
        <f t="shared" si="8"/>
        <v>2850801.3782468541</v>
      </c>
      <c r="G38" s="524">
        <f t="shared" si="9"/>
        <v>448432.88541406218</v>
      </c>
      <c r="H38" s="491">
        <f t="shared" si="10"/>
        <v>448432.88541406218</v>
      </c>
      <c r="I38" s="511">
        <f t="shared" si="3"/>
        <v>0</v>
      </c>
      <c r="J38" s="511"/>
      <c r="K38" s="525"/>
      <c r="L38" s="514">
        <f t="shared" si="11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2850801.3782468541</v>
      </c>
      <c r="E39" s="522">
        <f t="shared" si="7"/>
        <v>136619.35714285713</v>
      </c>
      <c r="F39" s="523">
        <f t="shared" si="8"/>
        <v>2714182.0211039968</v>
      </c>
      <c r="G39" s="524">
        <f t="shared" si="9"/>
        <v>433839.48250759987</v>
      </c>
      <c r="H39" s="491">
        <f t="shared" si="10"/>
        <v>433839.48250759987</v>
      </c>
      <c r="I39" s="511">
        <f t="shared" si="3"/>
        <v>0</v>
      </c>
      <c r="J39" s="511"/>
      <c r="K39" s="525"/>
      <c r="L39" s="514">
        <f t="shared" si="11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2714182.0211039968</v>
      </c>
      <c r="E40" s="522">
        <f t="shared" si="7"/>
        <v>136619.35714285713</v>
      </c>
      <c r="F40" s="523">
        <f t="shared" si="8"/>
        <v>2577562.6639611395</v>
      </c>
      <c r="G40" s="524">
        <f t="shared" si="9"/>
        <v>419246.07960113755</v>
      </c>
      <c r="H40" s="491">
        <f t="shared" si="10"/>
        <v>419246.07960113755</v>
      </c>
      <c r="I40" s="511">
        <f t="shared" si="3"/>
        <v>0</v>
      </c>
      <c r="J40" s="511"/>
      <c r="K40" s="525"/>
      <c r="L40" s="514">
        <f t="shared" si="11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2577562.6639611395</v>
      </c>
      <c r="E41" s="522">
        <f t="shared" si="7"/>
        <v>136619.35714285713</v>
      </c>
      <c r="F41" s="523">
        <f t="shared" si="8"/>
        <v>2440943.3068182822</v>
      </c>
      <c r="G41" s="524">
        <f t="shared" si="9"/>
        <v>404652.67669467523</v>
      </c>
      <c r="H41" s="491">
        <f t="shared" si="10"/>
        <v>404652.67669467523</v>
      </c>
      <c r="I41" s="511">
        <f t="shared" si="3"/>
        <v>0</v>
      </c>
      <c r="J41" s="511"/>
      <c r="K41" s="525"/>
      <c r="L41" s="514">
        <f t="shared" si="11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2440943.3068182822</v>
      </c>
      <c r="E42" s="522">
        <f t="shared" si="7"/>
        <v>136619.35714285713</v>
      </c>
      <c r="F42" s="523">
        <f t="shared" si="8"/>
        <v>2304323.949675425</v>
      </c>
      <c r="G42" s="524">
        <f t="shared" si="9"/>
        <v>390059.27378821291</v>
      </c>
      <c r="H42" s="491">
        <f t="shared" si="10"/>
        <v>390059.27378821291</v>
      </c>
      <c r="I42" s="511">
        <f t="shared" si="3"/>
        <v>0</v>
      </c>
      <c r="J42" s="511"/>
      <c r="K42" s="525"/>
      <c r="L42" s="514">
        <f t="shared" si="11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2304323.949675425</v>
      </c>
      <c r="E43" s="522">
        <f t="shared" si="7"/>
        <v>136619.35714285713</v>
      </c>
      <c r="F43" s="523">
        <f t="shared" si="8"/>
        <v>2167704.5925325677</v>
      </c>
      <c r="G43" s="524">
        <f t="shared" si="9"/>
        <v>375465.8708817506</v>
      </c>
      <c r="H43" s="491">
        <f t="shared" si="10"/>
        <v>375465.8708817506</v>
      </c>
      <c r="I43" s="511">
        <f t="shared" si="3"/>
        <v>0</v>
      </c>
      <c r="J43" s="511"/>
      <c r="K43" s="525"/>
      <c r="L43" s="514">
        <f t="shared" si="11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2167704.5925325677</v>
      </c>
      <c r="E44" s="522">
        <f t="shared" si="7"/>
        <v>136619.35714285713</v>
      </c>
      <c r="F44" s="523">
        <f t="shared" si="8"/>
        <v>2031085.2353897106</v>
      </c>
      <c r="G44" s="524">
        <f t="shared" si="9"/>
        <v>360872.46797528828</v>
      </c>
      <c r="H44" s="491">
        <f t="shared" si="10"/>
        <v>360872.46797528828</v>
      </c>
      <c r="I44" s="511">
        <f t="shared" si="3"/>
        <v>0</v>
      </c>
      <c r="J44" s="511"/>
      <c r="K44" s="525"/>
      <c r="L44" s="514">
        <f t="shared" si="11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2031085.2353897106</v>
      </c>
      <c r="E45" s="522">
        <f t="shared" si="7"/>
        <v>136619.35714285713</v>
      </c>
      <c r="F45" s="523">
        <f t="shared" si="8"/>
        <v>1894465.8782468536</v>
      </c>
      <c r="G45" s="524">
        <f t="shared" si="9"/>
        <v>346279.06506882608</v>
      </c>
      <c r="H45" s="491">
        <f t="shared" si="10"/>
        <v>346279.06506882608</v>
      </c>
      <c r="I45" s="511">
        <f t="shared" si="3"/>
        <v>0</v>
      </c>
      <c r="J45" s="511"/>
      <c r="K45" s="525"/>
      <c r="L45" s="514">
        <f t="shared" si="11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1894465.8782468536</v>
      </c>
      <c r="E46" s="522">
        <f t="shared" si="7"/>
        <v>136619.35714285713</v>
      </c>
      <c r="F46" s="523">
        <f t="shared" si="8"/>
        <v>1757846.5211039966</v>
      </c>
      <c r="G46" s="524">
        <f t="shared" si="9"/>
        <v>331685.66216236376</v>
      </c>
      <c r="H46" s="491">
        <f t="shared" si="10"/>
        <v>331685.66216236376</v>
      </c>
      <c r="I46" s="511">
        <f t="shared" si="3"/>
        <v>0</v>
      </c>
      <c r="J46" s="511"/>
      <c r="K46" s="525"/>
      <c r="L46" s="514">
        <f t="shared" si="11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1757846.5211039966</v>
      </c>
      <c r="E47" s="522">
        <f t="shared" si="7"/>
        <v>136619.35714285713</v>
      </c>
      <c r="F47" s="523">
        <f t="shared" si="8"/>
        <v>1621227.1639611395</v>
      </c>
      <c r="G47" s="524">
        <f t="shared" si="9"/>
        <v>317092.25925590144</v>
      </c>
      <c r="H47" s="491">
        <f t="shared" si="10"/>
        <v>317092.25925590144</v>
      </c>
      <c r="I47" s="511">
        <f t="shared" si="3"/>
        <v>0</v>
      </c>
      <c r="J47" s="511"/>
      <c r="K47" s="525"/>
      <c r="L47" s="514">
        <f t="shared" si="11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1621227.1639611395</v>
      </c>
      <c r="E48" s="522">
        <f t="shared" si="7"/>
        <v>136619.35714285713</v>
      </c>
      <c r="F48" s="523">
        <f t="shared" si="8"/>
        <v>1484607.8068182825</v>
      </c>
      <c r="G48" s="524">
        <f t="shared" si="9"/>
        <v>302498.85634943919</v>
      </c>
      <c r="H48" s="491">
        <f t="shared" si="10"/>
        <v>302498.85634943919</v>
      </c>
      <c r="I48" s="511">
        <f t="shared" si="3"/>
        <v>0</v>
      </c>
      <c r="J48" s="511"/>
      <c r="K48" s="525"/>
      <c r="L48" s="514">
        <f t="shared" si="11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1484607.8068182825</v>
      </c>
      <c r="E49" s="522">
        <f t="shared" si="7"/>
        <v>136619.35714285713</v>
      </c>
      <c r="F49" s="523">
        <f t="shared" si="8"/>
        <v>1347988.4496754254</v>
      </c>
      <c r="G49" s="524">
        <f t="shared" si="9"/>
        <v>287905.45344297693</v>
      </c>
      <c r="H49" s="491">
        <f t="shared" si="10"/>
        <v>287905.45344297693</v>
      </c>
      <c r="I49" s="511">
        <f t="shared" si="3"/>
        <v>0</v>
      </c>
      <c r="J49" s="511"/>
      <c r="K49" s="525"/>
      <c r="L49" s="514">
        <f t="shared" si="11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1347988.4496754254</v>
      </c>
      <c r="E50" s="522">
        <f t="shared" si="7"/>
        <v>136619.35714285713</v>
      </c>
      <c r="F50" s="523">
        <f t="shared" si="8"/>
        <v>1211369.0925325684</v>
      </c>
      <c r="G50" s="524">
        <f t="shared" si="9"/>
        <v>273312.05053651461</v>
      </c>
      <c r="H50" s="491">
        <f t="shared" si="10"/>
        <v>273312.05053651461</v>
      </c>
      <c r="I50" s="511">
        <f t="shared" si="3"/>
        <v>0</v>
      </c>
      <c r="J50" s="511"/>
      <c r="K50" s="525"/>
      <c r="L50" s="514">
        <f t="shared" si="11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1211369.0925325684</v>
      </c>
      <c r="E51" s="522">
        <f t="shared" si="7"/>
        <v>136619.35714285713</v>
      </c>
      <c r="F51" s="523">
        <f t="shared" si="8"/>
        <v>1074749.7353897113</v>
      </c>
      <c r="G51" s="524">
        <f t="shared" ref="G51:G72" si="12">+I$12*((D51+F51)/2)+E51</f>
        <v>258718.64763005235</v>
      </c>
      <c r="H51" s="491">
        <f t="shared" ref="H51:H72" si="13">+I$13*((D51+F51)/2)+E51</f>
        <v>258718.64763005235</v>
      </c>
      <c r="I51" s="511">
        <f t="shared" si="3"/>
        <v>0</v>
      </c>
      <c r="J51" s="511"/>
      <c r="K51" s="525"/>
      <c r="L51" s="514">
        <f t="shared" si="11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1074749.7353897113</v>
      </c>
      <c r="E52" s="522">
        <f t="shared" si="7"/>
        <v>136619.35714285713</v>
      </c>
      <c r="F52" s="523">
        <f t="shared" si="8"/>
        <v>938130.37824685418</v>
      </c>
      <c r="G52" s="524">
        <f t="shared" si="12"/>
        <v>244125.24472359003</v>
      </c>
      <c r="H52" s="491">
        <f t="shared" si="13"/>
        <v>244125.24472359003</v>
      </c>
      <c r="I52" s="511">
        <f t="shared" si="3"/>
        <v>0</v>
      </c>
      <c r="J52" s="511"/>
      <c r="K52" s="525"/>
      <c r="L52" s="514">
        <f t="shared" si="11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938130.37824685418</v>
      </c>
      <c r="E53" s="522">
        <f t="shared" si="7"/>
        <v>136619.35714285713</v>
      </c>
      <c r="F53" s="523">
        <f t="shared" si="8"/>
        <v>801511.02110399702</v>
      </c>
      <c r="G53" s="524">
        <f t="shared" si="12"/>
        <v>229531.84181712777</v>
      </c>
      <c r="H53" s="491">
        <f t="shared" si="13"/>
        <v>229531.84181712777</v>
      </c>
      <c r="I53" s="511">
        <f t="shared" si="3"/>
        <v>0</v>
      </c>
      <c r="J53" s="511"/>
      <c r="K53" s="525"/>
      <c r="L53" s="514">
        <f t="shared" si="11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801511.02110399702</v>
      </c>
      <c r="E54" s="522">
        <f t="shared" si="7"/>
        <v>136619.35714285713</v>
      </c>
      <c r="F54" s="523">
        <f t="shared" si="8"/>
        <v>664891.66396113986</v>
      </c>
      <c r="G54" s="524">
        <f t="shared" si="12"/>
        <v>214938.43891066546</v>
      </c>
      <c r="H54" s="491">
        <f t="shared" si="13"/>
        <v>214938.43891066546</v>
      </c>
      <c r="I54" s="511">
        <f t="shared" si="3"/>
        <v>0</v>
      </c>
      <c r="J54" s="511"/>
      <c r="K54" s="525"/>
      <c r="L54" s="514">
        <f t="shared" si="11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664891.66396113986</v>
      </c>
      <c r="E55" s="522">
        <f t="shared" si="7"/>
        <v>136619.35714285713</v>
      </c>
      <c r="F55" s="523">
        <f t="shared" si="8"/>
        <v>528272.3068182827</v>
      </c>
      <c r="G55" s="524">
        <f t="shared" si="12"/>
        <v>200345.0360042032</v>
      </c>
      <c r="H55" s="491">
        <f t="shared" si="13"/>
        <v>200345.0360042032</v>
      </c>
      <c r="I55" s="511">
        <f t="shared" si="3"/>
        <v>0</v>
      </c>
      <c r="J55" s="511"/>
      <c r="K55" s="525"/>
      <c r="L55" s="514">
        <f t="shared" si="11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528272.3068182827</v>
      </c>
      <c r="E56" s="522">
        <f t="shared" si="7"/>
        <v>136619.35714285713</v>
      </c>
      <c r="F56" s="523">
        <f t="shared" si="8"/>
        <v>391652.94967542554</v>
      </c>
      <c r="G56" s="524">
        <f t="shared" si="12"/>
        <v>185751.63309774088</v>
      </c>
      <c r="H56" s="491">
        <f t="shared" si="13"/>
        <v>185751.63309774088</v>
      </c>
      <c r="I56" s="511">
        <f t="shared" si="3"/>
        <v>0</v>
      </c>
      <c r="J56" s="511"/>
      <c r="K56" s="525"/>
      <c r="L56" s="514">
        <f t="shared" si="11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391652.94967542554</v>
      </c>
      <c r="E57" s="522">
        <f t="shared" si="7"/>
        <v>136619.35714285713</v>
      </c>
      <c r="F57" s="523">
        <f t="shared" si="8"/>
        <v>255033.59253256841</v>
      </c>
      <c r="G57" s="524">
        <f t="shared" si="12"/>
        <v>171158.23019127859</v>
      </c>
      <c r="H57" s="491">
        <f t="shared" si="13"/>
        <v>171158.23019127859</v>
      </c>
      <c r="I57" s="511">
        <f t="shared" si="3"/>
        <v>0</v>
      </c>
      <c r="J57" s="511"/>
      <c r="K57" s="525"/>
      <c r="L57" s="514">
        <f t="shared" si="11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255033.59253256841</v>
      </c>
      <c r="E58" s="522">
        <f t="shared" si="7"/>
        <v>136619.35714285713</v>
      </c>
      <c r="F58" s="523">
        <f t="shared" si="8"/>
        <v>118414.23538971128</v>
      </c>
      <c r="G58" s="524">
        <f t="shared" si="12"/>
        <v>156564.8272848163</v>
      </c>
      <c r="H58" s="491">
        <f t="shared" si="13"/>
        <v>156564.8272848163</v>
      </c>
      <c r="I58" s="511">
        <f t="shared" si="3"/>
        <v>0</v>
      </c>
      <c r="J58" s="511"/>
      <c r="K58" s="525"/>
      <c r="L58" s="514">
        <f t="shared" si="11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118414.23538971128</v>
      </c>
      <c r="E59" s="522">
        <f t="shared" si="7"/>
        <v>118414.23538971128</v>
      </c>
      <c r="F59" s="523">
        <f t="shared" si="8"/>
        <v>0</v>
      </c>
      <c r="G59" s="524">
        <f t="shared" si="12"/>
        <v>124738.61973407528</v>
      </c>
      <c r="H59" s="491">
        <f t="shared" si="13"/>
        <v>124738.61973407528</v>
      </c>
      <c r="I59" s="511">
        <f t="shared" si="3"/>
        <v>0</v>
      </c>
      <c r="J59" s="511"/>
      <c r="K59" s="525"/>
      <c r="L59" s="514">
        <f t="shared" si="11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7"/>
        <v>0</v>
      </c>
      <c r="F60" s="523">
        <f t="shared" si="8"/>
        <v>0</v>
      </c>
      <c r="G60" s="524">
        <f t="shared" si="12"/>
        <v>0</v>
      </c>
      <c r="H60" s="491">
        <f t="shared" si="13"/>
        <v>0</v>
      </c>
      <c r="I60" s="511">
        <f t="shared" si="3"/>
        <v>0</v>
      </c>
      <c r="J60" s="511"/>
      <c r="K60" s="525"/>
      <c r="L60" s="514">
        <f t="shared" si="11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7"/>
        <v>0</v>
      </c>
      <c r="F61" s="523">
        <f t="shared" si="8"/>
        <v>0</v>
      </c>
      <c r="G61" s="524">
        <f t="shared" si="12"/>
        <v>0</v>
      </c>
      <c r="H61" s="491">
        <f t="shared" si="13"/>
        <v>0</v>
      </c>
      <c r="I61" s="511">
        <f t="shared" si="3"/>
        <v>0</v>
      </c>
      <c r="J61" s="511"/>
      <c r="K61" s="525"/>
      <c r="L61" s="514">
        <f t="shared" si="11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7"/>
        <v>0</v>
      </c>
      <c r="F62" s="523">
        <f t="shared" si="8"/>
        <v>0</v>
      </c>
      <c r="G62" s="524">
        <f t="shared" si="12"/>
        <v>0</v>
      </c>
      <c r="H62" s="491">
        <f t="shared" si="13"/>
        <v>0</v>
      </c>
      <c r="I62" s="511">
        <f t="shared" si="3"/>
        <v>0</v>
      </c>
      <c r="J62" s="511"/>
      <c r="K62" s="525"/>
      <c r="L62" s="514">
        <f t="shared" si="11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7"/>
        <v>0</v>
      </c>
      <c r="F63" s="523">
        <f t="shared" si="8"/>
        <v>0</v>
      </c>
      <c r="G63" s="524">
        <f t="shared" si="12"/>
        <v>0</v>
      </c>
      <c r="H63" s="491">
        <f t="shared" si="13"/>
        <v>0</v>
      </c>
      <c r="I63" s="511">
        <f t="shared" si="3"/>
        <v>0</v>
      </c>
      <c r="J63" s="511"/>
      <c r="K63" s="525"/>
      <c r="L63" s="514">
        <f t="shared" si="11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7"/>
        <v>0</v>
      </c>
      <c r="F64" s="523">
        <f t="shared" si="8"/>
        <v>0</v>
      </c>
      <c r="G64" s="524">
        <f t="shared" si="12"/>
        <v>0</v>
      </c>
      <c r="H64" s="491">
        <f t="shared" si="13"/>
        <v>0</v>
      </c>
      <c r="I64" s="511">
        <f t="shared" si="3"/>
        <v>0</v>
      </c>
      <c r="J64" s="511"/>
      <c r="K64" s="525"/>
      <c r="L64" s="514">
        <f t="shared" si="11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7"/>
        <v>0</v>
      </c>
      <c r="F65" s="523">
        <f t="shared" si="8"/>
        <v>0</v>
      </c>
      <c r="G65" s="524">
        <f t="shared" si="12"/>
        <v>0</v>
      </c>
      <c r="H65" s="491">
        <f t="shared" si="13"/>
        <v>0</v>
      </c>
      <c r="I65" s="511">
        <f t="shared" si="3"/>
        <v>0</v>
      </c>
      <c r="J65" s="511"/>
      <c r="K65" s="525"/>
      <c r="L65" s="514">
        <f t="shared" si="11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7"/>
        <v>0</v>
      </c>
      <c r="F66" s="523">
        <f t="shared" si="8"/>
        <v>0</v>
      </c>
      <c r="G66" s="524">
        <f t="shared" si="12"/>
        <v>0</v>
      </c>
      <c r="H66" s="491">
        <f t="shared" si="13"/>
        <v>0</v>
      </c>
      <c r="I66" s="511">
        <f t="shared" si="3"/>
        <v>0</v>
      </c>
      <c r="J66" s="511"/>
      <c r="K66" s="525"/>
      <c r="L66" s="514">
        <f t="shared" si="11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7"/>
        <v>0</v>
      </c>
      <c r="F67" s="523">
        <f t="shared" si="8"/>
        <v>0</v>
      </c>
      <c r="G67" s="524">
        <f t="shared" si="12"/>
        <v>0</v>
      </c>
      <c r="H67" s="491">
        <f t="shared" si="13"/>
        <v>0</v>
      </c>
      <c r="I67" s="511">
        <f t="shared" si="3"/>
        <v>0</v>
      </c>
      <c r="J67" s="511"/>
      <c r="K67" s="525"/>
      <c r="L67" s="514">
        <f t="shared" si="11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7"/>
        <v>0</v>
      </c>
      <c r="F68" s="523">
        <f t="shared" si="8"/>
        <v>0</v>
      </c>
      <c r="G68" s="524">
        <f t="shared" si="12"/>
        <v>0</v>
      </c>
      <c r="H68" s="491">
        <f t="shared" si="13"/>
        <v>0</v>
      </c>
      <c r="I68" s="511">
        <f t="shared" si="3"/>
        <v>0</v>
      </c>
      <c r="J68" s="511"/>
      <c r="K68" s="525"/>
      <c r="L68" s="514">
        <f t="shared" si="11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7"/>
        <v>0</v>
      </c>
      <c r="F69" s="523">
        <f t="shared" si="8"/>
        <v>0</v>
      </c>
      <c r="G69" s="524">
        <f t="shared" si="12"/>
        <v>0</v>
      </c>
      <c r="H69" s="491">
        <f t="shared" si="13"/>
        <v>0</v>
      </c>
      <c r="I69" s="511">
        <f t="shared" si="3"/>
        <v>0</v>
      </c>
      <c r="J69" s="511"/>
      <c r="K69" s="525"/>
      <c r="L69" s="514">
        <f t="shared" si="11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7"/>
        <v>0</v>
      </c>
      <c r="F70" s="523">
        <f t="shared" si="8"/>
        <v>0</v>
      </c>
      <c r="G70" s="524">
        <f t="shared" si="12"/>
        <v>0</v>
      </c>
      <c r="H70" s="491">
        <f t="shared" si="13"/>
        <v>0</v>
      </c>
      <c r="I70" s="511">
        <f t="shared" si="3"/>
        <v>0</v>
      </c>
      <c r="J70" s="511"/>
      <c r="K70" s="525"/>
      <c r="L70" s="514">
        <f t="shared" si="11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7"/>
        <v>0</v>
      </c>
      <c r="F71" s="523">
        <f t="shared" si="8"/>
        <v>0</v>
      </c>
      <c r="G71" s="524">
        <f t="shared" si="12"/>
        <v>0</v>
      </c>
      <c r="H71" s="491">
        <f t="shared" si="13"/>
        <v>0</v>
      </c>
      <c r="I71" s="511">
        <f t="shared" si="3"/>
        <v>0</v>
      </c>
      <c r="J71" s="511"/>
      <c r="K71" s="525"/>
      <c r="L71" s="514">
        <f t="shared" si="11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7"/>
        <v>0</v>
      </c>
      <c r="F72" s="523">
        <f t="shared" si="8"/>
        <v>0</v>
      </c>
      <c r="G72" s="524">
        <f t="shared" si="12"/>
        <v>0</v>
      </c>
      <c r="H72" s="491">
        <f t="shared" si="13"/>
        <v>0</v>
      </c>
      <c r="I72" s="511">
        <f t="shared" si="3"/>
        <v>0</v>
      </c>
      <c r="J72" s="511"/>
      <c r="K72" s="532"/>
      <c r="L72" s="533">
        <f t="shared" si="11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5738013.0000000009</v>
      </c>
      <c r="F73" s="375"/>
      <c r="G73" s="375">
        <f>SUM(G17:G72)</f>
        <v>19715441.062457267</v>
      </c>
      <c r="H73" s="375">
        <f>SUM(H17:H72)</f>
        <v>19715441.062457267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53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662546.66149504599</v>
      </c>
      <c r="N87" s="546">
        <f>IF(J92&lt;D11,0,VLOOKUP(J92,C17:O72,11))</f>
        <v>662546.66149504599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687206.11858859565</v>
      </c>
      <c r="N88" s="550">
        <f>IF(J92&lt;D11,0,VLOOKUP(J92,C99:P154,7))</f>
        <v>687206.11858859565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Mt. Pleasant - West Mt. Pleasant 69 kV Ckt 1)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24659.457093549659</v>
      </c>
      <c r="N89" s="555">
        <f>+N88-N87</f>
        <v>24659.457093549659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TP2007166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5738013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136619.35714285713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11358.232142857143</v>
      </c>
      <c r="F99" s="631">
        <v>5713190.7678571427</v>
      </c>
      <c r="G99" s="632">
        <v>2856595.3839285714</v>
      </c>
      <c r="H99" s="633">
        <v>387768.60042600508</v>
      </c>
      <c r="I99" s="634">
        <v>387768.60042600508</v>
      </c>
      <c r="J99" s="514">
        <f>+I99-H99</f>
        <v>0</v>
      </c>
      <c r="K99" s="514"/>
      <c r="L99" s="512">
        <f>+H99</f>
        <v>387768.60042600508</v>
      </c>
      <c r="M99" s="513">
        <f t="shared" ref="M99:M130" si="14">IF(L99&lt;&gt;0,+H99-L99,0)</f>
        <v>0</v>
      </c>
      <c r="N99" s="512">
        <f>+I99</f>
        <v>387768.60042600508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5726654.7678571427</v>
      </c>
      <c r="E100" s="630">
        <v>133442.16279069768</v>
      </c>
      <c r="F100" s="631">
        <v>5593212.6050664447</v>
      </c>
      <c r="G100" s="631">
        <v>5659933.6864617933</v>
      </c>
      <c r="H100" s="633">
        <v>851970.67799992743</v>
      </c>
      <c r="I100" s="634">
        <v>851970.67799992743</v>
      </c>
      <c r="J100" s="514">
        <f>+I100-H100</f>
        <v>0</v>
      </c>
      <c r="K100" s="514"/>
      <c r="L100" s="518">
        <f>+H100</f>
        <v>851970.67799992743</v>
      </c>
      <c r="M100" s="514">
        <f>IF(L100&lt;&gt;0,+H100-L100,0)</f>
        <v>0</v>
      </c>
      <c r="N100" s="518">
        <f>+I100</f>
        <v>851970.67799992743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17">IF(D101=F100,"","IU")</f>
        <v/>
      </c>
      <c r="C101" s="507">
        <f>IF(D93="","-",+C100+1)</f>
        <v>2017</v>
      </c>
      <c r="D101" s="629">
        <v>5593212.6050664447</v>
      </c>
      <c r="E101" s="630">
        <v>136619.35714285713</v>
      </c>
      <c r="F101" s="631">
        <v>5456593.2479235874</v>
      </c>
      <c r="G101" s="631">
        <v>5524902.9264950156</v>
      </c>
      <c r="H101" s="633">
        <v>807737.36918670509</v>
      </c>
      <c r="I101" s="634">
        <v>807737.36918670509</v>
      </c>
      <c r="J101" s="514">
        <f t="shared" ref="J101:J154" si="18">+I101-H101</f>
        <v>0</v>
      </c>
      <c r="K101" s="514"/>
      <c r="L101" s="518">
        <f>+H101</f>
        <v>807737.36918670509</v>
      </c>
      <c r="M101" s="514">
        <f>IF(L101&lt;&gt;0,+H101-L101,0)</f>
        <v>0</v>
      </c>
      <c r="N101" s="518">
        <f>+I101</f>
        <v>807737.36918670509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17"/>
        <v/>
      </c>
      <c r="C102" s="507">
        <f>IF(D93="","-",+C101+1)</f>
        <v>2018</v>
      </c>
      <c r="D102" s="629">
        <v>5456593.2479235874</v>
      </c>
      <c r="E102" s="630">
        <v>136619.35714285713</v>
      </c>
      <c r="F102" s="631">
        <v>5319973.8907807302</v>
      </c>
      <c r="G102" s="631">
        <v>5388283.5693521593</v>
      </c>
      <c r="H102" s="633">
        <v>705646.81176386797</v>
      </c>
      <c r="I102" s="634">
        <v>705646.81176386797</v>
      </c>
      <c r="J102" s="514">
        <f t="shared" si="18"/>
        <v>0</v>
      </c>
      <c r="K102" s="514"/>
      <c r="L102" s="518">
        <f>+H102</f>
        <v>705646.81176386797</v>
      </c>
      <c r="M102" s="514">
        <f>IF(L102&lt;&gt;0,+H102-L102,0)</f>
        <v>0</v>
      </c>
      <c r="N102" s="518">
        <f>+I102</f>
        <v>705646.81176386797</v>
      </c>
      <c r="O102" s="514">
        <f>IF(N102&lt;&gt;0,+I102-N102,0)</f>
        <v>0</v>
      </c>
      <c r="P102" s="514">
        <f t="shared" si="16"/>
        <v>0</v>
      </c>
    </row>
    <row r="103" spans="1:16" ht="12.5">
      <c r="B103" s="195" t="str">
        <f t="shared" si="17"/>
        <v/>
      </c>
      <c r="C103" s="507">
        <f>IF(D93="","-",+C102+1)</f>
        <v>2019</v>
      </c>
      <c r="D103" s="629">
        <v>5319973.8907807302</v>
      </c>
      <c r="E103" s="630">
        <v>133442.16279069768</v>
      </c>
      <c r="F103" s="631">
        <v>5186531.7279900322</v>
      </c>
      <c r="G103" s="631">
        <v>5253252.8093853816</v>
      </c>
      <c r="H103" s="633">
        <v>695753.21463092987</v>
      </c>
      <c r="I103" s="634">
        <v>695753.21463092987</v>
      </c>
      <c r="J103" s="514">
        <f t="shared" si="18"/>
        <v>0</v>
      </c>
      <c r="K103" s="514"/>
      <c r="L103" s="518">
        <f>+H103</f>
        <v>695753.21463092987</v>
      </c>
      <c r="M103" s="514">
        <f>IF(L103&lt;&gt;0,+H103-L103,0)</f>
        <v>0</v>
      </c>
      <c r="N103" s="518">
        <f>+I103</f>
        <v>695753.21463092987</v>
      </c>
      <c r="O103" s="514">
        <f t="shared" si="15"/>
        <v>0</v>
      </c>
      <c r="P103" s="514">
        <f t="shared" si="16"/>
        <v>0</v>
      </c>
    </row>
    <row r="104" spans="1:16" ht="12.5">
      <c r="B104" s="195" t="str">
        <f t="shared" si="17"/>
        <v/>
      </c>
      <c r="C104" s="507">
        <f>IF(D93="","-",+C103+1)</f>
        <v>2020</v>
      </c>
      <c r="D104" s="374">
        <f>IF(F103+SUM(E$99:E103)=D$92,F103,D$92-SUM(E$99:E103))</f>
        <v>5186531.7279900322</v>
      </c>
      <c r="E104" s="522">
        <f t="shared" ref="E104:E154" si="19">IF(+$J$96&lt;F103,$J$96,D104)</f>
        <v>136619.35714285713</v>
      </c>
      <c r="F104" s="523">
        <f t="shared" ref="F104:F154" si="20">+D104-E104</f>
        <v>5049912.3708471749</v>
      </c>
      <c r="G104" s="523">
        <f t="shared" ref="G104:G154" si="21">+(F104+D104)/2</f>
        <v>5118222.049418604</v>
      </c>
      <c r="H104" s="526">
        <f t="shared" ref="H104:H154" si="22">+J$94*G104+E104</f>
        <v>687206.11858859565</v>
      </c>
      <c r="I104" s="577">
        <f t="shared" ref="I104:I154" si="23">+J$95*G104+E104</f>
        <v>687206.11858859565</v>
      </c>
      <c r="J104" s="514">
        <f t="shared" si="18"/>
        <v>0</v>
      </c>
      <c r="K104" s="514"/>
      <c r="L104" s="525"/>
      <c r="M104" s="514">
        <f t="shared" si="14"/>
        <v>0</v>
      </c>
      <c r="N104" s="525"/>
      <c r="O104" s="514">
        <f t="shared" si="15"/>
        <v>0</v>
      </c>
      <c r="P104" s="514">
        <f t="shared" si="16"/>
        <v>0</v>
      </c>
    </row>
    <row r="105" spans="1:16" ht="12.5">
      <c r="B105" s="195" t="str">
        <f t="shared" si="17"/>
        <v/>
      </c>
      <c r="C105" s="507">
        <f>IF(D93="","-",+C104+1)</f>
        <v>2021</v>
      </c>
      <c r="D105" s="374">
        <f>IF(F104+SUM(E$99:E104)=D$92,F104,D$92-SUM(E$99:E104))</f>
        <v>5049912.3708471749</v>
      </c>
      <c r="E105" s="522">
        <f t="shared" si="19"/>
        <v>136619.35714285713</v>
      </c>
      <c r="F105" s="523">
        <f t="shared" si="20"/>
        <v>4913293.0137043176</v>
      </c>
      <c r="G105" s="523">
        <f t="shared" si="21"/>
        <v>4981602.6922757458</v>
      </c>
      <c r="H105" s="526">
        <f t="shared" si="22"/>
        <v>672509.45074695139</v>
      </c>
      <c r="I105" s="577">
        <f t="shared" si="23"/>
        <v>672509.45074695139</v>
      </c>
      <c r="J105" s="514">
        <f t="shared" si="18"/>
        <v>0</v>
      </c>
      <c r="K105" s="514"/>
      <c r="L105" s="525"/>
      <c r="M105" s="514">
        <f t="shared" si="14"/>
        <v>0</v>
      </c>
      <c r="N105" s="525"/>
      <c r="O105" s="514">
        <f t="shared" si="15"/>
        <v>0</v>
      </c>
      <c r="P105" s="514">
        <f t="shared" si="16"/>
        <v>0</v>
      </c>
    </row>
    <row r="106" spans="1:16" ht="12.5">
      <c r="B106" s="195" t="str">
        <f t="shared" si="17"/>
        <v/>
      </c>
      <c r="C106" s="507">
        <f>IF(D93="","-",+C105+1)</f>
        <v>2022</v>
      </c>
      <c r="D106" s="374">
        <f>IF(F105+SUM(E$99:E105)=D$92,F105,D$92-SUM(E$99:E105))</f>
        <v>4913293.0137043176</v>
      </c>
      <c r="E106" s="522">
        <f t="shared" si="19"/>
        <v>136619.35714285713</v>
      </c>
      <c r="F106" s="523">
        <f t="shared" si="20"/>
        <v>4776673.6565614603</v>
      </c>
      <c r="G106" s="523">
        <f t="shared" si="21"/>
        <v>4844983.3351328894</v>
      </c>
      <c r="H106" s="526">
        <f t="shared" si="22"/>
        <v>657812.78290530737</v>
      </c>
      <c r="I106" s="577">
        <f t="shared" si="23"/>
        <v>657812.78290530737</v>
      </c>
      <c r="J106" s="514">
        <f t="shared" si="18"/>
        <v>0</v>
      </c>
      <c r="K106" s="514"/>
      <c r="L106" s="525"/>
      <c r="M106" s="514">
        <f t="shared" si="14"/>
        <v>0</v>
      </c>
      <c r="N106" s="525"/>
      <c r="O106" s="514">
        <f t="shared" si="15"/>
        <v>0</v>
      </c>
      <c r="P106" s="514">
        <f t="shared" si="16"/>
        <v>0</v>
      </c>
    </row>
    <row r="107" spans="1:16" ht="12.5">
      <c r="B107" s="195" t="str">
        <f t="shared" si="17"/>
        <v/>
      </c>
      <c r="C107" s="507">
        <f>IF(D93="","-",+C106+1)</f>
        <v>2023</v>
      </c>
      <c r="D107" s="374">
        <f>IF(F106+SUM(E$99:E106)=D$92,F106,D$92-SUM(E$99:E106))</f>
        <v>4776673.6565614603</v>
      </c>
      <c r="E107" s="522">
        <f t="shared" si="19"/>
        <v>136619.35714285713</v>
      </c>
      <c r="F107" s="523">
        <f t="shared" si="20"/>
        <v>4640054.2994186031</v>
      </c>
      <c r="G107" s="523">
        <f t="shared" si="21"/>
        <v>4708363.9779900312</v>
      </c>
      <c r="H107" s="526">
        <f t="shared" si="22"/>
        <v>643116.11506366311</v>
      </c>
      <c r="I107" s="577">
        <f t="shared" si="23"/>
        <v>643116.11506366311</v>
      </c>
      <c r="J107" s="514">
        <f t="shared" si="18"/>
        <v>0</v>
      </c>
      <c r="K107" s="514"/>
      <c r="L107" s="525"/>
      <c r="M107" s="514">
        <f t="shared" si="14"/>
        <v>0</v>
      </c>
      <c r="N107" s="525"/>
      <c r="O107" s="514">
        <f t="shared" si="15"/>
        <v>0</v>
      </c>
      <c r="P107" s="514">
        <f t="shared" si="16"/>
        <v>0</v>
      </c>
    </row>
    <row r="108" spans="1:16" ht="12.5">
      <c r="B108" s="195" t="str">
        <f t="shared" si="17"/>
        <v/>
      </c>
      <c r="C108" s="507">
        <f>IF(D93="","-",+C107+1)</f>
        <v>2024</v>
      </c>
      <c r="D108" s="374">
        <f>IF(F107+SUM(E$99:E107)=D$92,F107,D$92-SUM(E$99:E107))</f>
        <v>4640054.2994186031</v>
      </c>
      <c r="E108" s="522">
        <f t="shared" si="19"/>
        <v>136619.35714285713</v>
      </c>
      <c r="F108" s="523">
        <f t="shared" si="20"/>
        <v>4503434.9422757458</v>
      </c>
      <c r="G108" s="523">
        <f t="shared" si="21"/>
        <v>4571744.6208471749</v>
      </c>
      <c r="H108" s="526">
        <f t="shared" si="22"/>
        <v>628419.44722201896</v>
      </c>
      <c r="I108" s="577">
        <f t="shared" si="23"/>
        <v>628419.44722201896</v>
      </c>
      <c r="J108" s="514">
        <f t="shared" si="18"/>
        <v>0</v>
      </c>
      <c r="K108" s="514"/>
      <c r="L108" s="525"/>
      <c r="M108" s="514">
        <f t="shared" si="14"/>
        <v>0</v>
      </c>
      <c r="N108" s="525"/>
      <c r="O108" s="514">
        <f t="shared" si="15"/>
        <v>0</v>
      </c>
      <c r="P108" s="514">
        <f t="shared" si="16"/>
        <v>0</v>
      </c>
    </row>
    <row r="109" spans="1:16" ht="12.5">
      <c r="B109" s="195" t="str">
        <f t="shared" si="17"/>
        <v/>
      </c>
      <c r="C109" s="507">
        <f>IF(D93="","-",+C108+1)</f>
        <v>2025</v>
      </c>
      <c r="D109" s="374">
        <f>IF(F108+SUM(E$99:E108)=D$92,F108,D$92-SUM(E$99:E108))</f>
        <v>4503434.9422757458</v>
      </c>
      <c r="E109" s="522">
        <f t="shared" si="19"/>
        <v>136619.35714285713</v>
      </c>
      <c r="F109" s="523">
        <f t="shared" si="20"/>
        <v>4366815.5851328885</v>
      </c>
      <c r="G109" s="523">
        <f t="shared" si="21"/>
        <v>4435125.2637043167</v>
      </c>
      <c r="H109" s="526">
        <f t="shared" si="22"/>
        <v>613722.7793803747</v>
      </c>
      <c r="I109" s="577">
        <f t="shared" si="23"/>
        <v>613722.7793803747</v>
      </c>
      <c r="J109" s="514">
        <f t="shared" si="18"/>
        <v>0</v>
      </c>
      <c r="K109" s="514"/>
      <c r="L109" s="525"/>
      <c r="M109" s="514">
        <f t="shared" si="14"/>
        <v>0</v>
      </c>
      <c r="N109" s="525"/>
      <c r="O109" s="514">
        <f t="shared" si="15"/>
        <v>0</v>
      </c>
      <c r="P109" s="514">
        <f t="shared" si="16"/>
        <v>0</v>
      </c>
    </row>
    <row r="110" spans="1:16" ht="12.5">
      <c r="B110" s="195" t="str">
        <f t="shared" si="17"/>
        <v/>
      </c>
      <c r="C110" s="507">
        <f>IF(D93="","-",+C109+1)</f>
        <v>2026</v>
      </c>
      <c r="D110" s="374">
        <f>IF(F109+SUM(E$99:E109)=D$92,F109,D$92-SUM(E$99:E109))</f>
        <v>4366815.5851328885</v>
      </c>
      <c r="E110" s="522">
        <f t="shared" si="19"/>
        <v>136619.35714285713</v>
      </c>
      <c r="F110" s="523">
        <f t="shared" si="20"/>
        <v>4230196.2279900312</v>
      </c>
      <c r="G110" s="523">
        <f t="shared" si="21"/>
        <v>4298505.9065614603</v>
      </c>
      <c r="H110" s="526">
        <f t="shared" si="22"/>
        <v>599026.11153873068</v>
      </c>
      <c r="I110" s="577">
        <f t="shared" si="23"/>
        <v>599026.11153873068</v>
      </c>
      <c r="J110" s="514">
        <f t="shared" si="18"/>
        <v>0</v>
      </c>
      <c r="K110" s="514"/>
      <c r="L110" s="525"/>
      <c r="M110" s="514">
        <f t="shared" si="14"/>
        <v>0</v>
      </c>
      <c r="N110" s="525"/>
      <c r="O110" s="514">
        <f t="shared" si="15"/>
        <v>0</v>
      </c>
      <c r="P110" s="514">
        <f t="shared" si="16"/>
        <v>0</v>
      </c>
    </row>
    <row r="111" spans="1:16" ht="12.5">
      <c r="B111" s="195" t="str">
        <f t="shared" si="17"/>
        <v/>
      </c>
      <c r="C111" s="507">
        <f>IF(D93="","-",+C110+1)</f>
        <v>2027</v>
      </c>
      <c r="D111" s="374">
        <f>IF(F110+SUM(E$99:E110)=D$92,F110,D$92-SUM(E$99:E110))</f>
        <v>4230196.2279900312</v>
      </c>
      <c r="E111" s="522">
        <f t="shared" si="19"/>
        <v>136619.35714285713</v>
      </c>
      <c r="F111" s="523">
        <f t="shared" si="20"/>
        <v>4093576.870847174</v>
      </c>
      <c r="G111" s="523">
        <f t="shared" si="21"/>
        <v>4161886.5494186026</v>
      </c>
      <c r="H111" s="526">
        <f t="shared" si="22"/>
        <v>584329.44369708642</v>
      </c>
      <c r="I111" s="577">
        <f t="shared" si="23"/>
        <v>584329.44369708642</v>
      </c>
      <c r="J111" s="514">
        <f t="shared" si="18"/>
        <v>0</v>
      </c>
      <c r="K111" s="514"/>
      <c r="L111" s="525"/>
      <c r="M111" s="514">
        <f t="shared" si="14"/>
        <v>0</v>
      </c>
      <c r="N111" s="525"/>
      <c r="O111" s="514">
        <f t="shared" si="15"/>
        <v>0</v>
      </c>
      <c r="P111" s="514">
        <f t="shared" si="16"/>
        <v>0</v>
      </c>
    </row>
    <row r="112" spans="1:16" ht="12.5">
      <c r="B112" s="195" t="str">
        <f t="shared" si="17"/>
        <v/>
      </c>
      <c r="C112" s="507">
        <f>IF(D93="","-",+C111+1)</f>
        <v>2028</v>
      </c>
      <c r="D112" s="374">
        <f>IF(F111+SUM(E$99:E111)=D$92,F111,D$92-SUM(E$99:E111))</f>
        <v>4093576.870847174</v>
      </c>
      <c r="E112" s="522">
        <f t="shared" si="19"/>
        <v>136619.35714285713</v>
      </c>
      <c r="F112" s="523">
        <f t="shared" si="20"/>
        <v>3956957.5137043167</v>
      </c>
      <c r="G112" s="523">
        <f t="shared" si="21"/>
        <v>4025267.1922757453</v>
      </c>
      <c r="H112" s="526">
        <f t="shared" si="22"/>
        <v>569632.77585544228</v>
      </c>
      <c r="I112" s="577">
        <f t="shared" si="23"/>
        <v>569632.77585544228</v>
      </c>
      <c r="J112" s="514">
        <f t="shared" si="18"/>
        <v>0</v>
      </c>
      <c r="K112" s="514"/>
      <c r="L112" s="525"/>
      <c r="M112" s="514">
        <f t="shared" si="14"/>
        <v>0</v>
      </c>
      <c r="N112" s="525"/>
      <c r="O112" s="514">
        <f t="shared" si="15"/>
        <v>0</v>
      </c>
      <c r="P112" s="514">
        <f t="shared" si="16"/>
        <v>0</v>
      </c>
    </row>
    <row r="113" spans="2:16" ht="12.5">
      <c r="B113" s="195" t="str">
        <f t="shared" si="17"/>
        <v/>
      </c>
      <c r="C113" s="507">
        <f>IF(D93="","-",+C112+1)</f>
        <v>2029</v>
      </c>
      <c r="D113" s="374">
        <f>IF(F112+SUM(E$99:E112)=D$92,F112,D$92-SUM(E$99:E112))</f>
        <v>3956957.5137043167</v>
      </c>
      <c r="E113" s="522">
        <f t="shared" si="19"/>
        <v>136619.35714285713</v>
      </c>
      <c r="F113" s="523">
        <f t="shared" si="20"/>
        <v>3820338.1565614594</v>
      </c>
      <c r="G113" s="523">
        <f t="shared" si="21"/>
        <v>3888647.8351328881</v>
      </c>
      <c r="H113" s="526">
        <f t="shared" si="22"/>
        <v>554936.10801379813</v>
      </c>
      <c r="I113" s="577">
        <f t="shared" si="23"/>
        <v>554936.10801379813</v>
      </c>
      <c r="J113" s="514">
        <f t="shared" si="18"/>
        <v>0</v>
      </c>
      <c r="K113" s="514"/>
      <c r="L113" s="525"/>
      <c r="M113" s="514">
        <f t="shared" si="14"/>
        <v>0</v>
      </c>
      <c r="N113" s="525"/>
      <c r="O113" s="514">
        <f t="shared" si="15"/>
        <v>0</v>
      </c>
      <c r="P113" s="514">
        <f t="shared" si="16"/>
        <v>0</v>
      </c>
    </row>
    <row r="114" spans="2:16" ht="12.5">
      <c r="B114" s="195" t="str">
        <f t="shared" si="17"/>
        <v/>
      </c>
      <c r="C114" s="507">
        <f>IF(D93="","-",+C113+1)</f>
        <v>2030</v>
      </c>
      <c r="D114" s="374">
        <f>IF(F113+SUM(E$99:E113)=D$92,F113,D$92-SUM(E$99:E113))</f>
        <v>3820338.1565614594</v>
      </c>
      <c r="E114" s="522">
        <f t="shared" si="19"/>
        <v>136619.35714285713</v>
      </c>
      <c r="F114" s="523">
        <f t="shared" si="20"/>
        <v>3683718.7994186021</v>
      </c>
      <c r="G114" s="523">
        <f t="shared" si="21"/>
        <v>3752028.4779900308</v>
      </c>
      <c r="H114" s="526">
        <f t="shared" si="22"/>
        <v>540239.44017215387</v>
      </c>
      <c r="I114" s="577">
        <f t="shared" si="23"/>
        <v>540239.44017215387</v>
      </c>
      <c r="J114" s="514">
        <f t="shared" si="18"/>
        <v>0</v>
      </c>
      <c r="K114" s="514"/>
      <c r="L114" s="525"/>
      <c r="M114" s="514">
        <f t="shared" si="14"/>
        <v>0</v>
      </c>
      <c r="N114" s="525"/>
      <c r="O114" s="514">
        <f t="shared" si="15"/>
        <v>0</v>
      </c>
      <c r="P114" s="514">
        <f t="shared" si="16"/>
        <v>0</v>
      </c>
    </row>
    <row r="115" spans="2:16" ht="12.5">
      <c r="B115" s="195" t="str">
        <f t="shared" si="17"/>
        <v/>
      </c>
      <c r="C115" s="507">
        <f>IF(D93="","-",+C114+1)</f>
        <v>2031</v>
      </c>
      <c r="D115" s="374">
        <f>IF(F114+SUM(E$99:E114)=D$92,F114,D$92-SUM(E$99:E114))</f>
        <v>3683718.7994186021</v>
      </c>
      <c r="E115" s="522">
        <f t="shared" si="19"/>
        <v>136619.35714285713</v>
      </c>
      <c r="F115" s="523">
        <f t="shared" si="20"/>
        <v>3547099.4422757449</v>
      </c>
      <c r="G115" s="523">
        <f t="shared" si="21"/>
        <v>3615409.1208471735</v>
      </c>
      <c r="H115" s="526">
        <f t="shared" si="22"/>
        <v>525542.77233050973</v>
      </c>
      <c r="I115" s="577">
        <f t="shared" si="23"/>
        <v>525542.77233050973</v>
      </c>
      <c r="J115" s="514">
        <f t="shared" si="18"/>
        <v>0</v>
      </c>
      <c r="K115" s="514"/>
      <c r="L115" s="525"/>
      <c r="M115" s="514">
        <f t="shared" si="14"/>
        <v>0</v>
      </c>
      <c r="N115" s="525"/>
      <c r="O115" s="514">
        <f t="shared" si="15"/>
        <v>0</v>
      </c>
      <c r="P115" s="514">
        <f t="shared" si="16"/>
        <v>0</v>
      </c>
    </row>
    <row r="116" spans="2:16" ht="12.5">
      <c r="B116" s="195" t="str">
        <f t="shared" si="17"/>
        <v/>
      </c>
      <c r="C116" s="507">
        <f>IF(D93="","-",+C115+1)</f>
        <v>2032</v>
      </c>
      <c r="D116" s="374">
        <f>IF(F115+SUM(E$99:E115)=D$92,F115,D$92-SUM(E$99:E115))</f>
        <v>3547099.4422757449</v>
      </c>
      <c r="E116" s="522">
        <f t="shared" si="19"/>
        <v>136619.35714285713</v>
      </c>
      <c r="F116" s="523">
        <f t="shared" si="20"/>
        <v>3410480.0851328876</v>
      </c>
      <c r="G116" s="523">
        <f t="shared" si="21"/>
        <v>3478789.7637043162</v>
      </c>
      <c r="H116" s="526">
        <f t="shared" si="22"/>
        <v>510846.10448886559</v>
      </c>
      <c r="I116" s="577">
        <f t="shared" si="23"/>
        <v>510846.10448886559</v>
      </c>
      <c r="J116" s="514">
        <f t="shared" si="18"/>
        <v>0</v>
      </c>
      <c r="K116" s="514"/>
      <c r="L116" s="525"/>
      <c r="M116" s="514">
        <f t="shared" si="14"/>
        <v>0</v>
      </c>
      <c r="N116" s="525"/>
      <c r="O116" s="514">
        <f t="shared" si="15"/>
        <v>0</v>
      </c>
      <c r="P116" s="514">
        <f t="shared" si="16"/>
        <v>0</v>
      </c>
    </row>
    <row r="117" spans="2:16" ht="12.5">
      <c r="B117" s="195" t="str">
        <f t="shared" si="17"/>
        <v/>
      </c>
      <c r="C117" s="507">
        <f>IF(D93="","-",+C116+1)</f>
        <v>2033</v>
      </c>
      <c r="D117" s="374">
        <f>IF(F116+SUM(E$99:E116)=D$92,F116,D$92-SUM(E$99:E116))</f>
        <v>3410480.0851328876</v>
      </c>
      <c r="E117" s="522">
        <f t="shared" si="19"/>
        <v>136619.35714285713</v>
      </c>
      <c r="F117" s="523">
        <f t="shared" si="20"/>
        <v>3273860.7279900303</v>
      </c>
      <c r="G117" s="523">
        <f t="shared" si="21"/>
        <v>3342170.4065614589</v>
      </c>
      <c r="H117" s="526">
        <f t="shared" si="22"/>
        <v>496149.43664722145</v>
      </c>
      <c r="I117" s="577">
        <f t="shared" si="23"/>
        <v>496149.43664722145</v>
      </c>
      <c r="J117" s="514">
        <f t="shared" si="18"/>
        <v>0</v>
      </c>
      <c r="K117" s="514"/>
      <c r="L117" s="525"/>
      <c r="M117" s="514">
        <f t="shared" si="14"/>
        <v>0</v>
      </c>
      <c r="N117" s="525"/>
      <c r="O117" s="514">
        <f t="shared" si="15"/>
        <v>0</v>
      </c>
      <c r="P117" s="514">
        <f t="shared" si="16"/>
        <v>0</v>
      </c>
    </row>
    <row r="118" spans="2:16" ht="12.5">
      <c r="B118" s="195" t="str">
        <f t="shared" si="17"/>
        <v/>
      </c>
      <c r="C118" s="507">
        <f>IF(D93="","-",+C117+1)</f>
        <v>2034</v>
      </c>
      <c r="D118" s="374">
        <f>IF(F117+SUM(E$99:E117)=D$92,F117,D$92-SUM(E$99:E117))</f>
        <v>3273860.7279900303</v>
      </c>
      <c r="E118" s="522">
        <f t="shared" si="19"/>
        <v>136619.35714285713</v>
      </c>
      <c r="F118" s="523">
        <f t="shared" si="20"/>
        <v>3137241.370847173</v>
      </c>
      <c r="G118" s="523">
        <f t="shared" si="21"/>
        <v>3205551.0494186017</v>
      </c>
      <c r="H118" s="526">
        <f t="shared" si="22"/>
        <v>481452.76880557719</v>
      </c>
      <c r="I118" s="577">
        <f t="shared" si="23"/>
        <v>481452.76880557719</v>
      </c>
      <c r="J118" s="514">
        <f t="shared" si="18"/>
        <v>0</v>
      </c>
      <c r="K118" s="514"/>
      <c r="L118" s="525"/>
      <c r="M118" s="514">
        <f t="shared" si="14"/>
        <v>0</v>
      </c>
      <c r="N118" s="525"/>
      <c r="O118" s="514">
        <f t="shared" si="15"/>
        <v>0</v>
      </c>
      <c r="P118" s="514">
        <f t="shared" si="16"/>
        <v>0</v>
      </c>
    </row>
    <row r="119" spans="2:16" ht="12.5">
      <c r="B119" s="195" t="str">
        <f t="shared" si="17"/>
        <v/>
      </c>
      <c r="C119" s="507">
        <f>IF(D93="","-",+C118+1)</f>
        <v>2035</v>
      </c>
      <c r="D119" s="374">
        <f>IF(F118+SUM(E$99:E118)=D$92,F118,D$92-SUM(E$99:E118))</f>
        <v>3137241.370847173</v>
      </c>
      <c r="E119" s="522">
        <f t="shared" si="19"/>
        <v>136619.35714285713</v>
      </c>
      <c r="F119" s="523">
        <f t="shared" si="20"/>
        <v>3000622.0137043158</v>
      </c>
      <c r="G119" s="523">
        <f t="shared" si="21"/>
        <v>3068931.6922757444</v>
      </c>
      <c r="H119" s="526">
        <f t="shared" si="22"/>
        <v>466756.10096393304</v>
      </c>
      <c r="I119" s="577">
        <f t="shared" si="23"/>
        <v>466756.10096393304</v>
      </c>
      <c r="J119" s="514">
        <f t="shared" si="18"/>
        <v>0</v>
      </c>
      <c r="K119" s="514"/>
      <c r="L119" s="525"/>
      <c r="M119" s="514">
        <f t="shared" si="14"/>
        <v>0</v>
      </c>
      <c r="N119" s="525"/>
      <c r="O119" s="514">
        <f t="shared" si="15"/>
        <v>0</v>
      </c>
      <c r="P119" s="514">
        <f t="shared" si="16"/>
        <v>0</v>
      </c>
    </row>
    <row r="120" spans="2:16" ht="12.5">
      <c r="B120" s="195" t="str">
        <f t="shared" si="17"/>
        <v/>
      </c>
      <c r="C120" s="507">
        <f>IF(D93="","-",+C119+1)</f>
        <v>2036</v>
      </c>
      <c r="D120" s="374">
        <f>IF(F119+SUM(E$99:E119)=D$92,F119,D$92-SUM(E$99:E119))</f>
        <v>3000622.0137043158</v>
      </c>
      <c r="E120" s="522">
        <f t="shared" si="19"/>
        <v>136619.35714285713</v>
      </c>
      <c r="F120" s="523">
        <f t="shared" si="20"/>
        <v>2864002.6565614585</v>
      </c>
      <c r="G120" s="523">
        <f t="shared" si="21"/>
        <v>2932312.3351328871</v>
      </c>
      <c r="H120" s="526">
        <f t="shared" si="22"/>
        <v>452059.4331222889</v>
      </c>
      <c r="I120" s="577">
        <f t="shared" si="23"/>
        <v>452059.4331222889</v>
      </c>
      <c r="J120" s="514">
        <f t="shared" si="18"/>
        <v>0</v>
      </c>
      <c r="K120" s="514"/>
      <c r="L120" s="525"/>
      <c r="M120" s="514">
        <f t="shared" si="14"/>
        <v>0</v>
      </c>
      <c r="N120" s="525"/>
      <c r="O120" s="514">
        <f t="shared" si="15"/>
        <v>0</v>
      </c>
      <c r="P120" s="514">
        <f t="shared" si="16"/>
        <v>0</v>
      </c>
    </row>
    <row r="121" spans="2:16" ht="12.5">
      <c r="B121" s="195" t="str">
        <f t="shared" si="17"/>
        <v/>
      </c>
      <c r="C121" s="507">
        <f>IF(D93="","-",+C120+1)</f>
        <v>2037</v>
      </c>
      <c r="D121" s="374">
        <f>IF(F120+SUM(E$99:E120)=D$92,F120,D$92-SUM(E$99:E120))</f>
        <v>2864002.6565614585</v>
      </c>
      <c r="E121" s="522">
        <f t="shared" si="19"/>
        <v>136619.35714285713</v>
      </c>
      <c r="F121" s="523">
        <f t="shared" si="20"/>
        <v>2727383.2994186012</v>
      </c>
      <c r="G121" s="523">
        <f t="shared" si="21"/>
        <v>2795692.9779900298</v>
      </c>
      <c r="H121" s="526">
        <f t="shared" si="22"/>
        <v>437362.76528064476</v>
      </c>
      <c r="I121" s="577">
        <f t="shared" si="23"/>
        <v>437362.76528064476</v>
      </c>
      <c r="J121" s="514">
        <f t="shared" si="18"/>
        <v>0</v>
      </c>
      <c r="K121" s="514"/>
      <c r="L121" s="525"/>
      <c r="M121" s="514">
        <f t="shared" si="14"/>
        <v>0</v>
      </c>
      <c r="N121" s="525"/>
      <c r="O121" s="514">
        <f t="shared" si="15"/>
        <v>0</v>
      </c>
      <c r="P121" s="514">
        <f t="shared" si="16"/>
        <v>0</v>
      </c>
    </row>
    <row r="122" spans="2:16" ht="12.5">
      <c r="B122" s="195" t="str">
        <f t="shared" si="17"/>
        <v/>
      </c>
      <c r="C122" s="507">
        <f>IF(D93="","-",+C121+1)</f>
        <v>2038</v>
      </c>
      <c r="D122" s="374">
        <f>IF(F121+SUM(E$99:E121)=D$92,F121,D$92-SUM(E$99:E121))</f>
        <v>2727383.2994186012</v>
      </c>
      <c r="E122" s="522">
        <f t="shared" si="19"/>
        <v>136619.35714285713</v>
      </c>
      <c r="F122" s="523">
        <f t="shared" si="20"/>
        <v>2590763.9422757439</v>
      </c>
      <c r="G122" s="523">
        <f t="shared" si="21"/>
        <v>2659073.6208471726</v>
      </c>
      <c r="H122" s="526">
        <f t="shared" si="22"/>
        <v>422666.09743900062</v>
      </c>
      <c r="I122" s="577">
        <f t="shared" si="23"/>
        <v>422666.09743900062</v>
      </c>
      <c r="J122" s="514">
        <f t="shared" si="18"/>
        <v>0</v>
      </c>
      <c r="K122" s="514"/>
      <c r="L122" s="525"/>
      <c r="M122" s="514">
        <f t="shared" si="14"/>
        <v>0</v>
      </c>
      <c r="N122" s="525"/>
      <c r="O122" s="514">
        <f t="shared" si="15"/>
        <v>0</v>
      </c>
      <c r="P122" s="514">
        <f t="shared" si="16"/>
        <v>0</v>
      </c>
    </row>
    <row r="123" spans="2:16" ht="12.5">
      <c r="B123" s="195" t="str">
        <f t="shared" si="17"/>
        <v/>
      </c>
      <c r="C123" s="507">
        <f>IF(D93="","-",+C122+1)</f>
        <v>2039</v>
      </c>
      <c r="D123" s="374">
        <f>IF(F122+SUM(E$99:E122)=D$92,F122,D$92-SUM(E$99:E122))</f>
        <v>2590763.9422757439</v>
      </c>
      <c r="E123" s="522">
        <f t="shared" si="19"/>
        <v>136619.35714285713</v>
      </c>
      <c r="F123" s="523">
        <f t="shared" si="20"/>
        <v>2454144.5851328867</v>
      </c>
      <c r="G123" s="523">
        <f t="shared" si="21"/>
        <v>2522454.2637043153</v>
      </c>
      <c r="H123" s="526">
        <f t="shared" si="22"/>
        <v>407969.42959735636</v>
      </c>
      <c r="I123" s="577">
        <f t="shared" si="23"/>
        <v>407969.42959735636</v>
      </c>
      <c r="J123" s="514">
        <f t="shared" si="18"/>
        <v>0</v>
      </c>
      <c r="K123" s="514"/>
      <c r="L123" s="525"/>
      <c r="M123" s="514">
        <f t="shared" si="14"/>
        <v>0</v>
      </c>
      <c r="N123" s="525"/>
      <c r="O123" s="514">
        <f t="shared" si="15"/>
        <v>0</v>
      </c>
      <c r="P123" s="514">
        <f t="shared" si="16"/>
        <v>0</v>
      </c>
    </row>
    <row r="124" spans="2:16" ht="12.5">
      <c r="B124" s="195" t="str">
        <f t="shared" si="17"/>
        <v/>
      </c>
      <c r="C124" s="507">
        <f>IF(D93="","-",+C123+1)</f>
        <v>2040</v>
      </c>
      <c r="D124" s="374">
        <f>IF(F123+SUM(E$99:E123)=D$92,F123,D$92-SUM(E$99:E123))</f>
        <v>2454144.5851328867</v>
      </c>
      <c r="E124" s="522">
        <f t="shared" si="19"/>
        <v>136619.35714285713</v>
      </c>
      <c r="F124" s="523">
        <f t="shared" si="20"/>
        <v>2317525.2279900294</v>
      </c>
      <c r="G124" s="523">
        <f t="shared" si="21"/>
        <v>2385834.906561458</v>
      </c>
      <c r="H124" s="526">
        <f t="shared" si="22"/>
        <v>393272.76175571221</v>
      </c>
      <c r="I124" s="577">
        <f t="shared" si="23"/>
        <v>393272.76175571221</v>
      </c>
      <c r="J124" s="514">
        <f t="shared" si="18"/>
        <v>0</v>
      </c>
      <c r="K124" s="514"/>
      <c r="L124" s="525"/>
      <c r="M124" s="514">
        <f t="shared" si="14"/>
        <v>0</v>
      </c>
      <c r="N124" s="525"/>
      <c r="O124" s="514">
        <f t="shared" si="15"/>
        <v>0</v>
      </c>
      <c r="P124" s="514">
        <f t="shared" si="16"/>
        <v>0</v>
      </c>
    </row>
    <row r="125" spans="2:16" ht="12.5">
      <c r="B125" s="195" t="str">
        <f t="shared" si="17"/>
        <v/>
      </c>
      <c r="C125" s="507">
        <f>IF(D93="","-",+C124+1)</f>
        <v>2041</v>
      </c>
      <c r="D125" s="374">
        <f>IF(F124+SUM(E$99:E124)=D$92,F124,D$92-SUM(E$99:E124))</f>
        <v>2317525.2279900294</v>
      </c>
      <c r="E125" s="522">
        <f t="shared" si="19"/>
        <v>136619.35714285713</v>
      </c>
      <c r="F125" s="523">
        <f t="shared" si="20"/>
        <v>2180905.8708471721</v>
      </c>
      <c r="G125" s="523">
        <f t="shared" si="21"/>
        <v>2249215.5494186007</v>
      </c>
      <c r="H125" s="526">
        <f t="shared" si="22"/>
        <v>378576.09391406807</v>
      </c>
      <c r="I125" s="577">
        <f t="shared" si="23"/>
        <v>378576.09391406807</v>
      </c>
      <c r="J125" s="514">
        <f t="shared" si="18"/>
        <v>0</v>
      </c>
      <c r="K125" s="514"/>
      <c r="L125" s="525"/>
      <c r="M125" s="514">
        <f t="shared" si="14"/>
        <v>0</v>
      </c>
      <c r="N125" s="525"/>
      <c r="O125" s="514">
        <f t="shared" si="15"/>
        <v>0</v>
      </c>
      <c r="P125" s="514">
        <f t="shared" si="16"/>
        <v>0</v>
      </c>
    </row>
    <row r="126" spans="2:16" ht="12.5">
      <c r="B126" s="195" t="str">
        <f t="shared" si="17"/>
        <v/>
      </c>
      <c r="C126" s="507">
        <f>IF(D93="","-",+C125+1)</f>
        <v>2042</v>
      </c>
      <c r="D126" s="374">
        <f>IF(F125+SUM(E$99:E125)=D$92,F125,D$92-SUM(E$99:E125))</f>
        <v>2180905.8708471721</v>
      </c>
      <c r="E126" s="522">
        <f t="shared" si="19"/>
        <v>136619.35714285713</v>
      </c>
      <c r="F126" s="523">
        <f t="shared" si="20"/>
        <v>2044286.5137043151</v>
      </c>
      <c r="G126" s="523">
        <f t="shared" si="21"/>
        <v>2112596.1922757435</v>
      </c>
      <c r="H126" s="526">
        <f t="shared" si="22"/>
        <v>363879.42607242387</v>
      </c>
      <c r="I126" s="577">
        <f t="shared" si="23"/>
        <v>363879.42607242387</v>
      </c>
      <c r="J126" s="514">
        <f t="shared" si="18"/>
        <v>0</v>
      </c>
      <c r="K126" s="514"/>
      <c r="L126" s="525"/>
      <c r="M126" s="514">
        <f t="shared" si="14"/>
        <v>0</v>
      </c>
      <c r="N126" s="525"/>
      <c r="O126" s="514">
        <f t="shared" si="15"/>
        <v>0</v>
      </c>
      <c r="P126" s="514">
        <f t="shared" si="16"/>
        <v>0</v>
      </c>
    </row>
    <row r="127" spans="2:16" ht="12.5">
      <c r="B127" s="195" t="str">
        <f t="shared" si="17"/>
        <v/>
      </c>
      <c r="C127" s="507">
        <f>IF(D93="","-",+C126+1)</f>
        <v>2043</v>
      </c>
      <c r="D127" s="374">
        <f>IF(F126+SUM(E$99:E126)=D$92,F126,D$92-SUM(E$99:E126))</f>
        <v>2044286.5137043151</v>
      </c>
      <c r="E127" s="522">
        <f t="shared" si="19"/>
        <v>136619.35714285713</v>
      </c>
      <c r="F127" s="523">
        <f t="shared" si="20"/>
        <v>1907667.156561458</v>
      </c>
      <c r="G127" s="523">
        <f t="shared" si="21"/>
        <v>1975976.8351328867</v>
      </c>
      <c r="H127" s="526">
        <f t="shared" si="22"/>
        <v>349182.75823077979</v>
      </c>
      <c r="I127" s="577">
        <f t="shared" si="23"/>
        <v>349182.75823077979</v>
      </c>
      <c r="J127" s="514">
        <f t="shared" si="18"/>
        <v>0</v>
      </c>
      <c r="K127" s="514"/>
      <c r="L127" s="525"/>
      <c r="M127" s="514">
        <f t="shared" si="14"/>
        <v>0</v>
      </c>
      <c r="N127" s="525"/>
      <c r="O127" s="514">
        <f t="shared" si="15"/>
        <v>0</v>
      </c>
      <c r="P127" s="514">
        <f t="shared" si="16"/>
        <v>0</v>
      </c>
    </row>
    <row r="128" spans="2:16" ht="12.5">
      <c r="B128" s="195" t="str">
        <f t="shared" si="17"/>
        <v/>
      </c>
      <c r="C128" s="507">
        <f>IF(D93="","-",+C127+1)</f>
        <v>2044</v>
      </c>
      <c r="D128" s="374">
        <f>IF(F127+SUM(E$99:E127)=D$92,F127,D$92-SUM(E$99:E127))</f>
        <v>1907667.156561458</v>
      </c>
      <c r="E128" s="522">
        <f t="shared" si="19"/>
        <v>136619.35714285713</v>
      </c>
      <c r="F128" s="523">
        <f t="shared" si="20"/>
        <v>1771047.799418601</v>
      </c>
      <c r="G128" s="523">
        <f t="shared" si="21"/>
        <v>1839357.4779900294</v>
      </c>
      <c r="H128" s="526">
        <f t="shared" si="22"/>
        <v>334486.09038913558</v>
      </c>
      <c r="I128" s="577">
        <f t="shared" si="23"/>
        <v>334486.09038913558</v>
      </c>
      <c r="J128" s="514">
        <f t="shared" si="18"/>
        <v>0</v>
      </c>
      <c r="K128" s="514"/>
      <c r="L128" s="525"/>
      <c r="M128" s="514">
        <f t="shared" si="14"/>
        <v>0</v>
      </c>
      <c r="N128" s="525"/>
      <c r="O128" s="514">
        <f t="shared" si="15"/>
        <v>0</v>
      </c>
      <c r="P128" s="514">
        <f t="shared" si="16"/>
        <v>0</v>
      </c>
    </row>
    <row r="129" spans="2:16" ht="12.5">
      <c r="B129" s="195" t="str">
        <f t="shared" si="17"/>
        <v/>
      </c>
      <c r="C129" s="507">
        <f>IF(D93="","-",+C128+1)</f>
        <v>2045</v>
      </c>
      <c r="D129" s="374">
        <f>IF(F128+SUM(E$99:E128)=D$92,F128,D$92-SUM(E$99:E128))</f>
        <v>1771047.799418601</v>
      </c>
      <c r="E129" s="522">
        <f t="shared" si="19"/>
        <v>136619.35714285713</v>
      </c>
      <c r="F129" s="523">
        <f t="shared" si="20"/>
        <v>1634428.4422757439</v>
      </c>
      <c r="G129" s="523">
        <f t="shared" si="21"/>
        <v>1702738.1208471726</v>
      </c>
      <c r="H129" s="526">
        <f t="shared" si="22"/>
        <v>319789.4225474915</v>
      </c>
      <c r="I129" s="577">
        <f t="shared" si="23"/>
        <v>319789.4225474915</v>
      </c>
      <c r="J129" s="514">
        <f t="shared" si="18"/>
        <v>0</v>
      </c>
      <c r="K129" s="514"/>
      <c r="L129" s="525"/>
      <c r="M129" s="514">
        <f t="shared" si="14"/>
        <v>0</v>
      </c>
      <c r="N129" s="525"/>
      <c r="O129" s="514">
        <f t="shared" si="15"/>
        <v>0</v>
      </c>
      <c r="P129" s="514">
        <f t="shared" si="16"/>
        <v>0</v>
      </c>
    </row>
    <row r="130" spans="2:16" ht="12.5">
      <c r="B130" s="195" t="str">
        <f t="shared" si="17"/>
        <v/>
      </c>
      <c r="C130" s="507">
        <f>IF(D93="","-",+C129+1)</f>
        <v>2046</v>
      </c>
      <c r="D130" s="374">
        <f>IF(F129+SUM(E$99:E129)=D$92,F129,D$92-SUM(E$99:E129))</f>
        <v>1634428.4422757439</v>
      </c>
      <c r="E130" s="522">
        <f t="shared" si="19"/>
        <v>136619.35714285713</v>
      </c>
      <c r="F130" s="523">
        <f t="shared" si="20"/>
        <v>1497809.0851328869</v>
      </c>
      <c r="G130" s="523">
        <f t="shared" si="21"/>
        <v>1566118.7637043153</v>
      </c>
      <c r="H130" s="526">
        <f t="shared" si="22"/>
        <v>305092.7547058473</v>
      </c>
      <c r="I130" s="577">
        <f t="shared" si="23"/>
        <v>305092.7547058473</v>
      </c>
      <c r="J130" s="514">
        <f t="shared" si="18"/>
        <v>0</v>
      </c>
      <c r="K130" s="514"/>
      <c r="L130" s="525"/>
      <c r="M130" s="514">
        <f t="shared" si="14"/>
        <v>0</v>
      </c>
      <c r="N130" s="525"/>
      <c r="O130" s="514">
        <f t="shared" si="15"/>
        <v>0</v>
      </c>
      <c r="P130" s="514">
        <f t="shared" si="16"/>
        <v>0</v>
      </c>
    </row>
    <row r="131" spans="2:16" ht="12.5">
      <c r="B131" s="195" t="str">
        <f t="shared" si="17"/>
        <v/>
      </c>
      <c r="C131" s="507">
        <f>IF(D93="","-",+C130+1)</f>
        <v>2047</v>
      </c>
      <c r="D131" s="374">
        <f>IF(F130+SUM(E$99:E130)=D$92,F130,D$92-SUM(E$99:E130))</f>
        <v>1497809.0851328869</v>
      </c>
      <c r="E131" s="522">
        <f t="shared" si="19"/>
        <v>136619.35714285713</v>
      </c>
      <c r="F131" s="523">
        <f t="shared" si="20"/>
        <v>1361189.7279900298</v>
      </c>
      <c r="G131" s="523">
        <f t="shared" si="21"/>
        <v>1429499.4065614585</v>
      </c>
      <c r="H131" s="526">
        <f t="shared" si="22"/>
        <v>290396.08686420321</v>
      </c>
      <c r="I131" s="577">
        <f t="shared" si="23"/>
        <v>290396.08686420321</v>
      </c>
      <c r="J131" s="514">
        <f t="shared" si="18"/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 ht="12.5">
      <c r="B132" s="195" t="str">
        <f t="shared" si="17"/>
        <v/>
      </c>
      <c r="C132" s="507">
        <f>IF(D93="","-",+C131+1)</f>
        <v>2048</v>
      </c>
      <c r="D132" s="374">
        <f>IF(F131+SUM(E$99:E131)=D$92,F131,D$92-SUM(E$99:E131))</f>
        <v>1361189.7279900298</v>
      </c>
      <c r="E132" s="522">
        <f t="shared" si="19"/>
        <v>136619.35714285713</v>
      </c>
      <c r="F132" s="523">
        <f t="shared" si="20"/>
        <v>1224570.3708471728</v>
      </c>
      <c r="G132" s="523">
        <f t="shared" si="21"/>
        <v>1292880.0494186012</v>
      </c>
      <c r="H132" s="526">
        <f t="shared" si="22"/>
        <v>275699.41902255901</v>
      </c>
      <c r="I132" s="577">
        <f t="shared" si="23"/>
        <v>275699.41902255901</v>
      </c>
      <c r="J132" s="514">
        <f t="shared" si="18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 ht="12.5">
      <c r="B133" s="195" t="str">
        <f t="shared" si="17"/>
        <v/>
      </c>
      <c r="C133" s="507">
        <f>IF(D93="","-",+C132+1)</f>
        <v>2049</v>
      </c>
      <c r="D133" s="374">
        <f>IF(F132+SUM(E$99:E132)=D$92,F132,D$92-SUM(E$99:E132))</f>
        <v>1224570.3708471728</v>
      </c>
      <c r="E133" s="522">
        <f t="shared" si="19"/>
        <v>136619.35714285713</v>
      </c>
      <c r="F133" s="523">
        <f t="shared" si="20"/>
        <v>1087951.0137043158</v>
      </c>
      <c r="G133" s="523">
        <f t="shared" si="21"/>
        <v>1156260.6922757444</v>
      </c>
      <c r="H133" s="526">
        <f t="shared" si="22"/>
        <v>261002.7511809149</v>
      </c>
      <c r="I133" s="577">
        <f t="shared" si="23"/>
        <v>261002.7511809149</v>
      </c>
      <c r="J133" s="514">
        <f t="shared" si="18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 ht="12.5">
      <c r="B134" s="195" t="str">
        <f t="shared" si="17"/>
        <v/>
      </c>
      <c r="C134" s="507">
        <f>IF(D93="","-",+C133+1)</f>
        <v>2050</v>
      </c>
      <c r="D134" s="374">
        <f>IF(F133+SUM(E$99:E133)=D$92,F133,D$92-SUM(E$99:E133))</f>
        <v>1087951.0137043158</v>
      </c>
      <c r="E134" s="522">
        <f t="shared" si="19"/>
        <v>136619.35714285713</v>
      </c>
      <c r="F134" s="523">
        <f t="shared" si="20"/>
        <v>951331.6565614586</v>
      </c>
      <c r="G134" s="523">
        <f t="shared" si="21"/>
        <v>1019641.3351328871</v>
      </c>
      <c r="H134" s="526">
        <f t="shared" si="22"/>
        <v>246306.08333927073</v>
      </c>
      <c r="I134" s="577">
        <f t="shared" si="23"/>
        <v>246306.08333927073</v>
      </c>
      <c r="J134" s="514">
        <f t="shared" si="18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 ht="12.5">
      <c r="B135" s="195" t="str">
        <f t="shared" si="17"/>
        <v/>
      </c>
      <c r="C135" s="507">
        <f>IF(D93="","-",+C134+1)</f>
        <v>2051</v>
      </c>
      <c r="D135" s="374">
        <f>IF(F134+SUM(E$99:E134)=D$92,F134,D$92-SUM(E$99:E134))</f>
        <v>951331.6565614586</v>
      </c>
      <c r="E135" s="522">
        <f t="shared" si="19"/>
        <v>136619.35714285713</v>
      </c>
      <c r="F135" s="523">
        <f t="shared" si="20"/>
        <v>814712.29941860144</v>
      </c>
      <c r="G135" s="523">
        <f t="shared" si="21"/>
        <v>883021.97799003008</v>
      </c>
      <c r="H135" s="526">
        <f t="shared" si="22"/>
        <v>231609.41549762659</v>
      </c>
      <c r="I135" s="577">
        <f t="shared" si="23"/>
        <v>231609.41549762659</v>
      </c>
      <c r="J135" s="514">
        <f t="shared" si="18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 ht="12.5">
      <c r="B136" s="195" t="str">
        <f t="shared" si="17"/>
        <v/>
      </c>
      <c r="C136" s="507">
        <f>IF(D93="","-",+C135+1)</f>
        <v>2052</v>
      </c>
      <c r="D136" s="374">
        <f>IF(F135+SUM(E$99:E135)=D$92,F135,D$92-SUM(E$99:E135))</f>
        <v>814712.29941860144</v>
      </c>
      <c r="E136" s="522">
        <f t="shared" si="19"/>
        <v>136619.35714285713</v>
      </c>
      <c r="F136" s="523">
        <f t="shared" si="20"/>
        <v>678092.94227574428</v>
      </c>
      <c r="G136" s="523">
        <f t="shared" si="21"/>
        <v>746402.6208471728</v>
      </c>
      <c r="H136" s="526">
        <f t="shared" si="22"/>
        <v>216912.74765598241</v>
      </c>
      <c r="I136" s="577">
        <f t="shared" si="23"/>
        <v>216912.74765598241</v>
      </c>
      <c r="J136" s="514">
        <f t="shared" si="18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 ht="12.5">
      <c r="B137" s="195" t="str">
        <f t="shared" si="17"/>
        <v/>
      </c>
      <c r="C137" s="507">
        <f>IF(D93="","-",+C136+1)</f>
        <v>2053</v>
      </c>
      <c r="D137" s="374">
        <f>IF(F136+SUM(E$99:E136)=D$92,F136,D$92-SUM(E$99:E136))</f>
        <v>678092.94227574428</v>
      </c>
      <c r="E137" s="522">
        <f t="shared" si="19"/>
        <v>136619.35714285713</v>
      </c>
      <c r="F137" s="523">
        <f t="shared" si="20"/>
        <v>541473.58513288712</v>
      </c>
      <c r="G137" s="523">
        <f t="shared" si="21"/>
        <v>609783.26370431576</v>
      </c>
      <c r="H137" s="526">
        <f t="shared" si="22"/>
        <v>202216.07981433827</v>
      </c>
      <c r="I137" s="577">
        <f t="shared" si="23"/>
        <v>202216.07981433827</v>
      </c>
      <c r="J137" s="514">
        <f t="shared" si="18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 ht="12.5">
      <c r="B138" s="195" t="str">
        <f t="shared" si="17"/>
        <v/>
      </c>
      <c r="C138" s="507">
        <f>IF(D93="","-",+C137+1)</f>
        <v>2054</v>
      </c>
      <c r="D138" s="374">
        <f>IF(F137+SUM(E$99:E137)=D$92,F137,D$92-SUM(E$99:E137))</f>
        <v>541473.58513288712</v>
      </c>
      <c r="E138" s="522">
        <f t="shared" si="19"/>
        <v>136619.35714285713</v>
      </c>
      <c r="F138" s="523">
        <f t="shared" si="20"/>
        <v>404854.22799002996</v>
      </c>
      <c r="G138" s="523">
        <f t="shared" si="21"/>
        <v>473163.90656145854</v>
      </c>
      <c r="H138" s="526">
        <f t="shared" si="22"/>
        <v>187519.4119726941</v>
      </c>
      <c r="I138" s="577">
        <f t="shared" si="23"/>
        <v>187519.4119726941</v>
      </c>
      <c r="J138" s="514">
        <f t="shared" si="18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 ht="12.5">
      <c r="B139" s="195" t="str">
        <f t="shared" si="17"/>
        <v/>
      </c>
      <c r="C139" s="507">
        <f>IF(D93="","-",+C138+1)</f>
        <v>2055</v>
      </c>
      <c r="D139" s="374">
        <f>IF(F138+SUM(E$99:E138)=D$92,F138,D$92-SUM(E$99:E138))</f>
        <v>404854.22799002996</v>
      </c>
      <c r="E139" s="522">
        <f t="shared" si="19"/>
        <v>136619.35714285713</v>
      </c>
      <c r="F139" s="523">
        <f t="shared" si="20"/>
        <v>268234.8708471728</v>
      </c>
      <c r="G139" s="523">
        <f t="shared" si="21"/>
        <v>336544.54941860138</v>
      </c>
      <c r="H139" s="526">
        <f t="shared" si="22"/>
        <v>172822.74413104996</v>
      </c>
      <c r="I139" s="577">
        <f t="shared" si="23"/>
        <v>172822.74413104996</v>
      </c>
      <c r="J139" s="514">
        <f t="shared" si="18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 ht="12.5">
      <c r="B140" s="195" t="str">
        <f t="shared" si="17"/>
        <v/>
      </c>
      <c r="C140" s="507">
        <f>IF(D93="","-",+C139+1)</f>
        <v>2056</v>
      </c>
      <c r="D140" s="374">
        <f>IF(F139+SUM(E$99:E139)=D$92,F139,D$92-SUM(E$99:E139))</f>
        <v>268234.8708471728</v>
      </c>
      <c r="E140" s="522">
        <f t="shared" si="19"/>
        <v>136619.35714285713</v>
      </c>
      <c r="F140" s="523">
        <f t="shared" si="20"/>
        <v>131615.51370431567</v>
      </c>
      <c r="G140" s="523">
        <f t="shared" si="21"/>
        <v>199925.19227574422</v>
      </c>
      <c r="H140" s="526">
        <f t="shared" si="22"/>
        <v>158126.07628940578</v>
      </c>
      <c r="I140" s="577">
        <f t="shared" si="23"/>
        <v>158126.07628940578</v>
      </c>
      <c r="J140" s="514">
        <f t="shared" si="18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 ht="12.5">
      <c r="B141" s="195" t="str">
        <f t="shared" si="17"/>
        <v/>
      </c>
      <c r="C141" s="507">
        <f>IF(D93="","-",+C140+1)</f>
        <v>2057</v>
      </c>
      <c r="D141" s="374">
        <f>IF(F140+SUM(E$99:E140)=D$92,F140,D$92-SUM(E$99:E140))</f>
        <v>131615.51370431567</v>
      </c>
      <c r="E141" s="522">
        <f t="shared" si="19"/>
        <v>131615.51370431567</v>
      </c>
      <c r="F141" s="523">
        <f t="shared" si="20"/>
        <v>0</v>
      </c>
      <c r="G141" s="523">
        <f t="shared" si="21"/>
        <v>65807.756852157836</v>
      </c>
      <c r="H141" s="526">
        <f t="shared" si="22"/>
        <v>138694.70631717896</v>
      </c>
      <c r="I141" s="577">
        <f t="shared" si="23"/>
        <v>138694.70631717896</v>
      </c>
      <c r="J141" s="514">
        <f t="shared" si="18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 ht="12.5">
      <c r="B142" s="195" t="str">
        <f t="shared" si="17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19"/>
        <v>0</v>
      </c>
      <c r="F142" s="523">
        <f t="shared" si="20"/>
        <v>0</v>
      </c>
      <c r="G142" s="523">
        <f t="shared" si="21"/>
        <v>0</v>
      </c>
      <c r="H142" s="526">
        <f t="shared" si="22"/>
        <v>0</v>
      </c>
      <c r="I142" s="577">
        <f t="shared" si="23"/>
        <v>0</v>
      </c>
      <c r="J142" s="514">
        <f t="shared" si="18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 ht="12.5">
      <c r="B143" s="195" t="str">
        <f t="shared" si="17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19"/>
        <v>0</v>
      </c>
      <c r="F143" s="523">
        <f t="shared" si="20"/>
        <v>0</v>
      </c>
      <c r="G143" s="523">
        <f t="shared" si="21"/>
        <v>0</v>
      </c>
      <c r="H143" s="526">
        <f t="shared" si="22"/>
        <v>0</v>
      </c>
      <c r="I143" s="577">
        <f t="shared" si="23"/>
        <v>0</v>
      </c>
      <c r="J143" s="514">
        <f t="shared" si="18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 ht="12.5">
      <c r="B144" s="195" t="str">
        <f t="shared" si="17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19"/>
        <v>0</v>
      </c>
      <c r="F144" s="523">
        <f t="shared" si="20"/>
        <v>0</v>
      </c>
      <c r="G144" s="523">
        <f t="shared" si="21"/>
        <v>0</v>
      </c>
      <c r="H144" s="526">
        <f t="shared" si="22"/>
        <v>0</v>
      </c>
      <c r="I144" s="577">
        <f t="shared" si="23"/>
        <v>0</v>
      </c>
      <c r="J144" s="514">
        <f t="shared" si="18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 ht="12.5">
      <c r="B145" s="195" t="str">
        <f t="shared" si="17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19"/>
        <v>0</v>
      </c>
      <c r="F145" s="523">
        <f t="shared" si="20"/>
        <v>0</v>
      </c>
      <c r="G145" s="523">
        <f t="shared" si="21"/>
        <v>0</v>
      </c>
      <c r="H145" s="526">
        <f t="shared" si="22"/>
        <v>0</v>
      </c>
      <c r="I145" s="577">
        <f t="shared" si="23"/>
        <v>0</v>
      </c>
      <c r="J145" s="514">
        <f t="shared" si="18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 ht="12.5">
      <c r="B146" s="195" t="str">
        <f t="shared" si="17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19"/>
        <v>0</v>
      </c>
      <c r="F146" s="523">
        <f t="shared" si="20"/>
        <v>0</v>
      </c>
      <c r="G146" s="523">
        <f t="shared" si="21"/>
        <v>0</v>
      </c>
      <c r="H146" s="526">
        <f t="shared" si="22"/>
        <v>0</v>
      </c>
      <c r="I146" s="577">
        <f t="shared" si="23"/>
        <v>0</v>
      </c>
      <c r="J146" s="514">
        <f t="shared" si="18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 ht="12.5">
      <c r="B147" s="195" t="str">
        <f t="shared" si="17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19"/>
        <v>0</v>
      </c>
      <c r="F147" s="523">
        <f t="shared" si="20"/>
        <v>0</v>
      </c>
      <c r="G147" s="523">
        <f t="shared" si="21"/>
        <v>0</v>
      </c>
      <c r="H147" s="526">
        <f t="shared" si="22"/>
        <v>0</v>
      </c>
      <c r="I147" s="577">
        <f t="shared" si="23"/>
        <v>0</v>
      </c>
      <c r="J147" s="514">
        <f t="shared" si="18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 ht="12.5">
      <c r="B148" s="195" t="str">
        <f t="shared" si="17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19"/>
        <v>0</v>
      </c>
      <c r="F148" s="523">
        <f t="shared" si="20"/>
        <v>0</v>
      </c>
      <c r="G148" s="523">
        <f t="shared" si="21"/>
        <v>0</v>
      </c>
      <c r="H148" s="526">
        <f t="shared" si="22"/>
        <v>0</v>
      </c>
      <c r="I148" s="577">
        <f t="shared" si="23"/>
        <v>0</v>
      </c>
      <c r="J148" s="514">
        <f t="shared" si="18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 ht="12.5">
      <c r="B149" s="195" t="str">
        <f t="shared" si="17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19"/>
        <v>0</v>
      </c>
      <c r="F149" s="523">
        <f t="shared" si="20"/>
        <v>0</v>
      </c>
      <c r="G149" s="523">
        <f t="shared" si="21"/>
        <v>0</v>
      </c>
      <c r="H149" s="526">
        <f t="shared" si="22"/>
        <v>0</v>
      </c>
      <c r="I149" s="577">
        <f t="shared" si="23"/>
        <v>0</v>
      </c>
      <c r="J149" s="514">
        <f t="shared" si="18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 ht="12.5">
      <c r="B150" s="195" t="str">
        <f t="shared" si="17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19"/>
        <v>0</v>
      </c>
      <c r="F150" s="523">
        <f t="shared" si="20"/>
        <v>0</v>
      </c>
      <c r="G150" s="523">
        <f t="shared" si="21"/>
        <v>0</v>
      </c>
      <c r="H150" s="526">
        <f t="shared" si="22"/>
        <v>0</v>
      </c>
      <c r="I150" s="577">
        <f t="shared" si="23"/>
        <v>0</v>
      </c>
      <c r="J150" s="514">
        <f t="shared" si="18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 ht="12.5">
      <c r="B151" s="195" t="str">
        <f t="shared" si="17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19"/>
        <v>0</v>
      </c>
      <c r="F151" s="523">
        <f t="shared" si="20"/>
        <v>0</v>
      </c>
      <c r="G151" s="523">
        <f t="shared" si="21"/>
        <v>0</v>
      </c>
      <c r="H151" s="526">
        <f t="shared" si="22"/>
        <v>0</v>
      </c>
      <c r="I151" s="577">
        <f t="shared" si="23"/>
        <v>0</v>
      </c>
      <c r="J151" s="514">
        <f t="shared" si="18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 ht="12.5">
      <c r="B152" s="195" t="str">
        <f t="shared" si="17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19"/>
        <v>0</v>
      </c>
      <c r="F152" s="523">
        <f t="shared" si="20"/>
        <v>0</v>
      </c>
      <c r="G152" s="523">
        <f t="shared" si="21"/>
        <v>0</v>
      </c>
      <c r="H152" s="526">
        <f t="shared" si="22"/>
        <v>0</v>
      </c>
      <c r="I152" s="577">
        <f t="shared" si="23"/>
        <v>0</v>
      </c>
      <c r="J152" s="514">
        <f t="shared" si="18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 ht="12.5">
      <c r="B153" s="195" t="str">
        <f t="shared" si="17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19"/>
        <v>0</v>
      </c>
      <c r="F153" s="523">
        <f t="shared" si="20"/>
        <v>0</v>
      </c>
      <c r="G153" s="523">
        <f t="shared" si="21"/>
        <v>0</v>
      </c>
      <c r="H153" s="526">
        <f t="shared" si="22"/>
        <v>0</v>
      </c>
      <c r="I153" s="577">
        <f t="shared" si="23"/>
        <v>0</v>
      </c>
      <c r="J153" s="514">
        <f t="shared" si="18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" thickBot="1">
      <c r="B154" s="195" t="str">
        <f t="shared" si="17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19"/>
        <v>0</v>
      </c>
      <c r="F154" s="523">
        <f t="shared" si="20"/>
        <v>0</v>
      </c>
      <c r="G154" s="523">
        <f t="shared" si="21"/>
        <v>0</v>
      </c>
      <c r="H154" s="526">
        <f t="shared" si="22"/>
        <v>0</v>
      </c>
      <c r="I154" s="577">
        <f t="shared" si="23"/>
        <v>0</v>
      </c>
      <c r="J154" s="514">
        <f t="shared" si="18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 ht="12.5">
      <c r="C155" s="374" t="s">
        <v>78</v>
      </c>
      <c r="D155" s="375"/>
      <c r="E155" s="375">
        <f>SUM(E99:E154)</f>
        <v>5738012.9999999991</v>
      </c>
      <c r="F155" s="375"/>
      <c r="G155" s="375"/>
      <c r="H155" s="375">
        <f>SUM(H99:H154)</f>
        <v>19226216.985567637</v>
      </c>
      <c r="I155" s="375">
        <f>SUM(I99:I154)</f>
        <v>19226216.985567637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4" priority="1" stopIfTrue="1" operator="equal">
      <formula>$I$10</formula>
    </cfRule>
  </conditionalFormatting>
  <conditionalFormatting sqref="C99:C154">
    <cfRule type="cellIs" dxfId="5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P162"/>
  <sheetViews>
    <sheetView view="pageBreakPreview" zoomScale="82" zoomScaleNormal="100" zoomScaleSheetLayoutView="82" workbookViewId="0">
      <selection activeCell="E97" sqref="E97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54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1599366.8553044961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1599366.8553044961</v>
      </c>
      <c r="O6" s="269"/>
      <c r="P6" s="269"/>
    </row>
    <row r="7" spans="1:16" ht="13.5" thickBot="1">
      <c r="C7" s="467" t="s">
        <v>48</v>
      </c>
      <c r="D7" s="624" t="s">
        <v>346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/>
      <c r="E9" s="637" t="s">
        <v>404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13851900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329807.14285714284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13860000</v>
      </c>
      <c r="E17" s="638">
        <v>27500</v>
      </c>
      <c r="F17" s="629">
        <v>13832500</v>
      </c>
      <c r="G17" s="638">
        <v>1849306.6594882272</v>
      </c>
      <c r="H17" s="639">
        <v>1849306.6594882272</v>
      </c>
      <c r="I17" s="511">
        <v>0</v>
      </c>
      <c r="J17" s="511"/>
      <c r="K17" s="518">
        <f t="shared" ref="K17:K22" si="0">G17</f>
        <v>1849306.6594882272</v>
      </c>
      <c r="L17" s="519">
        <f t="shared" ref="L17:L22" si="1">IF(K17&lt;&gt;0,+G17-K17,0)</f>
        <v>0</v>
      </c>
      <c r="M17" s="518">
        <f t="shared" ref="M17:M22" si="2">H17</f>
        <v>1849306.6594882272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13848292</v>
      </c>
      <c r="E18" s="630">
        <v>330376</v>
      </c>
      <c r="F18" s="631">
        <v>13517916</v>
      </c>
      <c r="G18" s="630">
        <v>2088786.1755878374</v>
      </c>
      <c r="H18" s="639">
        <v>2088786.1755878374</v>
      </c>
      <c r="I18" s="511">
        <f>H18-G18</f>
        <v>0</v>
      </c>
      <c r="J18" s="511"/>
      <c r="K18" s="518">
        <f t="shared" si="0"/>
        <v>2088786.1755878374</v>
      </c>
      <c r="L18" s="519">
        <f t="shared" si="1"/>
        <v>0</v>
      </c>
      <c r="M18" s="518">
        <f t="shared" si="2"/>
        <v>2088786.1755878374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13494024</v>
      </c>
      <c r="E19" s="630">
        <v>322137.20930232556</v>
      </c>
      <c r="F19" s="631">
        <v>13171886.790697675</v>
      </c>
      <c r="G19" s="630">
        <v>1973990.8338267417</v>
      </c>
      <c r="H19" s="639">
        <v>1973990.8338267417</v>
      </c>
      <c r="I19" s="511">
        <f t="shared" ref="I19:I72" si="3">H19-G19</f>
        <v>0</v>
      </c>
      <c r="J19" s="511"/>
      <c r="K19" s="518">
        <f t="shared" si="0"/>
        <v>1973990.8338267417</v>
      </c>
      <c r="L19" s="519">
        <f t="shared" si="1"/>
        <v>0</v>
      </c>
      <c r="M19" s="518">
        <f t="shared" si="2"/>
        <v>1973990.8338267417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13171886.790697675</v>
      </c>
      <c r="E20" s="630">
        <v>337851.21951219509</v>
      </c>
      <c r="F20" s="631">
        <v>12834035.571185481</v>
      </c>
      <c r="G20" s="630">
        <v>1990450.8542031003</v>
      </c>
      <c r="H20" s="639">
        <v>1990450.8542031003</v>
      </c>
      <c r="I20" s="511">
        <f t="shared" si="3"/>
        <v>0</v>
      </c>
      <c r="J20" s="511"/>
      <c r="K20" s="518">
        <f t="shared" si="0"/>
        <v>1990450.8542031003</v>
      </c>
      <c r="L20" s="519">
        <f t="shared" si="1"/>
        <v>0</v>
      </c>
      <c r="M20" s="518">
        <f t="shared" si="2"/>
        <v>1990450.8542031003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12834035.571185481</v>
      </c>
      <c r="E21" s="630">
        <v>337851.21951219509</v>
      </c>
      <c r="F21" s="631">
        <v>12496184.351673286</v>
      </c>
      <c r="G21" s="630">
        <v>1947511.9578873843</v>
      </c>
      <c r="H21" s="639">
        <v>1947511.9578873843</v>
      </c>
      <c r="I21" s="511">
        <f t="shared" si="3"/>
        <v>0</v>
      </c>
      <c r="J21" s="511"/>
      <c r="K21" s="518">
        <f t="shared" si="0"/>
        <v>1947511.9578873843</v>
      </c>
      <c r="L21" s="519">
        <f t="shared" si="1"/>
        <v>0</v>
      </c>
      <c r="M21" s="518">
        <f t="shared" si="2"/>
        <v>1947511.9578873843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/>
      </c>
      <c r="C22" s="507">
        <f>IF(D11="","-",+C21+1)</f>
        <v>2020</v>
      </c>
      <c r="D22" s="631">
        <v>12496184.351673286</v>
      </c>
      <c r="E22" s="630">
        <v>337851.21951219509</v>
      </c>
      <c r="F22" s="631">
        <v>12158333.132161092</v>
      </c>
      <c r="G22" s="630">
        <v>1599366.8553044961</v>
      </c>
      <c r="H22" s="639">
        <v>1599366.8553044961</v>
      </c>
      <c r="I22" s="511">
        <f t="shared" si="3"/>
        <v>0</v>
      </c>
      <c r="J22" s="511"/>
      <c r="K22" s="518">
        <f t="shared" si="0"/>
        <v>1599366.8553044961</v>
      </c>
      <c r="L22" s="519">
        <f t="shared" si="1"/>
        <v>0</v>
      </c>
      <c r="M22" s="518">
        <f t="shared" si="2"/>
        <v>1599366.8553044961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/>
      </c>
      <c r="C23" s="507">
        <f>IF(D11="","-",+C22+1)</f>
        <v>2021</v>
      </c>
      <c r="D23" s="523">
        <f>IF(F22+SUM(E$17:E22)=D$10,F22,D$10-SUM(E$17:E22))</f>
        <v>12158333.132161092</v>
      </c>
      <c r="E23" s="522">
        <f t="shared" ref="E23:E72" si="7">IF(+$I$14&lt;F22,$I$14,D23)</f>
        <v>329807.14285714284</v>
      </c>
      <c r="F23" s="523">
        <f t="shared" ref="F23:F72" si="8">+D23-E23</f>
        <v>11828525.989303948</v>
      </c>
      <c r="G23" s="524">
        <f t="shared" ref="G23:G50" si="9">+I$12*((D23+F23)/2)+E23</f>
        <v>1610920.986973892</v>
      </c>
      <c r="H23" s="491">
        <f t="shared" ref="H23:H50" si="10">+I$13*((D23+F23)/2)+E23</f>
        <v>1610920.986973892</v>
      </c>
      <c r="I23" s="511">
        <f t="shared" si="3"/>
        <v>0</v>
      </c>
      <c r="J23" s="511"/>
      <c r="K23" s="525"/>
      <c r="L23" s="514">
        <f t="shared" ref="L23:L72" si="11">IF(K23&lt;&gt;0,+G23-K23,0)</f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/>
      </c>
      <c r="C24" s="507">
        <f>IF(D11="","-",+C23+1)</f>
        <v>2022</v>
      </c>
      <c r="D24" s="523">
        <f>IF(F23+SUM(E$17:E23)=D$10,F23,D$10-SUM(E$17:E23))</f>
        <v>11828525.989303948</v>
      </c>
      <c r="E24" s="522">
        <f t="shared" si="7"/>
        <v>329807.14285714284</v>
      </c>
      <c r="F24" s="523">
        <f t="shared" si="8"/>
        <v>11498718.846446805</v>
      </c>
      <c r="G24" s="524">
        <f t="shared" si="9"/>
        <v>1575691.6562421513</v>
      </c>
      <c r="H24" s="491">
        <f t="shared" si="10"/>
        <v>1575691.6562421513</v>
      </c>
      <c r="I24" s="511">
        <f t="shared" si="3"/>
        <v>0</v>
      </c>
      <c r="J24" s="511"/>
      <c r="K24" s="525"/>
      <c r="L24" s="514">
        <f t="shared" si="11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11498718.846446805</v>
      </c>
      <c r="E25" s="522">
        <f t="shared" si="7"/>
        <v>329807.14285714284</v>
      </c>
      <c r="F25" s="523">
        <f t="shared" si="8"/>
        <v>11168911.703589661</v>
      </c>
      <c r="G25" s="524">
        <f t="shared" si="9"/>
        <v>1540462.3255104111</v>
      </c>
      <c r="H25" s="491">
        <f t="shared" si="10"/>
        <v>1540462.3255104111</v>
      </c>
      <c r="I25" s="511">
        <f t="shared" si="3"/>
        <v>0</v>
      </c>
      <c r="J25" s="511"/>
      <c r="K25" s="525"/>
      <c r="L25" s="514">
        <f t="shared" si="11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11168911.703589661</v>
      </c>
      <c r="E26" s="522">
        <f t="shared" si="7"/>
        <v>329807.14285714284</v>
      </c>
      <c r="F26" s="523">
        <f t="shared" si="8"/>
        <v>10839104.560732517</v>
      </c>
      <c r="G26" s="524">
        <f t="shared" si="9"/>
        <v>1505232.9947786708</v>
      </c>
      <c r="H26" s="491">
        <f t="shared" si="10"/>
        <v>1505232.9947786708</v>
      </c>
      <c r="I26" s="511">
        <f t="shared" si="3"/>
        <v>0</v>
      </c>
      <c r="J26" s="511"/>
      <c r="K26" s="525"/>
      <c r="L26" s="514">
        <f t="shared" si="11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10839104.560732517</v>
      </c>
      <c r="E27" s="522">
        <f t="shared" si="7"/>
        <v>329807.14285714284</v>
      </c>
      <c r="F27" s="523">
        <f t="shared" si="8"/>
        <v>10509297.417875374</v>
      </c>
      <c r="G27" s="524">
        <f t="shared" si="9"/>
        <v>1470003.6640469306</v>
      </c>
      <c r="H27" s="491">
        <f t="shared" si="10"/>
        <v>1470003.6640469306</v>
      </c>
      <c r="I27" s="511">
        <f t="shared" si="3"/>
        <v>0</v>
      </c>
      <c r="J27" s="511"/>
      <c r="K27" s="525"/>
      <c r="L27" s="514">
        <f t="shared" si="11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10509297.417875374</v>
      </c>
      <c r="E28" s="522">
        <f t="shared" si="7"/>
        <v>329807.14285714284</v>
      </c>
      <c r="F28" s="523">
        <f t="shared" si="8"/>
        <v>10179490.27501823</v>
      </c>
      <c r="G28" s="524">
        <f t="shared" si="9"/>
        <v>1434774.3333151899</v>
      </c>
      <c r="H28" s="491">
        <f t="shared" si="10"/>
        <v>1434774.3333151899</v>
      </c>
      <c r="I28" s="511">
        <f t="shared" si="3"/>
        <v>0</v>
      </c>
      <c r="J28" s="511"/>
      <c r="K28" s="525"/>
      <c r="L28" s="514">
        <f t="shared" si="11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10179490.27501823</v>
      </c>
      <c r="E29" s="522">
        <f t="shared" si="7"/>
        <v>329807.14285714284</v>
      </c>
      <c r="F29" s="523">
        <f t="shared" si="8"/>
        <v>9849683.1321610864</v>
      </c>
      <c r="G29" s="524">
        <f t="shared" si="9"/>
        <v>1399545.0025834497</v>
      </c>
      <c r="H29" s="491">
        <f t="shared" si="10"/>
        <v>1399545.0025834497</v>
      </c>
      <c r="I29" s="511">
        <f t="shared" si="3"/>
        <v>0</v>
      </c>
      <c r="J29" s="511"/>
      <c r="K29" s="525"/>
      <c r="L29" s="514">
        <f t="shared" si="11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9849683.1321610864</v>
      </c>
      <c r="E30" s="522">
        <f t="shared" si="7"/>
        <v>329807.14285714284</v>
      </c>
      <c r="F30" s="523">
        <f t="shared" si="8"/>
        <v>9519875.9893039428</v>
      </c>
      <c r="G30" s="524">
        <f t="shared" si="9"/>
        <v>1364315.6718517095</v>
      </c>
      <c r="H30" s="491">
        <f t="shared" si="10"/>
        <v>1364315.6718517095</v>
      </c>
      <c r="I30" s="511">
        <f t="shared" si="3"/>
        <v>0</v>
      </c>
      <c r="J30" s="511"/>
      <c r="K30" s="525"/>
      <c r="L30" s="514">
        <f t="shared" si="11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9519875.9893039428</v>
      </c>
      <c r="E31" s="522">
        <f t="shared" si="7"/>
        <v>329807.14285714284</v>
      </c>
      <c r="F31" s="523">
        <f t="shared" si="8"/>
        <v>9190068.8464467991</v>
      </c>
      <c r="G31" s="524">
        <f t="shared" si="9"/>
        <v>1329086.3411199693</v>
      </c>
      <c r="H31" s="491">
        <f t="shared" si="10"/>
        <v>1329086.3411199693</v>
      </c>
      <c r="I31" s="511">
        <f t="shared" si="3"/>
        <v>0</v>
      </c>
      <c r="J31" s="511"/>
      <c r="K31" s="525"/>
      <c r="L31" s="514">
        <f t="shared" si="11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9190068.8464467991</v>
      </c>
      <c r="E32" s="522">
        <f t="shared" si="7"/>
        <v>329807.14285714284</v>
      </c>
      <c r="F32" s="523">
        <f t="shared" si="8"/>
        <v>8860261.7035896555</v>
      </c>
      <c r="G32" s="524">
        <f t="shared" si="9"/>
        <v>1293857.0103882286</v>
      </c>
      <c r="H32" s="491">
        <f t="shared" si="10"/>
        <v>1293857.0103882286</v>
      </c>
      <c r="I32" s="511">
        <f t="shared" si="3"/>
        <v>0</v>
      </c>
      <c r="J32" s="511"/>
      <c r="K32" s="525"/>
      <c r="L32" s="514">
        <f t="shared" si="11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8860261.7035896555</v>
      </c>
      <c r="E33" s="522">
        <f t="shared" si="7"/>
        <v>329807.14285714284</v>
      </c>
      <c r="F33" s="523">
        <f t="shared" si="8"/>
        <v>8530454.5607325118</v>
      </c>
      <c r="G33" s="524">
        <f t="shared" si="9"/>
        <v>1258627.6796564886</v>
      </c>
      <c r="H33" s="491">
        <f t="shared" si="10"/>
        <v>1258627.6796564886</v>
      </c>
      <c r="I33" s="511">
        <f t="shared" si="3"/>
        <v>0</v>
      </c>
      <c r="J33" s="511"/>
      <c r="K33" s="525"/>
      <c r="L33" s="514">
        <f t="shared" si="11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8530454.5607325118</v>
      </c>
      <c r="E34" s="522">
        <f t="shared" si="7"/>
        <v>329807.14285714284</v>
      </c>
      <c r="F34" s="523">
        <f t="shared" si="8"/>
        <v>8200647.4178753691</v>
      </c>
      <c r="G34" s="524">
        <f t="shared" si="9"/>
        <v>1223398.3489247481</v>
      </c>
      <c r="H34" s="491">
        <f t="shared" si="10"/>
        <v>1223398.3489247481</v>
      </c>
      <c r="I34" s="511">
        <f t="shared" si="3"/>
        <v>0</v>
      </c>
      <c r="J34" s="511"/>
      <c r="K34" s="525"/>
      <c r="L34" s="514">
        <f t="shared" si="11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8200647.4178753691</v>
      </c>
      <c r="E35" s="522">
        <f t="shared" si="7"/>
        <v>329807.14285714284</v>
      </c>
      <c r="F35" s="523">
        <f t="shared" si="8"/>
        <v>7870840.2750182264</v>
      </c>
      <c r="G35" s="524">
        <f t="shared" si="9"/>
        <v>1188169.0181930079</v>
      </c>
      <c r="H35" s="491">
        <f t="shared" si="10"/>
        <v>1188169.0181930079</v>
      </c>
      <c r="I35" s="511">
        <f t="shared" si="3"/>
        <v>0</v>
      </c>
      <c r="J35" s="511"/>
      <c r="K35" s="525"/>
      <c r="L35" s="514">
        <f t="shared" si="11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7870840.2750182264</v>
      </c>
      <c r="E36" s="522">
        <f t="shared" si="7"/>
        <v>329807.14285714284</v>
      </c>
      <c r="F36" s="523">
        <f t="shared" si="8"/>
        <v>7541033.1321610836</v>
      </c>
      <c r="G36" s="524">
        <f t="shared" si="9"/>
        <v>1152939.6874612677</v>
      </c>
      <c r="H36" s="491">
        <f t="shared" si="10"/>
        <v>1152939.6874612677</v>
      </c>
      <c r="I36" s="511">
        <f t="shared" si="3"/>
        <v>0</v>
      </c>
      <c r="J36" s="511"/>
      <c r="K36" s="525"/>
      <c r="L36" s="514">
        <f t="shared" si="11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7541033.1321610836</v>
      </c>
      <c r="E37" s="522">
        <f t="shared" si="7"/>
        <v>329807.14285714284</v>
      </c>
      <c r="F37" s="523">
        <f t="shared" si="8"/>
        <v>7211225.9893039409</v>
      </c>
      <c r="G37" s="524">
        <f t="shared" si="9"/>
        <v>1117710.3567295275</v>
      </c>
      <c r="H37" s="491">
        <f t="shared" si="10"/>
        <v>1117710.3567295275</v>
      </c>
      <c r="I37" s="511">
        <f t="shared" si="3"/>
        <v>0</v>
      </c>
      <c r="J37" s="511"/>
      <c r="K37" s="525"/>
      <c r="L37" s="514">
        <f t="shared" si="11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7211225.9893039409</v>
      </c>
      <c r="E38" s="522">
        <f t="shared" si="7"/>
        <v>329807.14285714284</v>
      </c>
      <c r="F38" s="523">
        <f t="shared" si="8"/>
        <v>6881418.8464467982</v>
      </c>
      <c r="G38" s="524">
        <f t="shared" si="9"/>
        <v>1082481.0259977872</v>
      </c>
      <c r="H38" s="491">
        <f t="shared" si="10"/>
        <v>1082481.0259977872</v>
      </c>
      <c r="I38" s="511">
        <f t="shared" si="3"/>
        <v>0</v>
      </c>
      <c r="J38" s="511"/>
      <c r="K38" s="525"/>
      <c r="L38" s="514">
        <f t="shared" si="11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6881418.8464467982</v>
      </c>
      <c r="E39" s="522">
        <f t="shared" si="7"/>
        <v>329807.14285714284</v>
      </c>
      <c r="F39" s="523">
        <f t="shared" si="8"/>
        <v>6551611.7035896555</v>
      </c>
      <c r="G39" s="524">
        <f t="shared" si="9"/>
        <v>1047251.695266047</v>
      </c>
      <c r="H39" s="491">
        <f t="shared" si="10"/>
        <v>1047251.695266047</v>
      </c>
      <c r="I39" s="511">
        <f t="shared" si="3"/>
        <v>0</v>
      </c>
      <c r="J39" s="511"/>
      <c r="K39" s="525"/>
      <c r="L39" s="514">
        <f t="shared" si="11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6551611.7035896555</v>
      </c>
      <c r="E40" s="522">
        <f t="shared" si="7"/>
        <v>329807.14285714284</v>
      </c>
      <c r="F40" s="523">
        <f t="shared" si="8"/>
        <v>6221804.5607325127</v>
      </c>
      <c r="G40" s="524">
        <f t="shared" si="9"/>
        <v>1012022.3645343069</v>
      </c>
      <c r="H40" s="491">
        <f t="shared" si="10"/>
        <v>1012022.3645343069</v>
      </c>
      <c r="I40" s="511">
        <f t="shared" si="3"/>
        <v>0</v>
      </c>
      <c r="J40" s="511"/>
      <c r="K40" s="525"/>
      <c r="L40" s="514">
        <f t="shared" si="11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6221804.5607325127</v>
      </c>
      <c r="E41" s="522">
        <f t="shared" si="7"/>
        <v>329807.14285714284</v>
      </c>
      <c r="F41" s="523">
        <f t="shared" si="8"/>
        <v>5891997.41787537</v>
      </c>
      <c r="G41" s="524">
        <f t="shared" si="9"/>
        <v>976793.03380256658</v>
      </c>
      <c r="H41" s="491">
        <f t="shared" si="10"/>
        <v>976793.03380256658</v>
      </c>
      <c r="I41" s="511">
        <f t="shared" si="3"/>
        <v>0</v>
      </c>
      <c r="J41" s="511"/>
      <c r="K41" s="525"/>
      <c r="L41" s="514">
        <f t="shared" si="11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5891997.41787537</v>
      </c>
      <c r="E42" s="522">
        <f t="shared" si="7"/>
        <v>329807.14285714284</v>
      </c>
      <c r="F42" s="523">
        <f t="shared" si="8"/>
        <v>5562190.2750182273</v>
      </c>
      <c r="G42" s="524">
        <f t="shared" si="9"/>
        <v>941563.70307082648</v>
      </c>
      <c r="H42" s="491">
        <f t="shared" si="10"/>
        <v>941563.70307082648</v>
      </c>
      <c r="I42" s="511">
        <f t="shared" si="3"/>
        <v>0</v>
      </c>
      <c r="J42" s="511"/>
      <c r="K42" s="525"/>
      <c r="L42" s="514">
        <f t="shared" si="11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5562190.2750182273</v>
      </c>
      <c r="E43" s="522">
        <f t="shared" si="7"/>
        <v>329807.14285714284</v>
      </c>
      <c r="F43" s="523">
        <f t="shared" si="8"/>
        <v>5232383.1321610846</v>
      </c>
      <c r="G43" s="524">
        <f t="shared" si="9"/>
        <v>906334.37233908614</v>
      </c>
      <c r="H43" s="491">
        <f t="shared" si="10"/>
        <v>906334.37233908614</v>
      </c>
      <c r="I43" s="511">
        <f t="shared" si="3"/>
        <v>0</v>
      </c>
      <c r="J43" s="511"/>
      <c r="K43" s="525"/>
      <c r="L43" s="514">
        <f t="shared" si="11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5232383.1321610846</v>
      </c>
      <c r="E44" s="522">
        <f t="shared" si="7"/>
        <v>329807.14285714284</v>
      </c>
      <c r="F44" s="523">
        <f t="shared" si="8"/>
        <v>4902575.9893039418</v>
      </c>
      <c r="G44" s="524">
        <f t="shared" si="9"/>
        <v>871105.04160734592</v>
      </c>
      <c r="H44" s="491">
        <f t="shared" si="10"/>
        <v>871105.04160734592</v>
      </c>
      <c r="I44" s="511">
        <f t="shared" si="3"/>
        <v>0</v>
      </c>
      <c r="J44" s="511"/>
      <c r="K44" s="525"/>
      <c r="L44" s="514">
        <f t="shared" si="11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4902575.9893039418</v>
      </c>
      <c r="E45" s="522">
        <f t="shared" si="7"/>
        <v>329807.14285714284</v>
      </c>
      <c r="F45" s="523">
        <f t="shared" si="8"/>
        <v>4572768.8464467991</v>
      </c>
      <c r="G45" s="524">
        <f t="shared" si="9"/>
        <v>835875.7108756057</v>
      </c>
      <c r="H45" s="491">
        <f t="shared" si="10"/>
        <v>835875.7108756057</v>
      </c>
      <c r="I45" s="511">
        <f t="shared" si="3"/>
        <v>0</v>
      </c>
      <c r="J45" s="511"/>
      <c r="K45" s="525"/>
      <c r="L45" s="514">
        <f t="shared" si="11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4572768.8464467991</v>
      </c>
      <c r="E46" s="522">
        <f t="shared" si="7"/>
        <v>329807.14285714284</v>
      </c>
      <c r="F46" s="523">
        <f t="shared" si="8"/>
        <v>4242961.7035896564</v>
      </c>
      <c r="G46" s="524">
        <f t="shared" si="9"/>
        <v>800646.38014386548</v>
      </c>
      <c r="H46" s="491">
        <f t="shared" si="10"/>
        <v>800646.38014386548</v>
      </c>
      <c r="I46" s="511">
        <f t="shared" si="3"/>
        <v>0</v>
      </c>
      <c r="J46" s="511"/>
      <c r="K46" s="525"/>
      <c r="L46" s="514">
        <f t="shared" si="11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4242961.7035896564</v>
      </c>
      <c r="E47" s="522">
        <f t="shared" si="7"/>
        <v>329807.14285714284</v>
      </c>
      <c r="F47" s="523">
        <f t="shared" si="8"/>
        <v>3913154.5607325137</v>
      </c>
      <c r="G47" s="524">
        <f t="shared" si="9"/>
        <v>765417.04941212526</v>
      </c>
      <c r="H47" s="491">
        <f t="shared" si="10"/>
        <v>765417.04941212526</v>
      </c>
      <c r="I47" s="511">
        <f t="shared" si="3"/>
        <v>0</v>
      </c>
      <c r="J47" s="511"/>
      <c r="K47" s="525"/>
      <c r="L47" s="514">
        <f t="shared" si="11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3913154.5607325137</v>
      </c>
      <c r="E48" s="522">
        <f t="shared" si="7"/>
        <v>329807.14285714284</v>
      </c>
      <c r="F48" s="523">
        <f t="shared" si="8"/>
        <v>3583347.4178753709</v>
      </c>
      <c r="G48" s="524">
        <f t="shared" si="9"/>
        <v>730187.71868038503</v>
      </c>
      <c r="H48" s="491">
        <f t="shared" si="10"/>
        <v>730187.71868038503</v>
      </c>
      <c r="I48" s="511">
        <f t="shared" si="3"/>
        <v>0</v>
      </c>
      <c r="J48" s="511"/>
      <c r="K48" s="525"/>
      <c r="L48" s="514">
        <f t="shared" si="11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3583347.4178753709</v>
      </c>
      <c r="E49" s="522">
        <f t="shared" si="7"/>
        <v>329807.14285714284</v>
      </c>
      <c r="F49" s="523">
        <f t="shared" si="8"/>
        <v>3253540.2750182282</v>
      </c>
      <c r="G49" s="524">
        <f t="shared" si="9"/>
        <v>694958.38794864481</v>
      </c>
      <c r="H49" s="491">
        <f t="shared" si="10"/>
        <v>694958.38794864481</v>
      </c>
      <c r="I49" s="511">
        <f t="shared" si="3"/>
        <v>0</v>
      </c>
      <c r="J49" s="511"/>
      <c r="K49" s="525"/>
      <c r="L49" s="514">
        <f t="shared" si="11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3253540.2750182282</v>
      </c>
      <c r="E50" s="522">
        <f t="shared" si="7"/>
        <v>329807.14285714284</v>
      </c>
      <c r="F50" s="523">
        <f t="shared" si="8"/>
        <v>2923733.1321610855</v>
      </c>
      <c r="G50" s="524">
        <f t="shared" si="9"/>
        <v>659729.05721690459</v>
      </c>
      <c r="H50" s="491">
        <f t="shared" si="10"/>
        <v>659729.05721690459</v>
      </c>
      <c r="I50" s="511">
        <f t="shared" si="3"/>
        <v>0</v>
      </c>
      <c r="J50" s="511"/>
      <c r="K50" s="525"/>
      <c r="L50" s="514">
        <f t="shared" si="11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2923733.1321610855</v>
      </c>
      <c r="E51" s="522">
        <f t="shared" si="7"/>
        <v>329807.14285714284</v>
      </c>
      <c r="F51" s="523">
        <f t="shared" si="8"/>
        <v>2593925.9893039428</v>
      </c>
      <c r="G51" s="524">
        <f t="shared" ref="G51:G72" si="12">+I$12*((D51+F51)/2)+E51</f>
        <v>624499.72648516437</v>
      </c>
      <c r="H51" s="491">
        <f t="shared" ref="H51:H72" si="13">+I$13*((D51+F51)/2)+E51</f>
        <v>624499.72648516437</v>
      </c>
      <c r="I51" s="511">
        <f t="shared" si="3"/>
        <v>0</v>
      </c>
      <c r="J51" s="511"/>
      <c r="K51" s="525"/>
      <c r="L51" s="514">
        <f t="shared" si="11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2593925.9893039428</v>
      </c>
      <c r="E52" s="522">
        <f t="shared" si="7"/>
        <v>329807.14285714284</v>
      </c>
      <c r="F52" s="523">
        <f t="shared" si="8"/>
        <v>2264118.8464468</v>
      </c>
      <c r="G52" s="524">
        <f t="shared" si="12"/>
        <v>589270.39575342415</v>
      </c>
      <c r="H52" s="491">
        <f t="shared" si="13"/>
        <v>589270.39575342415</v>
      </c>
      <c r="I52" s="511">
        <f t="shared" si="3"/>
        <v>0</v>
      </c>
      <c r="J52" s="511"/>
      <c r="K52" s="525"/>
      <c r="L52" s="514">
        <f t="shared" si="11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2264118.8464468</v>
      </c>
      <c r="E53" s="522">
        <f t="shared" si="7"/>
        <v>329807.14285714284</v>
      </c>
      <c r="F53" s="523">
        <f t="shared" si="8"/>
        <v>1934311.7035896573</v>
      </c>
      <c r="G53" s="524">
        <f t="shared" si="12"/>
        <v>554041.06502168393</v>
      </c>
      <c r="H53" s="491">
        <f t="shared" si="13"/>
        <v>554041.06502168393</v>
      </c>
      <c r="I53" s="511">
        <f t="shared" si="3"/>
        <v>0</v>
      </c>
      <c r="J53" s="511"/>
      <c r="K53" s="525"/>
      <c r="L53" s="514">
        <f t="shared" si="11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1934311.7035896573</v>
      </c>
      <c r="E54" s="522">
        <f t="shared" si="7"/>
        <v>329807.14285714284</v>
      </c>
      <c r="F54" s="523">
        <f t="shared" si="8"/>
        <v>1604504.5607325146</v>
      </c>
      <c r="G54" s="524">
        <f t="shared" si="12"/>
        <v>518811.73428994359</v>
      </c>
      <c r="H54" s="491">
        <f t="shared" si="13"/>
        <v>518811.73428994359</v>
      </c>
      <c r="I54" s="511">
        <f t="shared" si="3"/>
        <v>0</v>
      </c>
      <c r="J54" s="511"/>
      <c r="K54" s="525"/>
      <c r="L54" s="514">
        <f t="shared" si="11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1604504.5607325146</v>
      </c>
      <c r="E55" s="522">
        <f t="shared" si="7"/>
        <v>329807.14285714284</v>
      </c>
      <c r="F55" s="523">
        <f t="shared" si="8"/>
        <v>1274697.4178753719</v>
      </c>
      <c r="G55" s="524">
        <f t="shared" si="12"/>
        <v>483582.40355820337</v>
      </c>
      <c r="H55" s="491">
        <f t="shared" si="13"/>
        <v>483582.40355820337</v>
      </c>
      <c r="I55" s="511">
        <f t="shared" si="3"/>
        <v>0</v>
      </c>
      <c r="J55" s="511"/>
      <c r="K55" s="525"/>
      <c r="L55" s="514">
        <f t="shared" si="11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1274697.4178753719</v>
      </c>
      <c r="E56" s="522">
        <f t="shared" si="7"/>
        <v>329807.14285714284</v>
      </c>
      <c r="F56" s="523">
        <f t="shared" si="8"/>
        <v>944890.27501822903</v>
      </c>
      <c r="G56" s="524">
        <f t="shared" si="12"/>
        <v>448353.07282646315</v>
      </c>
      <c r="H56" s="491">
        <f t="shared" si="13"/>
        <v>448353.07282646315</v>
      </c>
      <c r="I56" s="511">
        <f t="shared" si="3"/>
        <v>0</v>
      </c>
      <c r="J56" s="511"/>
      <c r="K56" s="525"/>
      <c r="L56" s="514">
        <f t="shared" si="11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944890.27501822903</v>
      </c>
      <c r="E57" s="522">
        <f t="shared" si="7"/>
        <v>329807.14285714284</v>
      </c>
      <c r="F57" s="523">
        <f t="shared" si="8"/>
        <v>615083.13216108619</v>
      </c>
      <c r="G57" s="524">
        <f t="shared" si="12"/>
        <v>413123.74209472293</v>
      </c>
      <c r="H57" s="491">
        <f t="shared" si="13"/>
        <v>413123.74209472293</v>
      </c>
      <c r="I57" s="511">
        <f t="shared" si="3"/>
        <v>0</v>
      </c>
      <c r="J57" s="511"/>
      <c r="K57" s="525"/>
      <c r="L57" s="514">
        <f t="shared" si="11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615083.13216108619</v>
      </c>
      <c r="E58" s="522">
        <f t="shared" si="7"/>
        <v>329807.14285714284</v>
      </c>
      <c r="F58" s="523">
        <f t="shared" si="8"/>
        <v>285275.98930394335</v>
      </c>
      <c r="G58" s="524">
        <f t="shared" si="12"/>
        <v>377894.4113629827</v>
      </c>
      <c r="H58" s="491">
        <f t="shared" si="13"/>
        <v>377894.4113629827</v>
      </c>
      <c r="I58" s="511">
        <f t="shared" si="3"/>
        <v>0</v>
      </c>
      <c r="J58" s="511"/>
      <c r="K58" s="525"/>
      <c r="L58" s="514">
        <f t="shared" si="11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285275.98930394335</v>
      </c>
      <c r="E59" s="522">
        <f t="shared" si="7"/>
        <v>285275.98930394335</v>
      </c>
      <c r="F59" s="523">
        <f t="shared" si="8"/>
        <v>0</v>
      </c>
      <c r="G59" s="524">
        <f t="shared" si="12"/>
        <v>300512.29087392823</v>
      </c>
      <c r="H59" s="491">
        <f t="shared" si="13"/>
        <v>300512.29087392823</v>
      </c>
      <c r="I59" s="511">
        <f t="shared" si="3"/>
        <v>0</v>
      </c>
      <c r="J59" s="511"/>
      <c r="K59" s="525"/>
      <c r="L59" s="514">
        <f t="shared" si="11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7"/>
        <v>0</v>
      </c>
      <c r="F60" s="523">
        <f t="shared" si="8"/>
        <v>0</v>
      </c>
      <c r="G60" s="524">
        <f t="shared" si="12"/>
        <v>0</v>
      </c>
      <c r="H60" s="491">
        <f t="shared" si="13"/>
        <v>0</v>
      </c>
      <c r="I60" s="511">
        <f t="shared" si="3"/>
        <v>0</v>
      </c>
      <c r="J60" s="511"/>
      <c r="K60" s="525"/>
      <c r="L60" s="514">
        <f t="shared" si="11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7"/>
        <v>0</v>
      </c>
      <c r="F61" s="523">
        <f t="shared" si="8"/>
        <v>0</v>
      </c>
      <c r="G61" s="524">
        <f t="shared" si="12"/>
        <v>0</v>
      </c>
      <c r="H61" s="491">
        <f t="shared" si="13"/>
        <v>0</v>
      </c>
      <c r="I61" s="511">
        <f t="shared" si="3"/>
        <v>0</v>
      </c>
      <c r="J61" s="511"/>
      <c r="K61" s="525"/>
      <c r="L61" s="514">
        <f t="shared" si="11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7"/>
        <v>0</v>
      </c>
      <c r="F62" s="523">
        <f t="shared" si="8"/>
        <v>0</v>
      </c>
      <c r="G62" s="524">
        <f t="shared" si="12"/>
        <v>0</v>
      </c>
      <c r="H62" s="491">
        <f t="shared" si="13"/>
        <v>0</v>
      </c>
      <c r="I62" s="511">
        <f t="shared" si="3"/>
        <v>0</v>
      </c>
      <c r="J62" s="511"/>
      <c r="K62" s="525"/>
      <c r="L62" s="514">
        <f t="shared" si="11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7"/>
        <v>0</v>
      </c>
      <c r="F63" s="523">
        <f t="shared" si="8"/>
        <v>0</v>
      </c>
      <c r="G63" s="524">
        <f t="shared" si="12"/>
        <v>0</v>
      </c>
      <c r="H63" s="491">
        <f t="shared" si="13"/>
        <v>0</v>
      </c>
      <c r="I63" s="511">
        <f t="shared" si="3"/>
        <v>0</v>
      </c>
      <c r="J63" s="511"/>
      <c r="K63" s="525"/>
      <c r="L63" s="514">
        <f t="shared" si="11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7"/>
        <v>0</v>
      </c>
      <c r="F64" s="523">
        <f t="shared" si="8"/>
        <v>0</v>
      </c>
      <c r="G64" s="524">
        <f t="shared" si="12"/>
        <v>0</v>
      </c>
      <c r="H64" s="491">
        <f t="shared" si="13"/>
        <v>0</v>
      </c>
      <c r="I64" s="511">
        <f t="shared" si="3"/>
        <v>0</v>
      </c>
      <c r="J64" s="511"/>
      <c r="K64" s="525"/>
      <c r="L64" s="514">
        <f t="shared" si="11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7"/>
        <v>0</v>
      </c>
      <c r="F65" s="523">
        <f t="shared" si="8"/>
        <v>0</v>
      </c>
      <c r="G65" s="524">
        <f t="shared" si="12"/>
        <v>0</v>
      </c>
      <c r="H65" s="491">
        <f t="shared" si="13"/>
        <v>0</v>
      </c>
      <c r="I65" s="511">
        <f t="shared" si="3"/>
        <v>0</v>
      </c>
      <c r="J65" s="511"/>
      <c r="K65" s="525"/>
      <c r="L65" s="514">
        <f t="shared" si="11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7"/>
        <v>0</v>
      </c>
      <c r="F66" s="523">
        <f t="shared" si="8"/>
        <v>0</v>
      </c>
      <c r="G66" s="524">
        <f t="shared" si="12"/>
        <v>0</v>
      </c>
      <c r="H66" s="491">
        <f t="shared" si="13"/>
        <v>0</v>
      </c>
      <c r="I66" s="511">
        <f t="shared" si="3"/>
        <v>0</v>
      </c>
      <c r="J66" s="511"/>
      <c r="K66" s="525"/>
      <c r="L66" s="514">
        <f t="shared" si="11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7"/>
        <v>0</v>
      </c>
      <c r="F67" s="523">
        <f t="shared" si="8"/>
        <v>0</v>
      </c>
      <c r="G67" s="524">
        <f t="shared" si="12"/>
        <v>0</v>
      </c>
      <c r="H67" s="491">
        <f t="shared" si="13"/>
        <v>0</v>
      </c>
      <c r="I67" s="511">
        <f t="shared" si="3"/>
        <v>0</v>
      </c>
      <c r="J67" s="511"/>
      <c r="K67" s="525"/>
      <c r="L67" s="514">
        <f t="shared" si="11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7"/>
        <v>0</v>
      </c>
      <c r="F68" s="523">
        <f t="shared" si="8"/>
        <v>0</v>
      </c>
      <c r="G68" s="524">
        <f t="shared" si="12"/>
        <v>0</v>
      </c>
      <c r="H68" s="491">
        <f t="shared" si="13"/>
        <v>0</v>
      </c>
      <c r="I68" s="511">
        <f t="shared" si="3"/>
        <v>0</v>
      </c>
      <c r="J68" s="511"/>
      <c r="K68" s="525"/>
      <c r="L68" s="514">
        <f t="shared" si="11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7"/>
        <v>0</v>
      </c>
      <c r="F69" s="523">
        <f t="shared" si="8"/>
        <v>0</v>
      </c>
      <c r="G69" s="524">
        <f t="shared" si="12"/>
        <v>0</v>
      </c>
      <c r="H69" s="491">
        <f t="shared" si="13"/>
        <v>0</v>
      </c>
      <c r="I69" s="511">
        <f t="shared" si="3"/>
        <v>0</v>
      </c>
      <c r="J69" s="511"/>
      <c r="K69" s="525"/>
      <c r="L69" s="514">
        <f t="shared" si="11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7"/>
        <v>0</v>
      </c>
      <c r="F70" s="523">
        <f t="shared" si="8"/>
        <v>0</v>
      </c>
      <c r="G70" s="524">
        <f t="shared" si="12"/>
        <v>0</v>
      </c>
      <c r="H70" s="491">
        <f t="shared" si="13"/>
        <v>0</v>
      </c>
      <c r="I70" s="511">
        <f t="shared" si="3"/>
        <v>0</v>
      </c>
      <c r="J70" s="511"/>
      <c r="K70" s="525"/>
      <c r="L70" s="514">
        <f t="shared" si="11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7"/>
        <v>0</v>
      </c>
      <c r="F71" s="523">
        <f t="shared" si="8"/>
        <v>0</v>
      </c>
      <c r="G71" s="524">
        <f t="shared" si="12"/>
        <v>0</v>
      </c>
      <c r="H71" s="491">
        <f t="shared" si="13"/>
        <v>0</v>
      </c>
      <c r="I71" s="511">
        <f t="shared" si="3"/>
        <v>0</v>
      </c>
      <c r="J71" s="511"/>
      <c r="K71" s="525"/>
      <c r="L71" s="514">
        <f t="shared" si="11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7"/>
        <v>0</v>
      </c>
      <c r="F72" s="523">
        <f t="shared" si="8"/>
        <v>0</v>
      </c>
      <c r="G72" s="524">
        <f t="shared" si="12"/>
        <v>0</v>
      </c>
      <c r="H72" s="491">
        <f t="shared" si="13"/>
        <v>0</v>
      </c>
      <c r="I72" s="511">
        <f t="shared" si="3"/>
        <v>0</v>
      </c>
      <c r="J72" s="511"/>
      <c r="K72" s="532"/>
      <c r="L72" s="533">
        <f t="shared" si="11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13851900.000000006</v>
      </c>
      <c r="F73" s="375"/>
      <c r="G73" s="375">
        <f>SUM(G17:G72)</f>
        <v>47548602.797235437</v>
      </c>
      <c r="H73" s="375">
        <f>SUM(H17:H72)</f>
        <v>47548602.797235437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54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1599366.8553044961</v>
      </c>
      <c r="N87" s="546">
        <f>IF(J92&lt;D11,0,VLOOKUP(J92,C17:O72,11))</f>
        <v>1599366.8553044961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1658943.8479839475</v>
      </c>
      <c r="N88" s="550">
        <f>IF(J92&lt;D11,0,VLOOKUP(J92,C99:P154,7))</f>
        <v>1658943.8479839475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Benteler - Port Robson 138 kV Ckt 1 and 2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59576.992679451359</v>
      </c>
      <c r="N89" s="555">
        <f>+N88-N87</f>
        <v>59576.992679451359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13851900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329807.14285714284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27531.333333333332</v>
      </c>
      <c r="F99" s="631">
        <v>13848260.666666666</v>
      </c>
      <c r="G99" s="632">
        <v>6924130.333333333</v>
      </c>
      <c r="H99" s="633">
        <v>939916.21761685633</v>
      </c>
      <c r="I99" s="634">
        <v>939916.21761685633</v>
      </c>
      <c r="J99" s="514">
        <f>+I99-H99</f>
        <v>0</v>
      </c>
      <c r="K99" s="514"/>
      <c r="L99" s="512">
        <f>+H99</f>
        <v>939916.21761685633</v>
      </c>
      <c r="M99" s="513">
        <f t="shared" ref="M99:M130" si="14">IF(L99&lt;&gt;0,+H99-L99,0)</f>
        <v>0</v>
      </c>
      <c r="N99" s="512">
        <f>+I99</f>
        <v>939916.21761685633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13824368.666666666</v>
      </c>
      <c r="E100" s="630">
        <v>322137.20930232556</v>
      </c>
      <c r="F100" s="631">
        <v>13502231.457364341</v>
      </c>
      <c r="G100" s="631">
        <v>13663300.062015504</v>
      </c>
      <c r="H100" s="633">
        <v>2056692.9921555684</v>
      </c>
      <c r="I100" s="634">
        <v>2056692.9921555684</v>
      </c>
      <c r="J100" s="514">
        <f>+I100-H100</f>
        <v>0</v>
      </c>
      <c r="K100" s="514"/>
      <c r="L100" s="518">
        <f>+H100</f>
        <v>2056692.9921555684</v>
      </c>
      <c r="M100" s="514">
        <f>IF(L100&lt;&gt;0,+H100-L100,0)</f>
        <v>0</v>
      </c>
      <c r="N100" s="518">
        <f>+I100</f>
        <v>2056692.9921555684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17">IF(D101=F100,"","IU")</f>
        <v/>
      </c>
      <c r="C101" s="507">
        <f>IF(D93="","-",+C100+1)</f>
        <v>2017</v>
      </c>
      <c r="D101" s="629">
        <v>13502231.457364341</v>
      </c>
      <c r="E101" s="630">
        <v>329807.14285714284</v>
      </c>
      <c r="F101" s="631">
        <v>13172424.314507198</v>
      </c>
      <c r="G101" s="631">
        <v>13337327.885935768</v>
      </c>
      <c r="H101" s="633">
        <v>1949911.8027709834</v>
      </c>
      <c r="I101" s="634">
        <v>1949911.8027709834</v>
      </c>
      <c r="J101" s="514">
        <f t="shared" ref="J101:J154" si="18">+I101-H101</f>
        <v>0</v>
      </c>
      <c r="K101" s="514"/>
      <c r="L101" s="518">
        <f>+H101</f>
        <v>1949911.8027709834</v>
      </c>
      <c r="M101" s="514">
        <f>IF(L101&lt;&gt;0,+H101-L101,0)</f>
        <v>0</v>
      </c>
      <c r="N101" s="518">
        <f>+I101</f>
        <v>1949911.8027709834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17"/>
        <v/>
      </c>
      <c r="C102" s="507">
        <f>IF(D93="","-",+C101+1)</f>
        <v>2018</v>
      </c>
      <c r="D102" s="629">
        <v>13172424.314507198</v>
      </c>
      <c r="E102" s="630">
        <v>329807.14285714284</v>
      </c>
      <c r="F102" s="631">
        <v>12842617.171650054</v>
      </c>
      <c r="G102" s="631">
        <v>13007520.743078627</v>
      </c>
      <c r="H102" s="633">
        <v>1703460.9834722793</v>
      </c>
      <c r="I102" s="634">
        <v>1703460.9834722793</v>
      </c>
      <c r="J102" s="514">
        <f t="shared" si="18"/>
        <v>0</v>
      </c>
      <c r="K102" s="514"/>
      <c r="L102" s="518">
        <f>+H102</f>
        <v>1703460.9834722793</v>
      </c>
      <c r="M102" s="514">
        <f>IF(L102&lt;&gt;0,+H102-L102,0)</f>
        <v>0</v>
      </c>
      <c r="N102" s="518">
        <f>+I102</f>
        <v>1703460.9834722793</v>
      </c>
      <c r="O102" s="514">
        <f>IF(N102&lt;&gt;0,+I102-N102,0)</f>
        <v>0</v>
      </c>
      <c r="P102" s="514">
        <f t="shared" si="16"/>
        <v>0</v>
      </c>
    </row>
    <row r="103" spans="1:16" ht="12.5">
      <c r="B103" s="195" t="str">
        <f t="shared" si="17"/>
        <v/>
      </c>
      <c r="C103" s="507">
        <f>IF(D93="","-",+C102+1)</f>
        <v>2019</v>
      </c>
      <c r="D103" s="629">
        <v>12842617.171650054</v>
      </c>
      <c r="E103" s="630">
        <v>322137.20930232556</v>
      </c>
      <c r="F103" s="631">
        <v>12520479.962347729</v>
      </c>
      <c r="G103" s="631">
        <v>12681548.566998892</v>
      </c>
      <c r="H103" s="633">
        <v>1679577.0989135858</v>
      </c>
      <c r="I103" s="634">
        <v>1679577.0989135858</v>
      </c>
      <c r="J103" s="514">
        <f t="shared" si="18"/>
        <v>0</v>
      </c>
      <c r="K103" s="514"/>
      <c r="L103" s="518">
        <f>+H103</f>
        <v>1679577.0989135858</v>
      </c>
      <c r="M103" s="514">
        <f>IF(L103&lt;&gt;0,+H103-L103,0)</f>
        <v>0</v>
      </c>
      <c r="N103" s="518">
        <f>+I103</f>
        <v>1679577.0989135858</v>
      </c>
      <c r="O103" s="514">
        <f t="shared" si="15"/>
        <v>0</v>
      </c>
      <c r="P103" s="514">
        <f t="shared" si="16"/>
        <v>0</v>
      </c>
    </row>
    <row r="104" spans="1:16" ht="12.5">
      <c r="B104" s="195" t="str">
        <f t="shared" si="17"/>
        <v/>
      </c>
      <c r="C104" s="507">
        <f>IF(D93="","-",+C103+1)</f>
        <v>2020</v>
      </c>
      <c r="D104" s="374">
        <f>IF(F103+SUM(E$99:E103)=D$92,F103,D$92-SUM(E$99:E103))</f>
        <v>12520479.962347729</v>
      </c>
      <c r="E104" s="522">
        <f t="shared" ref="E104:E154" si="19">IF(+$J$96&lt;F103,$J$96,D104)</f>
        <v>329807.14285714284</v>
      </c>
      <c r="F104" s="523">
        <f t="shared" ref="F104:F154" si="20">+D104-E104</f>
        <v>12190672.819490585</v>
      </c>
      <c r="G104" s="523">
        <f t="shared" ref="G104:G154" si="21">+(F104+D104)/2</f>
        <v>12355576.390919156</v>
      </c>
      <c r="H104" s="526">
        <f t="shared" ref="H104:H154" si="22">+J$94*G104+E104</f>
        <v>1658943.8479839475</v>
      </c>
      <c r="I104" s="577">
        <f t="shared" ref="I104:I154" si="23">+J$95*G104+E104</f>
        <v>1658943.8479839475</v>
      </c>
      <c r="J104" s="514">
        <f t="shared" si="18"/>
        <v>0</v>
      </c>
      <c r="K104" s="514"/>
      <c r="L104" s="525"/>
      <c r="M104" s="514">
        <f t="shared" si="14"/>
        <v>0</v>
      </c>
      <c r="N104" s="525"/>
      <c r="O104" s="514">
        <f t="shared" si="15"/>
        <v>0</v>
      </c>
      <c r="P104" s="514">
        <f t="shared" si="16"/>
        <v>0</v>
      </c>
    </row>
    <row r="105" spans="1:16" ht="12.5">
      <c r="B105" s="195" t="str">
        <f t="shared" si="17"/>
        <v/>
      </c>
      <c r="C105" s="507">
        <f>IF(D93="","-",+C104+1)</f>
        <v>2021</v>
      </c>
      <c r="D105" s="374">
        <f>IF(F104+SUM(E$99:E104)=D$92,F104,D$92-SUM(E$99:E104))</f>
        <v>12190672.819490585</v>
      </c>
      <c r="E105" s="522">
        <f t="shared" si="19"/>
        <v>329807.14285714284</v>
      </c>
      <c r="F105" s="523">
        <f t="shared" si="20"/>
        <v>11860865.676633442</v>
      </c>
      <c r="G105" s="523">
        <f t="shared" si="21"/>
        <v>12025769.248062015</v>
      </c>
      <c r="H105" s="526">
        <f t="shared" si="22"/>
        <v>1623465.2296406864</v>
      </c>
      <c r="I105" s="577">
        <f t="shared" si="23"/>
        <v>1623465.2296406864</v>
      </c>
      <c r="J105" s="514">
        <f t="shared" si="18"/>
        <v>0</v>
      </c>
      <c r="K105" s="514"/>
      <c r="L105" s="525"/>
      <c r="M105" s="514">
        <f t="shared" si="14"/>
        <v>0</v>
      </c>
      <c r="N105" s="525"/>
      <c r="O105" s="514">
        <f t="shared" si="15"/>
        <v>0</v>
      </c>
      <c r="P105" s="514">
        <f t="shared" si="16"/>
        <v>0</v>
      </c>
    </row>
    <row r="106" spans="1:16" ht="12.5">
      <c r="B106" s="195" t="str">
        <f t="shared" si="17"/>
        <v/>
      </c>
      <c r="C106" s="507">
        <f>IF(D93="","-",+C105+1)</f>
        <v>2022</v>
      </c>
      <c r="D106" s="374">
        <f>IF(F105+SUM(E$99:E105)=D$92,F105,D$92-SUM(E$99:E105))</f>
        <v>11860865.676633442</v>
      </c>
      <c r="E106" s="522">
        <f t="shared" si="19"/>
        <v>329807.14285714284</v>
      </c>
      <c r="F106" s="523">
        <f t="shared" si="20"/>
        <v>11531058.533776298</v>
      </c>
      <c r="G106" s="523">
        <f t="shared" si="21"/>
        <v>11695962.105204869</v>
      </c>
      <c r="H106" s="526">
        <f t="shared" si="22"/>
        <v>1587986.6112974249</v>
      </c>
      <c r="I106" s="577">
        <f t="shared" si="23"/>
        <v>1587986.6112974249</v>
      </c>
      <c r="J106" s="514">
        <f t="shared" si="18"/>
        <v>0</v>
      </c>
      <c r="K106" s="514"/>
      <c r="L106" s="525"/>
      <c r="M106" s="514">
        <f t="shared" si="14"/>
        <v>0</v>
      </c>
      <c r="N106" s="525"/>
      <c r="O106" s="514">
        <f t="shared" si="15"/>
        <v>0</v>
      </c>
      <c r="P106" s="514">
        <f t="shared" si="16"/>
        <v>0</v>
      </c>
    </row>
    <row r="107" spans="1:16" ht="12.5">
      <c r="B107" s="195" t="str">
        <f t="shared" si="17"/>
        <v/>
      </c>
      <c r="C107" s="507">
        <f>IF(D93="","-",+C106+1)</f>
        <v>2023</v>
      </c>
      <c r="D107" s="374">
        <f>IF(F106+SUM(E$99:E106)=D$92,F106,D$92-SUM(E$99:E106))</f>
        <v>11531058.533776298</v>
      </c>
      <c r="E107" s="522">
        <f t="shared" si="19"/>
        <v>329807.14285714284</v>
      </c>
      <c r="F107" s="523">
        <f t="shared" si="20"/>
        <v>11201251.390919155</v>
      </c>
      <c r="G107" s="523">
        <f t="shared" si="21"/>
        <v>11366154.962347727</v>
      </c>
      <c r="H107" s="526">
        <f t="shared" si="22"/>
        <v>1552507.9929541643</v>
      </c>
      <c r="I107" s="577">
        <f t="shared" si="23"/>
        <v>1552507.9929541643</v>
      </c>
      <c r="J107" s="514">
        <f t="shared" si="18"/>
        <v>0</v>
      </c>
      <c r="K107" s="514"/>
      <c r="L107" s="525"/>
      <c r="M107" s="514">
        <f t="shared" si="14"/>
        <v>0</v>
      </c>
      <c r="N107" s="525"/>
      <c r="O107" s="514">
        <f t="shared" si="15"/>
        <v>0</v>
      </c>
      <c r="P107" s="514">
        <f t="shared" si="16"/>
        <v>0</v>
      </c>
    </row>
    <row r="108" spans="1:16" ht="12.5">
      <c r="B108" s="195" t="str">
        <f t="shared" si="17"/>
        <v/>
      </c>
      <c r="C108" s="507">
        <f>IF(D93="","-",+C107+1)</f>
        <v>2024</v>
      </c>
      <c r="D108" s="374">
        <f>IF(F107+SUM(E$99:E107)=D$92,F107,D$92-SUM(E$99:E107))</f>
        <v>11201251.390919155</v>
      </c>
      <c r="E108" s="522">
        <f t="shared" si="19"/>
        <v>329807.14285714284</v>
      </c>
      <c r="F108" s="523">
        <f t="shared" si="20"/>
        <v>10871444.248062011</v>
      </c>
      <c r="G108" s="523">
        <f t="shared" si="21"/>
        <v>11036347.819490582</v>
      </c>
      <c r="H108" s="526">
        <f t="shared" si="22"/>
        <v>1517029.3746109027</v>
      </c>
      <c r="I108" s="577">
        <f t="shared" si="23"/>
        <v>1517029.3746109027</v>
      </c>
      <c r="J108" s="514">
        <f t="shared" si="18"/>
        <v>0</v>
      </c>
      <c r="K108" s="514"/>
      <c r="L108" s="525"/>
      <c r="M108" s="514">
        <f t="shared" si="14"/>
        <v>0</v>
      </c>
      <c r="N108" s="525"/>
      <c r="O108" s="514">
        <f t="shared" si="15"/>
        <v>0</v>
      </c>
      <c r="P108" s="514">
        <f t="shared" si="16"/>
        <v>0</v>
      </c>
    </row>
    <row r="109" spans="1:16" ht="12.5">
      <c r="B109" s="195" t="str">
        <f t="shared" si="17"/>
        <v/>
      </c>
      <c r="C109" s="507">
        <f>IF(D93="","-",+C108+1)</f>
        <v>2025</v>
      </c>
      <c r="D109" s="374">
        <f>IF(F108+SUM(E$99:E108)=D$92,F108,D$92-SUM(E$99:E108))</f>
        <v>10871444.248062011</v>
      </c>
      <c r="E109" s="522">
        <f t="shared" si="19"/>
        <v>329807.14285714284</v>
      </c>
      <c r="F109" s="523">
        <f t="shared" si="20"/>
        <v>10541637.105204867</v>
      </c>
      <c r="G109" s="523">
        <f t="shared" si="21"/>
        <v>10706540.67663344</v>
      </c>
      <c r="H109" s="526">
        <f t="shared" si="22"/>
        <v>1481550.7562676417</v>
      </c>
      <c r="I109" s="577">
        <f t="shared" si="23"/>
        <v>1481550.7562676417</v>
      </c>
      <c r="J109" s="514">
        <f t="shared" si="18"/>
        <v>0</v>
      </c>
      <c r="K109" s="514"/>
      <c r="L109" s="525"/>
      <c r="M109" s="514">
        <f t="shared" si="14"/>
        <v>0</v>
      </c>
      <c r="N109" s="525"/>
      <c r="O109" s="514">
        <f t="shared" si="15"/>
        <v>0</v>
      </c>
      <c r="P109" s="514">
        <f t="shared" si="16"/>
        <v>0</v>
      </c>
    </row>
    <row r="110" spans="1:16" ht="12.5">
      <c r="B110" s="195" t="str">
        <f t="shared" si="17"/>
        <v/>
      </c>
      <c r="C110" s="507">
        <f>IF(D93="","-",+C109+1)</f>
        <v>2026</v>
      </c>
      <c r="D110" s="374">
        <f>IF(F109+SUM(E$99:E109)=D$92,F109,D$92-SUM(E$99:E109))</f>
        <v>10541637.105204867</v>
      </c>
      <c r="E110" s="522">
        <f t="shared" si="19"/>
        <v>329807.14285714284</v>
      </c>
      <c r="F110" s="523">
        <f t="shared" si="20"/>
        <v>10211829.962347724</v>
      </c>
      <c r="G110" s="523">
        <f t="shared" si="21"/>
        <v>10376733.533776294</v>
      </c>
      <c r="H110" s="526">
        <f t="shared" si="22"/>
        <v>1446072.1379243801</v>
      </c>
      <c r="I110" s="577">
        <f t="shared" si="23"/>
        <v>1446072.1379243801</v>
      </c>
      <c r="J110" s="514">
        <f t="shared" si="18"/>
        <v>0</v>
      </c>
      <c r="K110" s="514"/>
      <c r="L110" s="525"/>
      <c r="M110" s="514">
        <f t="shared" si="14"/>
        <v>0</v>
      </c>
      <c r="N110" s="525"/>
      <c r="O110" s="514">
        <f t="shared" si="15"/>
        <v>0</v>
      </c>
      <c r="P110" s="514">
        <f t="shared" si="16"/>
        <v>0</v>
      </c>
    </row>
    <row r="111" spans="1:16" ht="12.5">
      <c r="B111" s="195" t="str">
        <f t="shared" si="17"/>
        <v/>
      </c>
      <c r="C111" s="507">
        <f>IF(D93="","-",+C110+1)</f>
        <v>2027</v>
      </c>
      <c r="D111" s="374">
        <f>IF(F110+SUM(E$99:E110)=D$92,F110,D$92-SUM(E$99:E110))</f>
        <v>10211829.962347724</v>
      </c>
      <c r="E111" s="522">
        <f t="shared" si="19"/>
        <v>329807.14285714284</v>
      </c>
      <c r="F111" s="523">
        <f t="shared" si="20"/>
        <v>9882022.8194905799</v>
      </c>
      <c r="G111" s="523">
        <f t="shared" si="21"/>
        <v>10046926.390919153</v>
      </c>
      <c r="H111" s="526">
        <f t="shared" si="22"/>
        <v>1410593.5195811195</v>
      </c>
      <c r="I111" s="577">
        <f t="shared" si="23"/>
        <v>1410593.5195811195</v>
      </c>
      <c r="J111" s="514">
        <f t="shared" si="18"/>
        <v>0</v>
      </c>
      <c r="K111" s="514"/>
      <c r="L111" s="525"/>
      <c r="M111" s="514">
        <f t="shared" si="14"/>
        <v>0</v>
      </c>
      <c r="N111" s="525"/>
      <c r="O111" s="514">
        <f t="shared" si="15"/>
        <v>0</v>
      </c>
      <c r="P111" s="514">
        <f t="shared" si="16"/>
        <v>0</v>
      </c>
    </row>
    <row r="112" spans="1:16" ht="12.5">
      <c r="B112" s="195" t="str">
        <f t="shared" si="17"/>
        <v/>
      </c>
      <c r="C112" s="507">
        <f>IF(D93="","-",+C111+1)</f>
        <v>2028</v>
      </c>
      <c r="D112" s="374">
        <f>IF(F111+SUM(E$99:E111)=D$92,F111,D$92-SUM(E$99:E111))</f>
        <v>9882022.8194905799</v>
      </c>
      <c r="E112" s="522">
        <f t="shared" si="19"/>
        <v>329807.14285714284</v>
      </c>
      <c r="F112" s="523">
        <f t="shared" si="20"/>
        <v>9552215.6766334362</v>
      </c>
      <c r="G112" s="523">
        <f t="shared" si="21"/>
        <v>9717119.2480620071</v>
      </c>
      <c r="H112" s="526">
        <f t="shared" si="22"/>
        <v>1375114.901237858</v>
      </c>
      <c r="I112" s="577">
        <f t="shared" si="23"/>
        <v>1375114.901237858</v>
      </c>
      <c r="J112" s="514">
        <f t="shared" si="18"/>
        <v>0</v>
      </c>
      <c r="K112" s="514"/>
      <c r="L112" s="525"/>
      <c r="M112" s="514">
        <f t="shared" si="14"/>
        <v>0</v>
      </c>
      <c r="N112" s="525"/>
      <c r="O112" s="514">
        <f t="shared" si="15"/>
        <v>0</v>
      </c>
      <c r="P112" s="514">
        <f t="shared" si="16"/>
        <v>0</v>
      </c>
    </row>
    <row r="113" spans="2:16" ht="12.5">
      <c r="B113" s="195" t="str">
        <f t="shared" si="17"/>
        <v/>
      </c>
      <c r="C113" s="507">
        <f>IF(D93="","-",+C112+1)</f>
        <v>2029</v>
      </c>
      <c r="D113" s="374">
        <f>IF(F112+SUM(E$99:E112)=D$92,F112,D$92-SUM(E$99:E112))</f>
        <v>9552215.6766334362</v>
      </c>
      <c r="E113" s="522">
        <f t="shared" si="19"/>
        <v>329807.14285714284</v>
      </c>
      <c r="F113" s="523">
        <f t="shared" si="20"/>
        <v>9222408.5337762926</v>
      </c>
      <c r="G113" s="523">
        <f t="shared" si="21"/>
        <v>9387312.1052048653</v>
      </c>
      <c r="H113" s="526">
        <f t="shared" si="22"/>
        <v>1339636.2828945969</v>
      </c>
      <c r="I113" s="577">
        <f t="shared" si="23"/>
        <v>1339636.2828945969</v>
      </c>
      <c r="J113" s="514">
        <f t="shared" si="18"/>
        <v>0</v>
      </c>
      <c r="K113" s="514"/>
      <c r="L113" s="525"/>
      <c r="M113" s="514">
        <f t="shared" si="14"/>
        <v>0</v>
      </c>
      <c r="N113" s="525"/>
      <c r="O113" s="514">
        <f t="shared" si="15"/>
        <v>0</v>
      </c>
      <c r="P113" s="514">
        <f t="shared" si="16"/>
        <v>0</v>
      </c>
    </row>
    <row r="114" spans="2:16" ht="12.5">
      <c r="B114" s="195" t="str">
        <f t="shared" si="17"/>
        <v/>
      </c>
      <c r="C114" s="507">
        <f>IF(D93="","-",+C113+1)</f>
        <v>2030</v>
      </c>
      <c r="D114" s="374">
        <f>IF(F113+SUM(E$99:E113)=D$92,F113,D$92-SUM(E$99:E113))</f>
        <v>9222408.5337762926</v>
      </c>
      <c r="E114" s="522">
        <f t="shared" si="19"/>
        <v>329807.14285714284</v>
      </c>
      <c r="F114" s="523">
        <f t="shared" si="20"/>
        <v>8892601.3909191489</v>
      </c>
      <c r="G114" s="523">
        <f t="shared" si="21"/>
        <v>9057504.9623477198</v>
      </c>
      <c r="H114" s="526">
        <f t="shared" si="22"/>
        <v>1304157.6645513354</v>
      </c>
      <c r="I114" s="577">
        <f t="shared" si="23"/>
        <v>1304157.6645513354</v>
      </c>
      <c r="J114" s="514">
        <f t="shared" si="18"/>
        <v>0</v>
      </c>
      <c r="K114" s="514"/>
      <c r="L114" s="525"/>
      <c r="M114" s="514">
        <f t="shared" si="14"/>
        <v>0</v>
      </c>
      <c r="N114" s="525"/>
      <c r="O114" s="514">
        <f t="shared" si="15"/>
        <v>0</v>
      </c>
      <c r="P114" s="514">
        <f t="shared" si="16"/>
        <v>0</v>
      </c>
    </row>
    <row r="115" spans="2:16" ht="12.5">
      <c r="B115" s="195" t="str">
        <f t="shared" si="17"/>
        <v/>
      </c>
      <c r="C115" s="507">
        <f>IF(D93="","-",+C114+1)</f>
        <v>2031</v>
      </c>
      <c r="D115" s="374">
        <f>IF(F114+SUM(E$99:E114)=D$92,F114,D$92-SUM(E$99:E114))</f>
        <v>8892601.3909191489</v>
      </c>
      <c r="E115" s="522">
        <f t="shared" si="19"/>
        <v>329807.14285714284</v>
      </c>
      <c r="F115" s="523">
        <f t="shared" si="20"/>
        <v>8562794.2480620053</v>
      </c>
      <c r="G115" s="523">
        <f t="shared" si="21"/>
        <v>8727697.819490578</v>
      </c>
      <c r="H115" s="526">
        <f t="shared" si="22"/>
        <v>1268679.0462080745</v>
      </c>
      <c r="I115" s="577">
        <f t="shared" si="23"/>
        <v>1268679.0462080745</v>
      </c>
      <c r="J115" s="514">
        <f t="shared" si="18"/>
        <v>0</v>
      </c>
      <c r="K115" s="514"/>
      <c r="L115" s="525"/>
      <c r="M115" s="514">
        <f t="shared" si="14"/>
        <v>0</v>
      </c>
      <c r="N115" s="525"/>
      <c r="O115" s="514">
        <f t="shared" si="15"/>
        <v>0</v>
      </c>
      <c r="P115" s="514">
        <f t="shared" si="16"/>
        <v>0</v>
      </c>
    </row>
    <row r="116" spans="2:16" ht="12.5">
      <c r="B116" s="195" t="str">
        <f t="shared" si="17"/>
        <v/>
      </c>
      <c r="C116" s="507">
        <f>IF(D93="","-",+C115+1)</f>
        <v>2032</v>
      </c>
      <c r="D116" s="374">
        <f>IF(F115+SUM(E$99:E115)=D$92,F115,D$92-SUM(E$99:E115))</f>
        <v>8562794.2480620053</v>
      </c>
      <c r="E116" s="522">
        <f t="shared" si="19"/>
        <v>329807.14285714284</v>
      </c>
      <c r="F116" s="523">
        <f t="shared" si="20"/>
        <v>8232987.1052048625</v>
      </c>
      <c r="G116" s="523">
        <f t="shared" si="21"/>
        <v>8397890.6766334344</v>
      </c>
      <c r="H116" s="526">
        <f t="shared" si="22"/>
        <v>1233200.4278648132</v>
      </c>
      <c r="I116" s="577">
        <f t="shared" si="23"/>
        <v>1233200.4278648132</v>
      </c>
      <c r="J116" s="514">
        <f t="shared" si="18"/>
        <v>0</v>
      </c>
      <c r="K116" s="514"/>
      <c r="L116" s="525"/>
      <c r="M116" s="514">
        <f t="shared" si="14"/>
        <v>0</v>
      </c>
      <c r="N116" s="525"/>
      <c r="O116" s="514">
        <f t="shared" si="15"/>
        <v>0</v>
      </c>
      <c r="P116" s="514">
        <f t="shared" si="16"/>
        <v>0</v>
      </c>
    </row>
    <row r="117" spans="2:16" ht="12.5">
      <c r="B117" s="195" t="str">
        <f t="shared" si="17"/>
        <v/>
      </c>
      <c r="C117" s="507">
        <f>IF(D93="","-",+C116+1)</f>
        <v>2033</v>
      </c>
      <c r="D117" s="374">
        <f>IF(F116+SUM(E$99:E116)=D$92,F116,D$92-SUM(E$99:E116))</f>
        <v>8232987.1052048625</v>
      </c>
      <c r="E117" s="522">
        <f t="shared" si="19"/>
        <v>329807.14285714284</v>
      </c>
      <c r="F117" s="523">
        <f t="shared" si="20"/>
        <v>7903179.9623477198</v>
      </c>
      <c r="G117" s="523">
        <f t="shared" si="21"/>
        <v>8068083.5337762907</v>
      </c>
      <c r="H117" s="526">
        <f t="shared" si="22"/>
        <v>1197721.8095215522</v>
      </c>
      <c r="I117" s="577">
        <f t="shared" si="23"/>
        <v>1197721.8095215522</v>
      </c>
      <c r="J117" s="514">
        <f t="shared" si="18"/>
        <v>0</v>
      </c>
      <c r="K117" s="514"/>
      <c r="L117" s="525"/>
      <c r="M117" s="514">
        <f t="shared" si="14"/>
        <v>0</v>
      </c>
      <c r="N117" s="525"/>
      <c r="O117" s="514">
        <f t="shared" si="15"/>
        <v>0</v>
      </c>
      <c r="P117" s="514">
        <f t="shared" si="16"/>
        <v>0</v>
      </c>
    </row>
    <row r="118" spans="2:16" ht="12.5">
      <c r="B118" s="195" t="str">
        <f t="shared" si="17"/>
        <v/>
      </c>
      <c r="C118" s="507">
        <f>IF(D93="","-",+C117+1)</f>
        <v>2034</v>
      </c>
      <c r="D118" s="374">
        <f>IF(F117+SUM(E$99:E117)=D$92,F117,D$92-SUM(E$99:E117))</f>
        <v>7903179.9623477198</v>
      </c>
      <c r="E118" s="522">
        <f t="shared" si="19"/>
        <v>329807.14285714284</v>
      </c>
      <c r="F118" s="523">
        <f t="shared" si="20"/>
        <v>7573372.8194905771</v>
      </c>
      <c r="G118" s="523">
        <f t="shared" si="21"/>
        <v>7738276.3909191489</v>
      </c>
      <c r="H118" s="526">
        <f t="shared" si="22"/>
        <v>1162243.1911782911</v>
      </c>
      <c r="I118" s="577">
        <f t="shared" si="23"/>
        <v>1162243.1911782911</v>
      </c>
      <c r="J118" s="514">
        <f t="shared" si="18"/>
        <v>0</v>
      </c>
      <c r="K118" s="514"/>
      <c r="L118" s="525"/>
      <c r="M118" s="514">
        <f t="shared" si="14"/>
        <v>0</v>
      </c>
      <c r="N118" s="525"/>
      <c r="O118" s="514">
        <f t="shared" si="15"/>
        <v>0</v>
      </c>
      <c r="P118" s="514">
        <f t="shared" si="16"/>
        <v>0</v>
      </c>
    </row>
    <row r="119" spans="2:16" ht="12.5">
      <c r="B119" s="195" t="str">
        <f t="shared" si="17"/>
        <v/>
      </c>
      <c r="C119" s="507">
        <f>IF(D93="","-",+C118+1)</f>
        <v>2035</v>
      </c>
      <c r="D119" s="374">
        <f>IF(F118+SUM(E$99:E118)=D$92,F118,D$92-SUM(E$99:E118))</f>
        <v>7573372.8194905771</v>
      </c>
      <c r="E119" s="522">
        <f t="shared" si="19"/>
        <v>329807.14285714284</v>
      </c>
      <c r="F119" s="523">
        <f t="shared" si="20"/>
        <v>7243565.6766334344</v>
      </c>
      <c r="G119" s="523">
        <f t="shared" si="21"/>
        <v>7408469.2480620053</v>
      </c>
      <c r="H119" s="526">
        <f t="shared" si="22"/>
        <v>1126764.57283503</v>
      </c>
      <c r="I119" s="577">
        <f t="shared" si="23"/>
        <v>1126764.57283503</v>
      </c>
      <c r="J119" s="514">
        <f t="shared" si="18"/>
        <v>0</v>
      </c>
      <c r="K119" s="514"/>
      <c r="L119" s="525"/>
      <c r="M119" s="514">
        <f t="shared" si="14"/>
        <v>0</v>
      </c>
      <c r="N119" s="525"/>
      <c r="O119" s="514">
        <f t="shared" si="15"/>
        <v>0</v>
      </c>
      <c r="P119" s="514">
        <f t="shared" si="16"/>
        <v>0</v>
      </c>
    </row>
    <row r="120" spans="2:16" ht="12.5">
      <c r="B120" s="195" t="str">
        <f t="shared" si="17"/>
        <v/>
      </c>
      <c r="C120" s="507">
        <f>IF(D93="","-",+C119+1)</f>
        <v>2036</v>
      </c>
      <c r="D120" s="374">
        <f>IF(F119+SUM(E$99:E119)=D$92,F119,D$92-SUM(E$99:E119))</f>
        <v>7243565.6766334344</v>
      </c>
      <c r="E120" s="522">
        <f t="shared" si="19"/>
        <v>329807.14285714284</v>
      </c>
      <c r="F120" s="523">
        <f t="shared" si="20"/>
        <v>6913758.5337762916</v>
      </c>
      <c r="G120" s="523">
        <f t="shared" si="21"/>
        <v>7078662.1052048635</v>
      </c>
      <c r="H120" s="526">
        <f t="shared" si="22"/>
        <v>1091285.954491769</v>
      </c>
      <c r="I120" s="577">
        <f t="shared" si="23"/>
        <v>1091285.954491769</v>
      </c>
      <c r="J120" s="514">
        <f t="shared" si="18"/>
        <v>0</v>
      </c>
      <c r="K120" s="514"/>
      <c r="L120" s="525"/>
      <c r="M120" s="514">
        <f t="shared" si="14"/>
        <v>0</v>
      </c>
      <c r="N120" s="525"/>
      <c r="O120" s="514">
        <f t="shared" si="15"/>
        <v>0</v>
      </c>
      <c r="P120" s="514">
        <f t="shared" si="16"/>
        <v>0</v>
      </c>
    </row>
    <row r="121" spans="2:16" ht="12.5">
      <c r="B121" s="195" t="str">
        <f t="shared" si="17"/>
        <v/>
      </c>
      <c r="C121" s="507">
        <f>IF(D93="","-",+C120+1)</f>
        <v>2037</v>
      </c>
      <c r="D121" s="374">
        <f>IF(F120+SUM(E$99:E120)=D$92,F120,D$92-SUM(E$99:E120))</f>
        <v>6913758.5337762916</v>
      </c>
      <c r="E121" s="522">
        <f t="shared" si="19"/>
        <v>329807.14285714284</v>
      </c>
      <c r="F121" s="523">
        <f t="shared" si="20"/>
        <v>6583951.3909191489</v>
      </c>
      <c r="G121" s="523">
        <f t="shared" si="21"/>
        <v>6748854.9623477198</v>
      </c>
      <c r="H121" s="526">
        <f t="shared" si="22"/>
        <v>1055807.3361485079</v>
      </c>
      <c r="I121" s="577">
        <f t="shared" si="23"/>
        <v>1055807.3361485079</v>
      </c>
      <c r="J121" s="514">
        <f t="shared" si="18"/>
        <v>0</v>
      </c>
      <c r="K121" s="514"/>
      <c r="L121" s="525"/>
      <c r="M121" s="514">
        <f t="shared" si="14"/>
        <v>0</v>
      </c>
      <c r="N121" s="525"/>
      <c r="O121" s="514">
        <f t="shared" si="15"/>
        <v>0</v>
      </c>
      <c r="P121" s="514">
        <f t="shared" si="16"/>
        <v>0</v>
      </c>
    </row>
    <row r="122" spans="2:16" ht="12.5">
      <c r="B122" s="195" t="str">
        <f t="shared" si="17"/>
        <v/>
      </c>
      <c r="C122" s="507">
        <f>IF(D93="","-",+C121+1)</f>
        <v>2038</v>
      </c>
      <c r="D122" s="374">
        <f>IF(F121+SUM(E$99:E121)=D$92,F121,D$92-SUM(E$99:E121))</f>
        <v>6583951.3909191489</v>
      </c>
      <c r="E122" s="522">
        <f t="shared" si="19"/>
        <v>329807.14285714284</v>
      </c>
      <c r="F122" s="523">
        <f t="shared" si="20"/>
        <v>6254144.2480620062</v>
      </c>
      <c r="G122" s="523">
        <f t="shared" si="21"/>
        <v>6419047.819490578</v>
      </c>
      <c r="H122" s="526">
        <f t="shared" si="22"/>
        <v>1020328.7178052468</v>
      </c>
      <c r="I122" s="577">
        <f t="shared" si="23"/>
        <v>1020328.7178052468</v>
      </c>
      <c r="J122" s="514">
        <f t="shared" si="18"/>
        <v>0</v>
      </c>
      <c r="K122" s="514"/>
      <c r="L122" s="525"/>
      <c r="M122" s="514">
        <f t="shared" si="14"/>
        <v>0</v>
      </c>
      <c r="N122" s="525"/>
      <c r="O122" s="514">
        <f t="shared" si="15"/>
        <v>0</v>
      </c>
      <c r="P122" s="514">
        <f t="shared" si="16"/>
        <v>0</v>
      </c>
    </row>
    <row r="123" spans="2:16" ht="12.5">
      <c r="B123" s="195" t="str">
        <f t="shared" si="17"/>
        <v/>
      </c>
      <c r="C123" s="507">
        <f>IF(D93="","-",+C122+1)</f>
        <v>2039</v>
      </c>
      <c r="D123" s="374">
        <f>IF(F122+SUM(E$99:E122)=D$92,F122,D$92-SUM(E$99:E122))</f>
        <v>6254144.2480620062</v>
      </c>
      <c r="E123" s="522">
        <f t="shared" si="19"/>
        <v>329807.14285714284</v>
      </c>
      <c r="F123" s="523">
        <f t="shared" si="20"/>
        <v>5924337.1052048635</v>
      </c>
      <c r="G123" s="523">
        <f t="shared" si="21"/>
        <v>6089240.6766334344</v>
      </c>
      <c r="H123" s="526">
        <f t="shared" si="22"/>
        <v>984850.09946198564</v>
      </c>
      <c r="I123" s="577">
        <f t="shared" si="23"/>
        <v>984850.09946198564</v>
      </c>
      <c r="J123" s="514">
        <f t="shared" si="18"/>
        <v>0</v>
      </c>
      <c r="K123" s="514"/>
      <c r="L123" s="525"/>
      <c r="M123" s="514">
        <f t="shared" si="14"/>
        <v>0</v>
      </c>
      <c r="N123" s="525"/>
      <c r="O123" s="514">
        <f t="shared" si="15"/>
        <v>0</v>
      </c>
      <c r="P123" s="514">
        <f t="shared" si="16"/>
        <v>0</v>
      </c>
    </row>
    <row r="124" spans="2:16" ht="12.5">
      <c r="B124" s="195" t="str">
        <f t="shared" si="17"/>
        <v/>
      </c>
      <c r="C124" s="507">
        <f>IF(D93="","-",+C123+1)</f>
        <v>2040</v>
      </c>
      <c r="D124" s="374">
        <f>IF(F123+SUM(E$99:E123)=D$92,F123,D$92-SUM(E$99:E123))</f>
        <v>5924337.1052048635</v>
      </c>
      <c r="E124" s="522">
        <f t="shared" si="19"/>
        <v>329807.14285714284</v>
      </c>
      <c r="F124" s="523">
        <f t="shared" si="20"/>
        <v>5594529.9623477207</v>
      </c>
      <c r="G124" s="523">
        <f t="shared" si="21"/>
        <v>5759433.5337762926</v>
      </c>
      <c r="H124" s="526">
        <f t="shared" si="22"/>
        <v>949371.48111872468</v>
      </c>
      <c r="I124" s="577">
        <f t="shared" si="23"/>
        <v>949371.48111872468</v>
      </c>
      <c r="J124" s="514">
        <f t="shared" si="18"/>
        <v>0</v>
      </c>
      <c r="K124" s="514"/>
      <c r="L124" s="525"/>
      <c r="M124" s="514">
        <f t="shared" si="14"/>
        <v>0</v>
      </c>
      <c r="N124" s="525"/>
      <c r="O124" s="514">
        <f t="shared" si="15"/>
        <v>0</v>
      </c>
      <c r="P124" s="514">
        <f t="shared" si="16"/>
        <v>0</v>
      </c>
    </row>
    <row r="125" spans="2:16" ht="12.5">
      <c r="B125" s="195" t="str">
        <f t="shared" si="17"/>
        <v/>
      </c>
      <c r="C125" s="507">
        <f>IF(D93="","-",+C124+1)</f>
        <v>2041</v>
      </c>
      <c r="D125" s="374">
        <f>IF(F124+SUM(E$99:E124)=D$92,F124,D$92-SUM(E$99:E124))</f>
        <v>5594529.9623477207</v>
      </c>
      <c r="E125" s="522">
        <f t="shared" si="19"/>
        <v>329807.14285714284</v>
      </c>
      <c r="F125" s="523">
        <f t="shared" si="20"/>
        <v>5264722.819490578</v>
      </c>
      <c r="G125" s="523">
        <f t="shared" si="21"/>
        <v>5429626.3909191489</v>
      </c>
      <c r="H125" s="526">
        <f t="shared" si="22"/>
        <v>913892.86277546349</v>
      </c>
      <c r="I125" s="577">
        <f t="shared" si="23"/>
        <v>913892.86277546349</v>
      </c>
      <c r="J125" s="514">
        <f t="shared" si="18"/>
        <v>0</v>
      </c>
      <c r="K125" s="514"/>
      <c r="L125" s="525"/>
      <c r="M125" s="514">
        <f t="shared" si="14"/>
        <v>0</v>
      </c>
      <c r="N125" s="525"/>
      <c r="O125" s="514">
        <f t="shared" si="15"/>
        <v>0</v>
      </c>
      <c r="P125" s="514">
        <f t="shared" si="16"/>
        <v>0</v>
      </c>
    </row>
    <row r="126" spans="2:16" ht="12.5">
      <c r="B126" s="195" t="str">
        <f t="shared" si="17"/>
        <v/>
      </c>
      <c r="C126" s="507">
        <f>IF(D93="","-",+C125+1)</f>
        <v>2042</v>
      </c>
      <c r="D126" s="374">
        <f>IF(F125+SUM(E$99:E125)=D$92,F125,D$92-SUM(E$99:E125))</f>
        <v>5264722.819490578</v>
      </c>
      <c r="E126" s="522">
        <f t="shared" si="19"/>
        <v>329807.14285714284</v>
      </c>
      <c r="F126" s="523">
        <f t="shared" si="20"/>
        <v>4934915.6766334353</v>
      </c>
      <c r="G126" s="523">
        <f t="shared" si="21"/>
        <v>5099819.2480620071</v>
      </c>
      <c r="H126" s="526">
        <f t="shared" si="22"/>
        <v>878414.24443220242</v>
      </c>
      <c r="I126" s="577">
        <f t="shared" si="23"/>
        <v>878414.24443220242</v>
      </c>
      <c r="J126" s="514">
        <f t="shared" si="18"/>
        <v>0</v>
      </c>
      <c r="K126" s="514"/>
      <c r="L126" s="525"/>
      <c r="M126" s="514">
        <f t="shared" si="14"/>
        <v>0</v>
      </c>
      <c r="N126" s="525"/>
      <c r="O126" s="514">
        <f t="shared" si="15"/>
        <v>0</v>
      </c>
      <c r="P126" s="514">
        <f t="shared" si="16"/>
        <v>0</v>
      </c>
    </row>
    <row r="127" spans="2:16" ht="12.5">
      <c r="B127" s="195" t="str">
        <f t="shared" si="17"/>
        <v/>
      </c>
      <c r="C127" s="507">
        <f>IF(D93="","-",+C126+1)</f>
        <v>2043</v>
      </c>
      <c r="D127" s="374">
        <f>IF(F126+SUM(E$99:E126)=D$92,F126,D$92-SUM(E$99:E126))</f>
        <v>4934915.6766334353</v>
      </c>
      <c r="E127" s="522">
        <f t="shared" si="19"/>
        <v>329807.14285714284</v>
      </c>
      <c r="F127" s="523">
        <f t="shared" si="20"/>
        <v>4605108.5337762926</v>
      </c>
      <c r="G127" s="523">
        <f t="shared" si="21"/>
        <v>4770012.1052048635</v>
      </c>
      <c r="H127" s="526">
        <f t="shared" si="22"/>
        <v>842935.62608894124</v>
      </c>
      <c r="I127" s="577">
        <f t="shared" si="23"/>
        <v>842935.62608894124</v>
      </c>
      <c r="J127" s="514">
        <f t="shared" si="18"/>
        <v>0</v>
      </c>
      <c r="K127" s="514"/>
      <c r="L127" s="525"/>
      <c r="M127" s="514">
        <f t="shared" si="14"/>
        <v>0</v>
      </c>
      <c r="N127" s="525"/>
      <c r="O127" s="514">
        <f t="shared" si="15"/>
        <v>0</v>
      </c>
      <c r="P127" s="514">
        <f t="shared" si="16"/>
        <v>0</v>
      </c>
    </row>
    <row r="128" spans="2:16" ht="12.5">
      <c r="B128" s="195" t="str">
        <f t="shared" si="17"/>
        <v/>
      </c>
      <c r="C128" s="507">
        <f>IF(D93="","-",+C127+1)</f>
        <v>2044</v>
      </c>
      <c r="D128" s="374">
        <f>IF(F127+SUM(E$99:E127)=D$92,F127,D$92-SUM(E$99:E127))</f>
        <v>4605108.5337762926</v>
      </c>
      <c r="E128" s="522">
        <f t="shared" si="19"/>
        <v>329807.14285714284</v>
      </c>
      <c r="F128" s="523">
        <f t="shared" si="20"/>
        <v>4275301.3909191499</v>
      </c>
      <c r="G128" s="523">
        <f t="shared" si="21"/>
        <v>4440204.9623477217</v>
      </c>
      <c r="H128" s="526">
        <f t="shared" si="22"/>
        <v>807457.00774568028</v>
      </c>
      <c r="I128" s="577">
        <f t="shared" si="23"/>
        <v>807457.00774568028</v>
      </c>
      <c r="J128" s="514">
        <f t="shared" si="18"/>
        <v>0</v>
      </c>
      <c r="K128" s="514"/>
      <c r="L128" s="525"/>
      <c r="M128" s="514">
        <f t="shared" si="14"/>
        <v>0</v>
      </c>
      <c r="N128" s="525"/>
      <c r="O128" s="514">
        <f t="shared" si="15"/>
        <v>0</v>
      </c>
      <c r="P128" s="514">
        <f t="shared" si="16"/>
        <v>0</v>
      </c>
    </row>
    <row r="129" spans="2:16" ht="12.5">
      <c r="B129" s="195" t="str">
        <f t="shared" si="17"/>
        <v/>
      </c>
      <c r="C129" s="507">
        <f>IF(D93="","-",+C128+1)</f>
        <v>2045</v>
      </c>
      <c r="D129" s="374">
        <f>IF(F128+SUM(E$99:E128)=D$92,F128,D$92-SUM(E$99:E128))</f>
        <v>4275301.3909191499</v>
      </c>
      <c r="E129" s="522">
        <f t="shared" si="19"/>
        <v>329807.14285714284</v>
      </c>
      <c r="F129" s="523">
        <f t="shared" si="20"/>
        <v>3945494.2480620071</v>
      </c>
      <c r="G129" s="523">
        <f t="shared" si="21"/>
        <v>4110397.8194905785</v>
      </c>
      <c r="H129" s="526">
        <f t="shared" si="22"/>
        <v>771978.3894024191</v>
      </c>
      <c r="I129" s="577">
        <f t="shared" si="23"/>
        <v>771978.3894024191</v>
      </c>
      <c r="J129" s="514">
        <f t="shared" si="18"/>
        <v>0</v>
      </c>
      <c r="K129" s="514"/>
      <c r="L129" s="525"/>
      <c r="M129" s="514">
        <f t="shared" si="14"/>
        <v>0</v>
      </c>
      <c r="N129" s="525"/>
      <c r="O129" s="514">
        <f t="shared" si="15"/>
        <v>0</v>
      </c>
      <c r="P129" s="514">
        <f t="shared" si="16"/>
        <v>0</v>
      </c>
    </row>
    <row r="130" spans="2:16" ht="12.5">
      <c r="B130" s="195" t="str">
        <f t="shared" si="17"/>
        <v/>
      </c>
      <c r="C130" s="507">
        <f>IF(D93="","-",+C129+1)</f>
        <v>2046</v>
      </c>
      <c r="D130" s="374">
        <f>IF(F129+SUM(E$99:E129)=D$92,F129,D$92-SUM(E$99:E129))</f>
        <v>3945494.2480620071</v>
      </c>
      <c r="E130" s="522">
        <f t="shared" si="19"/>
        <v>329807.14285714284</v>
      </c>
      <c r="F130" s="523">
        <f t="shared" si="20"/>
        <v>3615687.1052048644</v>
      </c>
      <c r="G130" s="523">
        <f t="shared" si="21"/>
        <v>3780590.6766334358</v>
      </c>
      <c r="H130" s="526">
        <f t="shared" si="22"/>
        <v>736499.77105915803</v>
      </c>
      <c r="I130" s="577">
        <f t="shared" si="23"/>
        <v>736499.77105915803</v>
      </c>
      <c r="J130" s="514">
        <f t="shared" si="18"/>
        <v>0</v>
      </c>
      <c r="K130" s="514"/>
      <c r="L130" s="525"/>
      <c r="M130" s="514">
        <f t="shared" si="14"/>
        <v>0</v>
      </c>
      <c r="N130" s="525"/>
      <c r="O130" s="514">
        <f t="shared" si="15"/>
        <v>0</v>
      </c>
      <c r="P130" s="514">
        <f t="shared" si="16"/>
        <v>0</v>
      </c>
    </row>
    <row r="131" spans="2:16" ht="12.5">
      <c r="B131" s="195" t="str">
        <f t="shared" si="17"/>
        <v/>
      </c>
      <c r="C131" s="507">
        <f>IF(D93="","-",+C130+1)</f>
        <v>2047</v>
      </c>
      <c r="D131" s="374">
        <f>IF(F130+SUM(E$99:E130)=D$92,F130,D$92-SUM(E$99:E130))</f>
        <v>3615687.1052048644</v>
      </c>
      <c r="E131" s="522">
        <f t="shared" si="19"/>
        <v>329807.14285714284</v>
      </c>
      <c r="F131" s="523">
        <f t="shared" si="20"/>
        <v>3285879.9623477217</v>
      </c>
      <c r="G131" s="523">
        <f t="shared" si="21"/>
        <v>3450783.533776293</v>
      </c>
      <c r="H131" s="526">
        <f t="shared" si="22"/>
        <v>701021.15271589695</v>
      </c>
      <c r="I131" s="577">
        <f t="shared" si="23"/>
        <v>701021.15271589695</v>
      </c>
      <c r="J131" s="514">
        <f t="shared" si="18"/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 ht="12.5">
      <c r="B132" s="195" t="str">
        <f t="shared" si="17"/>
        <v/>
      </c>
      <c r="C132" s="507">
        <f>IF(D93="","-",+C131+1)</f>
        <v>2048</v>
      </c>
      <c r="D132" s="374">
        <f>IF(F131+SUM(E$99:E131)=D$92,F131,D$92-SUM(E$99:E131))</f>
        <v>3285879.9623477217</v>
      </c>
      <c r="E132" s="522">
        <f t="shared" si="19"/>
        <v>329807.14285714284</v>
      </c>
      <c r="F132" s="523">
        <f t="shared" si="20"/>
        <v>2956072.819490579</v>
      </c>
      <c r="G132" s="523">
        <f t="shared" si="21"/>
        <v>3120976.3909191503</v>
      </c>
      <c r="H132" s="526">
        <f t="shared" si="22"/>
        <v>665542.53437263588</v>
      </c>
      <c r="I132" s="577">
        <f t="shared" si="23"/>
        <v>665542.53437263588</v>
      </c>
      <c r="J132" s="514">
        <f t="shared" si="18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 ht="12.5">
      <c r="B133" s="195" t="str">
        <f t="shared" si="17"/>
        <v/>
      </c>
      <c r="C133" s="507">
        <f>IF(D93="","-",+C132+1)</f>
        <v>2049</v>
      </c>
      <c r="D133" s="374">
        <f>IF(F132+SUM(E$99:E132)=D$92,F132,D$92-SUM(E$99:E132))</f>
        <v>2956072.819490579</v>
      </c>
      <c r="E133" s="522">
        <f t="shared" si="19"/>
        <v>329807.14285714284</v>
      </c>
      <c r="F133" s="523">
        <f t="shared" si="20"/>
        <v>2626265.6766334362</v>
      </c>
      <c r="G133" s="523">
        <f t="shared" si="21"/>
        <v>2791169.2480620076</v>
      </c>
      <c r="H133" s="526">
        <f t="shared" si="22"/>
        <v>630063.91602937481</v>
      </c>
      <c r="I133" s="577">
        <f t="shared" si="23"/>
        <v>630063.91602937481</v>
      </c>
      <c r="J133" s="514">
        <f t="shared" si="18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 ht="12.5">
      <c r="B134" s="195" t="str">
        <f t="shared" si="17"/>
        <v/>
      </c>
      <c r="C134" s="507">
        <f>IF(D93="","-",+C133+1)</f>
        <v>2050</v>
      </c>
      <c r="D134" s="374">
        <f>IF(F133+SUM(E$99:E133)=D$92,F133,D$92-SUM(E$99:E133))</f>
        <v>2626265.6766334362</v>
      </c>
      <c r="E134" s="522">
        <f t="shared" si="19"/>
        <v>329807.14285714284</v>
      </c>
      <c r="F134" s="523">
        <f t="shared" si="20"/>
        <v>2296458.5337762935</v>
      </c>
      <c r="G134" s="523">
        <f t="shared" si="21"/>
        <v>2461362.1052048649</v>
      </c>
      <c r="H134" s="526">
        <f t="shared" si="22"/>
        <v>594585.29768611374</v>
      </c>
      <c r="I134" s="577">
        <f t="shared" si="23"/>
        <v>594585.29768611374</v>
      </c>
      <c r="J134" s="514">
        <f t="shared" si="18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 ht="12.5">
      <c r="B135" s="195" t="str">
        <f t="shared" si="17"/>
        <v/>
      </c>
      <c r="C135" s="507">
        <f>IF(D93="","-",+C134+1)</f>
        <v>2051</v>
      </c>
      <c r="D135" s="374">
        <f>IF(F134+SUM(E$99:E134)=D$92,F134,D$92-SUM(E$99:E134))</f>
        <v>2296458.5337762935</v>
      </c>
      <c r="E135" s="522">
        <f t="shared" si="19"/>
        <v>329807.14285714284</v>
      </c>
      <c r="F135" s="523">
        <f t="shared" si="20"/>
        <v>1966651.3909191508</v>
      </c>
      <c r="G135" s="523">
        <f t="shared" si="21"/>
        <v>2131554.9623477221</v>
      </c>
      <c r="H135" s="526">
        <f t="shared" si="22"/>
        <v>559106.67934285267</v>
      </c>
      <c r="I135" s="577">
        <f t="shared" si="23"/>
        <v>559106.67934285267</v>
      </c>
      <c r="J135" s="514">
        <f t="shared" si="18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 ht="12.5">
      <c r="B136" s="195" t="str">
        <f t="shared" si="17"/>
        <v/>
      </c>
      <c r="C136" s="507">
        <f>IF(D93="","-",+C135+1)</f>
        <v>2052</v>
      </c>
      <c r="D136" s="374">
        <f>IF(F135+SUM(E$99:E135)=D$92,F135,D$92-SUM(E$99:E135))</f>
        <v>1966651.3909191508</v>
      </c>
      <c r="E136" s="522">
        <f t="shared" si="19"/>
        <v>329807.14285714284</v>
      </c>
      <c r="F136" s="523">
        <f t="shared" si="20"/>
        <v>1636844.2480620081</v>
      </c>
      <c r="G136" s="523">
        <f t="shared" si="21"/>
        <v>1801747.8194905794</v>
      </c>
      <c r="H136" s="526">
        <f t="shared" si="22"/>
        <v>523628.06099959154</v>
      </c>
      <c r="I136" s="577">
        <f t="shared" si="23"/>
        <v>523628.06099959154</v>
      </c>
      <c r="J136" s="514">
        <f t="shared" si="18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 ht="12.5">
      <c r="B137" s="195" t="str">
        <f t="shared" si="17"/>
        <v/>
      </c>
      <c r="C137" s="507">
        <f>IF(D93="","-",+C136+1)</f>
        <v>2053</v>
      </c>
      <c r="D137" s="374">
        <f>IF(F136+SUM(E$99:E136)=D$92,F136,D$92-SUM(E$99:E136))</f>
        <v>1636844.2480620081</v>
      </c>
      <c r="E137" s="522">
        <f t="shared" si="19"/>
        <v>329807.14285714284</v>
      </c>
      <c r="F137" s="523">
        <f t="shared" si="20"/>
        <v>1307037.1052048653</v>
      </c>
      <c r="G137" s="523">
        <f t="shared" si="21"/>
        <v>1471940.6766334367</v>
      </c>
      <c r="H137" s="526">
        <f t="shared" si="22"/>
        <v>488149.44265633042</v>
      </c>
      <c r="I137" s="577">
        <f t="shared" si="23"/>
        <v>488149.44265633042</v>
      </c>
      <c r="J137" s="514">
        <f t="shared" si="18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 ht="12.5">
      <c r="B138" s="195" t="str">
        <f t="shared" si="17"/>
        <v/>
      </c>
      <c r="C138" s="507">
        <f>IF(D93="","-",+C137+1)</f>
        <v>2054</v>
      </c>
      <c r="D138" s="374">
        <f>IF(F137+SUM(E$99:E137)=D$92,F137,D$92-SUM(E$99:E137))</f>
        <v>1307037.1052048653</v>
      </c>
      <c r="E138" s="522">
        <f t="shared" si="19"/>
        <v>329807.14285714284</v>
      </c>
      <c r="F138" s="523">
        <f t="shared" si="20"/>
        <v>977229.9623477225</v>
      </c>
      <c r="G138" s="523">
        <f t="shared" si="21"/>
        <v>1142133.533776294</v>
      </c>
      <c r="H138" s="526">
        <f t="shared" si="22"/>
        <v>452670.82431306934</v>
      </c>
      <c r="I138" s="577">
        <f t="shared" si="23"/>
        <v>452670.82431306934</v>
      </c>
      <c r="J138" s="514">
        <f t="shared" si="18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 ht="12.5">
      <c r="B139" s="195" t="str">
        <f t="shared" si="17"/>
        <v/>
      </c>
      <c r="C139" s="507">
        <f>IF(D93="","-",+C138+1)</f>
        <v>2055</v>
      </c>
      <c r="D139" s="374">
        <f>IF(F138+SUM(E$99:E138)=D$92,F138,D$92-SUM(E$99:E138))</f>
        <v>977229.9623477225</v>
      </c>
      <c r="E139" s="522">
        <f t="shared" si="19"/>
        <v>329807.14285714284</v>
      </c>
      <c r="F139" s="523">
        <f t="shared" si="20"/>
        <v>647422.81949057966</v>
      </c>
      <c r="G139" s="523">
        <f t="shared" si="21"/>
        <v>812326.39091915102</v>
      </c>
      <c r="H139" s="526">
        <f t="shared" si="22"/>
        <v>417192.20596980827</v>
      </c>
      <c r="I139" s="577">
        <f t="shared" si="23"/>
        <v>417192.20596980827</v>
      </c>
      <c r="J139" s="514">
        <f t="shared" si="18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 ht="12.5">
      <c r="B140" s="195" t="str">
        <f t="shared" si="17"/>
        <v/>
      </c>
      <c r="C140" s="507">
        <f>IF(D93="","-",+C139+1)</f>
        <v>2056</v>
      </c>
      <c r="D140" s="374">
        <f>IF(F139+SUM(E$99:E139)=D$92,F139,D$92-SUM(E$99:E139))</f>
        <v>647422.81949057966</v>
      </c>
      <c r="E140" s="522">
        <f t="shared" si="19"/>
        <v>329807.14285714284</v>
      </c>
      <c r="F140" s="523">
        <f t="shared" si="20"/>
        <v>317615.67663343681</v>
      </c>
      <c r="G140" s="523">
        <f t="shared" si="21"/>
        <v>482519.24806200824</v>
      </c>
      <c r="H140" s="526">
        <f t="shared" si="22"/>
        <v>381713.58762654715</v>
      </c>
      <c r="I140" s="577">
        <f t="shared" si="23"/>
        <v>381713.58762654715</v>
      </c>
      <c r="J140" s="514">
        <f t="shared" si="18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 ht="12.5">
      <c r="B141" s="195" t="str">
        <f t="shared" si="17"/>
        <v/>
      </c>
      <c r="C141" s="507">
        <f>IF(D93="","-",+C140+1)</f>
        <v>2057</v>
      </c>
      <c r="D141" s="374">
        <f>IF(F140+SUM(E$99:E140)=D$92,F140,D$92-SUM(E$99:E140))</f>
        <v>317615.67663343681</v>
      </c>
      <c r="E141" s="522">
        <f t="shared" si="19"/>
        <v>317615.67663343681</v>
      </c>
      <c r="F141" s="523">
        <f t="shared" si="20"/>
        <v>0</v>
      </c>
      <c r="G141" s="523">
        <f t="shared" si="21"/>
        <v>158807.83831671841</v>
      </c>
      <c r="H141" s="526">
        <f t="shared" si="22"/>
        <v>334699.24443232367</v>
      </c>
      <c r="I141" s="577">
        <f t="shared" si="23"/>
        <v>334699.24443232367</v>
      </c>
      <c r="J141" s="514">
        <f t="shared" si="18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 ht="12.5">
      <c r="B142" s="195" t="str">
        <f t="shared" si="17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19"/>
        <v>0</v>
      </c>
      <c r="F142" s="523">
        <f t="shared" si="20"/>
        <v>0</v>
      </c>
      <c r="G142" s="523">
        <f t="shared" si="21"/>
        <v>0</v>
      </c>
      <c r="H142" s="526">
        <f t="shared" si="22"/>
        <v>0</v>
      </c>
      <c r="I142" s="577">
        <f t="shared" si="23"/>
        <v>0</v>
      </c>
      <c r="J142" s="514">
        <f t="shared" si="18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 ht="12.5">
      <c r="B143" s="195" t="str">
        <f t="shared" si="17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19"/>
        <v>0</v>
      </c>
      <c r="F143" s="523">
        <f t="shared" si="20"/>
        <v>0</v>
      </c>
      <c r="G143" s="523">
        <f t="shared" si="21"/>
        <v>0</v>
      </c>
      <c r="H143" s="526">
        <f t="shared" si="22"/>
        <v>0</v>
      </c>
      <c r="I143" s="577">
        <f t="shared" si="23"/>
        <v>0</v>
      </c>
      <c r="J143" s="514">
        <f t="shared" si="18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 ht="12.5">
      <c r="B144" s="195" t="str">
        <f t="shared" si="17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19"/>
        <v>0</v>
      </c>
      <c r="F144" s="523">
        <f t="shared" si="20"/>
        <v>0</v>
      </c>
      <c r="G144" s="523">
        <f t="shared" si="21"/>
        <v>0</v>
      </c>
      <c r="H144" s="526">
        <f t="shared" si="22"/>
        <v>0</v>
      </c>
      <c r="I144" s="577">
        <f t="shared" si="23"/>
        <v>0</v>
      </c>
      <c r="J144" s="514">
        <f t="shared" si="18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 ht="12.5">
      <c r="B145" s="195" t="str">
        <f t="shared" si="17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19"/>
        <v>0</v>
      </c>
      <c r="F145" s="523">
        <f t="shared" si="20"/>
        <v>0</v>
      </c>
      <c r="G145" s="523">
        <f t="shared" si="21"/>
        <v>0</v>
      </c>
      <c r="H145" s="526">
        <f t="shared" si="22"/>
        <v>0</v>
      </c>
      <c r="I145" s="577">
        <f t="shared" si="23"/>
        <v>0</v>
      </c>
      <c r="J145" s="514">
        <f t="shared" si="18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 ht="12.5">
      <c r="B146" s="195" t="str">
        <f t="shared" si="17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19"/>
        <v>0</v>
      </c>
      <c r="F146" s="523">
        <f t="shared" si="20"/>
        <v>0</v>
      </c>
      <c r="G146" s="523">
        <f t="shared" si="21"/>
        <v>0</v>
      </c>
      <c r="H146" s="526">
        <f t="shared" si="22"/>
        <v>0</v>
      </c>
      <c r="I146" s="577">
        <f t="shared" si="23"/>
        <v>0</v>
      </c>
      <c r="J146" s="514">
        <f t="shared" si="18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 ht="12.5">
      <c r="B147" s="195" t="str">
        <f t="shared" si="17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19"/>
        <v>0</v>
      </c>
      <c r="F147" s="523">
        <f t="shared" si="20"/>
        <v>0</v>
      </c>
      <c r="G147" s="523">
        <f t="shared" si="21"/>
        <v>0</v>
      </c>
      <c r="H147" s="526">
        <f t="shared" si="22"/>
        <v>0</v>
      </c>
      <c r="I147" s="577">
        <f t="shared" si="23"/>
        <v>0</v>
      </c>
      <c r="J147" s="514">
        <f t="shared" si="18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 ht="12.5">
      <c r="B148" s="195" t="str">
        <f t="shared" si="17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19"/>
        <v>0</v>
      </c>
      <c r="F148" s="523">
        <f t="shared" si="20"/>
        <v>0</v>
      </c>
      <c r="G148" s="523">
        <f t="shared" si="21"/>
        <v>0</v>
      </c>
      <c r="H148" s="526">
        <f t="shared" si="22"/>
        <v>0</v>
      </c>
      <c r="I148" s="577">
        <f t="shared" si="23"/>
        <v>0</v>
      </c>
      <c r="J148" s="514">
        <f t="shared" si="18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 ht="12.5">
      <c r="B149" s="195" t="str">
        <f t="shared" si="17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19"/>
        <v>0</v>
      </c>
      <c r="F149" s="523">
        <f t="shared" si="20"/>
        <v>0</v>
      </c>
      <c r="G149" s="523">
        <f t="shared" si="21"/>
        <v>0</v>
      </c>
      <c r="H149" s="526">
        <f t="shared" si="22"/>
        <v>0</v>
      </c>
      <c r="I149" s="577">
        <f t="shared" si="23"/>
        <v>0</v>
      </c>
      <c r="J149" s="514">
        <f t="shared" si="18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 ht="12.5">
      <c r="B150" s="195" t="str">
        <f t="shared" si="17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19"/>
        <v>0</v>
      </c>
      <c r="F150" s="523">
        <f t="shared" si="20"/>
        <v>0</v>
      </c>
      <c r="G150" s="523">
        <f t="shared" si="21"/>
        <v>0</v>
      </c>
      <c r="H150" s="526">
        <f t="shared" si="22"/>
        <v>0</v>
      </c>
      <c r="I150" s="577">
        <f t="shared" si="23"/>
        <v>0</v>
      </c>
      <c r="J150" s="514">
        <f t="shared" si="18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 ht="12.5">
      <c r="B151" s="195" t="str">
        <f t="shared" si="17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19"/>
        <v>0</v>
      </c>
      <c r="F151" s="523">
        <f t="shared" si="20"/>
        <v>0</v>
      </c>
      <c r="G151" s="523">
        <f t="shared" si="21"/>
        <v>0</v>
      </c>
      <c r="H151" s="526">
        <f t="shared" si="22"/>
        <v>0</v>
      </c>
      <c r="I151" s="577">
        <f t="shared" si="23"/>
        <v>0</v>
      </c>
      <c r="J151" s="514">
        <f t="shared" si="18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 ht="12.5">
      <c r="B152" s="195" t="str">
        <f t="shared" si="17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19"/>
        <v>0</v>
      </c>
      <c r="F152" s="523">
        <f t="shared" si="20"/>
        <v>0</v>
      </c>
      <c r="G152" s="523">
        <f t="shared" si="21"/>
        <v>0</v>
      </c>
      <c r="H152" s="526">
        <f t="shared" si="22"/>
        <v>0</v>
      </c>
      <c r="I152" s="577">
        <f t="shared" si="23"/>
        <v>0</v>
      </c>
      <c r="J152" s="514">
        <f t="shared" si="18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 ht="12.5">
      <c r="B153" s="195" t="str">
        <f t="shared" si="17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19"/>
        <v>0</v>
      </c>
      <c r="F153" s="523">
        <f t="shared" si="20"/>
        <v>0</v>
      </c>
      <c r="G153" s="523">
        <f t="shared" si="21"/>
        <v>0</v>
      </c>
      <c r="H153" s="526">
        <f t="shared" si="22"/>
        <v>0</v>
      </c>
      <c r="I153" s="577">
        <f t="shared" si="23"/>
        <v>0</v>
      </c>
      <c r="J153" s="514">
        <f t="shared" si="18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" thickBot="1">
      <c r="B154" s="195" t="str">
        <f t="shared" si="17"/>
        <v/>
      </c>
      <c r="C154" s="527">
        <f>IF(D93="","-",+C153+1)</f>
        <v>2070</v>
      </c>
      <c r="D154" s="578">
        <f>IF(F153+SUM(E$99:E153)=D$92,F153,D$92-SUM(E$99:E153))</f>
        <v>0</v>
      </c>
      <c r="E154" s="529">
        <f t="shared" si="19"/>
        <v>0</v>
      </c>
      <c r="F154" s="528">
        <f t="shared" si="20"/>
        <v>0</v>
      </c>
      <c r="G154" s="528">
        <f t="shared" si="21"/>
        <v>0</v>
      </c>
      <c r="H154" s="530">
        <f t="shared" si="22"/>
        <v>0</v>
      </c>
      <c r="I154" s="579">
        <f t="shared" si="23"/>
        <v>0</v>
      </c>
      <c r="J154" s="533">
        <f t="shared" si="18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 ht="12.5">
      <c r="C155" s="374" t="s">
        <v>78</v>
      </c>
      <c r="D155" s="375"/>
      <c r="E155" s="375">
        <f>SUM(E99:E154)</f>
        <v>13851900.000000002</v>
      </c>
      <c r="F155" s="375"/>
      <c r="G155" s="375"/>
      <c r="H155" s="375">
        <f>SUM(H99:H154)</f>
        <v>46416420.898155734</v>
      </c>
      <c r="I155" s="375">
        <f>SUM(I99:I154)</f>
        <v>46416420.898155734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2" priority="3" stopIfTrue="1" operator="equal">
      <formula>$I$10</formula>
    </cfRule>
  </conditionalFormatting>
  <conditionalFormatting sqref="C99:C153">
    <cfRule type="cellIs" dxfId="51" priority="4" stopIfTrue="1" operator="equal">
      <formula>$J$92</formula>
    </cfRule>
  </conditionalFormatting>
  <conditionalFormatting sqref="C154">
    <cfRule type="cellIs" dxfId="50" priority="1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P162"/>
  <sheetViews>
    <sheetView view="pageBreakPreview" topLeftCell="A73" zoomScale="80" zoomScaleNormal="100" zoomScaleSheetLayoutView="80" workbookViewId="0">
      <selection activeCell="D92" sqref="D9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32.54296875" style="183" customWidth="1"/>
    <col min="17" max="17" width="9.1796875" style="183" customWidth="1"/>
    <col min="18" max="18" width="8.7265625" style="183"/>
    <col min="19" max="21" width="9.1796875" style="183" customWidth="1"/>
    <col min="22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55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1096539.9309391833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1096539.9309391833</v>
      </c>
      <c r="O6" s="269"/>
      <c r="P6" s="269"/>
    </row>
    <row r="7" spans="1:16" ht="13.5" thickBot="1">
      <c r="C7" s="467" t="s">
        <v>48</v>
      </c>
      <c r="D7" s="624" t="s">
        <v>359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360</v>
      </c>
      <c r="E9" s="478"/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9381463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223368.16666666666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8831593</v>
      </c>
      <c r="E17" s="630">
        <v>105138.01190476192</v>
      </c>
      <c r="F17" s="631">
        <v>8726454.9880952388</v>
      </c>
      <c r="G17" s="630">
        <v>1240275.0587599066</v>
      </c>
      <c r="H17" s="639">
        <v>1240275.0587599066</v>
      </c>
      <c r="I17" s="511">
        <f t="shared" ref="I17:I72" si="0">H17-G17</f>
        <v>0</v>
      </c>
      <c r="J17" s="511"/>
      <c r="K17" s="512">
        <f>+G17</f>
        <v>1240275.0587599066</v>
      </c>
      <c r="L17" s="513">
        <f t="shared" ref="L17:L72" si="1">IF(K17&lt;&gt;0,+G17-K17,0)</f>
        <v>0</v>
      </c>
      <c r="M17" s="512">
        <f>+H17</f>
        <v>1240275.0587599066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31">
        <v>9270344.9880952388</v>
      </c>
      <c r="E18" s="630">
        <v>218034.48837209304</v>
      </c>
      <c r="F18" s="631">
        <v>9052310.4997231457</v>
      </c>
      <c r="G18" s="630">
        <v>1353054.593855357</v>
      </c>
      <c r="H18" s="639">
        <v>1353054.593855357</v>
      </c>
      <c r="I18" s="511">
        <f t="shared" si="0"/>
        <v>0</v>
      </c>
      <c r="J18" s="511"/>
      <c r="K18" s="518">
        <f>+G18</f>
        <v>1353054.593855357</v>
      </c>
      <c r="L18" s="519">
        <f>IF(K18&lt;&gt;0,+G18-K18,0)</f>
        <v>0</v>
      </c>
      <c r="M18" s="518">
        <f>+H18</f>
        <v>1353054.593855357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31">
        <v>9052310.4997231457</v>
      </c>
      <c r="E19" s="630">
        <v>228670.31707317074</v>
      </c>
      <c r="F19" s="631">
        <v>8823640.1826499756</v>
      </c>
      <c r="G19" s="630">
        <v>1364634.2393042783</v>
      </c>
      <c r="H19" s="639">
        <v>1364634.2393042783</v>
      </c>
      <c r="I19" s="511">
        <f t="shared" si="0"/>
        <v>0</v>
      </c>
      <c r="J19" s="511"/>
      <c r="K19" s="518">
        <f>+G19</f>
        <v>1364634.2393042783</v>
      </c>
      <c r="L19" s="519">
        <f>IF(K19&lt;&gt;0,+G19-K19,0)</f>
        <v>0</v>
      </c>
      <c r="M19" s="518">
        <f>+H19</f>
        <v>1364634.2393042783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2019</v>
      </c>
      <c r="D20" s="631">
        <v>8823640.1826499756</v>
      </c>
      <c r="E20" s="630">
        <v>228670.31707317074</v>
      </c>
      <c r="F20" s="631">
        <v>8594969.8655768055</v>
      </c>
      <c r="G20" s="630">
        <v>1335571.5914042245</v>
      </c>
      <c r="H20" s="639">
        <v>1335571.5914042245</v>
      </c>
      <c r="I20" s="511">
        <f t="shared" si="0"/>
        <v>0</v>
      </c>
      <c r="J20" s="511"/>
      <c r="K20" s="518">
        <f>+G20</f>
        <v>1335571.5914042245</v>
      </c>
      <c r="L20" s="519">
        <f>IF(K20&lt;&gt;0,+G20-K20,0)</f>
        <v>0</v>
      </c>
      <c r="M20" s="518">
        <f>+H20</f>
        <v>1335571.5914042245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4"/>
        <v/>
      </c>
      <c r="C21" s="507">
        <f>IF(D11="","-",+C20+1)</f>
        <v>2020</v>
      </c>
      <c r="D21" s="631">
        <v>8594969.8655768055</v>
      </c>
      <c r="E21" s="630">
        <v>228670.31707317074</v>
      </c>
      <c r="F21" s="631">
        <v>8366299.5485036345</v>
      </c>
      <c r="G21" s="630">
        <v>1096539.9309391833</v>
      </c>
      <c r="H21" s="639">
        <v>1096539.9309391833</v>
      </c>
      <c r="I21" s="511">
        <f t="shared" si="0"/>
        <v>0</v>
      </c>
      <c r="J21" s="511"/>
      <c r="K21" s="518">
        <f>+G21</f>
        <v>1096539.9309391833</v>
      </c>
      <c r="L21" s="519">
        <f>IF(K21&lt;&gt;0,+G21-K21,0)</f>
        <v>0</v>
      </c>
      <c r="M21" s="518">
        <f>+H21</f>
        <v>1096539.9309391833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4"/>
        <v>IU</v>
      </c>
      <c r="C22" s="507">
        <f>IF(D11="","-",+C21+1)</f>
        <v>2021</v>
      </c>
      <c r="D22" s="523">
        <f>IF(F21+SUM(E$17:E21)=D$10,F21,D$10-SUM(E$17:E21))</f>
        <v>8372279.5485036327</v>
      </c>
      <c r="E22" s="522">
        <f>IF(+I14&lt;F21,I14,D22)</f>
        <v>223368.16666666666</v>
      </c>
      <c r="F22" s="523">
        <f t="shared" ref="F22:F72" si="5">+D22-E22</f>
        <v>8148911.3818369657</v>
      </c>
      <c r="G22" s="524">
        <f t="shared" ref="G22:G49" si="6">+I$12*((D22+F22)/2)+E22</f>
        <v>1105748.2363113451</v>
      </c>
      <c r="H22" s="491">
        <f t="shared" ref="H22:H49" si="7">+I$13*((D22+F22)/2)+E22</f>
        <v>1105748.2363113451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4"/>
        <v/>
      </c>
      <c r="C23" s="507">
        <f>IF(D11="","-",+C22+1)</f>
        <v>2022</v>
      </c>
      <c r="D23" s="523">
        <f>IF(F22+SUM(E$17:E22)=D$10,F22,D$10-SUM(E$17:E22))</f>
        <v>8148911.3818369657</v>
      </c>
      <c r="E23" s="522">
        <f>IF(+I14&lt;F22,I14,D23)</f>
        <v>223368.16666666666</v>
      </c>
      <c r="F23" s="523">
        <f t="shared" si="5"/>
        <v>7925543.2151702987</v>
      </c>
      <c r="G23" s="524">
        <f t="shared" si="6"/>
        <v>1081888.5013454137</v>
      </c>
      <c r="H23" s="491">
        <f t="shared" si="7"/>
        <v>1081888.5013454137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4"/>
        <v/>
      </c>
      <c r="C24" s="507">
        <f>IF(D11="","-",+C23+1)</f>
        <v>2023</v>
      </c>
      <c r="D24" s="523">
        <f>IF(F23+SUM(E$17:E23)=D$10,F23,D$10-SUM(E$17:E23))</f>
        <v>7925543.2151702987</v>
      </c>
      <c r="E24" s="522">
        <f>IF(+I14&lt;F23,I14,D24)</f>
        <v>223368.16666666666</v>
      </c>
      <c r="F24" s="523">
        <f t="shared" si="5"/>
        <v>7702175.0485036317</v>
      </c>
      <c r="G24" s="524">
        <f t="shared" si="6"/>
        <v>1058028.7663794823</v>
      </c>
      <c r="H24" s="491">
        <f t="shared" si="7"/>
        <v>1058028.7663794823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4"/>
        <v/>
      </c>
      <c r="C25" s="507">
        <f>IF(D11="","-",+C24+1)</f>
        <v>2024</v>
      </c>
      <c r="D25" s="523">
        <f>IF(F24+SUM(E$17:E24)=D$10,F24,D$10-SUM(E$17:E24))</f>
        <v>7702175.0485036317</v>
      </c>
      <c r="E25" s="522">
        <f>IF(+I14&lt;F24,I14,D25)</f>
        <v>223368.16666666666</v>
      </c>
      <c r="F25" s="523">
        <f t="shared" si="5"/>
        <v>7478806.8818369647</v>
      </c>
      <c r="G25" s="524">
        <f t="shared" si="6"/>
        <v>1034169.031413551</v>
      </c>
      <c r="H25" s="491">
        <f t="shared" si="7"/>
        <v>1034169.031413551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4"/>
        <v/>
      </c>
      <c r="C26" s="507">
        <f>IF(D11="","-",+C25+1)</f>
        <v>2025</v>
      </c>
      <c r="D26" s="523">
        <f>IF(F25+SUM(E$17:E25)=D$10,F25,D$10-SUM(E$17:E25))</f>
        <v>7478806.8818369647</v>
      </c>
      <c r="E26" s="522">
        <f>IF(+I14&lt;F25,I14,D26)</f>
        <v>223368.16666666666</v>
      </c>
      <c r="F26" s="523">
        <f t="shared" si="5"/>
        <v>7255438.7151702978</v>
      </c>
      <c r="G26" s="524">
        <f t="shared" si="6"/>
        <v>1010309.2964476197</v>
      </c>
      <c r="H26" s="491">
        <f t="shared" si="7"/>
        <v>1010309.2964476197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4"/>
        <v/>
      </c>
      <c r="C27" s="507">
        <f>IF(D11="","-",+C26+1)</f>
        <v>2026</v>
      </c>
      <c r="D27" s="523">
        <f>IF(F26+SUM(E$17:E26)=D$10,F26,D$10-SUM(E$17:E26))</f>
        <v>7255438.7151702978</v>
      </c>
      <c r="E27" s="522">
        <f>IF(+I14&lt;F26,I14,D27)</f>
        <v>223368.16666666666</v>
      </c>
      <c r="F27" s="523">
        <f t="shared" si="5"/>
        <v>7032070.5485036308</v>
      </c>
      <c r="G27" s="524">
        <f t="shared" si="6"/>
        <v>986449.56148168817</v>
      </c>
      <c r="H27" s="491">
        <f t="shared" si="7"/>
        <v>986449.56148168817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4"/>
        <v/>
      </c>
      <c r="C28" s="507">
        <f>IF(D11="","-",+C27+1)</f>
        <v>2027</v>
      </c>
      <c r="D28" s="523">
        <f>IF(F27+SUM(E$17:E27)=D$10,F27,D$10-SUM(E$17:E27))</f>
        <v>7032070.5485036308</v>
      </c>
      <c r="E28" s="522">
        <f>IF(+I14&lt;F27,I14,D28)</f>
        <v>223368.16666666666</v>
      </c>
      <c r="F28" s="523">
        <f t="shared" si="5"/>
        <v>6808702.3818369638</v>
      </c>
      <c r="G28" s="524">
        <f t="shared" si="6"/>
        <v>962589.82651575701</v>
      </c>
      <c r="H28" s="491">
        <f t="shared" si="7"/>
        <v>962589.82651575701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4"/>
        <v/>
      </c>
      <c r="C29" s="507">
        <f>IF(D11="","-",+C28+1)</f>
        <v>2028</v>
      </c>
      <c r="D29" s="523">
        <f>IF(F28+SUM(E$17:E28)=D$10,F28,D$10-SUM(E$17:E28))</f>
        <v>6808702.3818369638</v>
      </c>
      <c r="E29" s="522">
        <f>IF(+I14&lt;F28,I14,D29)</f>
        <v>223368.16666666666</v>
      </c>
      <c r="F29" s="523">
        <f t="shared" si="5"/>
        <v>6585334.2151702968</v>
      </c>
      <c r="G29" s="524">
        <f t="shared" si="6"/>
        <v>938730.09154982551</v>
      </c>
      <c r="H29" s="491">
        <f t="shared" si="7"/>
        <v>938730.09154982551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4"/>
        <v/>
      </c>
      <c r="C30" s="507">
        <f>IF(D11="","-",+C29+1)</f>
        <v>2029</v>
      </c>
      <c r="D30" s="523">
        <f>IF(F29+SUM(E$17:E29)=D$10,F29,D$10-SUM(E$17:E29))</f>
        <v>6585334.2151702968</v>
      </c>
      <c r="E30" s="522">
        <f>IF(+I14&lt;F29,I14,D30)</f>
        <v>223368.16666666666</v>
      </c>
      <c r="F30" s="523">
        <f t="shared" si="5"/>
        <v>6361966.0485036299</v>
      </c>
      <c r="G30" s="524">
        <f t="shared" si="6"/>
        <v>914870.35658389423</v>
      </c>
      <c r="H30" s="491">
        <f t="shared" si="7"/>
        <v>914870.35658389423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4"/>
        <v/>
      </c>
      <c r="C31" s="507">
        <f>IF(D11="","-",+C30+1)</f>
        <v>2030</v>
      </c>
      <c r="D31" s="523">
        <f>IF(F30+SUM(E$17:E30)=D$10,F30,D$10-SUM(E$17:E30))</f>
        <v>6361966.0485036299</v>
      </c>
      <c r="E31" s="522">
        <f>IF(+I14&lt;F30,I14,D31)</f>
        <v>223368.16666666666</v>
      </c>
      <c r="F31" s="523">
        <f t="shared" si="5"/>
        <v>6138597.8818369629</v>
      </c>
      <c r="G31" s="524">
        <f t="shared" si="6"/>
        <v>891010.62161796284</v>
      </c>
      <c r="H31" s="491">
        <f t="shared" si="7"/>
        <v>891010.62161796284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4"/>
        <v/>
      </c>
      <c r="C32" s="507">
        <f>IF(D11="","-",+C31+1)</f>
        <v>2031</v>
      </c>
      <c r="D32" s="523">
        <f>IF(F31+SUM(E$17:E31)=D$10,F31,D$10-SUM(E$17:E31))</f>
        <v>6138597.8818369629</v>
      </c>
      <c r="E32" s="522">
        <f>IF(+I14&lt;F31,I14,D32)</f>
        <v>223368.16666666666</v>
      </c>
      <c r="F32" s="523">
        <f t="shared" si="5"/>
        <v>5915229.7151702959</v>
      </c>
      <c r="G32" s="524">
        <f t="shared" si="6"/>
        <v>867150.88665203156</v>
      </c>
      <c r="H32" s="491">
        <f t="shared" si="7"/>
        <v>867150.88665203156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4"/>
        <v/>
      </c>
      <c r="C33" s="507">
        <f>IF(D11="","-",+C32+1)</f>
        <v>2032</v>
      </c>
      <c r="D33" s="523">
        <f>IF(F32+SUM(E$17:E32)=D$10,F32,D$10-SUM(E$17:E32))</f>
        <v>5915229.7151702959</v>
      </c>
      <c r="E33" s="522">
        <f>IF(+I14&lt;F32,I14,D33)</f>
        <v>223368.16666666666</v>
      </c>
      <c r="F33" s="523">
        <f t="shared" si="5"/>
        <v>5691861.5485036289</v>
      </c>
      <c r="G33" s="524">
        <f t="shared" si="6"/>
        <v>843291.15168610017</v>
      </c>
      <c r="H33" s="491">
        <f t="shared" si="7"/>
        <v>843291.15168610017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4"/>
        <v/>
      </c>
      <c r="C34" s="507">
        <f>IF(D11="","-",+C33+1)</f>
        <v>2033</v>
      </c>
      <c r="D34" s="523">
        <f>IF(F33+SUM(E$17:E33)=D$10,F33,D$10-SUM(E$17:E33))</f>
        <v>5691861.5485036289</v>
      </c>
      <c r="E34" s="522">
        <f>IF(+I14&lt;F33,I14,D34)</f>
        <v>223368.16666666666</v>
      </c>
      <c r="F34" s="523">
        <f t="shared" si="5"/>
        <v>5468493.381836962</v>
      </c>
      <c r="G34" s="524">
        <f t="shared" si="6"/>
        <v>819431.4167201689</v>
      </c>
      <c r="H34" s="491">
        <f t="shared" si="7"/>
        <v>819431.4167201689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4"/>
        <v>IU</v>
      </c>
      <c r="C35" s="507">
        <f>IF(D11="","-",+C34+1)</f>
        <v>2034</v>
      </c>
      <c r="D35" s="523">
        <f>IF(F34+SUM(E$17:E34)=D$10,F34,D$10-SUM(E$17:E34))</f>
        <v>5468493.3818369675</v>
      </c>
      <c r="E35" s="522">
        <f>IF(+I14&lt;F34,I14,D35)</f>
        <v>223368.16666666666</v>
      </c>
      <c r="F35" s="523">
        <f t="shared" si="5"/>
        <v>5245125.2151703006</v>
      </c>
      <c r="G35" s="524">
        <f t="shared" si="6"/>
        <v>795571.68175423797</v>
      </c>
      <c r="H35" s="491">
        <f t="shared" si="7"/>
        <v>795571.68175423797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4"/>
        <v/>
      </c>
      <c r="C36" s="507">
        <f>IF(D11="","-",+C35+1)</f>
        <v>2035</v>
      </c>
      <c r="D36" s="523">
        <f>IF(F35+SUM(E$17:E35)=D$10,F35,D$10-SUM(E$17:E35))</f>
        <v>5245125.2151703006</v>
      </c>
      <c r="E36" s="522">
        <f>IF(+I14&lt;F35,I14,D36)</f>
        <v>223368.16666666666</v>
      </c>
      <c r="F36" s="523">
        <f t="shared" si="5"/>
        <v>5021757.0485036336</v>
      </c>
      <c r="G36" s="524">
        <f t="shared" si="6"/>
        <v>771711.94678830681</v>
      </c>
      <c r="H36" s="491">
        <f t="shared" si="7"/>
        <v>771711.94678830681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4"/>
        <v/>
      </c>
      <c r="C37" s="507">
        <f>IF(D11="","-",+C36+1)</f>
        <v>2036</v>
      </c>
      <c r="D37" s="523">
        <f>IF(F36+SUM(E$17:E36)=D$10,F36,D$10-SUM(E$17:E36))</f>
        <v>5021757.0485036336</v>
      </c>
      <c r="E37" s="522">
        <f>IF(+I14&lt;F36,I14,D37)</f>
        <v>223368.16666666666</v>
      </c>
      <c r="F37" s="523">
        <f t="shared" si="5"/>
        <v>4798388.8818369666</v>
      </c>
      <c r="G37" s="524">
        <f t="shared" si="6"/>
        <v>747852.21182237531</v>
      </c>
      <c r="H37" s="491">
        <f t="shared" si="7"/>
        <v>747852.21182237531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4"/>
        <v/>
      </c>
      <c r="C38" s="507">
        <f>IF(D11="","-",+C37+1)</f>
        <v>2037</v>
      </c>
      <c r="D38" s="523">
        <f>IF(F37+SUM(E$17:E37)=D$10,F37,D$10-SUM(E$17:E37))</f>
        <v>4798388.8818369666</v>
      </c>
      <c r="E38" s="522">
        <f>IF(+I14&lt;F37,I14,D38)</f>
        <v>223368.16666666666</v>
      </c>
      <c r="F38" s="523">
        <f t="shared" si="5"/>
        <v>4575020.7151702996</v>
      </c>
      <c r="G38" s="524">
        <f t="shared" si="6"/>
        <v>723992.47685644415</v>
      </c>
      <c r="H38" s="491">
        <f t="shared" si="7"/>
        <v>723992.47685644415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4"/>
        <v/>
      </c>
      <c r="C39" s="507">
        <f>IF(D11="","-",+C38+1)</f>
        <v>2038</v>
      </c>
      <c r="D39" s="523">
        <f>IF(F38+SUM(E$17:E38)=D$10,F38,D$10-SUM(E$17:E38))</f>
        <v>4575020.7151702996</v>
      </c>
      <c r="E39" s="522">
        <f>IF(+I14&lt;F38,I14,D39)</f>
        <v>223368.16666666666</v>
      </c>
      <c r="F39" s="523">
        <f t="shared" si="5"/>
        <v>4351652.5485036327</v>
      </c>
      <c r="G39" s="524">
        <f t="shared" si="6"/>
        <v>700132.74189051264</v>
      </c>
      <c r="H39" s="491">
        <f t="shared" si="7"/>
        <v>700132.74189051264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4"/>
        <v/>
      </c>
      <c r="C40" s="507">
        <f>IF(D11="","-",+C39+1)</f>
        <v>2039</v>
      </c>
      <c r="D40" s="523">
        <f>IF(F39+SUM(E$17:E39)=D$10,F39,D$10-SUM(E$17:E39))</f>
        <v>4351652.5485036327</v>
      </c>
      <c r="E40" s="522">
        <f>IF(+I14&lt;F39,I14,D40)</f>
        <v>223368.16666666666</v>
      </c>
      <c r="F40" s="523">
        <f t="shared" si="5"/>
        <v>4128284.3818369661</v>
      </c>
      <c r="G40" s="524">
        <f t="shared" si="6"/>
        <v>676273.00692458136</v>
      </c>
      <c r="H40" s="491">
        <f t="shared" si="7"/>
        <v>676273.00692458136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4"/>
        <v/>
      </c>
      <c r="C41" s="507">
        <f>IF(D11="","-",+C40+1)</f>
        <v>2040</v>
      </c>
      <c r="D41" s="523">
        <f>IF(F40+SUM(E$17:E40)=D$10,F40,D$10-SUM(E$17:E40))</f>
        <v>4128284.3818369661</v>
      </c>
      <c r="E41" s="522">
        <f>IF(+I14&lt;F40,I14,D41)</f>
        <v>223368.16666666666</v>
      </c>
      <c r="F41" s="523">
        <f t="shared" si="5"/>
        <v>3904916.2151702996</v>
      </c>
      <c r="G41" s="524">
        <f t="shared" si="6"/>
        <v>652413.27195865009</v>
      </c>
      <c r="H41" s="491">
        <f t="shared" si="7"/>
        <v>652413.27195865009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4"/>
        <v/>
      </c>
      <c r="C42" s="507">
        <f>IF(D11="","-",+C41+1)</f>
        <v>2041</v>
      </c>
      <c r="D42" s="523">
        <f>IF(F41+SUM(E$17:E41)=D$10,F41,D$10-SUM(E$17:E41))</f>
        <v>3904916.2151702996</v>
      </c>
      <c r="E42" s="522">
        <f>IF(+I14&lt;F41,I14,D42)</f>
        <v>223368.16666666666</v>
      </c>
      <c r="F42" s="523">
        <f t="shared" si="5"/>
        <v>3681548.0485036331</v>
      </c>
      <c r="G42" s="524">
        <f t="shared" si="6"/>
        <v>628553.53699271881</v>
      </c>
      <c r="H42" s="491">
        <f t="shared" si="7"/>
        <v>628553.53699271881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4"/>
        <v/>
      </c>
      <c r="C43" s="507">
        <f>IF(D11="","-",+C42+1)</f>
        <v>2042</v>
      </c>
      <c r="D43" s="523">
        <f>IF(F42+SUM(E$17:E42)=D$10,F42,D$10-SUM(E$17:E42))</f>
        <v>3681548.0485036331</v>
      </c>
      <c r="E43" s="522">
        <f>IF(+I14&lt;F42,I14,D43)</f>
        <v>223368.16666666666</v>
      </c>
      <c r="F43" s="523">
        <f t="shared" si="5"/>
        <v>3458179.8818369666</v>
      </c>
      <c r="G43" s="524">
        <f t="shared" si="6"/>
        <v>604693.80202678742</v>
      </c>
      <c r="H43" s="491">
        <f t="shared" si="7"/>
        <v>604693.80202678742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4"/>
        <v/>
      </c>
      <c r="C44" s="507">
        <f>IF(D11="","-",+C43+1)</f>
        <v>2043</v>
      </c>
      <c r="D44" s="523">
        <f>IF(F43+SUM(E$17:E43)=D$10,F43,D$10-SUM(E$17:E43))</f>
        <v>3458179.8818369666</v>
      </c>
      <c r="E44" s="522">
        <f>IF(+I14&lt;F43,I14,D44)</f>
        <v>223368.16666666666</v>
      </c>
      <c r="F44" s="523">
        <f t="shared" si="5"/>
        <v>3234811.7151703001</v>
      </c>
      <c r="G44" s="524">
        <f t="shared" si="6"/>
        <v>580834.06706085615</v>
      </c>
      <c r="H44" s="491">
        <f t="shared" si="7"/>
        <v>580834.06706085615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4"/>
        <v/>
      </c>
      <c r="C45" s="507">
        <f>IF(D11="","-",+C44+1)</f>
        <v>2044</v>
      </c>
      <c r="D45" s="523">
        <f>IF(F44+SUM(E$17:E44)=D$10,F44,D$10-SUM(E$17:E44))</f>
        <v>3234811.7151703001</v>
      </c>
      <c r="E45" s="522">
        <f>IF(+I14&lt;F44,I14,D45)</f>
        <v>223368.16666666666</v>
      </c>
      <c r="F45" s="523">
        <f t="shared" si="5"/>
        <v>3011443.5485036336</v>
      </c>
      <c r="G45" s="524">
        <f t="shared" si="6"/>
        <v>556974.33209492487</v>
      </c>
      <c r="H45" s="491">
        <f t="shared" si="7"/>
        <v>556974.33209492487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4"/>
        <v/>
      </c>
      <c r="C46" s="507">
        <f>IF(D11="","-",+C45+1)</f>
        <v>2045</v>
      </c>
      <c r="D46" s="523">
        <f>IF(F45+SUM(E$17:E45)=D$10,F45,D$10-SUM(E$17:E45))</f>
        <v>3011443.5485036336</v>
      </c>
      <c r="E46" s="522">
        <f>IF(+I14&lt;F45,I14,D46)</f>
        <v>223368.16666666666</v>
      </c>
      <c r="F46" s="523">
        <f t="shared" si="5"/>
        <v>2788075.3818369671</v>
      </c>
      <c r="G46" s="524">
        <f t="shared" si="6"/>
        <v>533114.5971289936</v>
      </c>
      <c r="H46" s="491">
        <f t="shared" si="7"/>
        <v>533114.5971289936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4"/>
        <v/>
      </c>
      <c r="C47" s="507">
        <f>IF(D11="","-",+C46+1)</f>
        <v>2046</v>
      </c>
      <c r="D47" s="523">
        <f>IF(F46+SUM(E$17:E46)=D$10,F46,D$10-SUM(E$17:E46))</f>
        <v>2788075.3818369671</v>
      </c>
      <c r="E47" s="522">
        <f>IF(+I14&lt;F46,I14,D47)</f>
        <v>223368.16666666666</v>
      </c>
      <c r="F47" s="523">
        <f t="shared" si="5"/>
        <v>2564707.2151703006</v>
      </c>
      <c r="G47" s="524">
        <f t="shared" si="6"/>
        <v>509254.86216306221</v>
      </c>
      <c r="H47" s="491">
        <f t="shared" si="7"/>
        <v>509254.86216306221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4"/>
        <v/>
      </c>
      <c r="C48" s="507">
        <f>IF(D11="","-",+C47+1)</f>
        <v>2047</v>
      </c>
      <c r="D48" s="523">
        <f>IF(F47+SUM(E$17:E47)=D$10,F47,D$10-SUM(E$17:E47))</f>
        <v>2564707.2151703006</v>
      </c>
      <c r="E48" s="522">
        <f>IF(+I14&lt;F47,I14,D48)</f>
        <v>223368.16666666666</v>
      </c>
      <c r="F48" s="523">
        <f t="shared" si="5"/>
        <v>2341339.0485036341</v>
      </c>
      <c r="G48" s="524">
        <f t="shared" si="6"/>
        <v>485395.12719713099</v>
      </c>
      <c r="H48" s="491">
        <f t="shared" si="7"/>
        <v>485395.12719713099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4"/>
        <v/>
      </c>
      <c r="C49" s="507">
        <f>IF(D11="","-",+C48+1)</f>
        <v>2048</v>
      </c>
      <c r="D49" s="523">
        <f>IF(F48+SUM(E$17:E48)=D$10,F48,D$10-SUM(E$17:E48))</f>
        <v>2341339.0485036341</v>
      </c>
      <c r="E49" s="522">
        <f>IF(+I14&lt;F48,I14,D49)</f>
        <v>223368.16666666666</v>
      </c>
      <c r="F49" s="523">
        <f t="shared" si="5"/>
        <v>2117970.8818369675</v>
      </c>
      <c r="G49" s="524">
        <f t="shared" si="6"/>
        <v>461535.39223119966</v>
      </c>
      <c r="H49" s="491">
        <f t="shared" si="7"/>
        <v>461535.39223119966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4"/>
        <v/>
      </c>
      <c r="C50" s="507">
        <f>IF(D11="","-",+C49+1)</f>
        <v>2049</v>
      </c>
      <c r="D50" s="523">
        <f>IF(F49+SUM(E$17:E49)=D$10,F49,D$10-SUM(E$17:E49))</f>
        <v>2117970.8818369675</v>
      </c>
      <c r="E50" s="522">
        <f>IF(+I14&lt;F49,I14,D50)</f>
        <v>223368.16666666666</v>
      </c>
      <c r="F50" s="523">
        <f t="shared" si="5"/>
        <v>1894602.7151703008</v>
      </c>
      <c r="G50" s="524">
        <f t="shared" ref="G50:G72" si="8">+I$12*((D50+F50)/2)+E50</f>
        <v>437675.65726526832</v>
      </c>
      <c r="H50" s="491">
        <f t="shared" ref="H50:H72" si="9">+I$13*((D50+F50)/2)+E50</f>
        <v>437675.65726526832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4"/>
        <v/>
      </c>
      <c r="C51" s="507">
        <f>IF(D11="","-",+C50+1)</f>
        <v>2050</v>
      </c>
      <c r="D51" s="523">
        <f>IF(F50+SUM(E$17:E50)=D$10,F50,D$10-SUM(E$17:E50))</f>
        <v>1894602.7151702959</v>
      </c>
      <c r="E51" s="522">
        <f>IF(+I14&lt;F50,I14,D51)</f>
        <v>223368.16666666666</v>
      </c>
      <c r="F51" s="523">
        <f t="shared" si="5"/>
        <v>1671234.5485036292</v>
      </c>
      <c r="G51" s="524">
        <f t="shared" si="8"/>
        <v>413815.92229933647</v>
      </c>
      <c r="H51" s="491">
        <f t="shared" si="9"/>
        <v>413815.92229933647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4"/>
        <v/>
      </c>
      <c r="C52" s="507">
        <f>IF(D11="","-",+C51+1)</f>
        <v>2051</v>
      </c>
      <c r="D52" s="523">
        <f>IF(F51+SUM(E$17:E51)=D$10,F51,D$10-SUM(E$17:E51))</f>
        <v>1671234.5485036292</v>
      </c>
      <c r="E52" s="522">
        <f>IF(+I14&lt;F51,I14,D52)</f>
        <v>223368.16666666666</v>
      </c>
      <c r="F52" s="523">
        <f t="shared" si="5"/>
        <v>1447866.3818369624</v>
      </c>
      <c r="G52" s="524">
        <f t="shared" si="8"/>
        <v>389956.18733340513</v>
      </c>
      <c r="H52" s="491">
        <f t="shared" si="9"/>
        <v>389956.18733340513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4"/>
        <v/>
      </c>
      <c r="C53" s="507">
        <f>IF(D11="","-",+C52+1)</f>
        <v>2052</v>
      </c>
      <c r="D53" s="523">
        <f>IF(F52+SUM(E$17:E52)=D$10,F52,D$10-SUM(E$17:E52))</f>
        <v>1447866.3818369624</v>
      </c>
      <c r="E53" s="522">
        <f>IF(+I14&lt;F52,I14,D53)</f>
        <v>223368.16666666666</v>
      </c>
      <c r="F53" s="523">
        <f t="shared" si="5"/>
        <v>1224498.2151702957</v>
      </c>
      <c r="G53" s="524">
        <f t="shared" si="8"/>
        <v>366096.45236747386</v>
      </c>
      <c r="H53" s="491">
        <f t="shared" si="9"/>
        <v>366096.45236747386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4"/>
        <v/>
      </c>
      <c r="C54" s="507">
        <f>IF(D11="","-",+C53+1)</f>
        <v>2053</v>
      </c>
      <c r="D54" s="523">
        <f>IF(F53+SUM(E$17:E53)=D$10,F53,D$10-SUM(E$17:E53))</f>
        <v>1224498.2151702957</v>
      </c>
      <c r="E54" s="522">
        <f>IF(+I14&lt;F53,I14,D54)</f>
        <v>223368.16666666666</v>
      </c>
      <c r="F54" s="523">
        <f t="shared" si="5"/>
        <v>1001130.048503629</v>
      </c>
      <c r="G54" s="524">
        <f t="shared" si="8"/>
        <v>342236.71740154253</v>
      </c>
      <c r="H54" s="491">
        <f t="shared" si="9"/>
        <v>342236.71740154253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4"/>
        <v/>
      </c>
      <c r="C55" s="507">
        <f>IF(D11="","-",+C54+1)</f>
        <v>2054</v>
      </c>
      <c r="D55" s="523">
        <f>IF(F54+SUM(E$17:E54)=D$10,F54,D$10-SUM(E$17:E54))</f>
        <v>1001130.048503629</v>
      </c>
      <c r="E55" s="522">
        <f>IF(+I14&lt;F54,I14,D55)</f>
        <v>223368.16666666666</v>
      </c>
      <c r="F55" s="523">
        <f t="shared" si="5"/>
        <v>777761.88183696242</v>
      </c>
      <c r="G55" s="524">
        <f t="shared" si="8"/>
        <v>318376.98243561119</v>
      </c>
      <c r="H55" s="491">
        <f t="shared" si="9"/>
        <v>318376.98243561119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4"/>
        <v/>
      </c>
      <c r="C56" s="507">
        <f>IF(D11="","-",+C55+1)</f>
        <v>2055</v>
      </c>
      <c r="D56" s="523">
        <f>IF(F55+SUM(E$17:E55)=D$10,F55,D$10-SUM(E$17:E55))</f>
        <v>777761.88183696242</v>
      </c>
      <c r="E56" s="522">
        <f>IF(+I14&lt;F55,I14,D56)</f>
        <v>223368.16666666666</v>
      </c>
      <c r="F56" s="523">
        <f t="shared" si="5"/>
        <v>554393.71517029579</v>
      </c>
      <c r="G56" s="524">
        <f t="shared" si="8"/>
        <v>294517.24746967992</v>
      </c>
      <c r="H56" s="491">
        <f t="shared" si="9"/>
        <v>294517.24746967992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4"/>
        <v/>
      </c>
      <c r="C57" s="507">
        <f>IF(D11="","-",+C56+1)</f>
        <v>2056</v>
      </c>
      <c r="D57" s="523">
        <f>IF(F56+SUM(E$17:E56)=D$10,F56,D$10-SUM(E$17:E56))</f>
        <v>554393.71517029579</v>
      </c>
      <c r="E57" s="522">
        <f>IF(+I14&lt;F56,I14,D57)</f>
        <v>223368.16666666666</v>
      </c>
      <c r="F57" s="523">
        <f t="shared" si="5"/>
        <v>331025.54850362916</v>
      </c>
      <c r="G57" s="524">
        <f t="shared" si="8"/>
        <v>270657.51250374859</v>
      </c>
      <c r="H57" s="491">
        <f t="shared" si="9"/>
        <v>270657.51250374859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4"/>
        <v/>
      </c>
      <c r="C58" s="507">
        <f>IF(D11="","-",+C57+1)</f>
        <v>2057</v>
      </c>
      <c r="D58" s="523">
        <f>IF(F57+SUM(E$17:E57)=D$10,F57,D$10-SUM(E$17:E57))</f>
        <v>331025.54850362916</v>
      </c>
      <c r="E58" s="522">
        <f>IF(+I14&lt;F57,I14,D58)</f>
        <v>223368.16666666666</v>
      </c>
      <c r="F58" s="523">
        <f t="shared" si="5"/>
        <v>107657.38183696251</v>
      </c>
      <c r="G58" s="524">
        <f t="shared" si="8"/>
        <v>246797.77753781725</v>
      </c>
      <c r="H58" s="491">
        <f t="shared" si="9"/>
        <v>246797.77753781725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4"/>
        <v/>
      </c>
      <c r="C59" s="507">
        <f>IF(D11="","-",+C58+1)</f>
        <v>2058</v>
      </c>
      <c r="D59" s="523">
        <f>IF(F58+SUM(E$17:E58)=D$10,F58,D$10-SUM(E$17:E58))</f>
        <v>107657.38183696251</v>
      </c>
      <c r="E59" s="522">
        <f>IF(+I14&lt;F58,I14,D59)</f>
        <v>107657.38183696251</v>
      </c>
      <c r="F59" s="523">
        <f t="shared" si="5"/>
        <v>0</v>
      </c>
      <c r="G59" s="524">
        <f t="shared" si="8"/>
        <v>113407.25353105499</v>
      </c>
      <c r="H59" s="491">
        <f t="shared" si="9"/>
        <v>113407.25353105499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4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5"/>
        <v>0</v>
      </c>
      <c r="G60" s="524">
        <f t="shared" si="8"/>
        <v>0</v>
      </c>
      <c r="H60" s="491">
        <f t="shared" si="9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4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5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4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5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4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5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4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5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4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5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4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5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4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5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4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5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4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5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4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5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4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5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5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9381462.9999999981</v>
      </c>
      <c r="F73" s="375"/>
      <c r="G73" s="375">
        <f>SUM(G17:G72)</f>
        <v>31525583.924003512</v>
      </c>
      <c r="H73" s="375">
        <f>SUM(H17:H72)</f>
        <v>31525583.924003512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55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1096539.9309391833</v>
      </c>
      <c r="N87" s="546">
        <f>IF(J92&lt;D11,0,VLOOKUP(J92,C17:O72,11))</f>
        <v>1096539.9309391833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1133390.3688526335</v>
      </c>
      <c r="N88" s="550">
        <f>IF(J92&lt;D11,0,VLOOKUP(J92,C99:P154,7))</f>
        <v>1133390.3688526335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Ellerbe Rd-S Shreveport 69 kv 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36850.43791345018</v>
      </c>
      <c r="N89" s="555">
        <f>+N88-N87</f>
        <v>36850.43791345018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TP201154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v>9381463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223368.16666666666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145356.32558139536</v>
      </c>
      <c r="F99" s="651">
        <v>9230126.674418604</v>
      </c>
      <c r="G99" s="652">
        <v>4615063.337209302</v>
      </c>
      <c r="H99" s="653">
        <v>731238.56219016481</v>
      </c>
      <c r="I99" s="654">
        <v>731238.56219016481</v>
      </c>
      <c r="J99" s="514">
        <f t="shared" ref="J99:J130" si="10">+I99-H99</f>
        <v>0</v>
      </c>
      <c r="K99" s="514"/>
      <c r="L99" s="512">
        <f>+H99</f>
        <v>731238.56219016481</v>
      </c>
      <c r="M99" s="513">
        <f t="shared" ref="M99:M130" si="11">IF(L99&lt;&gt;0,+H99-L99,0)</f>
        <v>0</v>
      </c>
      <c r="N99" s="512">
        <f>+I99</f>
        <v>731238.56219016481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9236106.674418604</v>
      </c>
      <c r="E100" s="630">
        <v>223368.16666666666</v>
      </c>
      <c r="F100" s="631">
        <v>9012738.507751938</v>
      </c>
      <c r="G100" s="631">
        <v>9124422.59108527</v>
      </c>
      <c r="H100" s="633">
        <v>1331725.0793304511</v>
      </c>
      <c r="I100" s="634">
        <v>1331725.0793304511</v>
      </c>
      <c r="J100" s="514">
        <f t="shared" si="10"/>
        <v>0</v>
      </c>
      <c r="K100" s="514"/>
      <c r="L100" s="655">
        <f>+H100</f>
        <v>1331725.0793304511</v>
      </c>
      <c r="M100" s="514">
        <f t="shared" si="11"/>
        <v>0</v>
      </c>
      <c r="N100" s="655">
        <f>+I100</f>
        <v>1331725.0793304511</v>
      </c>
      <c r="O100" s="514">
        <f t="shared" si="12"/>
        <v>0</v>
      </c>
      <c r="P100" s="514">
        <f t="shared" si="13"/>
        <v>0</v>
      </c>
    </row>
    <row r="101" spans="1:16" ht="12.5">
      <c r="B101" s="195" t="str">
        <f t="shared" ref="B101:B154" si="14">IF(D101=F100,"","IU")</f>
        <v/>
      </c>
      <c r="C101" s="507">
        <f>IF(D93="","-",+C100+1)</f>
        <v>2018</v>
      </c>
      <c r="D101" s="629">
        <v>9012738.507751938</v>
      </c>
      <c r="E101" s="630">
        <v>223368.16666666666</v>
      </c>
      <c r="F101" s="631">
        <v>8789370.3410852719</v>
      </c>
      <c r="G101" s="631">
        <v>8901054.4244186059</v>
      </c>
      <c r="H101" s="633">
        <v>1163360.3325167969</v>
      </c>
      <c r="I101" s="634">
        <v>1163360.3325167969</v>
      </c>
      <c r="J101" s="514">
        <f t="shared" si="10"/>
        <v>0</v>
      </c>
      <c r="K101" s="514"/>
      <c r="L101" s="655">
        <f>+H101</f>
        <v>1163360.3325167969</v>
      </c>
      <c r="M101" s="514">
        <f t="shared" ref="M101" si="15">IF(L101&lt;&gt;0,+H101-L101,0)</f>
        <v>0</v>
      </c>
      <c r="N101" s="655">
        <f>+I101</f>
        <v>1163360.3325167969</v>
      </c>
      <c r="O101" s="514">
        <f t="shared" ref="O101" si="16">IF(N101&lt;&gt;0,+I101-N101,0)</f>
        <v>0</v>
      </c>
      <c r="P101" s="514">
        <f t="shared" si="13"/>
        <v>0</v>
      </c>
    </row>
    <row r="102" spans="1:16" ht="12.5">
      <c r="B102" s="195" t="str">
        <f t="shared" si="14"/>
        <v/>
      </c>
      <c r="C102" s="507">
        <f>IF(D93="","-",+C101+1)</f>
        <v>2019</v>
      </c>
      <c r="D102" s="629">
        <v>8789370.3410852719</v>
      </c>
      <c r="E102" s="630">
        <v>218173.55813953487</v>
      </c>
      <c r="F102" s="631">
        <v>8571196.7829457372</v>
      </c>
      <c r="G102" s="631">
        <v>8680283.5620155036</v>
      </c>
      <c r="H102" s="633">
        <v>1147315.8547577483</v>
      </c>
      <c r="I102" s="634">
        <v>1147315.8547577483</v>
      </c>
      <c r="J102" s="514">
        <f t="shared" si="10"/>
        <v>0</v>
      </c>
      <c r="K102" s="514"/>
      <c r="L102" s="655">
        <f>+H102</f>
        <v>1147315.8547577483</v>
      </c>
      <c r="M102" s="514">
        <f t="shared" ref="M102" si="17">IF(L102&lt;&gt;0,+H102-L102,0)</f>
        <v>0</v>
      </c>
      <c r="N102" s="655">
        <f>+I102</f>
        <v>1147315.8547577483</v>
      </c>
      <c r="O102" s="514">
        <f t="shared" si="12"/>
        <v>0</v>
      </c>
      <c r="P102" s="514">
        <f t="shared" si="13"/>
        <v>0</v>
      </c>
    </row>
    <row r="103" spans="1:16" ht="12.5">
      <c r="B103" s="195" t="str">
        <f t="shared" si="14"/>
        <v/>
      </c>
      <c r="C103" s="507">
        <f>IF(D93="","-",+C102+1)</f>
        <v>2020</v>
      </c>
      <c r="D103" s="374">
        <f>IF(F102+SUM(E$99:E102)=D$92,F102,D$92-SUM(E$99:E102))</f>
        <v>8571196.7829457372</v>
      </c>
      <c r="E103" s="522">
        <f>IF(+J96&lt;F102,J96,D103)</f>
        <v>223368.16666666666</v>
      </c>
      <c r="F103" s="523">
        <f t="shared" ref="F103:F130" si="18">+D103-E103</f>
        <v>8347828.6162790703</v>
      </c>
      <c r="G103" s="523">
        <f t="shared" ref="G103:G130" si="19">+(F103+D103)/2</f>
        <v>8459512.6996124033</v>
      </c>
      <c r="H103" s="526">
        <f t="shared" ref="H103:H154" si="20">+J$94*G103+E103</f>
        <v>1133390.3688526335</v>
      </c>
      <c r="I103" s="577">
        <f t="shared" ref="I103:I154" si="21">+J$95*G103+E103</f>
        <v>1133390.3688526335</v>
      </c>
      <c r="J103" s="514">
        <f t="shared" si="10"/>
        <v>0</v>
      </c>
      <c r="K103" s="514"/>
      <c r="L103" s="525"/>
      <c r="M103" s="514">
        <f t="shared" si="11"/>
        <v>0</v>
      </c>
      <c r="N103" s="525"/>
      <c r="O103" s="514">
        <f t="shared" si="12"/>
        <v>0</v>
      </c>
      <c r="P103" s="514">
        <f t="shared" si="13"/>
        <v>0</v>
      </c>
    </row>
    <row r="104" spans="1:16" ht="12.5">
      <c r="B104" s="195" t="str">
        <f t="shared" si="14"/>
        <v/>
      </c>
      <c r="C104" s="507">
        <f>IF(D93="","-",+C103+1)</f>
        <v>2021</v>
      </c>
      <c r="D104" s="374">
        <f>IF(F103+SUM(E$99:E103)=D$92,F103,D$92-SUM(E$99:E103))</f>
        <v>8347828.6162790703</v>
      </c>
      <c r="E104" s="522">
        <f>IF(+J96&lt;F103,J96,D104)</f>
        <v>223368.16666666666</v>
      </c>
      <c r="F104" s="523">
        <f t="shared" si="18"/>
        <v>8124460.4496124033</v>
      </c>
      <c r="G104" s="523">
        <f t="shared" si="19"/>
        <v>8236144.5329457372</v>
      </c>
      <c r="H104" s="526">
        <f t="shared" si="20"/>
        <v>1109361.7991056368</v>
      </c>
      <c r="I104" s="577">
        <f t="shared" si="21"/>
        <v>1109361.7991056368</v>
      </c>
      <c r="J104" s="514">
        <f t="shared" si="10"/>
        <v>0</v>
      </c>
      <c r="K104" s="514"/>
      <c r="L104" s="525"/>
      <c r="M104" s="514">
        <f t="shared" si="11"/>
        <v>0</v>
      </c>
      <c r="N104" s="525"/>
      <c r="O104" s="514">
        <f t="shared" si="12"/>
        <v>0</v>
      </c>
      <c r="P104" s="514">
        <f t="shared" si="13"/>
        <v>0</v>
      </c>
    </row>
    <row r="105" spans="1:16" ht="12.5">
      <c r="B105" s="195" t="str">
        <f t="shared" si="14"/>
        <v/>
      </c>
      <c r="C105" s="507">
        <f>IF(D93="","-",+C104+1)</f>
        <v>2022</v>
      </c>
      <c r="D105" s="374">
        <f>IF(F104+SUM(E$99:E104)=D$92,F104,D$92-SUM(E$99:E104))</f>
        <v>8124460.4496124033</v>
      </c>
      <c r="E105" s="522">
        <f>IF(+J96&lt;F104,J96,D105)</f>
        <v>223368.16666666666</v>
      </c>
      <c r="F105" s="523">
        <f t="shared" si="18"/>
        <v>7901092.2829457363</v>
      </c>
      <c r="G105" s="523">
        <f t="shared" si="19"/>
        <v>8012776.3662790693</v>
      </c>
      <c r="H105" s="526">
        <f t="shared" si="20"/>
        <v>1085333.2293586398</v>
      </c>
      <c r="I105" s="577">
        <f t="shared" si="21"/>
        <v>1085333.2293586398</v>
      </c>
      <c r="J105" s="514">
        <f t="shared" si="10"/>
        <v>0</v>
      </c>
      <c r="K105" s="514"/>
      <c r="L105" s="525"/>
      <c r="M105" s="514">
        <f t="shared" si="11"/>
        <v>0</v>
      </c>
      <c r="N105" s="525"/>
      <c r="O105" s="514">
        <f t="shared" si="12"/>
        <v>0</v>
      </c>
      <c r="P105" s="514">
        <f t="shared" si="13"/>
        <v>0</v>
      </c>
    </row>
    <row r="106" spans="1:16" ht="12.5">
      <c r="B106" s="195" t="str">
        <f t="shared" si="14"/>
        <v/>
      </c>
      <c r="C106" s="507">
        <f>IF(D93="","-",+C105+1)</f>
        <v>2023</v>
      </c>
      <c r="D106" s="374">
        <f>IF(F105+SUM(E$99:E105)=D$92,F105,D$92-SUM(E$99:E105))</f>
        <v>7901092.2829457363</v>
      </c>
      <c r="E106" s="522">
        <f>IF(+J96&lt;F105,J96,D106)</f>
        <v>223368.16666666666</v>
      </c>
      <c r="F106" s="523">
        <f t="shared" si="18"/>
        <v>7677724.1162790693</v>
      </c>
      <c r="G106" s="523">
        <f t="shared" si="19"/>
        <v>7789408.1996124033</v>
      </c>
      <c r="H106" s="526">
        <f t="shared" si="20"/>
        <v>1061304.6596116431</v>
      </c>
      <c r="I106" s="577">
        <f t="shared" si="21"/>
        <v>1061304.6596116431</v>
      </c>
      <c r="J106" s="514">
        <f t="shared" si="10"/>
        <v>0</v>
      </c>
      <c r="K106" s="514"/>
      <c r="L106" s="525"/>
      <c r="M106" s="514">
        <f t="shared" si="11"/>
        <v>0</v>
      </c>
      <c r="N106" s="525"/>
      <c r="O106" s="514">
        <f t="shared" si="12"/>
        <v>0</v>
      </c>
      <c r="P106" s="514">
        <f t="shared" si="13"/>
        <v>0</v>
      </c>
    </row>
    <row r="107" spans="1:16" ht="12.5">
      <c r="B107" s="195" t="str">
        <f t="shared" si="14"/>
        <v/>
      </c>
      <c r="C107" s="507">
        <f>IF(D93="","-",+C106+1)</f>
        <v>2024</v>
      </c>
      <c r="D107" s="374">
        <f>IF(F106+SUM(E$99:E106)=D$92,F106,D$92-SUM(E$99:E106))</f>
        <v>7677724.1162790693</v>
      </c>
      <c r="E107" s="522">
        <f>IF(+J96&lt;F106,J96,D107)</f>
        <v>223368.16666666666</v>
      </c>
      <c r="F107" s="523">
        <f t="shared" si="18"/>
        <v>7454355.9496124024</v>
      </c>
      <c r="G107" s="523">
        <f t="shared" si="19"/>
        <v>7566040.0329457354</v>
      </c>
      <c r="H107" s="526">
        <f t="shared" si="20"/>
        <v>1037276.089864646</v>
      </c>
      <c r="I107" s="577">
        <f t="shared" si="21"/>
        <v>1037276.089864646</v>
      </c>
      <c r="J107" s="514">
        <f t="shared" si="10"/>
        <v>0</v>
      </c>
      <c r="K107" s="514"/>
      <c r="L107" s="525"/>
      <c r="M107" s="514">
        <f t="shared" si="11"/>
        <v>0</v>
      </c>
      <c r="N107" s="525"/>
      <c r="O107" s="514">
        <f t="shared" si="12"/>
        <v>0</v>
      </c>
      <c r="P107" s="514">
        <f t="shared" si="13"/>
        <v>0</v>
      </c>
    </row>
    <row r="108" spans="1:16" ht="12.5">
      <c r="B108" s="195" t="str">
        <f t="shared" si="14"/>
        <v/>
      </c>
      <c r="C108" s="507">
        <f>IF(D93="","-",+C107+1)</f>
        <v>2025</v>
      </c>
      <c r="D108" s="374">
        <f>IF(F107+SUM(E$99:E107)=D$92,F107,D$92-SUM(E$99:E107))</f>
        <v>7454355.9496124024</v>
      </c>
      <c r="E108" s="522">
        <f>IF(+J96&lt;F107,J96,D108)</f>
        <v>223368.16666666666</v>
      </c>
      <c r="F108" s="523">
        <f t="shared" si="18"/>
        <v>7230987.7829457354</v>
      </c>
      <c r="G108" s="523">
        <f t="shared" si="19"/>
        <v>7342671.8662790693</v>
      </c>
      <c r="H108" s="526">
        <f t="shared" si="20"/>
        <v>1013247.5201176491</v>
      </c>
      <c r="I108" s="577">
        <f t="shared" si="21"/>
        <v>1013247.5201176491</v>
      </c>
      <c r="J108" s="514">
        <f t="shared" si="10"/>
        <v>0</v>
      </c>
      <c r="K108" s="514"/>
      <c r="L108" s="525"/>
      <c r="M108" s="514">
        <f t="shared" si="11"/>
        <v>0</v>
      </c>
      <c r="N108" s="525"/>
      <c r="O108" s="514">
        <f t="shared" si="12"/>
        <v>0</v>
      </c>
      <c r="P108" s="514">
        <f t="shared" si="13"/>
        <v>0</v>
      </c>
    </row>
    <row r="109" spans="1:16" ht="12.5">
      <c r="B109" s="195" t="str">
        <f t="shared" si="14"/>
        <v/>
      </c>
      <c r="C109" s="507">
        <f>IF(D93="","-",+C108+1)</f>
        <v>2026</v>
      </c>
      <c r="D109" s="374">
        <f>IF(F108+SUM(E$99:E108)=D$92,F108,D$92-SUM(E$99:E108))</f>
        <v>7230987.7829457354</v>
      </c>
      <c r="E109" s="522">
        <f>IF(+J96&lt;F108,J96,D109)</f>
        <v>223368.16666666666</v>
      </c>
      <c r="F109" s="523">
        <f t="shared" si="18"/>
        <v>7007619.6162790684</v>
      </c>
      <c r="G109" s="523">
        <f t="shared" si="19"/>
        <v>7119303.6996124014</v>
      </c>
      <c r="H109" s="526">
        <f t="shared" si="20"/>
        <v>989218.95037065225</v>
      </c>
      <c r="I109" s="577">
        <f t="shared" si="21"/>
        <v>989218.95037065225</v>
      </c>
      <c r="J109" s="514">
        <f t="shared" si="10"/>
        <v>0</v>
      </c>
      <c r="K109" s="514"/>
      <c r="L109" s="525"/>
      <c r="M109" s="514">
        <f t="shared" si="11"/>
        <v>0</v>
      </c>
      <c r="N109" s="525"/>
      <c r="O109" s="514">
        <f t="shared" si="12"/>
        <v>0</v>
      </c>
      <c r="P109" s="514">
        <f t="shared" si="13"/>
        <v>0</v>
      </c>
    </row>
    <row r="110" spans="1:16" ht="12.5">
      <c r="B110" s="195" t="str">
        <f t="shared" si="14"/>
        <v/>
      </c>
      <c r="C110" s="507">
        <f>IF(D93="","-",+C109+1)</f>
        <v>2027</v>
      </c>
      <c r="D110" s="374">
        <f>IF(F109+SUM(E$99:E109)=D$92,F109,D$92-SUM(E$99:E109))</f>
        <v>7007619.6162790684</v>
      </c>
      <c r="E110" s="522">
        <f>IF(+J96&lt;F109,J96,D110)</f>
        <v>223368.16666666666</v>
      </c>
      <c r="F110" s="523">
        <f t="shared" si="18"/>
        <v>6784251.4496124014</v>
      </c>
      <c r="G110" s="523">
        <f t="shared" si="19"/>
        <v>6895935.5329457354</v>
      </c>
      <c r="H110" s="526">
        <f t="shared" si="20"/>
        <v>965190.38062365539</v>
      </c>
      <c r="I110" s="577">
        <f t="shared" si="21"/>
        <v>965190.38062365539</v>
      </c>
      <c r="J110" s="514">
        <f t="shared" si="10"/>
        <v>0</v>
      </c>
      <c r="K110" s="514"/>
      <c r="L110" s="525"/>
      <c r="M110" s="514">
        <f t="shared" si="11"/>
        <v>0</v>
      </c>
      <c r="N110" s="525"/>
      <c r="O110" s="514">
        <f t="shared" si="12"/>
        <v>0</v>
      </c>
      <c r="P110" s="514">
        <f t="shared" si="13"/>
        <v>0</v>
      </c>
    </row>
    <row r="111" spans="1:16" ht="12.5">
      <c r="B111" s="195" t="str">
        <f t="shared" si="14"/>
        <v/>
      </c>
      <c r="C111" s="507">
        <f>IF(D93="","-",+C110+1)</f>
        <v>2028</v>
      </c>
      <c r="D111" s="374">
        <f>IF(F110+SUM(E$99:E110)=D$92,F110,D$92-SUM(E$99:E110))</f>
        <v>6784251.4496124014</v>
      </c>
      <c r="E111" s="522">
        <f>IF(+J96&lt;F110,J96,D111)</f>
        <v>223368.16666666666</v>
      </c>
      <c r="F111" s="523">
        <f t="shared" si="18"/>
        <v>6560883.2829457344</v>
      </c>
      <c r="G111" s="523">
        <f t="shared" si="19"/>
        <v>6672567.3662790675</v>
      </c>
      <c r="H111" s="526">
        <f t="shared" si="20"/>
        <v>941161.81087665854</v>
      </c>
      <c r="I111" s="577">
        <f t="shared" si="21"/>
        <v>941161.81087665854</v>
      </c>
      <c r="J111" s="514">
        <f t="shared" si="10"/>
        <v>0</v>
      </c>
      <c r="K111" s="514"/>
      <c r="L111" s="525"/>
      <c r="M111" s="514">
        <f t="shared" si="11"/>
        <v>0</v>
      </c>
      <c r="N111" s="525"/>
      <c r="O111" s="514">
        <f t="shared" si="12"/>
        <v>0</v>
      </c>
      <c r="P111" s="514">
        <f t="shared" si="13"/>
        <v>0</v>
      </c>
    </row>
    <row r="112" spans="1:16" ht="12.5">
      <c r="B112" s="195" t="str">
        <f t="shared" si="14"/>
        <v/>
      </c>
      <c r="C112" s="507">
        <f>IF(D93="","-",+C111+1)</f>
        <v>2029</v>
      </c>
      <c r="D112" s="374">
        <f>IF(F111+SUM(E$99:E111)=D$92,F111,D$92-SUM(E$99:E111))</f>
        <v>6560883.2829457344</v>
      </c>
      <c r="E112" s="522">
        <f>IF(+J96&lt;F111,J96,D112)</f>
        <v>223368.16666666666</v>
      </c>
      <c r="F112" s="523">
        <f t="shared" si="18"/>
        <v>6337515.1162790675</v>
      </c>
      <c r="G112" s="523">
        <f t="shared" si="19"/>
        <v>6449199.1996124014</v>
      </c>
      <c r="H112" s="526">
        <f t="shared" si="20"/>
        <v>917133.24112966168</v>
      </c>
      <c r="I112" s="577">
        <f t="shared" si="21"/>
        <v>917133.24112966168</v>
      </c>
      <c r="J112" s="514">
        <f t="shared" si="10"/>
        <v>0</v>
      </c>
      <c r="K112" s="514"/>
      <c r="L112" s="525"/>
      <c r="M112" s="514">
        <f t="shared" si="11"/>
        <v>0</v>
      </c>
      <c r="N112" s="525"/>
      <c r="O112" s="514">
        <f t="shared" si="12"/>
        <v>0</v>
      </c>
      <c r="P112" s="514">
        <f t="shared" si="13"/>
        <v>0</v>
      </c>
    </row>
    <row r="113" spans="2:16" ht="12.5">
      <c r="B113" s="195" t="str">
        <f t="shared" si="14"/>
        <v/>
      </c>
      <c r="C113" s="507">
        <f>IF(D93="","-",+C112+1)</f>
        <v>2030</v>
      </c>
      <c r="D113" s="374">
        <f>IF(F112+SUM(E$99:E112)=D$92,F112,D$92-SUM(E$99:E112))</f>
        <v>6337515.1162790675</v>
      </c>
      <c r="E113" s="522">
        <f>IF(+J96&lt;F112,J96,D113)</f>
        <v>223368.16666666666</v>
      </c>
      <c r="F113" s="523">
        <f t="shared" si="18"/>
        <v>6114146.9496124005</v>
      </c>
      <c r="G113" s="523">
        <f t="shared" si="19"/>
        <v>6225831.0329457335</v>
      </c>
      <c r="H113" s="526">
        <f t="shared" si="20"/>
        <v>893104.67138266482</v>
      </c>
      <c r="I113" s="577">
        <f t="shared" si="21"/>
        <v>893104.67138266482</v>
      </c>
      <c r="J113" s="514">
        <f t="shared" si="10"/>
        <v>0</v>
      </c>
      <c r="K113" s="514"/>
      <c r="L113" s="525"/>
      <c r="M113" s="514">
        <f t="shared" si="11"/>
        <v>0</v>
      </c>
      <c r="N113" s="525"/>
      <c r="O113" s="514">
        <f t="shared" si="12"/>
        <v>0</v>
      </c>
      <c r="P113" s="514">
        <f t="shared" si="13"/>
        <v>0</v>
      </c>
    </row>
    <row r="114" spans="2:16" ht="12.5">
      <c r="B114" s="195" t="str">
        <f t="shared" si="14"/>
        <v/>
      </c>
      <c r="C114" s="507">
        <f>IF(D93="","-",+C113+1)</f>
        <v>2031</v>
      </c>
      <c r="D114" s="374">
        <f>IF(F113+SUM(E$99:E113)=D$92,F113,D$92-SUM(E$99:E113))</f>
        <v>6114146.9496124005</v>
      </c>
      <c r="E114" s="522">
        <f>IF(+J96&lt;F113,J96,D114)</f>
        <v>223368.16666666666</v>
      </c>
      <c r="F114" s="523">
        <f t="shared" si="18"/>
        <v>5890778.7829457335</v>
      </c>
      <c r="G114" s="523">
        <f t="shared" si="19"/>
        <v>6002462.8662790675</v>
      </c>
      <c r="H114" s="526">
        <f t="shared" si="20"/>
        <v>869076.10163566796</v>
      </c>
      <c r="I114" s="577">
        <f t="shared" si="21"/>
        <v>869076.10163566796</v>
      </c>
      <c r="J114" s="514">
        <f t="shared" si="10"/>
        <v>0</v>
      </c>
      <c r="K114" s="514"/>
      <c r="L114" s="525"/>
      <c r="M114" s="514">
        <f t="shared" si="11"/>
        <v>0</v>
      </c>
      <c r="N114" s="525"/>
      <c r="O114" s="514">
        <f t="shared" si="12"/>
        <v>0</v>
      </c>
      <c r="P114" s="514">
        <f t="shared" si="13"/>
        <v>0</v>
      </c>
    </row>
    <row r="115" spans="2:16" ht="12.5">
      <c r="B115" s="195" t="str">
        <f t="shared" si="14"/>
        <v/>
      </c>
      <c r="C115" s="507">
        <f>IF(D93="","-",+C114+1)</f>
        <v>2032</v>
      </c>
      <c r="D115" s="374">
        <f>IF(F114+SUM(E$99:E114)=D$92,F114,D$92-SUM(E$99:E114))</f>
        <v>5890778.7829457335</v>
      </c>
      <c r="E115" s="522">
        <f>IF(+J96&lt;F114,J96,D115)</f>
        <v>223368.16666666666</v>
      </c>
      <c r="F115" s="523">
        <f t="shared" si="18"/>
        <v>5667410.6162790665</v>
      </c>
      <c r="G115" s="523">
        <f t="shared" si="19"/>
        <v>5779094.6996123996</v>
      </c>
      <c r="H115" s="526">
        <f t="shared" si="20"/>
        <v>845047.53188867099</v>
      </c>
      <c r="I115" s="577">
        <f t="shared" si="21"/>
        <v>845047.53188867099</v>
      </c>
      <c r="J115" s="514">
        <f t="shared" si="10"/>
        <v>0</v>
      </c>
      <c r="K115" s="514"/>
      <c r="L115" s="525"/>
      <c r="M115" s="514">
        <f t="shared" si="11"/>
        <v>0</v>
      </c>
      <c r="N115" s="525"/>
      <c r="O115" s="514">
        <f t="shared" si="12"/>
        <v>0</v>
      </c>
      <c r="P115" s="514">
        <f t="shared" si="13"/>
        <v>0</v>
      </c>
    </row>
    <row r="116" spans="2:16" ht="12.5">
      <c r="B116" s="195" t="str">
        <f t="shared" si="14"/>
        <v/>
      </c>
      <c r="C116" s="507">
        <f>IF(D93="","-",+C115+1)</f>
        <v>2033</v>
      </c>
      <c r="D116" s="374">
        <f>IF(F115+SUM(E$99:E115)=D$92,F115,D$92-SUM(E$99:E115))</f>
        <v>5667410.6162790665</v>
      </c>
      <c r="E116" s="522">
        <f>IF(+J96&lt;F115,J96,D116)</f>
        <v>223368.16666666666</v>
      </c>
      <c r="F116" s="523">
        <f t="shared" si="18"/>
        <v>5444042.4496123996</v>
      </c>
      <c r="G116" s="523">
        <f t="shared" si="19"/>
        <v>5555726.5329457335</v>
      </c>
      <c r="H116" s="526">
        <f t="shared" si="20"/>
        <v>821018.96214167424</v>
      </c>
      <c r="I116" s="577">
        <f t="shared" si="21"/>
        <v>821018.96214167424</v>
      </c>
      <c r="J116" s="514">
        <f t="shared" si="10"/>
        <v>0</v>
      </c>
      <c r="K116" s="514"/>
      <c r="L116" s="525"/>
      <c r="M116" s="514">
        <f t="shared" si="11"/>
        <v>0</v>
      </c>
      <c r="N116" s="525"/>
      <c r="O116" s="514">
        <f t="shared" si="12"/>
        <v>0</v>
      </c>
      <c r="P116" s="514">
        <f t="shared" si="13"/>
        <v>0</v>
      </c>
    </row>
    <row r="117" spans="2:16" ht="12.5">
      <c r="B117" s="195" t="str">
        <f t="shared" si="14"/>
        <v/>
      </c>
      <c r="C117" s="507">
        <f>IF(D93="","-",+C116+1)</f>
        <v>2034</v>
      </c>
      <c r="D117" s="374">
        <f>IF(F116+SUM(E$99:E116)=D$92,F116,D$92-SUM(E$99:E116))</f>
        <v>5444042.4496123996</v>
      </c>
      <c r="E117" s="522">
        <f>IF(+J96&lt;F116,J96,D117)</f>
        <v>223368.16666666666</v>
      </c>
      <c r="F117" s="523">
        <f t="shared" si="18"/>
        <v>5220674.2829457326</v>
      </c>
      <c r="G117" s="523">
        <f t="shared" si="19"/>
        <v>5332358.3662790656</v>
      </c>
      <c r="H117" s="526">
        <f t="shared" si="20"/>
        <v>796990.39239467727</v>
      </c>
      <c r="I117" s="577">
        <f t="shared" si="21"/>
        <v>796990.39239467727</v>
      </c>
      <c r="J117" s="514">
        <f t="shared" si="10"/>
        <v>0</v>
      </c>
      <c r="K117" s="514"/>
      <c r="L117" s="525"/>
      <c r="M117" s="514">
        <f t="shared" si="11"/>
        <v>0</v>
      </c>
      <c r="N117" s="525"/>
      <c r="O117" s="514">
        <f t="shared" si="12"/>
        <v>0</v>
      </c>
      <c r="P117" s="514">
        <f t="shared" si="13"/>
        <v>0</v>
      </c>
    </row>
    <row r="118" spans="2:16" ht="12.5">
      <c r="B118" s="195" t="str">
        <f t="shared" si="14"/>
        <v>IU</v>
      </c>
      <c r="C118" s="507">
        <f>IF(D93="","-",+C117+1)</f>
        <v>2035</v>
      </c>
      <c r="D118" s="374">
        <f>IF(F117+SUM(E$99:E117)=D$92,F117,D$92-SUM(E$99:E117))</f>
        <v>5220674.2829457372</v>
      </c>
      <c r="E118" s="522">
        <f>IF(+J96&lt;F117,J96,D118)</f>
        <v>223368.16666666666</v>
      </c>
      <c r="F118" s="523">
        <f t="shared" si="18"/>
        <v>4997306.1162790703</v>
      </c>
      <c r="G118" s="523">
        <f t="shared" si="19"/>
        <v>5108990.1996124033</v>
      </c>
      <c r="H118" s="526">
        <f t="shared" si="20"/>
        <v>772961.82264768099</v>
      </c>
      <c r="I118" s="577">
        <f t="shared" si="21"/>
        <v>772961.82264768099</v>
      </c>
      <c r="J118" s="514">
        <f t="shared" si="10"/>
        <v>0</v>
      </c>
      <c r="K118" s="514"/>
      <c r="L118" s="525"/>
      <c r="M118" s="514">
        <f t="shared" si="11"/>
        <v>0</v>
      </c>
      <c r="N118" s="525"/>
      <c r="O118" s="514">
        <f t="shared" si="12"/>
        <v>0</v>
      </c>
      <c r="P118" s="514">
        <f t="shared" si="13"/>
        <v>0</v>
      </c>
    </row>
    <row r="119" spans="2:16" ht="12.5">
      <c r="B119" s="195" t="str">
        <f t="shared" si="14"/>
        <v/>
      </c>
      <c r="C119" s="507">
        <f>IF(D93="","-",+C118+1)</f>
        <v>2036</v>
      </c>
      <c r="D119" s="374">
        <f>IF(F118+SUM(E$99:E118)=D$92,F118,D$92-SUM(E$99:E118))</f>
        <v>4997306.1162790703</v>
      </c>
      <c r="E119" s="522">
        <f>IF(+J96&lt;F118,J96,D119)</f>
        <v>223368.16666666666</v>
      </c>
      <c r="F119" s="523">
        <f t="shared" si="18"/>
        <v>4773937.9496124033</v>
      </c>
      <c r="G119" s="523">
        <f t="shared" si="19"/>
        <v>4885622.0329457372</v>
      </c>
      <c r="H119" s="526">
        <f t="shared" si="20"/>
        <v>748933.25290068425</v>
      </c>
      <c r="I119" s="577">
        <f t="shared" si="21"/>
        <v>748933.25290068425</v>
      </c>
      <c r="J119" s="514">
        <f t="shared" si="10"/>
        <v>0</v>
      </c>
      <c r="K119" s="514"/>
      <c r="L119" s="525"/>
      <c r="M119" s="514">
        <f t="shared" si="11"/>
        <v>0</v>
      </c>
      <c r="N119" s="525"/>
      <c r="O119" s="514">
        <f t="shared" si="12"/>
        <v>0</v>
      </c>
      <c r="P119" s="514">
        <f t="shared" si="13"/>
        <v>0</v>
      </c>
    </row>
    <row r="120" spans="2:16" ht="12.5">
      <c r="B120" s="195" t="str">
        <f t="shared" si="14"/>
        <v/>
      </c>
      <c r="C120" s="507">
        <f>IF(D93="","-",+C119+1)</f>
        <v>2037</v>
      </c>
      <c r="D120" s="374">
        <f>IF(F119+SUM(E$99:E119)=D$92,F119,D$92-SUM(E$99:E119))</f>
        <v>4773937.9496124033</v>
      </c>
      <c r="E120" s="522">
        <f>IF(+J96&lt;F119,J96,D120)</f>
        <v>223368.16666666666</v>
      </c>
      <c r="F120" s="523">
        <f t="shared" si="18"/>
        <v>4550569.7829457363</v>
      </c>
      <c r="G120" s="523">
        <f t="shared" si="19"/>
        <v>4662253.8662790693</v>
      </c>
      <c r="H120" s="526">
        <f t="shared" si="20"/>
        <v>724904.68315368728</v>
      </c>
      <c r="I120" s="577">
        <f t="shared" si="21"/>
        <v>724904.68315368728</v>
      </c>
      <c r="J120" s="514">
        <f t="shared" si="10"/>
        <v>0</v>
      </c>
      <c r="K120" s="514"/>
      <c r="L120" s="525"/>
      <c r="M120" s="514">
        <f t="shared" si="11"/>
        <v>0</v>
      </c>
      <c r="N120" s="525"/>
      <c r="O120" s="514">
        <f t="shared" si="12"/>
        <v>0</v>
      </c>
      <c r="P120" s="514">
        <f t="shared" si="13"/>
        <v>0</v>
      </c>
    </row>
    <row r="121" spans="2:16" ht="12.5">
      <c r="B121" s="195" t="str">
        <f t="shared" si="14"/>
        <v/>
      </c>
      <c r="C121" s="507">
        <f>IF(D93="","-",+C120+1)</f>
        <v>2038</v>
      </c>
      <c r="D121" s="374">
        <f>IF(F120+SUM(E$99:E120)=D$92,F120,D$92-SUM(E$99:E120))</f>
        <v>4550569.7829457363</v>
      </c>
      <c r="E121" s="522">
        <f>IF(+J96&lt;F120,J96,D121)</f>
        <v>223368.16666666666</v>
      </c>
      <c r="F121" s="523">
        <f t="shared" si="18"/>
        <v>4327201.6162790693</v>
      </c>
      <c r="G121" s="523">
        <f t="shared" si="19"/>
        <v>4438885.6996124033</v>
      </c>
      <c r="H121" s="526">
        <f t="shared" si="20"/>
        <v>700876.11340669054</v>
      </c>
      <c r="I121" s="577">
        <f t="shared" si="21"/>
        <v>700876.11340669054</v>
      </c>
      <c r="J121" s="514">
        <f t="shared" si="10"/>
        <v>0</v>
      </c>
      <c r="K121" s="514"/>
      <c r="L121" s="525"/>
      <c r="M121" s="514">
        <f t="shared" si="11"/>
        <v>0</v>
      </c>
      <c r="N121" s="525"/>
      <c r="O121" s="514">
        <f t="shared" si="12"/>
        <v>0</v>
      </c>
      <c r="P121" s="514">
        <f t="shared" si="13"/>
        <v>0</v>
      </c>
    </row>
    <row r="122" spans="2:16" ht="12.5">
      <c r="B122" s="195" t="str">
        <f t="shared" si="14"/>
        <v/>
      </c>
      <c r="C122" s="507">
        <f>IF(D93="","-",+C121+1)</f>
        <v>2039</v>
      </c>
      <c r="D122" s="374">
        <f>IF(F121+SUM(E$99:E121)=D$92,F121,D$92-SUM(E$99:E121))</f>
        <v>4327201.6162790693</v>
      </c>
      <c r="E122" s="522">
        <f>IF(+J96&lt;F121,J96,D122)</f>
        <v>223368.16666666666</v>
      </c>
      <c r="F122" s="523">
        <f t="shared" si="18"/>
        <v>4103833.4496124028</v>
      </c>
      <c r="G122" s="523">
        <f t="shared" si="19"/>
        <v>4215517.5329457363</v>
      </c>
      <c r="H122" s="526">
        <f t="shared" si="20"/>
        <v>676847.54365969368</v>
      </c>
      <c r="I122" s="577">
        <f t="shared" si="21"/>
        <v>676847.54365969368</v>
      </c>
      <c r="J122" s="514">
        <f t="shared" si="10"/>
        <v>0</v>
      </c>
      <c r="K122" s="514"/>
      <c r="L122" s="525"/>
      <c r="M122" s="514">
        <f t="shared" si="11"/>
        <v>0</v>
      </c>
      <c r="N122" s="525"/>
      <c r="O122" s="514">
        <f t="shared" si="12"/>
        <v>0</v>
      </c>
      <c r="P122" s="514">
        <f t="shared" si="13"/>
        <v>0</v>
      </c>
    </row>
    <row r="123" spans="2:16" ht="12.5">
      <c r="B123" s="195" t="str">
        <f t="shared" si="14"/>
        <v/>
      </c>
      <c r="C123" s="507">
        <f>IF(D93="","-",+C122+1)</f>
        <v>2040</v>
      </c>
      <c r="D123" s="374">
        <f>IF(F122+SUM(E$99:E122)=D$92,F122,D$92-SUM(E$99:E122))</f>
        <v>4103833.4496124028</v>
      </c>
      <c r="E123" s="522">
        <f>IF(+J96&lt;F122,J96,D123)</f>
        <v>223368.16666666666</v>
      </c>
      <c r="F123" s="523">
        <f t="shared" si="18"/>
        <v>3880465.2829457363</v>
      </c>
      <c r="G123" s="523">
        <f t="shared" si="19"/>
        <v>3992149.3662790693</v>
      </c>
      <c r="H123" s="526">
        <f t="shared" si="20"/>
        <v>652818.97391269682</v>
      </c>
      <c r="I123" s="577">
        <f t="shared" si="21"/>
        <v>652818.97391269682</v>
      </c>
      <c r="J123" s="514">
        <f t="shared" si="10"/>
        <v>0</v>
      </c>
      <c r="K123" s="514"/>
      <c r="L123" s="525"/>
      <c r="M123" s="514">
        <f t="shared" si="11"/>
        <v>0</v>
      </c>
      <c r="N123" s="525"/>
      <c r="O123" s="514">
        <f t="shared" si="12"/>
        <v>0</v>
      </c>
      <c r="P123" s="514">
        <f t="shared" si="13"/>
        <v>0</v>
      </c>
    </row>
    <row r="124" spans="2:16" ht="12.5">
      <c r="B124" s="195" t="str">
        <f t="shared" si="14"/>
        <v/>
      </c>
      <c r="C124" s="507">
        <f>IF(D93="","-",+C123+1)</f>
        <v>2041</v>
      </c>
      <c r="D124" s="374">
        <f>IF(F123+SUM(E$99:E123)=D$92,F123,D$92-SUM(E$99:E123))</f>
        <v>3880465.2829457363</v>
      </c>
      <c r="E124" s="522">
        <f>IF(+J96&lt;F123,J96,D124)</f>
        <v>223368.16666666666</v>
      </c>
      <c r="F124" s="523">
        <f t="shared" si="18"/>
        <v>3657097.1162790698</v>
      </c>
      <c r="G124" s="523">
        <f t="shared" si="19"/>
        <v>3768781.1996124033</v>
      </c>
      <c r="H124" s="526">
        <f t="shared" si="20"/>
        <v>628790.40416570008</v>
      </c>
      <c r="I124" s="577">
        <f t="shared" si="21"/>
        <v>628790.40416570008</v>
      </c>
      <c r="J124" s="514">
        <f t="shared" si="10"/>
        <v>0</v>
      </c>
      <c r="K124" s="514"/>
      <c r="L124" s="525"/>
      <c r="M124" s="514">
        <f t="shared" si="11"/>
        <v>0</v>
      </c>
      <c r="N124" s="525"/>
      <c r="O124" s="514">
        <f t="shared" si="12"/>
        <v>0</v>
      </c>
      <c r="P124" s="514">
        <f t="shared" si="13"/>
        <v>0</v>
      </c>
    </row>
    <row r="125" spans="2:16" ht="12.5">
      <c r="B125" s="195" t="str">
        <f t="shared" si="14"/>
        <v/>
      </c>
      <c r="C125" s="507">
        <f>IF(D93="","-",+C124+1)</f>
        <v>2042</v>
      </c>
      <c r="D125" s="374">
        <f>IF(F124+SUM(E$99:E124)=D$92,F124,D$92-SUM(E$99:E124))</f>
        <v>3657097.1162790698</v>
      </c>
      <c r="E125" s="522">
        <f>IF(+J96&lt;F124,J96,D125)</f>
        <v>223368.16666666666</v>
      </c>
      <c r="F125" s="523">
        <f t="shared" si="18"/>
        <v>3433728.9496124033</v>
      </c>
      <c r="G125" s="523">
        <f t="shared" si="19"/>
        <v>3545413.0329457363</v>
      </c>
      <c r="H125" s="526">
        <f t="shared" si="20"/>
        <v>604761.83441870322</v>
      </c>
      <c r="I125" s="577">
        <f t="shared" si="21"/>
        <v>604761.83441870322</v>
      </c>
      <c r="J125" s="514">
        <f t="shared" si="10"/>
        <v>0</v>
      </c>
      <c r="K125" s="514"/>
      <c r="L125" s="525"/>
      <c r="M125" s="514">
        <f t="shared" si="11"/>
        <v>0</v>
      </c>
      <c r="N125" s="525"/>
      <c r="O125" s="514">
        <f t="shared" si="12"/>
        <v>0</v>
      </c>
      <c r="P125" s="514">
        <f t="shared" si="13"/>
        <v>0</v>
      </c>
    </row>
    <row r="126" spans="2:16" ht="12.5">
      <c r="B126" s="195" t="str">
        <f t="shared" si="14"/>
        <v/>
      </c>
      <c r="C126" s="507">
        <f>IF(D93="","-",+C125+1)</f>
        <v>2043</v>
      </c>
      <c r="D126" s="374">
        <f>IF(F125+SUM(E$99:E125)=D$92,F125,D$92-SUM(E$99:E125))</f>
        <v>3433728.9496124033</v>
      </c>
      <c r="E126" s="522">
        <f>IF(+J96&lt;F125,J96,D126)</f>
        <v>223368.16666666666</v>
      </c>
      <c r="F126" s="523">
        <f t="shared" si="18"/>
        <v>3210360.7829457368</v>
      </c>
      <c r="G126" s="523">
        <f t="shared" si="19"/>
        <v>3322044.8662790703</v>
      </c>
      <c r="H126" s="526">
        <f t="shared" si="20"/>
        <v>580733.26467170636</v>
      </c>
      <c r="I126" s="577">
        <f t="shared" si="21"/>
        <v>580733.26467170636</v>
      </c>
      <c r="J126" s="514">
        <f t="shared" si="10"/>
        <v>0</v>
      </c>
      <c r="K126" s="514"/>
      <c r="L126" s="525"/>
      <c r="M126" s="514">
        <f t="shared" si="11"/>
        <v>0</v>
      </c>
      <c r="N126" s="525"/>
      <c r="O126" s="514">
        <f t="shared" si="12"/>
        <v>0</v>
      </c>
      <c r="P126" s="514">
        <f t="shared" si="13"/>
        <v>0</v>
      </c>
    </row>
    <row r="127" spans="2:16" ht="12.5">
      <c r="B127" s="195" t="str">
        <f t="shared" si="14"/>
        <v/>
      </c>
      <c r="C127" s="507">
        <f>IF(D93="","-",+C126+1)</f>
        <v>2044</v>
      </c>
      <c r="D127" s="374">
        <f>IF(F126+SUM(E$99:E126)=D$92,F126,D$92-SUM(E$99:E126))</f>
        <v>3210360.7829457368</v>
      </c>
      <c r="E127" s="522">
        <f>IF(+J96&lt;F126,J96,D127)</f>
        <v>223368.16666666666</v>
      </c>
      <c r="F127" s="523">
        <f t="shared" si="18"/>
        <v>2986992.6162790703</v>
      </c>
      <c r="G127" s="523">
        <f t="shared" si="19"/>
        <v>3098676.6996124033</v>
      </c>
      <c r="H127" s="526">
        <f t="shared" si="20"/>
        <v>556704.6949247095</v>
      </c>
      <c r="I127" s="577">
        <f t="shared" si="21"/>
        <v>556704.6949247095</v>
      </c>
      <c r="J127" s="514">
        <f t="shared" si="10"/>
        <v>0</v>
      </c>
      <c r="K127" s="514"/>
      <c r="L127" s="525"/>
      <c r="M127" s="514">
        <f t="shared" si="11"/>
        <v>0</v>
      </c>
      <c r="N127" s="525"/>
      <c r="O127" s="514">
        <f t="shared" si="12"/>
        <v>0</v>
      </c>
      <c r="P127" s="514">
        <f t="shared" si="13"/>
        <v>0</v>
      </c>
    </row>
    <row r="128" spans="2:16" ht="12.5">
      <c r="B128" s="195" t="str">
        <f t="shared" si="14"/>
        <v/>
      </c>
      <c r="C128" s="507">
        <f>IF(D93="","-",+C127+1)</f>
        <v>2045</v>
      </c>
      <c r="D128" s="374">
        <f>IF(F127+SUM(E$99:E127)=D$92,F127,D$92-SUM(E$99:E127))</f>
        <v>2986992.6162790703</v>
      </c>
      <c r="E128" s="522">
        <f>IF(+J96&lt;F127,J96,D128)</f>
        <v>223368.16666666666</v>
      </c>
      <c r="F128" s="523">
        <f t="shared" si="18"/>
        <v>2763624.4496124038</v>
      </c>
      <c r="G128" s="523">
        <f t="shared" si="19"/>
        <v>2875308.5329457372</v>
      </c>
      <c r="H128" s="526">
        <f t="shared" si="20"/>
        <v>532676.12517771276</v>
      </c>
      <c r="I128" s="577">
        <f t="shared" si="21"/>
        <v>532676.12517771276</v>
      </c>
      <c r="J128" s="514">
        <f t="shared" si="10"/>
        <v>0</v>
      </c>
      <c r="K128" s="514"/>
      <c r="L128" s="525"/>
      <c r="M128" s="514">
        <f t="shared" si="11"/>
        <v>0</v>
      </c>
      <c r="N128" s="525"/>
      <c r="O128" s="514">
        <f t="shared" si="12"/>
        <v>0</v>
      </c>
      <c r="P128" s="514">
        <f t="shared" si="13"/>
        <v>0</v>
      </c>
    </row>
    <row r="129" spans="2:16" ht="12.5">
      <c r="B129" s="195" t="str">
        <f t="shared" si="14"/>
        <v/>
      </c>
      <c r="C129" s="507">
        <f>IF(D93="","-",+C128+1)</f>
        <v>2046</v>
      </c>
      <c r="D129" s="374">
        <f>IF(F128+SUM(E$99:E128)=D$92,F128,D$92-SUM(E$99:E128))</f>
        <v>2763624.4496124038</v>
      </c>
      <c r="E129" s="522">
        <f>IF(+J96&lt;F128,J96,D129)</f>
        <v>223368.16666666666</v>
      </c>
      <c r="F129" s="523">
        <f t="shared" si="18"/>
        <v>2540256.2829457372</v>
      </c>
      <c r="G129" s="523">
        <f t="shared" si="19"/>
        <v>2651940.3662790703</v>
      </c>
      <c r="H129" s="526">
        <f t="shared" si="20"/>
        <v>508647.5554307159</v>
      </c>
      <c r="I129" s="577">
        <f t="shared" si="21"/>
        <v>508647.5554307159</v>
      </c>
      <c r="J129" s="514">
        <f t="shared" si="10"/>
        <v>0</v>
      </c>
      <c r="K129" s="514"/>
      <c r="L129" s="525"/>
      <c r="M129" s="514">
        <f t="shared" si="11"/>
        <v>0</v>
      </c>
      <c r="N129" s="525"/>
      <c r="O129" s="514">
        <f t="shared" si="12"/>
        <v>0</v>
      </c>
      <c r="P129" s="514">
        <f t="shared" si="13"/>
        <v>0</v>
      </c>
    </row>
    <row r="130" spans="2:16" ht="12.5">
      <c r="B130" s="195" t="str">
        <f t="shared" si="14"/>
        <v/>
      </c>
      <c r="C130" s="507">
        <f>IF(D93="","-",+C129+1)</f>
        <v>2047</v>
      </c>
      <c r="D130" s="374">
        <f>IF(F129+SUM(E$99:E129)=D$92,F129,D$92-SUM(E$99:E129))</f>
        <v>2540256.2829457372</v>
      </c>
      <c r="E130" s="522">
        <f>IF(+J96&lt;F129,J96,D130)</f>
        <v>223368.16666666666</v>
      </c>
      <c r="F130" s="523">
        <f t="shared" si="18"/>
        <v>2316888.1162790707</v>
      </c>
      <c r="G130" s="523">
        <f t="shared" si="19"/>
        <v>2428572.1996124042</v>
      </c>
      <c r="H130" s="526">
        <f t="shared" si="20"/>
        <v>484618.98568371916</v>
      </c>
      <c r="I130" s="577">
        <f t="shared" si="21"/>
        <v>484618.98568371916</v>
      </c>
      <c r="J130" s="514">
        <f t="shared" si="10"/>
        <v>0</v>
      </c>
      <c r="K130" s="514"/>
      <c r="L130" s="525"/>
      <c r="M130" s="514">
        <f t="shared" si="11"/>
        <v>0</v>
      </c>
      <c r="N130" s="525"/>
      <c r="O130" s="514">
        <f t="shared" si="12"/>
        <v>0</v>
      </c>
      <c r="P130" s="514">
        <f t="shared" si="13"/>
        <v>0</v>
      </c>
    </row>
    <row r="131" spans="2:16" ht="12.5">
      <c r="B131" s="195" t="str">
        <f t="shared" si="14"/>
        <v/>
      </c>
      <c r="C131" s="507">
        <f>IF(D93="","-",+C130+1)</f>
        <v>2048</v>
      </c>
      <c r="D131" s="374">
        <f>IF(F130+SUM(E$99:E130)=D$92,F130,D$92-SUM(E$99:E130))</f>
        <v>2316888.1162790707</v>
      </c>
      <c r="E131" s="522">
        <f>IF(+J96&lt;F130,J96,D131)</f>
        <v>223368.16666666666</v>
      </c>
      <c r="F131" s="523">
        <f t="shared" ref="F131:F154" si="22">+D131-E131</f>
        <v>2093519.949612404</v>
      </c>
      <c r="G131" s="523">
        <f t="shared" ref="G131:G154" si="23">+(F131+D131)/2</f>
        <v>2205204.0329457372</v>
      </c>
      <c r="H131" s="526">
        <f t="shared" si="20"/>
        <v>460590.4159367223</v>
      </c>
      <c r="I131" s="577">
        <f t="shared" si="21"/>
        <v>460590.4159367223</v>
      </c>
      <c r="J131" s="514">
        <f t="shared" ref="J131:J154" si="24">+I541-H541</f>
        <v>0</v>
      </c>
      <c r="K131" s="514"/>
      <c r="L131" s="525"/>
      <c r="M131" s="514">
        <f t="shared" ref="M131:M154" si="25">IF(L541&lt;&gt;0,+H541-L541,0)</f>
        <v>0</v>
      </c>
      <c r="N131" s="525"/>
      <c r="O131" s="514">
        <f t="shared" ref="O131:O154" si="26">IF(N541&lt;&gt;0,+I541-N541,0)</f>
        <v>0</v>
      </c>
      <c r="P131" s="514">
        <f t="shared" ref="P131:P154" si="27">+O541-M541</f>
        <v>0</v>
      </c>
    </row>
    <row r="132" spans="2:16" ht="12.5">
      <c r="B132" s="195" t="str">
        <f t="shared" si="14"/>
        <v/>
      </c>
      <c r="C132" s="507">
        <f>IF(D93="","-",+C131+1)</f>
        <v>2049</v>
      </c>
      <c r="D132" s="374">
        <f>IF(F131+SUM(E$99:E131)=D$92,F131,D$92-SUM(E$99:E131))</f>
        <v>2093519.949612404</v>
      </c>
      <c r="E132" s="522">
        <f>IF(+J96&lt;F131,J96,D132)</f>
        <v>223368.16666666666</v>
      </c>
      <c r="F132" s="523">
        <f t="shared" si="22"/>
        <v>1870151.7829457372</v>
      </c>
      <c r="G132" s="523">
        <f t="shared" si="23"/>
        <v>1981835.8662790707</v>
      </c>
      <c r="H132" s="526">
        <f t="shared" si="20"/>
        <v>436561.8461897255</v>
      </c>
      <c r="I132" s="577">
        <f t="shared" si="21"/>
        <v>436561.8461897255</v>
      </c>
      <c r="J132" s="514">
        <f t="shared" si="24"/>
        <v>0</v>
      </c>
      <c r="K132" s="514"/>
      <c r="L132" s="525"/>
      <c r="M132" s="514">
        <f t="shared" si="25"/>
        <v>0</v>
      </c>
      <c r="N132" s="525"/>
      <c r="O132" s="514">
        <f t="shared" si="26"/>
        <v>0</v>
      </c>
      <c r="P132" s="514">
        <f t="shared" si="27"/>
        <v>0</v>
      </c>
    </row>
    <row r="133" spans="2:16" ht="12.5">
      <c r="B133" s="195" t="str">
        <f t="shared" si="14"/>
        <v/>
      </c>
      <c r="C133" s="507">
        <f>IF(D93="","-",+C132+1)</f>
        <v>2050</v>
      </c>
      <c r="D133" s="374">
        <f>IF(F132+SUM(E$99:E132)=D$92,F132,D$92-SUM(E$99:E132))</f>
        <v>1870151.7829457372</v>
      </c>
      <c r="E133" s="522">
        <f>IF(+J96&lt;F132,J96,D133)</f>
        <v>223368.16666666666</v>
      </c>
      <c r="F133" s="523">
        <f t="shared" si="22"/>
        <v>1646783.6162790705</v>
      </c>
      <c r="G133" s="523">
        <f t="shared" si="23"/>
        <v>1758467.6996124038</v>
      </c>
      <c r="H133" s="526">
        <f t="shared" si="20"/>
        <v>412533.27644272865</v>
      </c>
      <c r="I133" s="577">
        <f t="shared" si="21"/>
        <v>412533.27644272865</v>
      </c>
      <c r="J133" s="514">
        <f t="shared" si="24"/>
        <v>0</v>
      </c>
      <c r="K133" s="514"/>
      <c r="L133" s="525"/>
      <c r="M133" s="514">
        <f t="shared" si="25"/>
        <v>0</v>
      </c>
      <c r="N133" s="525"/>
      <c r="O133" s="514">
        <f t="shared" si="26"/>
        <v>0</v>
      </c>
      <c r="P133" s="514">
        <f t="shared" si="27"/>
        <v>0</v>
      </c>
    </row>
    <row r="134" spans="2:16" ht="12.5">
      <c r="B134" s="195" t="str">
        <f t="shared" si="14"/>
        <v/>
      </c>
      <c r="C134" s="507">
        <f>IF(D93="","-",+C133+1)</f>
        <v>2051</v>
      </c>
      <c r="D134" s="374">
        <f>IF(F133+SUM(E$99:E133)=D$92,F133,D$92-SUM(E$99:E133))</f>
        <v>1646783.6162790705</v>
      </c>
      <c r="E134" s="522">
        <f>IF(+J96&lt;F133,J96,D134)</f>
        <v>223368.16666666666</v>
      </c>
      <c r="F134" s="523">
        <f t="shared" si="22"/>
        <v>1423415.4496124038</v>
      </c>
      <c r="G134" s="523">
        <f t="shared" si="23"/>
        <v>1535099.5329457372</v>
      </c>
      <c r="H134" s="526">
        <f t="shared" si="20"/>
        <v>388504.70669573185</v>
      </c>
      <c r="I134" s="577">
        <f t="shared" si="21"/>
        <v>388504.70669573185</v>
      </c>
      <c r="J134" s="514">
        <f t="shared" si="24"/>
        <v>0</v>
      </c>
      <c r="K134" s="514"/>
      <c r="L134" s="525"/>
      <c r="M134" s="514">
        <f t="shared" si="25"/>
        <v>0</v>
      </c>
      <c r="N134" s="525"/>
      <c r="O134" s="514">
        <f t="shared" si="26"/>
        <v>0</v>
      </c>
      <c r="P134" s="514">
        <f t="shared" si="27"/>
        <v>0</v>
      </c>
    </row>
    <row r="135" spans="2:16" ht="12.5">
      <c r="B135" s="195" t="str">
        <f t="shared" si="14"/>
        <v/>
      </c>
      <c r="C135" s="507">
        <f>IF(D93="","-",+C134+1)</f>
        <v>2052</v>
      </c>
      <c r="D135" s="374">
        <f>IF(F134+SUM(E$99:E134)=D$92,F134,D$92-SUM(E$99:E134))</f>
        <v>1423415.4496124038</v>
      </c>
      <c r="E135" s="522">
        <f>IF(+J96&lt;F134,J96,D135)</f>
        <v>223368.16666666666</v>
      </c>
      <c r="F135" s="523">
        <f t="shared" si="22"/>
        <v>1200047.282945737</v>
      </c>
      <c r="G135" s="523">
        <f t="shared" si="23"/>
        <v>1311731.3662790703</v>
      </c>
      <c r="H135" s="526">
        <f t="shared" si="20"/>
        <v>364476.13694873499</v>
      </c>
      <c r="I135" s="577">
        <f t="shared" si="21"/>
        <v>364476.13694873499</v>
      </c>
      <c r="J135" s="514">
        <f t="shared" si="24"/>
        <v>0</v>
      </c>
      <c r="K135" s="514"/>
      <c r="L135" s="525"/>
      <c r="M135" s="514">
        <f t="shared" si="25"/>
        <v>0</v>
      </c>
      <c r="N135" s="525"/>
      <c r="O135" s="514">
        <f t="shared" si="26"/>
        <v>0</v>
      </c>
      <c r="P135" s="514">
        <f t="shared" si="27"/>
        <v>0</v>
      </c>
    </row>
    <row r="136" spans="2:16" ht="12.5">
      <c r="B136" s="195" t="str">
        <f t="shared" si="14"/>
        <v/>
      </c>
      <c r="C136" s="507">
        <f>IF(D93="","-",+C135+1)</f>
        <v>2053</v>
      </c>
      <c r="D136" s="374">
        <f>IF(F135+SUM(E$99:E135)=D$92,F135,D$92-SUM(E$99:E135))</f>
        <v>1200047.282945737</v>
      </c>
      <c r="E136" s="522">
        <f>IF(+J96&lt;F135,J96,D136)</f>
        <v>223368.16666666666</v>
      </c>
      <c r="F136" s="523">
        <f t="shared" si="22"/>
        <v>976679.11627907038</v>
      </c>
      <c r="G136" s="523">
        <f t="shared" si="23"/>
        <v>1088363.1996124038</v>
      </c>
      <c r="H136" s="526">
        <f t="shared" si="20"/>
        <v>340447.56720173813</v>
      </c>
      <c r="I136" s="577">
        <f t="shared" si="21"/>
        <v>340447.56720173813</v>
      </c>
      <c r="J136" s="514">
        <f t="shared" si="24"/>
        <v>0</v>
      </c>
      <c r="K136" s="514"/>
      <c r="L136" s="525"/>
      <c r="M136" s="514">
        <f t="shared" si="25"/>
        <v>0</v>
      </c>
      <c r="N136" s="525"/>
      <c r="O136" s="514">
        <f t="shared" si="26"/>
        <v>0</v>
      </c>
      <c r="P136" s="514">
        <f t="shared" si="27"/>
        <v>0</v>
      </c>
    </row>
    <row r="137" spans="2:16" ht="12.5">
      <c r="B137" s="195" t="str">
        <f t="shared" si="14"/>
        <v>IU</v>
      </c>
      <c r="C137" s="507">
        <f>IF(D93="","-",+C136+1)</f>
        <v>2054</v>
      </c>
      <c r="D137" s="374">
        <f>IF(F136+SUM(E$99:E136)=D$92,F136,D$92-SUM(E$99:E136))</f>
        <v>976679.11627906561</v>
      </c>
      <c r="E137" s="522">
        <f>IF(+J96&lt;F136,J96,D137)</f>
        <v>223368.16666666666</v>
      </c>
      <c r="F137" s="523">
        <f t="shared" si="22"/>
        <v>753310.94961239898</v>
      </c>
      <c r="G137" s="523">
        <f t="shared" si="23"/>
        <v>864995.03294573235</v>
      </c>
      <c r="H137" s="526">
        <f t="shared" si="20"/>
        <v>316418.99745474081</v>
      </c>
      <c r="I137" s="577">
        <f t="shared" si="21"/>
        <v>316418.99745474081</v>
      </c>
      <c r="J137" s="514">
        <f t="shared" si="24"/>
        <v>0</v>
      </c>
      <c r="K137" s="514"/>
      <c r="L137" s="525"/>
      <c r="M137" s="514">
        <f t="shared" si="25"/>
        <v>0</v>
      </c>
      <c r="N137" s="525"/>
      <c r="O137" s="514">
        <f t="shared" si="26"/>
        <v>0</v>
      </c>
      <c r="P137" s="514">
        <f t="shared" si="27"/>
        <v>0</v>
      </c>
    </row>
    <row r="138" spans="2:16" ht="12.5">
      <c r="B138" s="195" t="str">
        <f t="shared" si="14"/>
        <v/>
      </c>
      <c r="C138" s="507">
        <f>IF(D93="","-",+C137+1)</f>
        <v>2055</v>
      </c>
      <c r="D138" s="374">
        <f>IF(F137+SUM(E$99:E137)=D$92,F137,D$92-SUM(E$99:E137))</f>
        <v>753310.94961239898</v>
      </c>
      <c r="E138" s="522">
        <f>IF(+J96&lt;F137,J96,D138)</f>
        <v>223368.16666666666</v>
      </c>
      <c r="F138" s="523">
        <f t="shared" si="22"/>
        <v>529942.78294573235</v>
      </c>
      <c r="G138" s="523">
        <f t="shared" si="23"/>
        <v>641626.86627906561</v>
      </c>
      <c r="H138" s="526">
        <f t="shared" si="20"/>
        <v>292390.42770774401</v>
      </c>
      <c r="I138" s="577">
        <f t="shared" si="21"/>
        <v>292390.42770774401</v>
      </c>
      <c r="J138" s="514">
        <f t="shared" si="24"/>
        <v>0</v>
      </c>
      <c r="K138" s="514"/>
      <c r="L138" s="525"/>
      <c r="M138" s="514">
        <f t="shared" si="25"/>
        <v>0</v>
      </c>
      <c r="N138" s="525"/>
      <c r="O138" s="514">
        <f t="shared" si="26"/>
        <v>0</v>
      </c>
      <c r="P138" s="514">
        <f t="shared" si="27"/>
        <v>0</v>
      </c>
    </row>
    <row r="139" spans="2:16" ht="12.5">
      <c r="B139" s="195" t="str">
        <f t="shared" si="14"/>
        <v/>
      </c>
      <c r="C139" s="507">
        <f>IF(D93="","-",+C138+1)</f>
        <v>2056</v>
      </c>
      <c r="D139" s="374">
        <f>IF(F138+SUM(E$99:E138)=D$92,F138,D$92-SUM(E$99:E138))</f>
        <v>529942.78294573235</v>
      </c>
      <c r="E139" s="522">
        <f>IF(+J96&lt;F138,J96,D139)</f>
        <v>223368.16666666666</v>
      </c>
      <c r="F139" s="523">
        <f t="shared" si="22"/>
        <v>306574.61627906573</v>
      </c>
      <c r="G139" s="523">
        <f t="shared" si="23"/>
        <v>418258.69961239904</v>
      </c>
      <c r="H139" s="526">
        <f t="shared" si="20"/>
        <v>268361.85796074715</v>
      </c>
      <c r="I139" s="577">
        <f t="shared" si="21"/>
        <v>268361.85796074715</v>
      </c>
      <c r="J139" s="514">
        <f t="shared" si="24"/>
        <v>0</v>
      </c>
      <c r="K139" s="514"/>
      <c r="L139" s="525"/>
      <c r="M139" s="514">
        <f t="shared" si="25"/>
        <v>0</v>
      </c>
      <c r="N139" s="525"/>
      <c r="O139" s="514">
        <f t="shared" si="26"/>
        <v>0</v>
      </c>
      <c r="P139" s="514">
        <f t="shared" si="27"/>
        <v>0</v>
      </c>
    </row>
    <row r="140" spans="2:16" ht="12.5">
      <c r="B140" s="195" t="str">
        <f t="shared" si="14"/>
        <v/>
      </c>
      <c r="C140" s="507">
        <f>IF(D93="","-",+C139+1)</f>
        <v>2057</v>
      </c>
      <c r="D140" s="374">
        <f>IF(F139+SUM(E$99:E139)=D$92,F139,D$92-SUM(E$99:E139))</f>
        <v>306574.61627906573</v>
      </c>
      <c r="E140" s="522">
        <f>IF(+J96&lt;F139,J96,D140)</f>
        <v>223368.16666666666</v>
      </c>
      <c r="F140" s="523">
        <f t="shared" si="22"/>
        <v>83206.449612399068</v>
      </c>
      <c r="G140" s="523">
        <f t="shared" si="23"/>
        <v>194890.53294573241</v>
      </c>
      <c r="H140" s="526">
        <f t="shared" si="20"/>
        <v>244333.28821375035</v>
      </c>
      <c r="I140" s="577">
        <f t="shared" si="21"/>
        <v>244333.28821375035</v>
      </c>
      <c r="J140" s="514">
        <f t="shared" si="24"/>
        <v>0</v>
      </c>
      <c r="K140" s="514"/>
      <c r="L140" s="525"/>
      <c r="M140" s="514">
        <f t="shared" si="25"/>
        <v>0</v>
      </c>
      <c r="N140" s="525"/>
      <c r="O140" s="514">
        <f t="shared" si="26"/>
        <v>0</v>
      </c>
      <c r="P140" s="514">
        <f t="shared" si="27"/>
        <v>0</v>
      </c>
    </row>
    <row r="141" spans="2:16" ht="12.5">
      <c r="B141" s="195" t="str">
        <f t="shared" si="14"/>
        <v/>
      </c>
      <c r="C141" s="507">
        <f>IF(D93="","-",+C140+1)</f>
        <v>2058</v>
      </c>
      <c r="D141" s="374">
        <f>IF(F140+SUM(E$99:E140)=D$92,F140,D$92-SUM(E$99:E140))</f>
        <v>83206.449612399068</v>
      </c>
      <c r="E141" s="522">
        <f>IF(+J96&lt;F140,J96,D141)</f>
        <v>83206.449612399068</v>
      </c>
      <c r="F141" s="523">
        <f t="shared" si="22"/>
        <v>0</v>
      </c>
      <c r="G141" s="523">
        <f t="shared" si="23"/>
        <v>41603.224806199534</v>
      </c>
      <c r="H141" s="526">
        <f t="shared" si="20"/>
        <v>87681.867949191714</v>
      </c>
      <c r="I141" s="577">
        <f t="shared" si="21"/>
        <v>87681.867949191714</v>
      </c>
      <c r="J141" s="514">
        <f t="shared" si="24"/>
        <v>0</v>
      </c>
      <c r="K141" s="514"/>
      <c r="L141" s="525"/>
      <c r="M141" s="514">
        <f t="shared" si="25"/>
        <v>0</v>
      </c>
      <c r="N141" s="525"/>
      <c r="O141" s="514">
        <f t="shared" si="26"/>
        <v>0</v>
      </c>
      <c r="P141" s="514">
        <f t="shared" si="27"/>
        <v>0</v>
      </c>
    </row>
    <row r="142" spans="2:16" ht="12.5">
      <c r="B142" s="195" t="str">
        <f t="shared" si="14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2"/>
        <v>0</v>
      </c>
      <c r="G142" s="523">
        <f t="shared" si="23"/>
        <v>0</v>
      </c>
      <c r="H142" s="526">
        <f t="shared" si="20"/>
        <v>0</v>
      </c>
      <c r="I142" s="577">
        <f t="shared" si="21"/>
        <v>0</v>
      </c>
      <c r="J142" s="514">
        <f t="shared" si="24"/>
        <v>0</v>
      </c>
      <c r="K142" s="514"/>
      <c r="L142" s="525"/>
      <c r="M142" s="514">
        <f t="shared" si="25"/>
        <v>0</v>
      </c>
      <c r="N142" s="525"/>
      <c r="O142" s="514">
        <f t="shared" si="26"/>
        <v>0</v>
      </c>
      <c r="P142" s="514">
        <f t="shared" si="27"/>
        <v>0</v>
      </c>
    </row>
    <row r="143" spans="2:16" ht="12.5">
      <c r="B143" s="195" t="str">
        <f t="shared" si="14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2"/>
        <v>0</v>
      </c>
      <c r="G143" s="523">
        <f t="shared" si="23"/>
        <v>0</v>
      </c>
      <c r="H143" s="526">
        <f t="shared" si="20"/>
        <v>0</v>
      </c>
      <c r="I143" s="577">
        <f t="shared" si="21"/>
        <v>0</v>
      </c>
      <c r="J143" s="514">
        <f t="shared" si="24"/>
        <v>0</v>
      </c>
      <c r="K143" s="514"/>
      <c r="L143" s="525"/>
      <c r="M143" s="514">
        <f t="shared" si="25"/>
        <v>0</v>
      </c>
      <c r="N143" s="525"/>
      <c r="O143" s="514">
        <f t="shared" si="26"/>
        <v>0</v>
      </c>
      <c r="P143" s="514">
        <f t="shared" si="27"/>
        <v>0</v>
      </c>
    </row>
    <row r="144" spans="2:16" ht="12.5">
      <c r="B144" s="195" t="str">
        <f t="shared" si="14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2"/>
        <v>0</v>
      </c>
      <c r="G144" s="523">
        <f t="shared" si="23"/>
        <v>0</v>
      </c>
      <c r="H144" s="526">
        <f t="shared" si="20"/>
        <v>0</v>
      </c>
      <c r="I144" s="577">
        <f t="shared" si="21"/>
        <v>0</v>
      </c>
      <c r="J144" s="514">
        <f t="shared" si="24"/>
        <v>0</v>
      </c>
      <c r="K144" s="514"/>
      <c r="L144" s="525"/>
      <c r="M144" s="514">
        <f t="shared" si="25"/>
        <v>0</v>
      </c>
      <c r="N144" s="525"/>
      <c r="O144" s="514">
        <f t="shared" si="26"/>
        <v>0</v>
      </c>
      <c r="P144" s="514">
        <f t="shared" si="27"/>
        <v>0</v>
      </c>
    </row>
    <row r="145" spans="2:16" ht="12.5">
      <c r="B145" s="195" t="str">
        <f t="shared" si="14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2"/>
        <v>0</v>
      </c>
      <c r="G145" s="523">
        <f t="shared" si="23"/>
        <v>0</v>
      </c>
      <c r="H145" s="526">
        <f t="shared" si="20"/>
        <v>0</v>
      </c>
      <c r="I145" s="577">
        <f t="shared" si="21"/>
        <v>0</v>
      </c>
      <c r="J145" s="514">
        <f t="shared" si="24"/>
        <v>0</v>
      </c>
      <c r="K145" s="514"/>
      <c r="L145" s="525"/>
      <c r="M145" s="514">
        <f t="shared" si="25"/>
        <v>0</v>
      </c>
      <c r="N145" s="525"/>
      <c r="O145" s="514">
        <f t="shared" si="26"/>
        <v>0</v>
      </c>
      <c r="P145" s="514">
        <f t="shared" si="27"/>
        <v>0</v>
      </c>
    </row>
    <row r="146" spans="2:16" ht="12.5">
      <c r="B146" s="195" t="str">
        <f t="shared" si="14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2"/>
        <v>0</v>
      </c>
      <c r="G146" s="523">
        <f t="shared" si="23"/>
        <v>0</v>
      </c>
      <c r="H146" s="526">
        <f t="shared" si="20"/>
        <v>0</v>
      </c>
      <c r="I146" s="577">
        <f t="shared" si="21"/>
        <v>0</v>
      </c>
      <c r="J146" s="514">
        <f t="shared" si="24"/>
        <v>0</v>
      </c>
      <c r="K146" s="514"/>
      <c r="L146" s="525"/>
      <c r="M146" s="514">
        <f t="shared" si="25"/>
        <v>0</v>
      </c>
      <c r="N146" s="525"/>
      <c r="O146" s="514">
        <f t="shared" si="26"/>
        <v>0</v>
      </c>
      <c r="P146" s="514">
        <f t="shared" si="27"/>
        <v>0</v>
      </c>
    </row>
    <row r="147" spans="2:16" ht="12.5">
      <c r="B147" s="195" t="str">
        <f t="shared" si="14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2"/>
        <v>0</v>
      </c>
      <c r="G147" s="523">
        <f t="shared" si="23"/>
        <v>0</v>
      </c>
      <c r="H147" s="526">
        <f t="shared" si="20"/>
        <v>0</v>
      </c>
      <c r="I147" s="577">
        <f t="shared" si="21"/>
        <v>0</v>
      </c>
      <c r="J147" s="514">
        <f t="shared" si="24"/>
        <v>0</v>
      </c>
      <c r="K147" s="514"/>
      <c r="L147" s="525"/>
      <c r="M147" s="514">
        <f t="shared" si="25"/>
        <v>0</v>
      </c>
      <c r="N147" s="525"/>
      <c r="O147" s="514">
        <f t="shared" si="26"/>
        <v>0</v>
      </c>
      <c r="P147" s="514">
        <f t="shared" si="27"/>
        <v>0</v>
      </c>
    </row>
    <row r="148" spans="2:16" ht="12.5">
      <c r="B148" s="195" t="str">
        <f t="shared" si="14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2"/>
        <v>0</v>
      </c>
      <c r="G148" s="523">
        <f t="shared" si="23"/>
        <v>0</v>
      </c>
      <c r="H148" s="526">
        <f t="shared" si="20"/>
        <v>0</v>
      </c>
      <c r="I148" s="577">
        <f t="shared" si="21"/>
        <v>0</v>
      </c>
      <c r="J148" s="514">
        <f t="shared" si="24"/>
        <v>0</v>
      </c>
      <c r="K148" s="514"/>
      <c r="L148" s="525"/>
      <c r="M148" s="514">
        <f t="shared" si="25"/>
        <v>0</v>
      </c>
      <c r="N148" s="525"/>
      <c r="O148" s="514">
        <f t="shared" si="26"/>
        <v>0</v>
      </c>
      <c r="P148" s="514">
        <f t="shared" si="27"/>
        <v>0</v>
      </c>
    </row>
    <row r="149" spans="2:16" ht="12.5">
      <c r="B149" s="195" t="str">
        <f t="shared" si="14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2"/>
        <v>0</v>
      </c>
      <c r="G149" s="523">
        <f t="shared" si="23"/>
        <v>0</v>
      </c>
      <c r="H149" s="526">
        <f t="shared" si="20"/>
        <v>0</v>
      </c>
      <c r="I149" s="577">
        <f t="shared" si="21"/>
        <v>0</v>
      </c>
      <c r="J149" s="514">
        <f t="shared" si="24"/>
        <v>0</v>
      </c>
      <c r="K149" s="514"/>
      <c r="L149" s="525"/>
      <c r="M149" s="514">
        <f t="shared" si="25"/>
        <v>0</v>
      </c>
      <c r="N149" s="525"/>
      <c r="O149" s="514">
        <f t="shared" si="26"/>
        <v>0</v>
      </c>
      <c r="P149" s="514">
        <f t="shared" si="27"/>
        <v>0</v>
      </c>
    </row>
    <row r="150" spans="2:16" ht="12.5">
      <c r="B150" s="195" t="str">
        <f t="shared" si="14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2"/>
        <v>0</v>
      </c>
      <c r="G150" s="523">
        <f t="shared" si="23"/>
        <v>0</v>
      </c>
      <c r="H150" s="526">
        <f t="shared" si="20"/>
        <v>0</v>
      </c>
      <c r="I150" s="577">
        <f t="shared" si="21"/>
        <v>0</v>
      </c>
      <c r="J150" s="514">
        <f t="shared" si="24"/>
        <v>0</v>
      </c>
      <c r="K150" s="514"/>
      <c r="L150" s="525"/>
      <c r="M150" s="514">
        <f t="shared" si="25"/>
        <v>0</v>
      </c>
      <c r="N150" s="525"/>
      <c r="O150" s="514">
        <f t="shared" si="26"/>
        <v>0</v>
      </c>
      <c r="P150" s="514">
        <f t="shared" si="27"/>
        <v>0</v>
      </c>
    </row>
    <row r="151" spans="2:16" ht="12.5">
      <c r="B151" s="195" t="str">
        <f t="shared" si="14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2"/>
        <v>0</v>
      </c>
      <c r="G151" s="523">
        <f t="shared" si="23"/>
        <v>0</v>
      </c>
      <c r="H151" s="526">
        <f t="shared" si="20"/>
        <v>0</v>
      </c>
      <c r="I151" s="577">
        <f t="shared" si="21"/>
        <v>0</v>
      </c>
      <c r="J151" s="514">
        <f t="shared" si="24"/>
        <v>0</v>
      </c>
      <c r="K151" s="514"/>
      <c r="L151" s="525"/>
      <c r="M151" s="514">
        <f t="shared" si="25"/>
        <v>0</v>
      </c>
      <c r="N151" s="525"/>
      <c r="O151" s="514">
        <f t="shared" si="26"/>
        <v>0</v>
      </c>
      <c r="P151" s="514">
        <f t="shared" si="27"/>
        <v>0</v>
      </c>
    </row>
    <row r="152" spans="2:16" ht="12.5">
      <c r="B152" s="195" t="str">
        <f t="shared" si="14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2"/>
        <v>0</v>
      </c>
      <c r="G152" s="523">
        <f t="shared" si="23"/>
        <v>0</v>
      </c>
      <c r="H152" s="526">
        <f t="shared" si="20"/>
        <v>0</v>
      </c>
      <c r="I152" s="577">
        <f t="shared" si="21"/>
        <v>0</v>
      </c>
      <c r="J152" s="514">
        <f t="shared" si="24"/>
        <v>0</v>
      </c>
      <c r="K152" s="514"/>
      <c r="L152" s="525"/>
      <c r="M152" s="514">
        <f t="shared" si="25"/>
        <v>0</v>
      </c>
      <c r="N152" s="525"/>
      <c r="O152" s="514">
        <f t="shared" si="26"/>
        <v>0</v>
      </c>
      <c r="P152" s="514">
        <f t="shared" si="27"/>
        <v>0</v>
      </c>
    </row>
    <row r="153" spans="2:16" ht="12.5">
      <c r="B153" s="195" t="str">
        <f t="shared" si="14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2"/>
        <v>0</v>
      </c>
      <c r="G153" s="523">
        <f t="shared" si="23"/>
        <v>0</v>
      </c>
      <c r="H153" s="526">
        <f t="shared" si="20"/>
        <v>0</v>
      </c>
      <c r="I153" s="577">
        <f t="shared" si="21"/>
        <v>0</v>
      </c>
      <c r="J153" s="514">
        <f t="shared" si="24"/>
        <v>0</v>
      </c>
      <c r="K153" s="514"/>
      <c r="L153" s="525"/>
      <c r="M153" s="514">
        <f t="shared" si="25"/>
        <v>0</v>
      </c>
      <c r="N153" s="525"/>
      <c r="O153" s="514">
        <f t="shared" si="26"/>
        <v>0</v>
      </c>
      <c r="P153" s="514">
        <f t="shared" si="27"/>
        <v>0</v>
      </c>
    </row>
    <row r="154" spans="2:16" ht="13" thickBot="1">
      <c r="B154" s="195" t="str">
        <f t="shared" si="14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2"/>
        <v>0</v>
      </c>
      <c r="G154" s="528">
        <f t="shared" si="23"/>
        <v>0</v>
      </c>
      <c r="H154" s="530">
        <f t="shared" si="20"/>
        <v>0</v>
      </c>
      <c r="I154" s="579">
        <f t="shared" si="21"/>
        <v>0</v>
      </c>
      <c r="J154" s="533">
        <f t="shared" si="24"/>
        <v>0</v>
      </c>
      <c r="K154" s="514"/>
      <c r="L154" s="532"/>
      <c r="M154" s="533">
        <f t="shared" si="25"/>
        <v>0</v>
      </c>
      <c r="N154" s="532"/>
      <c r="O154" s="533">
        <f t="shared" si="26"/>
        <v>0</v>
      </c>
      <c r="P154" s="533">
        <f t="shared" si="27"/>
        <v>0</v>
      </c>
    </row>
    <row r="155" spans="2:16" ht="12.5">
      <c r="C155" s="374" t="s">
        <v>78</v>
      </c>
      <c r="D155" s="375"/>
      <c r="E155" s="375">
        <f>SUM(E99:E154)</f>
        <v>9381462.9999999981</v>
      </c>
      <c r="F155" s="375"/>
      <c r="G155" s="375"/>
      <c r="H155" s="375">
        <f>SUM(H99:H154)</f>
        <v>30638071.181005646</v>
      </c>
      <c r="I155" s="375">
        <f>SUM(I99:I154)</f>
        <v>30638071.181005646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9" priority="1" stopIfTrue="1" operator="equal">
      <formula>$I$10</formula>
    </cfRule>
  </conditionalFormatting>
  <conditionalFormatting sqref="C99:C154">
    <cfRule type="cellIs" dxfId="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P162"/>
  <sheetViews>
    <sheetView view="pageBreakPreview" zoomScale="80" zoomScaleNormal="100" zoomScaleSheetLayoutView="80" workbookViewId="0">
      <selection activeCell="D8" sqref="D8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56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182492.15165602544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182492.15165602544</v>
      </c>
      <c r="O6" s="269"/>
      <c r="P6" s="269"/>
    </row>
    <row r="7" spans="1:16" ht="13.5" thickBot="1">
      <c r="C7" s="467" t="s">
        <v>48</v>
      </c>
      <c r="D7" s="624" t="s">
        <v>361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362</v>
      </c>
      <c r="E9" s="637" t="s">
        <v>405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1558181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9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37099.547619047618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1111302</v>
      </c>
      <c r="E17" s="630">
        <v>13229.785714285714</v>
      </c>
      <c r="F17" s="631">
        <v>1098072.2142857143</v>
      </c>
      <c r="G17" s="630">
        <v>156066.99191753985</v>
      </c>
      <c r="H17" s="639">
        <v>156066.99191753985</v>
      </c>
      <c r="I17" s="511">
        <f t="shared" ref="I17:I72" si="0">H17-G17</f>
        <v>0</v>
      </c>
      <c r="J17" s="511"/>
      <c r="K17" s="512">
        <f>+G17</f>
        <v>156066.99191753985</v>
      </c>
      <c r="L17" s="513">
        <f t="shared" ref="L17:L72" si="1">IF(K17&lt;&gt;0,+G17-K17,0)</f>
        <v>0</v>
      </c>
      <c r="M17" s="512">
        <f>+H17</f>
        <v>156066.99191753985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31">
        <v>1543391.2142857143</v>
      </c>
      <c r="E18" s="630">
        <v>36200.488372093023</v>
      </c>
      <c r="F18" s="631">
        <v>1507190.7259136213</v>
      </c>
      <c r="G18" s="630">
        <v>225172.65115998022</v>
      </c>
      <c r="H18" s="639">
        <v>225172.65115998022</v>
      </c>
      <c r="I18" s="511">
        <f t="shared" si="0"/>
        <v>0</v>
      </c>
      <c r="J18" s="511"/>
      <c r="K18" s="518">
        <f>+G18</f>
        <v>225172.65115998022</v>
      </c>
      <c r="L18" s="519">
        <f>IF(K18&lt;&gt;0,+G18-K18,0)</f>
        <v>0</v>
      </c>
      <c r="M18" s="518">
        <f>+H18</f>
        <v>225172.65115998022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31">
        <v>1507190.7259136213</v>
      </c>
      <c r="E19" s="630">
        <v>37966.365853658535</v>
      </c>
      <c r="F19" s="631">
        <v>1469224.3600599626</v>
      </c>
      <c r="G19" s="630">
        <v>227108.76254780369</v>
      </c>
      <c r="H19" s="639">
        <v>227108.76254780369</v>
      </c>
      <c r="I19" s="511">
        <f t="shared" si="0"/>
        <v>0</v>
      </c>
      <c r="J19" s="511"/>
      <c r="K19" s="518">
        <f>+G19</f>
        <v>227108.76254780369</v>
      </c>
      <c r="L19" s="519">
        <f>IF(K19&lt;&gt;0,+G19-K19,0)</f>
        <v>0</v>
      </c>
      <c r="M19" s="518">
        <f>+H19</f>
        <v>227108.76254780369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2019</v>
      </c>
      <c r="D20" s="631">
        <v>1469224.3600599626</v>
      </c>
      <c r="E20" s="630">
        <v>37966.365853658535</v>
      </c>
      <c r="F20" s="631">
        <v>1431257.994206304</v>
      </c>
      <c r="G20" s="630">
        <v>222283.46149005229</v>
      </c>
      <c r="H20" s="639">
        <v>222283.46149005229</v>
      </c>
      <c r="I20" s="511">
        <f t="shared" si="0"/>
        <v>0</v>
      </c>
      <c r="J20" s="511"/>
      <c r="K20" s="518">
        <f>+G20</f>
        <v>222283.46149005229</v>
      </c>
      <c r="L20" s="519">
        <f>IF(K20&lt;&gt;0,+G20-K20,0)</f>
        <v>0</v>
      </c>
      <c r="M20" s="518">
        <f>+H20</f>
        <v>222283.46149005229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4"/>
        <v/>
      </c>
      <c r="C21" s="507">
        <f>IF(D11="","-",+C20+1)</f>
        <v>2020</v>
      </c>
      <c r="D21" s="631">
        <v>1431257.994206304</v>
      </c>
      <c r="E21" s="630">
        <v>37966.365853658535</v>
      </c>
      <c r="F21" s="631">
        <v>1393291.6283526453</v>
      </c>
      <c r="G21" s="630">
        <v>182492.15165602544</v>
      </c>
      <c r="H21" s="639">
        <v>182492.15165602544</v>
      </c>
      <c r="I21" s="511">
        <f t="shared" si="0"/>
        <v>0</v>
      </c>
      <c r="J21" s="511"/>
      <c r="K21" s="518">
        <f>+G21</f>
        <v>182492.15165602544</v>
      </c>
      <c r="L21" s="519">
        <f>IF(K21&lt;&gt;0,+G21-K21,0)</f>
        <v>0</v>
      </c>
      <c r="M21" s="518">
        <f>+H21</f>
        <v>182492.15165602544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4"/>
        <v>IU</v>
      </c>
      <c r="C22" s="507">
        <f>IF(D11="","-",+C21+1)</f>
        <v>2021</v>
      </c>
      <c r="D22" s="523">
        <f>IF(F21+SUM(E$17:E21)=D$10,F21,D$10-SUM(E$17:E21))</f>
        <v>1394851.6283526458</v>
      </c>
      <c r="E22" s="522">
        <f>IF(+I14&lt;F21,I14,D22)</f>
        <v>37099.547619047618</v>
      </c>
      <c r="F22" s="523">
        <f t="shared" ref="F22:F72" si="5">+D22-E22</f>
        <v>1357752.0807335982</v>
      </c>
      <c r="G22" s="524">
        <f t="shared" ref="G22:G49" si="6">+I$12*((D22+F22)/2)+E22</f>
        <v>184113.32300416433</v>
      </c>
      <c r="H22" s="491">
        <f t="shared" ref="H22:H49" si="7">+I$13*((D22+F22)/2)+E22</f>
        <v>184113.32300416433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4"/>
        <v/>
      </c>
      <c r="C23" s="507">
        <f>IF(D11="","-",+C22+1)</f>
        <v>2022</v>
      </c>
      <c r="D23" s="523">
        <f>IF(F22+SUM(E$17:E22)=D$10,F22,D$10-SUM(E$17:E22))</f>
        <v>1357752.0807335982</v>
      </c>
      <c r="E23" s="522">
        <f>IF(+I14&lt;F22,I14,D23)</f>
        <v>37099.547619047618</v>
      </c>
      <c r="F23" s="523">
        <f t="shared" si="5"/>
        <v>1320652.5331145506</v>
      </c>
      <c r="G23" s="524">
        <f t="shared" si="6"/>
        <v>180150.42450006644</v>
      </c>
      <c r="H23" s="491">
        <f t="shared" si="7"/>
        <v>180150.42450006644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4"/>
        <v/>
      </c>
      <c r="C24" s="507">
        <f>IF(D11="","-",+C23+1)</f>
        <v>2023</v>
      </c>
      <c r="D24" s="523">
        <f>IF(F23+SUM(E$17:E23)=D$10,F23,D$10-SUM(E$17:E23))</f>
        <v>1320652.5331145506</v>
      </c>
      <c r="E24" s="522">
        <f>IF(+I14&lt;F23,I14,D24)</f>
        <v>37099.547619047618</v>
      </c>
      <c r="F24" s="523">
        <f t="shared" si="5"/>
        <v>1283552.9854955031</v>
      </c>
      <c r="G24" s="524">
        <f t="shared" si="6"/>
        <v>176187.52599596855</v>
      </c>
      <c r="H24" s="491">
        <f t="shared" si="7"/>
        <v>176187.52599596855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4"/>
        <v/>
      </c>
      <c r="C25" s="507">
        <f>IF(D11="","-",+C24+1)</f>
        <v>2024</v>
      </c>
      <c r="D25" s="523">
        <f>IF(F24+SUM(E$17:E24)=D$10,F24,D$10-SUM(E$17:E24))</f>
        <v>1283552.9854955031</v>
      </c>
      <c r="E25" s="522">
        <f>IF(+I14&lt;F24,I14,D25)</f>
        <v>37099.547619047618</v>
      </c>
      <c r="F25" s="523">
        <f t="shared" si="5"/>
        <v>1246453.4378764555</v>
      </c>
      <c r="G25" s="524">
        <f t="shared" si="6"/>
        <v>172224.6274918706</v>
      </c>
      <c r="H25" s="491">
        <f t="shared" si="7"/>
        <v>172224.6274918706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4"/>
        <v/>
      </c>
      <c r="C26" s="507">
        <f>IF(D11="","-",+C25+1)</f>
        <v>2025</v>
      </c>
      <c r="D26" s="523">
        <f>IF(F25+SUM(E$17:E25)=D$10,F25,D$10-SUM(E$17:E25))</f>
        <v>1246453.4378764555</v>
      </c>
      <c r="E26" s="522">
        <f>IF(+I14&lt;F25,I14,D26)</f>
        <v>37099.547619047618</v>
      </c>
      <c r="F26" s="523">
        <f t="shared" si="5"/>
        <v>1209353.8902574079</v>
      </c>
      <c r="G26" s="524">
        <f t="shared" si="6"/>
        <v>168261.72898777272</v>
      </c>
      <c r="H26" s="491">
        <f t="shared" si="7"/>
        <v>168261.72898777272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4"/>
        <v/>
      </c>
      <c r="C27" s="507">
        <f>IF(D11="","-",+C26+1)</f>
        <v>2026</v>
      </c>
      <c r="D27" s="523">
        <f>IF(F26+SUM(E$17:E26)=D$10,F26,D$10-SUM(E$17:E26))</f>
        <v>1209353.8902574079</v>
      </c>
      <c r="E27" s="522">
        <f>IF(+I14&lt;F26,I14,D27)</f>
        <v>37099.547619047618</v>
      </c>
      <c r="F27" s="523">
        <f t="shared" si="5"/>
        <v>1172254.3426383603</v>
      </c>
      <c r="G27" s="524">
        <f t="shared" si="6"/>
        <v>164298.83048367483</v>
      </c>
      <c r="H27" s="491">
        <f t="shared" si="7"/>
        <v>164298.83048367483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4"/>
        <v/>
      </c>
      <c r="C28" s="507">
        <f>IF(D11="","-",+C27+1)</f>
        <v>2027</v>
      </c>
      <c r="D28" s="523">
        <f>IF(F27+SUM(E$17:E27)=D$10,F27,D$10-SUM(E$17:E27))</f>
        <v>1172254.3426383603</v>
      </c>
      <c r="E28" s="522">
        <f>IF(+I14&lt;F27,I14,D28)</f>
        <v>37099.547619047618</v>
      </c>
      <c r="F28" s="523">
        <f t="shared" si="5"/>
        <v>1135154.7950193128</v>
      </c>
      <c r="G28" s="524">
        <f t="shared" si="6"/>
        <v>160335.93197957694</v>
      </c>
      <c r="H28" s="491">
        <f t="shared" si="7"/>
        <v>160335.93197957694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4"/>
        <v/>
      </c>
      <c r="C29" s="507">
        <f>IF(D11="","-",+C28+1)</f>
        <v>2028</v>
      </c>
      <c r="D29" s="523">
        <f>IF(F28+SUM(E$17:E28)=D$10,F28,D$10-SUM(E$17:E28))</f>
        <v>1135154.7950193128</v>
      </c>
      <c r="E29" s="522">
        <f>IF(+I14&lt;F28,I14,D29)</f>
        <v>37099.547619047618</v>
      </c>
      <c r="F29" s="523">
        <f t="shared" si="5"/>
        <v>1098055.2474002652</v>
      </c>
      <c r="G29" s="524">
        <f t="shared" si="6"/>
        <v>156373.03347547905</v>
      </c>
      <c r="H29" s="491">
        <f t="shared" si="7"/>
        <v>156373.03347547905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4"/>
        <v/>
      </c>
      <c r="C30" s="507">
        <f>IF(D11="","-",+C29+1)</f>
        <v>2029</v>
      </c>
      <c r="D30" s="523">
        <f>IF(F29+SUM(E$17:E29)=D$10,F29,D$10-SUM(E$17:E29))</f>
        <v>1098055.2474002652</v>
      </c>
      <c r="E30" s="522">
        <f>IF(+I14&lt;F29,I14,D30)</f>
        <v>37099.547619047618</v>
      </c>
      <c r="F30" s="523">
        <f t="shared" si="5"/>
        <v>1060955.6997812176</v>
      </c>
      <c r="G30" s="524">
        <f t="shared" si="6"/>
        <v>152410.13497138114</v>
      </c>
      <c r="H30" s="491">
        <f t="shared" si="7"/>
        <v>152410.13497138114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4"/>
        <v/>
      </c>
      <c r="C31" s="507">
        <f>IF(D11="","-",+C30+1)</f>
        <v>2030</v>
      </c>
      <c r="D31" s="523">
        <f>IF(F30+SUM(E$17:E30)=D$10,F30,D$10-SUM(E$17:E30))</f>
        <v>1060955.6997812176</v>
      </c>
      <c r="E31" s="522">
        <f>IF(+I14&lt;F30,I14,D31)</f>
        <v>37099.547619047618</v>
      </c>
      <c r="F31" s="523">
        <f t="shared" si="5"/>
        <v>1023856.15216217</v>
      </c>
      <c r="G31" s="524">
        <f t="shared" si="6"/>
        <v>148447.23646728322</v>
      </c>
      <c r="H31" s="491">
        <f t="shared" si="7"/>
        <v>148447.23646728322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4"/>
        <v/>
      </c>
      <c r="C32" s="507">
        <f>IF(D11="","-",+C31+1)</f>
        <v>2031</v>
      </c>
      <c r="D32" s="523">
        <f>IF(F31+SUM(E$17:E31)=D$10,F31,D$10-SUM(E$17:E31))</f>
        <v>1023856.15216217</v>
      </c>
      <c r="E32" s="522">
        <f>IF(+I14&lt;F31,I14,D32)</f>
        <v>37099.547619047618</v>
      </c>
      <c r="F32" s="523">
        <f t="shared" si="5"/>
        <v>986756.60454312246</v>
      </c>
      <c r="G32" s="524">
        <f t="shared" si="6"/>
        <v>144484.33796318533</v>
      </c>
      <c r="H32" s="491">
        <f t="shared" si="7"/>
        <v>144484.33796318533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4"/>
        <v/>
      </c>
      <c r="C33" s="507">
        <f>IF(D11="","-",+C32+1)</f>
        <v>2032</v>
      </c>
      <c r="D33" s="523">
        <f>IF(F32+SUM(E$17:E32)=D$10,F32,D$10-SUM(E$17:E32))</f>
        <v>986756.60454312246</v>
      </c>
      <c r="E33" s="522">
        <f>IF(+I14&lt;F32,I14,D33)</f>
        <v>37099.547619047618</v>
      </c>
      <c r="F33" s="523">
        <f t="shared" si="5"/>
        <v>949657.05692407489</v>
      </c>
      <c r="G33" s="524">
        <f t="shared" si="6"/>
        <v>140521.43945908744</v>
      </c>
      <c r="H33" s="491">
        <f t="shared" si="7"/>
        <v>140521.43945908744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4"/>
        <v/>
      </c>
      <c r="C34" s="507">
        <f>IF(D11="","-",+C33+1)</f>
        <v>2033</v>
      </c>
      <c r="D34" s="523">
        <f>IF(F33+SUM(E$17:E33)=D$10,F33,D$10-SUM(E$17:E33))</f>
        <v>949657.05692407489</v>
      </c>
      <c r="E34" s="522">
        <f>IF(+I14&lt;F33,I14,D34)</f>
        <v>37099.547619047618</v>
      </c>
      <c r="F34" s="523">
        <f t="shared" si="5"/>
        <v>912557.50930502731</v>
      </c>
      <c r="G34" s="524">
        <f t="shared" si="6"/>
        <v>136558.54095498956</v>
      </c>
      <c r="H34" s="491">
        <f t="shared" si="7"/>
        <v>136558.54095498956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4"/>
        <v/>
      </c>
      <c r="C35" s="507">
        <f>IF(D11="","-",+C34+1)</f>
        <v>2034</v>
      </c>
      <c r="D35" s="523">
        <f>IF(F34+SUM(E$17:E34)=D$10,F34,D$10-SUM(E$17:E34))</f>
        <v>912557.50930502731</v>
      </c>
      <c r="E35" s="522">
        <f>IF(+I14&lt;F34,I14,D35)</f>
        <v>37099.547619047618</v>
      </c>
      <c r="F35" s="523">
        <f t="shared" si="5"/>
        <v>875457.96168597974</v>
      </c>
      <c r="G35" s="524">
        <f t="shared" si="6"/>
        <v>132595.64245089167</v>
      </c>
      <c r="H35" s="491">
        <f t="shared" si="7"/>
        <v>132595.64245089167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4"/>
        <v/>
      </c>
      <c r="C36" s="507">
        <f>IF(D11="","-",+C35+1)</f>
        <v>2035</v>
      </c>
      <c r="D36" s="523">
        <f>IF(F35+SUM(E$17:E35)=D$10,F35,D$10-SUM(E$17:E35))</f>
        <v>875457.96168597974</v>
      </c>
      <c r="E36" s="522">
        <f>IF(+I14&lt;F35,I14,D36)</f>
        <v>37099.547619047618</v>
      </c>
      <c r="F36" s="523">
        <f t="shared" si="5"/>
        <v>838358.41406693216</v>
      </c>
      <c r="G36" s="524">
        <f t="shared" si="6"/>
        <v>128632.74394679375</v>
      </c>
      <c r="H36" s="491">
        <f t="shared" si="7"/>
        <v>128632.74394679375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4"/>
        <v/>
      </c>
      <c r="C37" s="507">
        <f>IF(D11="","-",+C36+1)</f>
        <v>2036</v>
      </c>
      <c r="D37" s="523">
        <f>IF(F36+SUM(E$17:E36)=D$10,F36,D$10-SUM(E$17:E36))</f>
        <v>838358.41406693216</v>
      </c>
      <c r="E37" s="522">
        <f>IF(+I14&lt;F36,I14,D37)</f>
        <v>37099.547619047618</v>
      </c>
      <c r="F37" s="523">
        <f t="shared" si="5"/>
        <v>801258.86644788459</v>
      </c>
      <c r="G37" s="524">
        <f t="shared" si="6"/>
        <v>124669.84544269585</v>
      </c>
      <c r="H37" s="491">
        <f t="shared" si="7"/>
        <v>124669.84544269585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4"/>
        <v/>
      </c>
      <c r="C38" s="507">
        <f>IF(D11="","-",+C37+1)</f>
        <v>2037</v>
      </c>
      <c r="D38" s="523">
        <f>IF(F37+SUM(E$17:E37)=D$10,F37,D$10-SUM(E$17:E37))</f>
        <v>801258.86644788459</v>
      </c>
      <c r="E38" s="522">
        <f>IF(+I14&lt;F37,I14,D38)</f>
        <v>37099.547619047618</v>
      </c>
      <c r="F38" s="523">
        <f t="shared" si="5"/>
        <v>764159.31882883701</v>
      </c>
      <c r="G38" s="524">
        <f t="shared" si="6"/>
        <v>120706.94693859795</v>
      </c>
      <c r="H38" s="491">
        <f t="shared" si="7"/>
        <v>120706.94693859795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4"/>
        <v/>
      </c>
      <c r="C39" s="507">
        <f>IF(D11="","-",+C38+1)</f>
        <v>2038</v>
      </c>
      <c r="D39" s="523">
        <f>IF(F38+SUM(E$17:E38)=D$10,F38,D$10-SUM(E$17:E38))</f>
        <v>764159.31882883701</v>
      </c>
      <c r="E39" s="522">
        <f>IF(+I14&lt;F38,I14,D39)</f>
        <v>37099.547619047618</v>
      </c>
      <c r="F39" s="523">
        <f t="shared" si="5"/>
        <v>727059.77120978944</v>
      </c>
      <c r="G39" s="524">
        <f t="shared" si="6"/>
        <v>116744.04843450006</v>
      </c>
      <c r="H39" s="491">
        <f t="shared" si="7"/>
        <v>116744.04843450006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4"/>
        <v/>
      </c>
      <c r="C40" s="507">
        <f>IF(D11="","-",+C39+1)</f>
        <v>2039</v>
      </c>
      <c r="D40" s="523">
        <f>IF(F39+SUM(E$17:E39)=D$10,F39,D$10-SUM(E$17:E39))</f>
        <v>727059.77120978944</v>
      </c>
      <c r="E40" s="522">
        <f>IF(+I14&lt;F39,I14,D40)</f>
        <v>37099.547619047618</v>
      </c>
      <c r="F40" s="523">
        <f t="shared" si="5"/>
        <v>689960.22359074187</v>
      </c>
      <c r="G40" s="524">
        <f t="shared" si="6"/>
        <v>112781.14993040216</v>
      </c>
      <c r="H40" s="491">
        <f t="shared" si="7"/>
        <v>112781.14993040216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4"/>
        <v/>
      </c>
      <c r="C41" s="507">
        <f>IF(D11="","-",+C40+1)</f>
        <v>2040</v>
      </c>
      <c r="D41" s="523">
        <f>IF(F40+SUM(E$17:E40)=D$10,F40,D$10-SUM(E$17:E40))</f>
        <v>689960.22359074187</v>
      </c>
      <c r="E41" s="522">
        <f>IF(+I14&lt;F40,I14,D41)</f>
        <v>37099.547619047618</v>
      </c>
      <c r="F41" s="523">
        <f t="shared" si="5"/>
        <v>652860.67597169429</v>
      </c>
      <c r="G41" s="524">
        <f t="shared" si="6"/>
        <v>108818.25142630425</v>
      </c>
      <c r="H41" s="491">
        <f t="shared" si="7"/>
        <v>108818.25142630425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4"/>
        <v/>
      </c>
      <c r="C42" s="507">
        <f>IF(D11="","-",+C41+1)</f>
        <v>2041</v>
      </c>
      <c r="D42" s="523">
        <f>IF(F41+SUM(E$17:E41)=D$10,F41,D$10-SUM(E$17:E41))</f>
        <v>652860.67597169429</v>
      </c>
      <c r="E42" s="522">
        <f>IF(+I14&lt;F41,I14,D42)</f>
        <v>37099.547619047618</v>
      </c>
      <c r="F42" s="523">
        <f t="shared" si="5"/>
        <v>615761.12835264672</v>
      </c>
      <c r="G42" s="524">
        <f t="shared" si="6"/>
        <v>104855.35292220635</v>
      </c>
      <c r="H42" s="491">
        <f t="shared" si="7"/>
        <v>104855.35292220635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4"/>
        <v/>
      </c>
      <c r="C43" s="507">
        <f>IF(D11="","-",+C42+1)</f>
        <v>2042</v>
      </c>
      <c r="D43" s="523">
        <f>IF(F42+SUM(E$17:E42)=D$10,F42,D$10-SUM(E$17:E42))</f>
        <v>615761.12835264672</v>
      </c>
      <c r="E43" s="522">
        <f>IF(+I14&lt;F42,I14,D43)</f>
        <v>37099.547619047618</v>
      </c>
      <c r="F43" s="523">
        <f t="shared" si="5"/>
        <v>578661.58073359914</v>
      </c>
      <c r="G43" s="524">
        <f t="shared" si="6"/>
        <v>100892.45441810845</v>
      </c>
      <c r="H43" s="491">
        <f t="shared" si="7"/>
        <v>100892.45441810845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4"/>
        <v/>
      </c>
      <c r="C44" s="507">
        <f>IF(D11="","-",+C43+1)</f>
        <v>2043</v>
      </c>
      <c r="D44" s="523">
        <f>IF(F43+SUM(E$17:E43)=D$10,F43,D$10-SUM(E$17:E43))</f>
        <v>578661.58073359914</v>
      </c>
      <c r="E44" s="522">
        <f>IF(+I14&lt;F43,I14,D44)</f>
        <v>37099.547619047618</v>
      </c>
      <c r="F44" s="523">
        <f t="shared" si="5"/>
        <v>541562.03311455157</v>
      </c>
      <c r="G44" s="524">
        <f t="shared" si="6"/>
        <v>96929.555914010562</v>
      </c>
      <c r="H44" s="491">
        <f t="shared" si="7"/>
        <v>96929.555914010562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4"/>
        <v/>
      </c>
      <c r="C45" s="507">
        <f>IF(D11="","-",+C44+1)</f>
        <v>2044</v>
      </c>
      <c r="D45" s="523">
        <f>IF(F44+SUM(E$17:E44)=D$10,F44,D$10-SUM(E$17:E44))</f>
        <v>541562.03311455157</v>
      </c>
      <c r="E45" s="522">
        <f>IF(+I14&lt;F44,I14,D45)</f>
        <v>37099.547619047618</v>
      </c>
      <c r="F45" s="523">
        <f t="shared" si="5"/>
        <v>504462.48549550393</v>
      </c>
      <c r="G45" s="524">
        <f t="shared" si="6"/>
        <v>92966.657409912674</v>
      </c>
      <c r="H45" s="491">
        <f t="shared" si="7"/>
        <v>92966.657409912674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4"/>
        <v/>
      </c>
      <c r="C46" s="507">
        <f>IF(D11="","-",+C45+1)</f>
        <v>2045</v>
      </c>
      <c r="D46" s="523">
        <f>IF(F45+SUM(E$17:E45)=D$10,F45,D$10-SUM(E$17:E45))</f>
        <v>504462.48549550393</v>
      </c>
      <c r="E46" s="522">
        <f>IF(+I14&lt;F45,I14,D46)</f>
        <v>37099.547619047618</v>
      </c>
      <c r="F46" s="523">
        <f t="shared" si="5"/>
        <v>467362.9378764563</v>
      </c>
      <c r="G46" s="524">
        <f t="shared" si="6"/>
        <v>89003.758905814757</v>
      </c>
      <c r="H46" s="491">
        <f t="shared" si="7"/>
        <v>89003.758905814757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4"/>
        <v/>
      </c>
      <c r="C47" s="507">
        <f>IF(D11="","-",+C46+1)</f>
        <v>2046</v>
      </c>
      <c r="D47" s="523">
        <f>IF(F46+SUM(E$17:E46)=D$10,F46,D$10-SUM(E$17:E46))</f>
        <v>467362.9378764563</v>
      </c>
      <c r="E47" s="522">
        <f>IF(+I14&lt;F46,I14,D47)</f>
        <v>37099.547619047618</v>
      </c>
      <c r="F47" s="523">
        <f t="shared" si="5"/>
        <v>430263.39025740867</v>
      </c>
      <c r="G47" s="524">
        <f t="shared" si="6"/>
        <v>85040.860401716855</v>
      </c>
      <c r="H47" s="491">
        <f t="shared" si="7"/>
        <v>85040.860401716855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4"/>
        <v/>
      </c>
      <c r="C48" s="507">
        <f>IF(D11="","-",+C47+1)</f>
        <v>2047</v>
      </c>
      <c r="D48" s="523">
        <f>IF(F47+SUM(E$17:E47)=D$10,F47,D$10-SUM(E$17:E47))</f>
        <v>430263.39025740867</v>
      </c>
      <c r="E48" s="522">
        <f>IF(+I14&lt;F47,I14,D48)</f>
        <v>37099.547619047618</v>
      </c>
      <c r="F48" s="523">
        <f t="shared" si="5"/>
        <v>393163.84263836103</v>
      </c>
      <c r="G48" s="524">
        <f t="shared" si="6"/>
        <v>81077.961897618952</v>
      </c>
      <c r="H48" s="491">
        <f t="shared" si="7"/>
        <v>81077.961897618952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4"/>
        <v/>
      </c>
      <c r="C49" s="507">
        <f>IF(D11="","-",+C48+1)</f>
        <v>2048</v>
      </c>
      <c r="D49" s="523">
        <f>IF(F48+SUM(E$17:E48)=D$10,F48,D$10-SUM(E$17:E48))</f>
        <v>393163.84263836103</v>
      </c>
      <c r="E49" s="522">
        <f>IF(+I14&lt;F48,I14,D49)</f>
        <v>37099.547619047618</v>
      </c>
      <c r="F49" s="523">
        <f t="shared" si="5"/>
        <v>356064.2950193134</v>
      </c>
      <c r="G49" s="524">
        <f t="shared" si="6"/>
        <v>77115.063393521035</v>
      </c>
      <c r="H49" s="491">
        <f t="shared" si="7"/>
        <v>77115.063393521035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4"/>
        <v/>
      </c>
      <c r="C50" s="507">
        <f>IF(D11="","-",+C49+1)</f>
        <v>2049</v>
      </c>
      <c r="D50" s="523">
        <f>IF(F49+SUM(E$17:E49)=D$10,F49,D$10-SUM(E$17:E49))</f>
        <v>356064.2950193134</v>
      </c>
      <c r="E50" s="522">
        <f>IF(+I14&lt;F49,I14,D50)</f>
        <v>37099.547619047618</v>
      </c>
      <c r="F50" s="523">
        <f t="shared" si="5"/>
        <v>318964.74740026577</v>
      </c>
      <c r="G50" s="524">
        <f t="shared" ref="G50:G72" si="8">+I$12*((D50+F50)/2)+E50</f>
        <v>73152.164889423133</v>
      </c>
      <c r="H50" s="491">
        <f t="shared" ref="H50:H72" si="9">+I$13*((D50+F50)/2)+E50</f>
        <v>73152.164889423133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4"/>
        <v/>
      </c>
      <c r="C51" s="507">
        <f>IF(D11="","-",+C50+1)</f>
        <v>2050</v>
      </c>
      <c r="D51" s="523">
        <f>IF(F50+SUM(E$17:E50)=D$10,F50,D$10-SUM(E$17:E50))</f>
        <v>318964.74740026577</v>
      </c>
      <c r="E51" s="522">
        <f>IF(+I14&lt;F50,I14,D51)</f>
        <v>37099.547619047618</v>
      </c>
      <c r="F51" s="523">
        <f t="shared" si="5"/>
        <v>281865.19978121814</v>
      </c>
      <c r="G51" s="524">
        <f t="shared" si="8"/>
        <v>69189.266385325231</v>
      </c>
      <c r="H51" s="491">
        <f t="shared" si="9"/>
        <v>69189.266385325231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4"/>
        <v/>
      </c>
      <c r="C52" s="507">
        <f>IF(D11="","-",+C51+1)</f>
        <v>2051</v>
      </c>
      <c r="D52" s="523">
        <f>IF(F51+SUM(E$17:E51)=D$10,F51,D$10-SUM(E$17:E51))</f>
        <v>281865.19978121814</v>
      </c>
      <c r="E52" s="522">
        <f>IF(+I14&lt;F51,I14,D52)</f>
        <v>37099.547619047618</v>
      </c>
      <c r="F52" s="523">
        <f t="shared" si="5"/>
        <v>244765.6521621705</v>
      </c>
      <c r="G52" s="524">
        <f t="shared" si="8"/>
        <v>65226.367881227328</v>
      </c>
      <c r="H52" s="491">
        <f t="shared" si="9"/>
        <v>65226.367881227328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4"/>
        <v/>
      </c>
      <c r="C53" s="507">
        <f>IF(D11="","-",+C52+1)</f>
        <v>2052</v>
      </c>
      <c r="D53" s="523">
        <f>IF(F52+SUM(E$17:E52)=D$10,F52,D$10-SUM(E$17:E52))</f>
        <v>244765.6521621705</v>
      </c>
      <c r="E53" s="522">
        <f>IF(+I14&lt;F52,I14,D53)</f>
        <v>37099.547619047618</v>
      </c>
      <c r="F53" s="523">
        <f t="shared" si="5"/>
        <v>207666.10454312287</v>
      </c>
      <c r="G53" s="524">
        <f t="shared" si="8"/>
        <v>61263.469377129426</v>
      </c>
      <c r="H53" s="491">
        <f t="shared" si="9"/>
        <v>61263.469377129426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4"/>
        <v/>
      </c>
      <c r="C54" s="507">
        <f>IF(D11="","-",+C53+1)</f>
        <v>2053</v>
      </c>
      <c r="D54" s="523">
        <f>IF(F53+SUM(E$17:E53)=D$10,F53,D$10-SUM(E$17:E53))</f>
        <v>207666.10454312287</v>
      </c>
      <c r="E54" s="522">
        <f>IF(+I14&lt;F53,I14,D54)</f>
        <v>37099.547619047618</v>
      </c>
      <c r="F54" s="523">
        <f t="shared" si="5"/>
        <v>170566.55692407524</v>
      </c>
      <c r="G54" s="524">
        <f t="shared" si="8"/>
        <v>57300.570873031524</v>
      </c>
      <c r="H54" s="491">
        <f t="shared" si="9"/>
        <v>57300.570873031524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4"/>
        <v/>
      </c>
      <c r="C55" s="507">
        <f>IF(D11="","-",+C54+1)</f>
        <v>2054</v>
      </c>
      <c r="D55" s="523">
        <f>IF(F54+SUM(E$17:E54)=D$10,F54,D$10-SUM(E$17:E54))</f>
        <v>170566.55692407524</v>
      </c>
      <c r="E55" s="522">
        <f>IF(+I14&lt;F54,I14,D55)</f>
        <v>37099.547619047618</v>
      </c>
      <c r="F55" s="523">
        <f t="shared" si="5"/>
        <v>133467.0093050276</v>
      </c>
      <c r="G55" s="524">
        <f t="shared" si="8"/>
        <v>53337.672368933614</v>
      </c>
      <c r="H55" s="491">
        <f t="shared" si="9"/>
        <v>53337.672368933614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4"/>
        <v/>
      </c>
      <c r="C56" s="507">
        <f>IF(D11="","-",+C55+1)</f>
        <v>2055</v>
      </c>
      <c r="D56" s="523">
        <f>IF(F55+SUM(E$17:E55)=D$10,F55,D$10-SUM(E$17:E55))</f>
        <v>133467.0093050276</v>
      </c>
      <c r="E56" s="522">
        <f>IF(+I14&lt;F55,I14,D56)</f>
        <v>37099.547619047618</v>
      </c>
      <c r="F56" s="523">
        <f t="shared" si="5"/>
        <v>96367.461685979986</v>
      </c>
      <c r="G56" s="524">
        <f t="shared" si="8"/>
        <v>49374.773864835712</v>
      </c>
      <c r="H56" s="491">
        <f t="shared" si="9"/>
        <v>49374.773864835712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4"/>
        <v/>
      </c>
      <c r="C57" s="507">
        <f>IF(D11="","-",+C56+1)</f>
        <v>2056</v>
      </c>
      <c r="D57" s="523">
        <f>IF(F56+SUM(E$17:E56)=D$10,F56,D$10-SUM(E$17:E56))</f>
        <v>96367.461685979986</v>
      </c>
      <c r="E57" s="522">
        <f>IF(+I14&lt;F56,I14,D57)</f>
        <v>37099.547619047618</v>
      </c>
      <c r="F57" s="523">
        <f t="shared" si="5"/>
        <v>59267.914066932368</v>
      </c>
      <c r="G57" s="524">
        <f t="shared" si="8"/>
        <v>45411.875360737809</v>
      </c>
      <c r="H57" s="491">
        <f t="shared" si="9"/>
        <v>45411.875360737809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4"/>
        <v/>
      </c>
      <c r="C58" s="507">
        <f>IF(D11="","-",+C57+1)</f>
        <v>2057</v>
      </c>
      <c r="D58" s="523">
        <f>IF(F57+SUM(E$17:E57)=D$10,F57,D$10-SUM(E$17:E57))</f>
        <v>59267.914066932368</v>
      </c>
      <c r="E58" s="522">
        <f>IF(+I14&lt;F57,I14,D58)</f>
        <v>37099.547619047618</v>
      </c>
      <c r="F58" s="523">
        <f t="shared" si="5"/>
        <v>22168.36644788475</v>
      </c>
      <c r="G58" s="524">
        <f t="shared" si="8"/>
        <v>41448.976856639907</v>
      </c>
      <c r="H58" s="491">
        <f t="shared" si="9"/>
        <v>41448.976856639907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4"/>
        <v/>
      </c>
      <c r="C59" s="507">
        <f>IF(D11="","-",+C58+1)</f>
        <v>2058</v>
      </c>
      <c r="D59" s="523">
        <f>IF(F58+SUM(E$17:E58)=D$10,F58,D$10-SUM(E$17:E58))</f>
        <v>22168.36644788475</v>
      </c>
      <c r="E59" s="522">
        <f>IF(+I14&lt;F58,I14,D59)</f>
        <v>22168.36644788475</v>
      </c>
      <c r="F59" s="523">
        <f t="shared" si="5"/>
        <v>0</v>
      </c>
      <c r="G59" s="524">
        <f t="shared" si="8"/>
        <v>23352.356440656418</v>
      </c>
      <c r="H59" s="491">
        <f t="shared" si="9"/>
        <v>23352.356440656418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4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5"/>
        <v>0</v>
      </c>
      <c r="G60" s="524">
        <f t="shared" si="8"/>
        <v>0</v>
      </c>
      <c r="H60" s="491">
        <f t="shared" si="9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4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5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4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5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4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5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4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5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4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5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4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5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4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5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4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5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4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5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4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5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4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5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5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1558181</v>
      </c>
      <c r="F73" s="375"/>
      <c r="G73" s="375">
        <f>SUM(G17:G72)</f>
        <v>5209378.9226369374</v>
      </c>
      <c r="H73" s="375">
        <f>SUM(H17:H72)</f>
        <v>5209378.9226369374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56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182492.15165602544</v>
      </c>
      <c r="N87" s="546">
        <f>IF(J92&lt;D11,0,VLOOKUP(J92,C17:O72,11))</f>
        <v>182492.15165602544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189870.01394601294</v>
      </c>
      <c r="N88" s="550">
        <f>IF(J92&lt;D11,0,VLOOKUP(J92,C99:P154,7))</f>
        <v>189870.01394601294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Logansport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7377.8622899875045</v>
      </c>
      <c r="N89" s="555">
        <f>+N88-N87</f>
        <v>7377.8622899875045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TP2011022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v>1558181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9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37099.547619047618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9050.1220930232557</v>
      </c>
      <c r="F99" s="651">
        <v>1547570.8779069767</v>
      </c>
      <c r="G99" s="652">
        <v>773785.43895348837</v>
      </c>
      <c r="H99" s="653">
        <v>107282.1745058736</v>
      </c>
      <c r="I99" s="654">
        <v>107282.1745058736</v>
      </c>
      <c r="J99" s="514">
        <f t="shared" ref="J99:J130" si="10">+I99-H99</f>
        <v>0</v>
      </c>
      <c r="K99" s="514"/>
      <c r="L99" s="512">
        <f>+H99</f>
        <v>107282.1745058736</v>
      </c>
      <c r="M99" s="513">
        <f t="shared" ref="M99:M130" si="11">IF(L99&lt;&gt;0,+H99-L99,0)</f>
        <v>0</v>
      </c>
      <c r="N99" s="512">
        <f>+I99</f>
        <v>107282.1745058736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1549130.8779069767</v>
      </c>
      <c r="E100" s="630">
        <v>37099.547619047618</v>
      </c>
      <c r="F100" s="631">
        <v>1512031.3302879292</v>
      </c>
      <c r="G100" s="631">
        <v>1530581.1040974529</v>
      </c>
      <c r="H100" s="633">
        <v>223021.4654373239</v>
      </c>
      <c r="I100" s="634">
        <v>223021.4654373239</v>
      </c>
      <c r="J100" s="514">
        <f t="shared" si="10"/>
        <v>0</v>
      </c>
      <c r="K100" s="514"/>
      <c r="L100" s="655">
        <f>+H100</f>
        <v>223021.4654373239</v>
      </c>
      <c r="M100" s="514">
        <f t="shared" si="11"/>
        <v>0</v>
      </c>
      <c r="N100" s="655">
        <f>+I100</f>
        <v>223021.4654373239</v>
      </c>
      <c r="O100" s="514">
        <f t="shared" si="12"/>
        <v>0</v>
      </c>
      <c r="P100" s="514">
        <f t="shared" si="13"/>
        <v>0</v>
      </c>
    </row>
    <row r="101" spans="1:16" ht="12.5">
      <c r="B101" s="195" t="str">
        <f t="shared" ref="B101:B154" si="14">IF(D101=F100,"","IU")</f>
        <v/>
      </c>
      <c r="C101" s="507">
        <f>IF(D93="","-",+C100+1)</f>
        <v>2018</v>
      </c>
      <c r="D101" s="629">
        <v>1512031.3302879292</v>
      </c>
      <c r="E101" s="630">
        <v>37099.547619047618</v>
      </c>
      <c r="F101" s="631">
        <v>1474931.7826688816</v>
      </c>
      <c r="G101" s="631">
        <v>1493481.5564784054</v>
      </c>
      <c r="H101" s="633">
        <v>194818.04882044392</v>
      </c>
      <c r="I101" s="634">
        <v>194818.04882044392</v>
      </c>
      <c r="J101" s="514">
        <f t="shared" si="10"/>
        <v>0</v>
      </c>
      <c r="K101" s="514"/>
      <c r="L101" s="655">
        <f>+H101</f>
        <v>194818.04882044392</v>
      </c>
      <c r="M101" s="514">
        <f t="shared" ref="M101" si="15">IF(L101&lt;&gt;0,+H101-L101,0)</f>
        <v>0</v>
      </c>
      <c r="N101" s="655">
        <f>+I101</f>
        <v>194818.04882044392</v>
      </c>
      <c r="O101" s="514">
        <f t="shared" ref="O101" si="16">IF(N101&lt;&gt;0,+I101-N101,0)</f>
        <v>0</v>
      </c>
      <c r="P101" s="514">
        <f t="shared" si="13"/>
        <v>0</v>
      </c>
    </row>
    <row r="102" spans="1:16" ht="12.5">
      <c r="B102" s="195" t="str">
        <f t="shared" si="14"/>
        <v/>
      </c>
      <c r="C102" s="507">
        <f>IF(D93="","-",+C101+1)</f>
        <v>2019</v>
      </c>
      <c r="D102" s="629">
        <v>1474931.7826688816</v>
      </c>
      <c r="E102" s="630">
        <v>36236.767441860466</v>
      </c>
      <c r="F102" s="631">
        <v>1438695.0152270212</v>
      </c>
      <c r="G102" s="631">
        <v>1456813.3989479514</v>
      </c>
      <c r="H102" s="633">
        <v>192174.86987504771</v>
      </c>
      <c r="I102" s="634">
        <v>192174.86987504771</v>
      </c>
      <c r="J102" s="514">
        <f t="shared" si="10"/>
        <v>0</v>
      </c>
      <c r="K102" s="514"/>
      <c r="L102" s="655">
        <f>+H102</f>
        <v>192174.86987504771</v>
      </c>
      <c r="M102" s="514">
        <f t="shared" ref="M102" si="17">IF(L102&lt;&gt;0,+H102-L102,0)</f>
        <v>0</v>
      </c>
      <c r="N102" s="655">
        <f>+I102</f>
        <v>192174.86987504771</v>
      </c>
      <c r="O102" s="514">
        <f t="shared" si="12"/>
        <v>0</v>
      </c>
      <c r="P102" s="514">
        <f t="shared" si="13"/>
        <v>0</v>
      </c>
    </row>
    <row r="103" spans="1:16" ht="12.5">
      <c r="B103" s="195" t="str">
        <f t="shared" si="14"/>
        <v/>
      </c>
      <c r="C103" s="507">
        <f>IF(D93="","-",+C102+1)</f>
        <v>2020</v>
      </c>
      <c r="D103" s="374">
        <f>IF(F102+SUM(E$99:E102)=D$92,F102,D$92-SUM(E$99:E102))</f>
        <v>1438695.0152270212</v>
      </c>
      <c r="E103" s="522">
        <f>IF(+J96&lt;F102,J96,D103)</f>
        <v>37099.547619047618</v>
      </c>
      <c r="F103" s="523">
        <f t="shared" ref="F103:F130" si="18">+D103-E103</f>
        <v>1401595.4676079736</v>
      </c>
      <c r="G103" s="523">
        <f t="shared" ref="G103:G130" si="19">+(F103+D103)/2</f>
        <v>1420145.2414174974</v>
      </c>
      <c r="H103" s="526">
        <f t="shared" ref="H103:H154" si="20">+J$94*G103+E103</f>
        <v>189870.01394601294</v>
      </c>
      <c r="I103" s="577">
        <f t="shared" ref="I103:I154" si="21">+J$95*G103+E103</f>
        <v>189870.01394601294</v>
      </c>
      <c r="J103" s="514">
        <f t="shared" si="10"/>
        <v>0</v>
      </c>
      <c r="K103" s="514"/>
      <c r="L103" s="525"/>
      <c r="M103" s="514">
        <f t="shared" si="11"/>
        <v>0</v>
      </c>
      <c r="N103" s="525"/>
      <c r="O103" s="514">
        <f t="shared" si="12"/>
        <v>0</v>
      </c>
      <c r="P103" s="514">
        <f t="shared" si="13"/>
        <v>0</v>
      </c>
    </row>
    <row r="104" spans="1:16" ht="12.5">
      <c r="B104" s="195" t="str">
        <f t="shared" si="14"/>
        <v/>
      </c>
      <c r="C104" s="507">
        <f>IF(D93="","-",+C103+1)</f>
        <v>2021</v>
      </c>
      <c r="D104" s="374">
        <f>IF(F103+SUM(E$99:E103)=D$92,F103,D$92-SUM(E$99:E103))</f>
        <v>1401595.4676079736</v>
      </c>
      <c r="E104" s="522">
        <f>IF(+J96&lt;F103,J96,D104)</f>
        <v>37099.547619047618</v>
      </c>
      <c r="F104" s="523">
        <f t="shared" si="18"/>
        <v>1364495.919988926</v>
      </c>
      <c r="G104" s="523">
        <f t="shared" si="19"/>
        <v>1383045.6937984498</v>
      </c>
      <c r="H104" s="526">
        <f t="shared" si="20"/>
        <v>185879.07342458842</v>
      </c>
      <c r="I104" s="577">
        <f t="shared" si="21"/>
        <v>185879.07342458842</v>
      </c>
      <c r="J104" s="514">
        <f t="shared" si="10"/>
        <v>0</v>
      </c>
      <c r="K104" s="514"/>
      <c r="L104" s="525"/>
      <c r="M104" s="514">
        <f t="shared" si="11"/>
        <v>0</v>
      </c>
      <c r="N104" s="525"/>
      <c r="O104" s="514">
        <f t="shared" si="12"/>
        <v>0</v>
      </c>
      <c r="P104" s="514">
        <f t="shared" si="13"/>
        <v>0</v>
      </c>
    </row>
    <row r="105" spans="1:16" ht="12.5">
      <c r="B105" s="195" t="str">
        <f t="shared" si="14"/>
        <v/>
      </c>
      <c r="C105" s="507">
        <f>IF(D93="","-",+C104+1)</f>
        <v>2022</v>
      </c>
      <c r="D105" s="374">
        <f>IF(F104+SUM(E$99:E104)=D$92,F104,D$92-SUM(E$99:E104))</f>
        <v>1364495.919988926</v>
      </c>
      <c r="E105" s="522">
        <f>IF(+J96&lt;F104,J96,D105)</f>
        <v>37099.547619047618</v>
      </c>
      <c r="F105" s="523">
        <f t="shared" si="18"/>
        <v>1327396.3723698785</v>
      </c>
      <c r="G105" s="523">
        <f t="shared" si="19"/>
        <v>1345946.1461794022</v>
      </c>
      <c r="H105" s="526">
        <f t="shared" si="20"/>
        <v>181888.13290316385</v>
      </c>
      <c r="I105" s="577">
        <f t="shared" si="21"/>
        <v>181888.13290316385</v>
      </c>
      <c r="J105" s="514">
        <f t="shared" si="10"/>
        <v>0</v>
      </c>
      <c r="K105" s="514"/>
      <c r="L105" s="525"/>
      <c r="M105" s="514">
        <f t="shared" si="11"/>
        <v>0</v>
      </c>
      <c r="N105" s="525"/>
      <c r="O105" s="514">
        <f t="shared" si="12"/>
        <v>0</v>
      </c>
      <c r="P105" s="514">
        <f t="shared" si="13"/>
        <v>0</v>
      </c>
    </row>
    <row r="106" spans="1:16" ht="12.5">
      <c r="B106" s="195" t="str">
        <f t="shared" si="14"/>
        <v/>
      </c>
      <c r="C106" s="507">
        <f>IF(D93="","-",+C105+1)</f>
        <v>2023</v>
      </c>
      <c r="D106" s="374">
        <f>IF(F105+SUM(E$99:E105)=D$92,F105,D$92-SUM(E$99:E105))</f>
        <v>1327396.3723698785</v>
      </c>
      <c r="E106" s="522">
        <f>IF(+J96&lt;F105,J96,D106)</f>
        <v>37099.547619047618</v>
      </c>
      <c r="F106" s="523">
        <f t="shared" si="18"/>
        <v>1290296.8247508309</v>
      </c>
      <c r="G106" s="523">
        <f t="shared" si="19"/>
        <v>1308846.5985603547</v>
      </c>
      <c r="H106" s="526">
        <f t="shared" si="20"/>
        <v>177897.19238173927</v>
      </c>
      <c r="I106" s="577">
        <f t="shared" si="21"/>
        <v>177897.19238173927</v>
      </c>
      <c r="J106" s="514">
        <f t="shared" si="10"/>
        <v>0</v>
      </c>
      <c r="K106" s="514"/>
      <c r="L106" s="525"/>
      <c r="M106" s="514">
        <f t="shared" si="11"/>
        <v>0</v>
      </c>
      <c r="N106" s="525"/>
      <c r="O106" s="514">
        <f t="shared" si="12"/>
        <v>0</v>
      </c>
      <c r="P106" s="514">
        <f t="shared" si="13"/>
        <v>0</v>
      </c>
    </row>
    <row r="107" spans="1:16" ht="12.5">
      <c r="B107" s="195" t="str">
        <f t="shared" si="14"/>
        <v/>
      </c>
      <c r="C107" s="507">
        <f>IF(D93="","-",+C106+1)</f>
        <v>2024</v>
      </c>
      <c r="D107" s="374">
        <f>IF(F106+SUM(E$99:E106)=D$92,F106,D$92-SUM(E$99:E106))</f>
        <v>1290296.8247508309</v>
      </c>
      <c r="E107" s="522">
        <f>IF(+J96&lt;F106,J96,D107)</f>
        <v>37099.547619047618</v>
      </c>
      <c r="F107" s="523">
        <f t="shared" si="18"/>
        <v>1253197.2771317833</v>
      </c>
      <c r="G107" s="523">
        <f t="shared" si="19"/>
        <v>1271747.0509413071</v>
      </c>
      <c r="H107" s="526">
        <f t="shared" si="20"/>
        <v>173906.25186031475</v>
      </c>
      <c r="I107" s="577">
        <f t="shared" si="21"/>
        <v>173906.25186031475</v>
      </c>
      <c r="J107" s="514">
        <f t="shared" si="10"/>
        <v>0</v>
      </c>
      <c r="K107" s="514"/>
      <c r="L107" s="525"/>
      <c r="M107" s="514">
        <f t="shared" si="11"/>
        <v>0</v>
      </c>
      <c r="N107" s="525"/>
      <c r="O107" s="514">
        <f t="shared" si="12"/>
        <v>0</v>
      </c>
      <c r="P107" s="514">
        <f t="shared" si="13"/>
        <v>0</v>
      </c>
    </row>
    <row r="108" spans="1:16" ht="12.5">
      <c r="B108" s="195" t="str">
        <f t="shared" si="14"/>
        <v/>
      </c>
      <c r="C108" s="507">
        <f>IF(D93="","-",+C107+1)</f>
        <v>2025</v>
      </c>
      <c r="D108" s="374">
        <f>IF(F107+SUM(E$99:E107)=D$92,F107,D$92-SUM(E$99:E107))</f>
        <v>1253197.2771317833</v>
      </c>
      <c r="E108" s="522">
        <f>IF(+J96&lt;F107,J96,D108)</f>
        <v>37099.547619047618</v>
      </c>
      <c r="F108" s="523">
        <f t="shared" si="18"/>
        <v>1216097.7295127357</v>
      </c>
      <c r="G108" s="523">
        <f t="shared" si="19"/>
        <v>1234647.5033222595</v>
      </c>
      <c r="H108" s="526">
        <f t="shared" si="20"/>
        <v>169915.31133889017</v>
      </c>
      <c r="I108" s="577">
        <f t="shared" si="21"/>
        <v>169915.31133889017</v>
      </c>
      <c r="J108" s="514">
        <f t="shared" si="10"/>
        <v>0</v>
      </c>
      <c r="K108" s="514"/>
      <c r="L108" s="525"/>
      <c r="M108" s="514">
        <f t="shared" si="11"/>
        <v>0</v>
      </c>
      <c r="N108" s="525"/>
      <c r="O108" s="514">
        <f t="shared" si="12"/>
        <v>0</v>
      </c>
      <c r="P108" s="514">
        <f t="shared" si="13"/>
        <v>0</v>
      </c>
    </row>
    <row r="109" spans="1:16" ht="12.5">
      <c r="B109" s="195" t="str">
        <f t="shared" si="14"/>
        <v/>
      </c>
      <c r="C109" s="507">
        <f>IF(D93="","-",+C108+1)</f>
        <v>2026</v>
      </c>
      <c r="D109" s="374">
        <f>IF(F108+SUM(E$99:E108)=D$92,F108,D$92-SUM(E$99:E108))</f>
        <v>1216097.7295127357</v>
      </c>
      <c r="E109" s="522">
        <f>IF(+J96&lt;F108,J96,D109)</f>
        <v>37099.547619047618</v>
      </c>
      <c r="F109" s="523">
        <f t="shared" si="18"/>
        <v>1178998.1818936882</v>
      </c>
      <c r="G109" s="523">
        <f t="shared" si="19"/>
        <v>1197547.9557032119</v>
      </c>
      <c r="H109" s="526">
        <f t="shared" si="20"/>
        <v>165924.37081746559</v>
      </c>
      <c r="I109" s="577">
        <f t="shared" si="21"/>
        <v>165924.37081746559</v>
      </c>
      <c r="J109" s="514">
        <f t="shared" si="10"/>
        <v>0</v>
      </c>
      <c r="K109" s="514"/>
      <c r="L109" s="525"/>
      <c r="M109" s="514">
        <f t="shared" si="11"/>
        <v>0</v>
      </c>
      <c r="N109" s="525"/>
      <c r="O109" s="514">
        <f t="shared" si="12"/>
        <v>0</v>
      </c>
      <c r="P109" s="514">
        <f t="shared" si="13"/>
        <v>0</v>
      </c>
    </row>
    <row r="110" spans="1:16" ht="12.5">
      <c r="B110" s="195" t="str">
        <f t="shared" si="14"/>
        <v/>
      </c>
      <c r="C110" s="507">
        <f>IF(D93="","-",+C109+1)</f>
        <v>2027</v>
      </c>
      <c r="D110" s="374">
        <f>IF(F109+SUM(E$99:E109)=D$92,F109,D$92-SUM(E$99:E109))</f>
        <v>1178998.1818936882</v>
      </c>
      <c r="E110" s="522">
        <f>IF(+J96&lt;F109,J96,D110)</f>
        <v>37099.547619047618</v>
      </c>
      <c r="F110" s="523">
        <f t="shared" si="18"/>
        <v>1141898.6342746406</v>
      </c>
      <c r="G110" s="523">
        <f t="shared" si="19"/>
        <v>1160448.4080841644</v>
      </c>
      <c r="H110" s="526">
        <f t="shared" si="20"/>
        <v>161933.43029604104</v>
      </c>
      <c r="I110" s="577">
        <f t="shared" si="21"/>
        <v>161933.43029604104</v>
      </c>
      <c r="J110" s="514">
        <f t="shared" si="10"/>
        <v>0</v>
      </c>
      <c r="K110" s="514"/>
      <c r="L110" s="525"/>
      <c r="M110" s="514">
        <f t="shared" si="11"/>
        <v>0</v>
      </c>
      <c r="N110" s="525"/>
      <c r="O110" s="514">
        <f t="shared" si="12"/>
        <v>0</v>
      </c>
      <c r="P110" s="514">
        <f t="shared" si="13"/>
        <v>0</v>
      </c>
    </row>
    <row r="111" spans="1:16" ht="12.5">
      <c r="B111" s="195" t="str">
        <f t="shared" si="14"/>
        <v/>
      </c>
      <c r="C111" s="507">
        <f>IF(D93="","-",+C110+1)</f>
        <v>2028</v>
      </c>
      <c r="D111" s="374">
        <f>IF(F110+SUM(E$99:E110)=D$92,F110,D$92-SUM(E$99:E110))</f>
        <v>1141898.6342746406</v>
      </c>
      <c r="E111" s="522">
        <f>IF(+J96&lt;F110,J96,D111)</f>
        <v>37099.547619047618</v>
      </c>
      <c r="F111" s="523">
        <f t="shared" si="18"/>
        <v>1104799.086655593</v>
      </c>
      <c r="G111" s="523">
        <f t="shared" si="19"/>
        <v>1123348.8604651168</v>
      </c>
      <c r="H111" s="526">
        <f t="shared" si="20"/>
        <v>157942.48977461649</v>
      </c>
      <c r="I111" s="577">
        <f t="shared" si="21"/>
        <v>157942.48977461649</v>
      </c>
      <c r="J111" s="514">
        <f t="shared" si="10"/>
        <v>0</v>
      </c>
      <c r="K111" s="514"/>
      <c r="L111" s="525"/>
      <c r="M111" s="514">
        <f t="shared" si="11"/>
        <v>0</v>
      </c>
      <c r="N111" s="525"/>
      <c r="O111" s="514">
        <f t="shared" si="12"/>
        <v>0</v>
      </c>
      <c r="P111" s="514">
        <f t="shared" si="13"/>
        <v>0</v>
      </c>
    </row>
    <row r="112" spans="1:16" ht="12.5">
      <c r="B112" s="195" t="str">
        <f t="shared" si="14"/>
        <v/>
      </c>
      <c r="C112" s="507">
        <f>IF(D93="","-",+C111+1)</f>
        <v>2029</v>
      </c>
      <c r="D112" s="374">
        <f>IF(F111+SUM(E$99:E111)=D$92,F111,D$92-SUM(E$99:E111))</f>
        <v>1104799.086655593</v>
      </c>
      <c r="E112" s="522">
        <f>IF(+J96&lt;F111,J96,D112)</f>
        <v>37099.547619047618</v>
      </c>
      <c r="F112" s="523">
        <f t="shared" si="18"/>
        <v>1067699.5390365454</v>
      </c>
      <c r="G112" s="523">
        <f t="shared" si="19"/>
        <v>1086249.3128460692</v>
      </c>
      <c r="H112" s="526">
        <f t="shared" si="20"/>
        <v>153951.54925319192</v>
      </c>
      <c r="I112" s="577">
        <f t="shared" si="21"/>
        <v>153951.54925319192</v>
      </c>
      <c r="J112" s="514">
        <f t="shared" si="10"/>
        <v>0</v>
      </c>
      <c r="K112" s="514"/>
      <c r="L112" s="525"/>
      <c r="M112" s="514">
        <f t="shared" si="11"/>
        <v>0</v>
      </c>
      <c r="N112" s="525"/>
      <c r="O112" s="514">
        <f t="shared" si="12"/>
        <v>0</v>
      </c>
      <c r="P112" s="514">
        <f t="shared" si="13"/>
        <v>0</v>
      </c>
    </row>
    <row r="113" spans="2:16" ht="12.5">
      <c r="B113" s="195" t="str">
        <f t="shared" si="14"/>
        <v/>
      </c>
      <c r="C113" s="507">
        <f>IF(D93="","-",+C112+1)</f>
        <v>2030</v>
      </c>
      <c r="D113" s="374">
        <f>IF(F112+SUM(E$99:E112)=D$92,F112,D$92-SUM(E$99:E112))</f>
        <v>1067699.5390365454</v>
      </c>
      <c r="E113" s="522">
        <f>IF(+J96&lt;F112,J96,D113)</f>
        <v>37099.547619047618</v>
      </c>
      <c r="F113" s="523">
        <f t="shared" si="18"/>
        <v>1030599.9914174979</v>
      </c>
      <c r="G113" s="523">
        <f t="shared" si="19"/>
        <v>1049149.7652270216</v>
      </c>
      <c r="H113" s="526">
        <f t="shared" si="20"/>
        <v>149960.60873176737</v>
      </c>
      <c r="I113" s="577">
        <f t="shared" si="21"/>
        <v>149960.60873176737</v>
      </c>
      <c r="J113" s="514">
        <f t="shared" si="10"/>
        <v>0</v>
      </c>
      <c r="K113" s="514"/>
      <c r="L113" s="525"/>
      <c r="M113" s="514">
        <f t="shared" si="11"/>
        <v>0</v>
      </c>
      <c r="N113" s="525"/>
      <c r="O113" s="514">
        <f t="shared" si="12"/>
        <v>0</v>
      </c>
      <c r="P113" s="514">
        <f t="shared" si="13"/>
        <v>0</v>
      </c>
    </row>
    <row r="114" spans="2:16" ht="12.5">
      <c r="B114" s="195" t="str">
        <f t="shared" si="14"/>
        <v/>
      </c>
      <c r="C114" s="507">
        <f>IF(D93="","-",+C113+1)</f>
        <v>2031</v>
      </c>
      <c r="D114" s="374">
        <f>IF(F113+SUM(E$99:E113)=D$92,F113,D$92-SUM(E$99:E113))</f>
        <v>1030599.9914174979</v>
      </c>
      <c r="E114" s="522">
        <f>IF(+J96&lt;F113,J96,D114)</f>
        <v>37099.547619047618</v>
      </c>
      <c r="F114" s="523">
        <f t="shared" si="18"/>
        <v>993500.44379845029</v>
      </c>
      <c r="G114" s="523">
        <f t="shared" si="19"/>
        <v>1012050.2176079741</v>
      </c>
      <c r="H114" s="526">
        <f t="shared" si="20"/>
        <v>145969.66821034282</v>
      </c>
      <c r="I114" s="577">
        <f t="shared" si="21"/>
        <v>145969.66821034282</v>
      </c>
      <c r="J114" s="514">
        <f t="shared" si="10"/>
        <v>0</v>
      </c>
      <c r="K114" s="514"/>
      <c r="L114" s="525"/>
      <c r="M114" s="514">
        <f t="shared" si="11"/>
        <v>0</v>
      </c>
      <c r="N114" s="525"/>
      <c r="O114" s="514">
        <f t="shared" si="12"/>
        <v>0</v>
      </c>
      <c r="P114" s="514">
        <f t="shared" si="13"/>
        <v>0</v>
      </c>
    </row>
    <row r="115" spans="2:16" ht="12.5">
      <c r="B115" s="195" t="str">
        <f t="shared" si="14"/>
        <v/>
      </c>
      <c r="C115" s="507">
        <f>IF(D93="","-",+C114+1)</f>
        <v>2032</v>
      </c>
      <c r="D115" s="374">
        <f>IF(F114+SUM(E$99:E114)=D$92,F114,D$92-SUM(E$99:E114))</f>
        <v>993500.44379845029</v>
      </c>
      <c r="E115" s="522">
        <f>IF(+J96&lt;F114,J96,D115)</f>
        <v>37099.547619047618</v>
      </c>
      <c r="F115" s="523">
        <f t="shared" si="18"/>
        <v>956400.89617940271</v>
      </c>
      <c r="G115" s="523">
        <f t="shared" si="19"/>
        <v>974950.6699889265</v>
      </c>
      <c r="H115" s="526">
        <f t="shared" si="20"/>
        <v>141978.72768891824</v>
      </c>
      <c r="I115" s="577">
        <f t="shared" si="21"/>
        <v>141978.72768891824</v>
      </c>
      <c r="J115" s="514">
        <f t="shared" si="10"/>
        <v>0</v>
      </c>
      <c r="K115" s="514"/>
      <c r="L115" s="525"/>
      <c r="M115" s="514">
        <f t="shared" si="11"/>
        <v>0</v>
      </c>
      <c r="N115" s="525"/>
      <c r="O115" s="514">
        <f t="shared" si="12"/>
        <v>0</v>
      </c>
      <c r="P115" s="514">
        <f t="shared" si="13"/>
        <v>0</v>
      </c>
    </row>
    <row r="116" spans="2:16" ht="12.5">
      <c r="B116" s="195" t="str">
        <f t="shared" si="14"/>
        <v/>
      </c>
      <c r="C116" s="507">
        <f>IF(D93="","-",+C115+1)</f>
        <v>2033</v>
      </c>
      <c r="D116" s="374">
        <f>IF(F115+SUM(E$99:E115)=D$92,F115,D$92-SUM(E$99:E115))</f>
        <v>956400.89617940271</v>
      </c>
      <c r="E116" s="522">
        <f>IF(+J96&lt;F115,J96,D116)</f>
        <v>37099.547619047618</v>
      </c>
      <c r="F116" s="523">
        <f t="shared" si="18"/>
        <v>919301.34856035514</v>
      </c>
      <c r="G116" s="523">
        <f t="shared" si="19"/>
        <v>937851.12236987893</v>
      </c>
      <c r="H116" s="526">
        <f t="shared" si="20"/>
        <v>137987.78716749366</v>
      </c>
      <c r="I116" s="577">
        <f t="shared" si="21"/>
        <v>137987.78716749366</v>
      </c>
      <c r="J116" s="514">
        <f t="shared" si="10"/>
        <v>0</v>
      </c>
      <c r="K116" s="514"/>
      <c r="L116" s="525"/>
      <c r="M116" s="514">
        <f t="shared" si="11"/>
        <v>0</v>
      </c>
      <c r="N116" s="525"/>
      <c r="O116" s="514">
        <f t="shared" si="12"/>
        <v>0</v>
      </c>
      <c r="P116" s="514">
        <f t="shared" si="13"/>
        <v>0</v>
      </c>
    </row>
    <row r="117" spans="2:16" ht="12.5">
      <c r="B117" s="195" t="str">
        <f t="shared" si="14"/>
        <v/>
      </c>
      <c r="C117" s="507">
        <f>IF(D93="","-",+C116+1)</f>
        <v>2034</v>
      </c>
      <c r="D117" s="374">
        <f>IF(F116+SUM(E$99:E116)=D$92,F116,D$92-SUM(E$99:E116))</f>
        <v>919301.34856035514</v>
      </c>
      <c r="E117" s="522">
        <f>IF(+J96&lt;F116,J96,D117)</f>
        <v>37099.547619047618</v>
      </c>
      <c r="F117" s="523">
        <f t="shared" si="18"/>
        <v>882201.80094130756</v>
      </c>
      <c r="G117" s="523">
        <f t="shared" si="19"/>
        <v>900751.57475083135</v>
      </c>
      <c r="H117" s="526">
        <f t="shared" si="20"/>
        <v>133996.84664606914</v>
      </c>
      <c r="I117" s="577">
        <f t="shared" si="21"/>
        <v>133996.84664606914</v>
      </c>
      <c r="J117" s="514">
        <f t="shared" si="10"/>
        <v>0</v>
      </c>
      <c r="K117" s="514"/>
      <c r="L117" s="525"/>
      <c r="M117" s="514">
        <f t="shared" si="11"/>
        <v>0</v>
      </c>
      <c r="N117" s="525"/>
      <c r="O117" s="514">
        <f t="shared" si="12"/>
        <v>0</v>
      </c>
      <c r="P117" s="514">
        <f t="shared" si="13"/>
        <v>0</v>
      </c>
    </row>
    <row r="118" spans="2:16" ht="12.5">
      <c r="B118" s="195" t="str">
        <f t="shared" si="14"/>
        <v/>
      </c>
      <c r="C118" s="507">
        <f>IF(D93="","-",+C117+1)</f>
        <v>2035</v>
      </c>
      <c r="D118" s="374">
        <f>IF(F117+SUM(E$99:E117)=D$92,F117,D$92-SUM(E$99:E117))</f>
        <v>882201.80094130756</v>
      </c>
      <c r="E118" s="522">
        <f>IF(+J96&lt;F117,J96,D118)</f>
        <v>37099.547619047618</v>
      </c>
      <c r="F118" s="523">
        <f t="shared" si="18"/>
        <v>845102.25332225999</v>
      </c>
      <c r="G118" s="523">
        <f t="shared" si="19"/>
        <v>863652.02713178378</v>
      </c>
      <c r="H118" s="526">
        <f t="shared" si="20"/>
        <v>130005.90612464456</v>
      </c>
      <c r="I118" s="577">
        <f t="shared" si="21"/>
        <v>130005.90612464456</v>
      </c>
      <c r="J118" s="514">
        <f t="shared" si="10"/>
        <v>0</v>
      </c>
      <c r="K118" s="514"/>
      <c r="L118" s="525"/>
      <c r="M118" s="514">
        <f t="shared" si="11"/>
        <v>0</v>
      </c>
      <c r="N118" s="525"/>
      <c r="O118" s="514">
        <f t="shared" si="12"/>
        <v>0</v>
      </c>
      <c r="P118" s="514">
        <f t="shared" si="13"/>
        <v>0</v>
      </c>
    </row>
    <row r="119" spans="2:16" ht="12.5">
      <c r="B119" s="195" t="str">
        <f t="shared" si="14"/>
        <v/>
      </c>
      <c r="C119" s="507">
        <f>IF(D93="","-",+C118+1)</f>
        <v>2036</v>
      </c>
      <c r="D119" s="374">
        <f>IF(F118+SUM(E$99:E118)=D$92,F118,D$92-SUM(E$99:E118))</f>
        <v>845102.25332225999</v>
      </c>
      <c r="E119" s="522">
        <f>IF(+J96&lt;F118,J96,D119)</f>
        <v>37099.547619047618</v>
      </c>
      <c r="F119" s="523">
        <f t="shared" si="18"/>
        <v>808002.70570321241</v>
      </c>
      <c r="G119" s="523">
        <f t="shared" si="19"/>
        <v>826552.4795127362</v>
      </c>
      <c r="H119" s="526">
        <f t="shared" si="20"/>
        <v>126014.96560322</v>
      </c>
      <c r="I119" s="577">
        <f t="shared" si="21"/>
        <v>126014.96560322</v>
      </c>
      <c r="J119" s="514">
        <f t="shared" si="10"/>
        <v>0</v>
      </c>
      <c r="K119" s="514"/>
      <c r="L119" s="525"/>
      <c r="M119" s="514">
        <f t="shared" si="11"/>
        <v>0</v>
      </c>
      <c r="N119" s="525"/>
      <c r="O119" s="514">
        <f t="shared" si="12"/>
        <v>0</v>
      </c>
      <c r="P119" s="514">
        <f t="shared" si="13"/>
        <v>0</v>
      </c>
    </row>
    <row r="120" spans="2:16" ht="12.5">
      <c r="B120" s="195" t="str">
        <f t="shared" si="14"/>
        <v/>
      </c>
      <c r="C120" s="507">
        <f>IF(D93="","-",+C119+1)</f>
        <v>2037</v>
      </c>
      <c r="D120" s="374">
        <f>IF(F119+SUM(E$99:E119)=D$92,F119,D$92-SUM(E$99:E119))</f>
        <v>808002.70570321241</v>
      </c>
      <c r="E120" s="522">
        <f>IF(+J96&lt;F119,J96,D120)</f>
        <v>37099.547619047618</v>
      </c>
      <c r="F120" s="523">
        <f t="shared" si="18"/>
        <v>770903.15808416484</v>
      </c>
      <c r="G120" s="523">
        <f t="shared" si="19"/>
        <v>789452.93189368863</v>
      </c>
      <c r="H120" s="526">
        <f t="shared" si="20"/>
        <v>122024.02508179544</v>
      </c>
      <c r="I120" s="577">
        <f t="shared" si="21"/>
        <v>122024.02508179544</v>
      </c>
      <c r="J120" s="514">
        <f t="shared" si="10"/>
        <v>0</v>
      </c>
      <c r="K120" s="514"/>
      <c r="L120" s="525"/>
      <c r="M120" s="514">
        <f t="shared" si="11"/>
        <v>0</v>
      </c>
      <c r="N120" s="525"/>
      <c r="O120" s="514">
        <f t="shared" si="12"/>
        <v>0</v>
      </c>
      <c r="P120" s="514">
        <f t="shared" si="13"/>
        <v>0</v>
      </c>
    </row>
    <row r="121" spans="2:16" ht="12.5">
      <c r="B121" s="195" t="str">
        <f t="shared" si="14"/>
        <v/>
      </c>
      <c r="C121" s="507">
        <f>IF(D93="","-",+C120+1)</f>
        <v>2038</v>
      </c>
      <c r="D121" s="374">
        <f>IF(F120+SUM(E$99:E120)=D$92,F120,D$92-SUM(E$99:E120))</f>
        <v>770903.15808416484</v>
      </c>
      <c r="E121" s="522">
        <f>IF(+J96&lt;F120,J96,D121)</f>
        <v>37099.547619047618</v>
      </c>
      <c r="F121" s="523">
        <f t="shared" si="18"/>
        <v>733803.61046511726</v>
      </c>
      <c r="G121" s="523">
        <f t="shared" si="19"/>
        <v>752353.38427464105</v>
      </c>
      <c r="H121" s="526">
        <f t="shared" si="20"/>
        <v>118033.08456037089</v>
      </c>
      <c r="I121" s="577">
        <f t="shared" si="21"/>
        <v>118033.08456037089</v>
      </c>
      <c r="J121" s="514">
        <f t="shared" si="10"/>
        <v>0</v>
      </c>
      <c r="K121" s="514"/>
      <c r="L121" s="525"/>
      <c r="M121" s="514">
        <f t="shared" si="11"/>
        <v>0</v>
      </c>
      <c r="N121" s="525"/>
      <c r="O121" s="514">
        <f t="shared" si="12"/>
        <v>0</v>
      </c>
      <c r="P121" s="514">
        <f t="shared" si="13"/>
        <v>0</v>
      </c>
    </row>
    <row r="122" spans="2:16" ht="12.5">
      <c r="B122" s="195" t="str">
        <f t="shared" si="14"/>
        <v/>
      </c>
      <c r="C122" s="507">
        <f>IF(D93="","-",+C121+1)</f>
        <v>2039</v>
      </c>
      <c r="D122" s="374">
        <f>IF(F121+SUM(E$99:E121)=D$92,F121,D$92-SUM(E$99:E121))</f>
        <v>733803.61046511726</v>
      </c>
      <c r="E122" s="522">
        <f>IF(+J96&lt;F121,J96,D122)</f>
        <v>37099.547619047618</v>
      </c>
      <c r="F122" s="523">
        <f t="shared" si="18"/>
        <v>696704.06284606969</v>
      </c>
      <c r="G122" s="523">
        <f t="shared" si="19"/>
        <v>715253.83665559348</v>
      </c>
      <c r="H122" s="526">
        <f t="shared" si="20"/>
        <v>114042.14403894632</v>
      </c>
      <c r="I122" s="577">
        <f t="shared" si="21"/>
        <v>114042.14403894632</v>
      </c>
      <c r="J122" s="514">
        <f t="shared" si="10"/>
        <v>0</v>
      </c>
      <c r="K122" s="514"/>
      <c r="L122" s="525"/>
      <c r="M122" s="514">
        <f t="shared" si="11"/>
        <v>0</v>
      </c>
      <c r="N122" s="525"/>
      <c r="O122" s="514">
        <f t="shared" si="12"/>
        <v>0</v>
      </c>
      <c r="P122" s="514">
        <f t="shared" si="13"/>
        <v>0</v>
      </c>
    </row>
    <row r="123" spans="2:16" ht="12.5">
      <c r="B123" s="195" t="str">
        <f t="shared" si="14"/>
        <v/>
      </c>
      <c r="C123" s="507">
        <f>IF(D93="","-",+C122+1)</f>
        <v>2040</v>
      </c>
      <c r="D123" s="374">
        <f>IF(F122+SUM(E$99:E122)=D$92,F122,D$92-SUM(E$99:E122))</f>
        <v>696704.06284606969</v>
      </c>
      <c r="E123" s="522">
        <f>IF(+J96&lt;F122,J96,D123)</f>
        <v>37099.547619047618</v>
      </c>
      <c r="F123" s="523">
        <f t="shared" si="18"/>
        <v>659604.51522702212</v>
      </c>
      <c r="G123" s="523">
        <f t="shared" si="19"/>
        <v>678154.2890365459</v>
      </c>
      <c r="H123" s="526">
        <f t="shared" si="20"/>
        <v>110051.20351752176</v>
      </c>
      <c r="I123" s="577">
        <f t="shared" si="21"/>
        <v>110051.20351752176</v>
      </c>
      <c r="J123" s="514">
        <f t="shared" si="10"/>
        <v>0</v>
      </c>
      <c r="K123" s="514"/>
      <c r="L123" s="525"/>
      <c r="M123" s="514">
        <f t="shared" si="11"/>
        <v>0</v>
      </c>
      <c r="N123" s="525"/>
      <c r="O123" s="514">
        <f t="shared" si="12"/>
        <v>0</v>
      </c>
      <c r="P123" s="514">
        <f t="shared" si="13"/>
        <v>0</v>
      </c>
    </row>
    <row r="124" spans="2:16" ht="12.5">
      <c r="B124" s="195" t="str">
        <f t="shared" si="14"/>
        <v/>
      </c>
      <c r="C124" s="507">
        <f>IF(D93="","-",+C123+1)</f>
        <v>2041</v>
      </c>
      <c r="D124" s="374">
        <f>IF(F123+SUM(E$99:E123)=D$92,F123,D$92-SUM(E$99:E123))</f>
        <v>659604.51522702212</v>
      </c>
      <c r="E124" s="522">
        <f>IF(+J96&lt;F123,J96,D124)</f>
        <v>37099.547619047618</v>
      </c>
      <c r="F124" s="523">
        <f t="shared" si="18"/>
        <v>622504.96760797454</v>
      </c>
      <c r="G124" s="523">
        <f t="shared" si="19"/>
        <v>641054.74141749833</v>
      </c>
      <c r="H124" s="526">
        <f t="shared" si="20"/>
        <v>106060.2629960972</v>
      </c>
      <c r="I124" s="577">
        <f t="shared" si="21"/>
        <v>106060.2629960972</v>
      </c>
      <c r="J124" s="514">
        <f t="shared" si="10"/>
        <v>0</v>
      </c>
      <c r="K124" s="514"/>
      <c r="L124" s="525"/>
      <c r="M124" s="514">
        <f t="shared" si="11"/>
        <v>0</v>
      </c>
      <c r="N124" s="525"/>
      <c r="O124" s="514">
        <f t="shared" si="12"/>
        <v>0</v>
      </c>
      <c r="P124" s="514">
        <f t="shared" si="13"/>
        <v>0</v>
      </c>
    </row>
    <row r="125" spans="2:16" ht="12.5">
      <c r="B125" s="195" t="str">
        <f t="shared" si="14"/>
        <v/>
      </c>
      <c r="C125" s="507">
        <f>IF(D93="","-",+C124+1)</f>
        <v>2042</v>
      </c>
      <c r="D125" s="374">
        <f>IF(F124+SUM(E$99:E124)=D$92,F124,D$92-SUM(E$99:E124))</f>
        <v>622504.96760797454</v>
      </c>
      <c r="E125" s="522">
        <f>IF(+J96&lt;F124,J96,D125)</f>
        <v>37099.547619047618</v>
      </c>
      <c r="F125" s="523">
        <f t="shared" si="18"/>
        <v>585405.41998892697</v>
      </c>
      <c r="G125" s="523">
        <f t="shared" si="19"/>
        <v>603955.19379845075</v>
      </c>
      <c r="H125" s="526">
        <f t="shared" si="20"/>
        <v>102069.32247467263</v>
      </c>
      <c r="I125" s="577">
        <f t="shared" si="21"/>
        <v>102069.32247467263</v>
      </c>
      <c r="J125" s="514">
        <f t="shared" si="10"/>
        <v>0</v>
      </c>
      <c r="K125" s="514"/>
      <c r="L125" s="525"/>
      <c r="M125" s="514">
        <f t="shared" si="11"/>
        <v>0</v>
      </c>
      <c r="N125" s="525"/>
      <c r="O125" s="514">
        <f t="shared" si="12"/>
        <v>0</v>
      </c>
      <c r="P125" s="514">
        <f t="shared" si="13"/>
        <v>0</v>
      </c>
    </row>
    <row r="126" spans="2:16" ht="12.5">
      <c r="B126" s="195" t="str">
        <f t="shared" si="14"/>
        <v/>
      </c>
      <c r="C126" s="507">
        <f>IF(D93="","-",+C125+1)</f>
        <v>2043</v>
      </c>
      <c r="D126" s="374">
        <f>IF(F125+SUM(E$99:E125)=D$92,F125,D$92-SUM(E$99:E125))</f>
        <v>585405.41998892697</v>
      </c>
      <c r="E126" s="522">
        <f>IF(+J96&lt;F125,J96,D126)</f>
        <v>37099.547619047618</v>
      </c>
      <c r="F126" s="523">
        <f t="shared" si="18"/>
        <v>548305.87236987939</v>
      </c>
      <c r="G126" s="523">
        <f t="shared" si="19"/>
        <v>566855.64617940318</v>
      </c>
      <c r="H126" s="526">
        <f t="shared" si="20"/>
        <v>98078.381953248085</v>
      </c>
      <c r="I126" s="577">
        <f t="shared" si="21"/>
        <v>98078.381953248085</v>
      </c>
      <c r="J126" s="514">
        <f t="shared" si="10"/>
        <v>0</v>
      </c>
      <c r="K126" s="514"/>
      <c r="L126" s="525"/>
      <c r="M126" s="514">
        <f t="shared" si="11"/>
        <v>0</v>
      </c>
      <c r="N126" s="525"/>
      <c r="O126" s="514">
        <f t="shared" si="12"/>
        <v>0</v>
      </c>
      <c r="P126" s="514">
        <f t="shared" si="13"/>
        <v>0</v>
      </c>
    </row>
    <row r="127" spans="2:16" ht="12.5">
      <c r="B127" s="195" t="str">
        <f t="shared" si="14"/>
        <v/>
      </c>
      <c r="C127" s="507">
        <f>IF(D93="","-",+C126+1)</f>
        <v>2044</v>
      </c>
      <c r="D127" s="374">
        <f>IF(F126+SUM(E$99:E126)=D$92,F126,D$92-SUM(E$99:E126))</f>
        <v>548305.87236987939</v>
      </c>
      <c r="E127" s="522">
        <f>IF(+J96&lt;F126,J96,D127)</f>
        <v>37099.547619047618</v>
      </c>
      <c r="F127" s="523">
        <f t="shared" si="18"/>
        <v>511206.32475083176</v>
      </c>
      <c r="G127" s="523">
        <f t="shared" si="19"/>
        <v>529756.0985603556</v>
      </c>
      <c r="H127" s="526">
        <f t="shared" si="20"/>
        <v>94087.441431823521</v>
      </c>
      <c r="I127" s="577">
        <f t="shared" si="21"/>
        <v>94087.441431823521</v>
      </c>
      <c r="J127" s="514">
        <f t="shared" si="10"/>
        <v>0</v>
      </c>
      <c r="K127" s="514"/>
      <c r="L127" s="525"/>
      <c r="M127" s="514">
        <f t="shared" si="11"/>
        <v>0</v>
      </c>
      <c r="N127" s="525"/>
      <c r="O127" s="514">
        <f t="shared" si="12"/>
        <v>0</v>
      </c>
      <c r="P127" s="514">
        <f t="shared" si="13"/>
        <v>0</v>
      </c>
    </row>
    <row r="128" spans="2:16" ht="12.5">
      <c r="B128" s="195" t="str">
        <f t="shared" si="14"/>
        <v/>
      </c>
      <c r="C128" s="507">
        <f>IF(D93="","-",+C127+1)</f>
        <v>2045</v>
      </c>
      <c r="D128" s="374">
        <f>IF(F127+SUM(E$99:E127)=D$92,F127,D$92-SUM(E$99:E127))</f>
        <v>511206.32475083176</v>
      </c>
      <c r="E128" s="522">
        <f>IF(+J96&lt;F127,J96,D128)</f>
        <v>37099.547619047618</v>
      </c>
      <c r="F128" s="523">
        <f t="shared" si="18"/>
        <v>474106.77713178413</v>
      </c>
      <c r="G128" s="523">
        <f t="shared" si="19"/>
        <v>492656.55094130791</v>
      </c>
      <c r="H128" s="526">
        <f t="shared" si="20"/>
        <v>90096.500910398958</v>
      </c>
      <c r="I128" s="577">
        <f t="shared" si="21"/>
        <v>90096.500910398958</v>
      </c>
      <c r="J128" s="514">
        <f t="shared" si="10"/>
        <v>0</v>
      </c>
      <c r="K128" s="514"/>
      <c r="L128" s="525"/>
      <c r="M128" s="514">
        <f t="shared" si="11"/>
        <v>0</v>
      </c>
      <c r="N128" s="525"/>
      <c r="O128" s="514">
        <f t="shared" si="12"/>
        <v>0</v>
      </c>
      <c r="P128" s="514">
        <f t="shared" si="13"/>
        <v>0</v>
      </c>
    </row>
    <row r="129" spans="2:16" ht="12.5">
      <c r="B129" s="195" t="str">
        <f t="shared" si="14"/>
        <v/>
      </c>
      <c r="C129" s="507">
        <f>IF(D93="","-",+C128+1)</f>
        <v>2046</v>
      </c>
      <c r="D129" s="374">
        <f>IF(F128+SUM(E$99:E128)=D$92,F128,D$92-SUM(E$99:E128))</f>
        <v>474106.77713178413</v>
      </c>
      <c r="E129" s="522">
        <f>IF(+J96&lt;F128,J96,D129)</f>
        <v>37099.547619047618</v>
      </c>
      <c r="F129" s="523">
        <f t="shared" si="18"/>
        <v>437007.22951273649</v>
      </c>
      <c r="G129" s="523">
        <f t="shared" si="19"/>
        <v>455557.00332226034</v>
      </c>
      <c r="H129" s="526">
        <f t="shared" si="20"/>
        <v>86105.56038897438</v>
      </c>
      <c r="I129" s="577">
        <f t="shared" si="21"/>
        <v>86105.56038897438</v>
      </c>
      <c r="J129" s="514">
        <f t="shared" si="10"/>
        <v>0</v>
      </c>
      <c r="K129" s="514"/>
      <c r="L129" s="525"/>
      <c r="M129" s="514">
        <f t="shared" si="11"/>
        <v>0</v>
      </c>
      <c r="N129" s="525"/>
      <c r="O129" s="514">
        <f t="shared" si="12"/>
        <v>0</v>
      </c>
      <c r="P129" s="514">
        <f t="shared" si="13"/>
        <v>0</v>
      </c>
    </row>
    <row r="130" spans="2:16" ht="12.5">
      <c r="B130" s="195" t="str">
        <f t="shared" si="14"/>
        <v/>
      </c>
      <c r="C130" s="507">
        <f>IF(D93="","-",+C129+1)</f>
        <v>2047</v>
      </c>
      <c r="D130" s="374">
        <f>IF(F129+SUM(E$99:E129)=D$92,F129,D$92-SUM(E$99:E129))</f>
        <v>437007.22951273649</v>
      </c>
      <c r="E130" s="522">
        <f>IF(+J96&lt;F129,J96,D130)</f>
        <v>37099.547619047618</v>
      </c>
      <c r="F130" s="523">
        <f t="shared" si="18"/>
        <v>399907.68189368886</v>
      </c>
      <c r="G130" s="523">
        <f t="shared" si="19"/>
        <v>418457.45570321265</v>
      </c>
      <c r="H130" s="526">
        <f t="shared" si="20"/>
        <v>82114.619867549816</v>
      </c>
      <c r="I130" s="577">
        <f t="shared" si="21"/>
        <v>82114.619867549816</v>
      </c>
      <c r="J130" s="514">
        <f t="shared" si="10"/>
        <v>0</v>
      </c>
      <c r="K130" s="514"/>
      <c r="L130" s="525"/>
      <c r="M130" s="514">
        <f t="shared" si="11"/>
        <v>0</v>
      </c>
      <c r="N130" s="525"/>
      <c r="O130" s="514">
        <f t="shared" si="12"/>
        <v>0</v>
      </c>
      <c r="P130" s="514">
        <f t="shared" si="13"/>
        <v>0</v>
      </c>
    </row>
    <row r="131" spans="2:16" ht="12.5">
      <c r="B131" s="195" t="str">
        <f t="shared" si="14"/>
        <v/>
      </c>
      <c r="C131" s="507">
        <f>IF(D93="","-",+C130+1)</f>
        <v>2048</v>
      </c>
      <c r="D131" s="374">
        <f>IF(F130+SUM(E$99:E130)=D$92,F130,D$92-SUM(E$99:E130))</f>
        <v>399907.68189368886</v>
      </c>
      <c r="E131" s="522">
        <f>IF(+J96&lt;F130,J96,D131)</f>
        <v>37099.547619047618</v>
      </c>
      <c r="F131" s="523">
        <f t="shared" ref="F131:F154" si="22">+D131-E131</f>
        <v>362808.13427464123</v>
      </c>
      <c r="G131" s="523">
        <f t="shared" ref="G131:G154" si="23">+(F131+D131)/2</f>
        <v>381357.90808416507</v>
      </c>
      <c r="H131" s="526">
        <f t="shared" si="20"/>
        <v>78123.679346125253</v>
      </c>
      <c r="I131" s="577">
        <f t="shared" si="21"/>
        <v>78123.679346125253</v>
      </c>
      <c r="J131" s="514">
        <f t="shared" ref="J131:J154" si="24">+I541-H541</f>
        <v>0</v>
      </c>
      <c r="K131" s="514"/>
      <c r="L131" s="525"/>
      <c r="M131" s="514">
        <f t="shared" ref="M131:M154" si="25">IF(L541&lt;&gt;0,+H541-L541,0)</f>
        <v>0</v>
      </c>
      <c r="N131" s="525"/>
      <c r="O131" s="514">
        <f t="shared" ref="O131:O154" si="26">IF(N541&lt;&gt;0,+I541-N541,0)</f>
        <v>0</v>
      </c>
      <c r="P131" s="514">
        <f t="shared" ref="P131:P154" si="27">+O541-M541</f>
        <v>0</v>
      </c>
    </row>
    <row r="132" spans="2:16" ht="12.5">
      <c r="B132" s="195" t="str">
        <f t="shared" si="14"/>
        <v/>
      </c>
      <c r="C132" s="507">
        <f>IF(D93="","-",+C131+1)</f>
        <v>2049</v>
      </c>
      <c r="D132" s="374">
        <f>IF(F131+SUM(E$99:E131)=D$92,F131,D$92-SUM(E$99:E131))</f>
        <v>362808.13427464123</v>
      </c>
      <c r="E132" s="522">
        <f>IF(+J96&lt;F131,J96,D132)</f>
        <v>37099.547619047618</v>
      </c>
      <c r="F132" s="523">
        <f t="shared" si="22"/>
        <v>325708.58665559359</v>
      </c>
      <c r="G132" s="523">
        <f t="shared" si="23"/>
        <v>344258.36046511738</v>
      </c>
      <c r="H132" s="526">
        <f t="shared" si="20"/>
        <v>74132.738824700675</v>
      </c>
      <c r="I132" s="577">
        <f t="shared" si="21"/>
        <v>74132.738824700675</v>
      </c>
      <c r="J132" s="514">
        <f t="shared" si="24"/>
        <v>0</v>
      </c>
      <c r="K132" s="514"/>
      <c r="L132" s="525"/>
      <c r="M132" s="514">
        <f t="shared" si="25"/>
        <v>0</v>
      </c>
      <c r="N132" s="525"/>
      <c r="O132" s="514">
        <f t="shared" si="26"/>
        <v>0</v>
      </c>
      <c r="P132" s="514">
        <f t="shared" si="27"/>
        <v>0</v>
      </c>
    </row>
    <row r="133" spans="2:16" ht="12.5">
      <c r="B133" s="195" t="str">
        <f t="shared" si="14"/>
        <v/>
      </c>
      <c r="C133" s="507">
        <f>IF(D93="","-",+C132+1)</f>
        <v>2050</v>
      </c>
      <c r="D133" s="374">
        <f>IF(F132+SUM(E$99:E132)=D$92,F132,D$92-SUM(E$99:E132))</f>
        <v>325708.58665559359</v>
      </c>
      <c r="E133" s="522">
        <f>IF(+J96&lt;F132,J96,D133)</f>
        <v>37099.547619047618</v>
      </c>
      <c r="F133" s="523">
        <f t="shared" si="22"/>
        <v>288609.03903654596</v>
      </c>
      <c r="G133" s="523">
        <f t="shared" si="23"/>
        <v>307158.81284606981</v>
      </c>
      <c r="H133" s="526">
        <f t="shared" si="20"/>
        <v>70141.798303276126</v>
      </c>
      <c r="I133" s="577">
        <f t="shared" si="21"/>
        <v>70141.798303276126</v>
      </c>
      <c r="J133" s="514">
        <f t="shared" si="24"/>
        <v>0</v>
      </c>
      <c r="K133" s="514"/>
      <c r="L133" s="525"/>
      <c r="M133" s="514">
        <f t="shared" si="25"/>
        <v>0</v>
      </c>
      <c r="N133" s="525"/>
      <c r="O133" s="514">
        <f t="shared" si="26"/>
        <v>0</v>
      </c>
      <c r="P133" s="514">
        <f t="shared" si="27"/>
        <v>0</v>
      </c>
    </row>
    <row r="134" spans="2:16" ht="12.5">
      <c r="B134" s="195" t="str">
        <f t="shared" si="14"/>
        <v/>
      </c>
      <c r="C134" s="507">
        <f>IF(D93="","-",+C133+1)</f>
        <v>2051</v>
      </c>
      <c r="D134" s="374">
        <f>IF(F133+SUM(E$99:E133)=D$92,F133,D$92-SUM(E$99:E133))</f>
        <v>288609.03903654596</v>
      </c>
      <c r="E134" s="522">
        <f>IF(+J96&lt;F133,J96,D134)</f>
        <v>37099.547619047618</v>
      </c>
      <c r="F134" s="523">
        <f t="shared" si="22"/>
        <v>251509.49141749833</v>
      </c>
      <c r="G134" s="523">
        <f t="shared" si="23"/>
        <v>270059.26522702212</v>
      </c>
      <c r="H134" s="526">
        <f t="shared" si="20"/>
        <v>66150.857781851548</v>
      </c>
      <c r="I134" s="577">
        <f t="shared" si="21"/>
        <v>66150.857781851548</v>
      </c>
      <c r="J134" s="514">
        <f t="shared" si="24"/>
        <v>0</v>
      </c>
      <c r="K134" s="514"/>
      <c r="L134" s="525"/>
      <c r="M134" s="514">
        <f t="shared" si="25"/>
        <v>0</v>
      </c>
      <c r="N134" s="525"/>
      <c r="O134" s="514">
        <f t="shared" si="26"/>
        <v>0</v>
      </c>
      <c r="P134" s="514">
        <f t="shared" si="27"/>
        <v>0</v>
      </c>
    </row>
    <row r="135" spans="2:16" ht="12.5">
      <c r="B135" s="195" t="str">
        <f t="shared" si="14"/>
        <v/>
      </c>
      <c r="C135" s="507">
        <f>IF(D93="","-",+C134+1)</f>
        <v>2052</v>
      </c>
      <c r="D135" s="374">
        <f>IF(F134+SUM(E$99:E134)=D$92,F134,D$92-SUM(E$99:E134))</f>
        <v>251509.49141749833</v>
      </c>
      <c r="E135" s="522">
        <f>IF(+J96&lt;F134,J96,D135)</f>
        <v>37099.547619047618</v>
      </c>
      <c r="F135" s="523">
        <f t="shared" si="22"/>
        <v>214409.94379845069</v>
      </c>
      <c r="G135" s="523">
        <f t="shared" si="23"/>
        <v>232959.71760797451</v>
      </c>
      <c r="H135" s="526">
        <f t="shared" si="20"/>
        <v>62159.917260426984</v>
      </c>
      <c r="I135" s="577">
        <f t="shared" si="21"/>
        <v>62159.917260426984</v>
      </c>
      <c r="J135" s="514">
        <f t="shared" si="24"/>
        <v>0</v>
      </c>
      <c r="K135" s="514"/>
      <c r="L135" s="525"/>
      <c r="M135" s="514">
        <f t="shared" si="25"/>
        <v>0</v>
      </c>
      <c r="N135" s="525"/>
      <c r="O135" s="514">
        <f t="shared" si="26"/>
        <v>0</v>
      </c>
      <c r="P135" s="514">
        <f t="shared" si="27"/>
        <v>0</v>
      </c>
    </row>
    <row r="136" spans="2:16" ht="12.5">
      <c r="B136" s="195" t="str">
        <f t="shared" si="14"/>
        <v/>
      </c>
      <c r="C136" s="507">
        <f>IF(D93="","-",+C135+1)</f>
        <v>2053</v>
      </c>
      <c r="D136" s="374">
        <f>IF(F135+SUM(E$99:E135)=D$92,F135,D$92-SUM(E$99:E135))</f>
        <v>214409.94379845069</v>
      </c>
      <c r="E136" s="522">
        <f>IF(+J96&lt;F135,J96,D136)</f>
        <v>37099.547619047618</v>
      </c>
      <c r="F136" s="523">
        <f t="shared" si="22"/>
        <v>177310.39617940306</v>
      </c>
      <c r="G136" s="523">
        <f t="shared" si="23"/>
        <v>195860.16998892688</v>
      </c>
      <c r="H136" s="526">
        <f t="shared" si="20"/>
        <v>58168.976739002421</v>
      </c>
      <c r="I136" s="577">
        <f t="shared" si="21"/>
        <v>58168.976739002421</v>
      </c>
      <c r="J136" s="514">
        <f t="shared" si="24"/>
        <v>0</v>
      </c>
      <c r="K136" s="514"/>
      <c r="L136" s="525"/>
      <c r="M136" s="514">
        <f t="shared" si="25"/>
        <v>0</v>
      </c>
      <c r="N136" s="525"/>
      <c r="O136" s="514">
        <f t="shared" si="26"/>
        <v>0</v>
      </c>
      <c r="P136" s="514">
        <f t="shared" si="27"/>
        <v>0</v>
      </c>
    </row>
    <row r="137" spans="2:16" ht="12.5">
      <c r="B137" s="195" t="str">
        <f t="shared" si="14"/>
        <v/>
      </c>
      <c r="C137" s="507">
        <f>IF(D93="","-",+C136+1)</f>
        <v>2054</v>
      </c>
      <c r="D137" s="374">
        <f>IF(F136+SUM(E$99:E136)=D$92,F136,D$92-SUM(E$99:E136))</f>
        <v>177310.39617940306</v>
      </c>
      <c r="E137" s="522">
        <f>IF(+J96&lt;F136,J96,D137)</f>
        <v>37099.547619047618</v>
      </c>
      <c r="F137" s="523">
        <f t="shared" si="22"/>
        <v>140210.84856035543</v>
      </c>
      <c r="G137" s="523">
        <f t="shared" si="23"/>
        <v>158760.62236987925</v>
      </c>
      <c r="H137" s="526">
        <f t="shared" si="20"/>
        <v>54178.036217577857</v>
      </c>
      <c r="I137" s="577">
        <f t="shared" si="21"/>
        <v>54178.036217577857</v>
      </c>
      <c r="J137" s="514">
        <f t="shared" si="24"/>
        <v>0</v>
      </c>
      <c r="K137" s="514"/>
      <c r="L137" s="525"/>
      <c r="M137" s="514">
        <f t="shared" si="25"/>
        <v>0</v>
      </c>
      <c r="N137" s="525"/>
      <c r="O137" s="514">
        <f t="shared" si="26"/>
        <v>0</v>
      </c>
      <c r="P137" s="514">
        <f t="shared" si="27"/>
        <v>0</v>
      </c>
    </row>
    <row r="138" spans="2:16" ht="12.5">
      <c r="B138" s="195" t="str">
        <f t="shared" si="14"/>
        <v/>
      </c>
      <c r="C138" s="507">
        <f>IF(D93="","-",+C137+1)</f>
        <v>2055</v>
      </c>
      <c r="D138" s="374">
        <f>IF(F137+SUM(E$99:E137)=D$92,F137,D$92-SUM(E$99:E137))</f>
        <v>140210.84856035543</v>
      </c>
      <c r="E138" s="522">
        <f>IF(+J96&lt;F137,J96,D138)</f>
        <v>37099.547619047618</v>
      </c>
      <c r="F138" s="523">
        <f t="shared" si="22"/>
        <v>103111.30094130781</v>
      </c>
      <c r="G138" s="523">
        <f t="shared" si="23"/>
        <v>121661.07475083161</v>
      </c>
      <c r="H138" s="526">
        <f t="shared" si="20"/>
        <v>50187.095696153287</v>
      </c>
      <c r="I138" s="577">
        <f t="shared" si="21"/>
        <v>50187.095696153287</v>
      </c>
      <c r="J138" s="514">
        <f t="shared" si="24"/>
        <v>0</v>
      </c>
      <c r="K138" s="514"/>
      <c r="L138" s="525"/>
      <c r="M138" s="514">
        <f t="shared" si="25"/>
        <v>0</v>
      </c>
      <c r="N138" s="525"/>
      <c r="O138" s="514">
        <f t="shared" si="26"/>
        <v>0</v>
      </c>
      <c r="P138" s="514">
        <f t="shared" si="27"/>
        <v>0</v>
      </c>
    </row>
    <row r="139" spans="2:16" ht="12.5">
      <c r="B139" s="195" t="str">
        <f t="shared" si="14"/>
        <v/>
      </c>
      <c r="C139" s="507">
        <f>IF(D93="","-",+C138+1)</f>
        <v>2056</v>
      </c>
      <c r="D139" s="374">
        <f>IF(F138+SUM(E$99:E138)=D$92,F138,D$92-SUM(E$99:E138))</f>
        <v>103111.30094130781</v>
      </c>
      <c r="E139" s="522">
        <f>IF(+J96&lt;F138,J96,D139)</f>
        <v>37099.547619047618</v>
      </c>
      <c r="F139" s="523">
        <f t="shared" si="22"/>
        <v>66011.753322260192</v>
      </c>
      <c r="G139" s="523">
        <f t="shared" si="23"/>
        <v>84561.527131784009</v>
      </c>
      <c r="H139" s="526">
        <f t="shared" si="20"/>
        <v>46196.155174728723</v>
      </c>
      <c r="I139" s="577">
        <f t="shared" si="21"/>
        <v>46196.155174728723</v>
      </c>
      <c r="J139" s="514">
        <f t="shared" si="24"/>
        <v>0</v>
      </c>
      <c r="K139" s="514"/>
      <c r="L139" s="525"/>
      <c r="M139" s="514">
        <f t="shared" si="25"/>
        <v>0</v>
      </c>
      <c r="N139" s="525"/>
      <c r="O139" s="514">
        <f t="shared" si="26"/>
        <v>0</v>
      </c>
      <c r="P139" s="514">
        <f t="shared" si="27"/>
        <v>0</v>
      </c>
    </row>
    <row r="140" spans="2:16" ht="12.5">
      <c r="B140" s="195" t="str">
        <f t="shared" si="14"/>
        <v/>
      </c>
      <c r="C140" s="507">
        <f>IF(D93="","-",+C139+1)</f>
        <v>2057</v>
      </c>
      <c r="D140" s="374">
        <f>IF(F139+SUM(E$99:E139)=D$92,F139,D$92-SUM(E$99:E139))</f>
        <v>66011.753322260192</v>
      </c>
      <c r="E140" s="522">
        <f>IF(+J96&lt;F139,J96,D140)</f>
        <v>37099.547619047618</v>
      </c>
      <c r="F140" s="523">
        <f t="shared" si="22"/>
        <v>28912.205703212574</v>
      </c>
      <c r="G140" s="523">
        <f t="shared" si="23"/>
        <v>47461.979512736383</v>
      </c>
      <c r="H140" s="526">
        <f t="shared" si="20"/>
        <v>42205.21465330416</v>
      </c>
      <c r="I140" s="577">
        <f t="shared" si="21"/>
        <v>42205.21465330416</v>
      </c>
      <c r="J140" s="514">
        <f t="shared" si="24"/>
        <v>0</v>
      </c>
      <c r="K140" s="514"/>
      <c r="L140" s="525"/>
      <c r="M140" s="514">
        <f t="shared" si="25"/>
        <v>0</v>
      </c>
      <c r="N140" s="525"/>
      <c r="O140" s="514">
        <f t="shared" si="26"/>
        <v>0</v>
      </c>
      <c r="P140" s="514">
        <f t="shared" si="27"/>
        <v>0</v>
      </c>
    </row>
    <row r="141" spans="2:16" ht="12.5">
      <c r="B141" s="195" t="str">
        <f t="shared" si="14"/>
        <v/>
      </c>
      <c r="C141" s="507">
        <f>IF(D93="","-",+C140+1)</f>
        <v>2058</v>
      </c>
      <c r="D141" s="374">
        <f>IF(F140+SUM(E$99:E140)=D$92,F140,D$92-SUM(E$99:E140))</f>
        <v>28912.205703212574</v>
      </c>
      <c r="E141" s="522">
        <f>IF(+J96&lt;F140,J96,D141)</f>
        <v>28912.205703212574</v>
      </c>
      <c r="F141" s="523">
        <f t="shared" si="22"/>
        <v>0</v>
      </c>
      <c r="G141" s="523">
        <f t="shared" si="23"/>
        <v>14456.102851606287</v>
      </c>
      <c r="H141" s="526">
        <f t="shared" si="20"/>
        <v>30467.304089984704</v>
      </c>
      <c r="I141" s="577">
        <f t="shared" si="21"/>
        <v>30467.304089984704</v>
      </c>
      <c r="J141" s="514">
        <f t="shared" si="24"/>
        <v>0</v>
      </c>
      <c r="K141" s="514"/>
      <c r="L141" s="525"/>
      <c r="M141" s="514">
        <f t="shared" si="25"/>
        <v>0</v>
      </c>
      <c r="N141" s="525"/>
      <c r="O141" s="514">
        <f t="shared" si="26"/>
        <v>0</v>
      </c>
      <c r="P141" s="514">
        <f t="shared" si="27"/>
        <v>0</v>
      </c>
    </row>
    <row r="142" spans="2:16" ht="12.5">
      <c r="B142" s="195" t="str">
        <f t="shared" si="14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2"/>
        <v>0</v>
      </c>
      <c r="G142" s="523">
        <f t="shared" si="23"/>
        <v>0</v>
      </c>
      <c r="H142" s="526">
        <f t="shared" si="20"/>
        <v>0</v>
      </c>
      <c r="I142" s="577">
        <f t="shared" si="21"/>
        <v>0</v>
      </c>
      <c r="J142" s="514">
        <f t="shared" si="24"/>
        <v>0</v>
      </c>
      <c r="K142" s="514"/>
      <c r="L142" s="525"/>
      <c r="M142" s="514">
        <f t="shared" si="25"/>
        <v>0</v>
      </c>
      <c r="N142" s="525"/>
      <c r="O142" s="514">
        <f t="shared" si="26"/>
        <v>0</v>
      </c>
      <c r="P142" s="514">
        <f t="shared" si="27"/>
        <v>0</v>
      </c>
    </row>
    <row r="143" spans="2:16" ht="12.5">
      <c r="B143" s="195" t="str">
        <f t="shared" si="14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2"/>
        <v>0</v>
      </c>
      <c r="G143" s="523">
        <f t="shared" si="23"/>
        <v>0</v>
      </c>
      <c r="H143" s="526">
        <f t="shared" si="20"/>
        <v>0</v>
      </c>
      <c r="I143" s="577">
        <f t="shared" si="21"/>
        <v>0</v>
      </c>
      <c r="J143" s="514">
        <f t="shared" si="24"/>
        <v>0</v>
      </c>
      <c r="K143" s="514"/>
      <c r="L143" s="525"/>
      <c r="M143" s="514">
        <f t="shared" si="25"/>
        <v>0</v>
      </c>
      <c r="N143" s="525"/>
      <c r="O143" s="514">
        <f t="shared" si="26"/>
        <v>0</v>
      </c>
      <c r="P143" s="514">
        <f t="shared" si="27"/>
        <v>0</v>
      </c>
    </row>
    <row r="144" spans="2:16" ht="12.5">
      <c r="B144" s="195" t="str">
        <f t="shared" si="14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2"/>
        <v>0</v>
      </c>
      <c r="G144" s="523">
        <f t="shared" si="23"/>
        <v>0</v>
      </c>
      <c r="H144" s="526">
        <f t="shared" si="20"/>
        <v>0</v>
      </c>
      <c r="I144" s="577">
        <f t="shared" si="21"/>
        <v>0</v>
      </c>
      <c r="J144" s="514">
        <f t="shared" si="24"/>
        <v>0</v>
      </c>
      <c r="K144" s="514"/>
      <c r="L144" s="525"/>
      <c r="M144" s="514">
        <f t="shared" si="25"/>
        <v>0</v>
      </c>
      <c r="N144" s="525"/>
      <c r="O144" s="514">
        <f t="shared" si="26"/>
        <v>0</v>
      </c>
      <c r="P144" s="514">
        <f t="shared" si="27"/>
        <v>0</v>
      </c>
    </row>
    <row r="145" spans="2:16" ht="12.5">
      <c r="B145" s="195" t="str">
        <f t="shared" si="14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2"/>
        <v>0</v>
      </c>
      <c r="G145" s="523">
        <f t="shared" si="23"/>
        <v>0</v>
      </c>
      <c r="H145" s="526">
        <f t="shared" si="20"/>
        <v>0</v>
      </c>
      <c r="I145" s="577">
        <f t="shared" si="21"/>
        <v>0</v>
      </c>
      <c r="J145" s="514">
        <f t="shared" si="24"/>
        <v>0</v>
      </c>
      <c r="K145" s="514"/>
      <c r="L145" s="525"/>
      <c r="M145" s="514">
        <f t="shared" si="25"/>
        <v>0</v>
      </c>
      <c r="N145" s="525"/>
      <c r="O145" s="514">
        <f t="shared" si="26"/>
        <v>0</v>
      </c>
      <c r="P145" s="514">
        <f t="shared" si="27"/>
        <v>0</v>
      </c>
    </row>
    <row r="146" spans="2:16" ht="12.5">
      <c r="B146" s="195" t="str">
        <f t="shared" si="14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2"/>
        <v>0</v>
      </c>
      <c r="G146" s="523">
        <f t="shared" si="23"/>
        <v>0</v>
      </c>
      <c r="H146" s="526">
        <f t="shared" si="20"/>
        <v>0</v>
      </c>
      <c r="I146" s="577">
        <f t="shared" si="21"/>
        <v>0</v>
      </c>
      <c r="J146" s="514">
        <f t="shared" si="24"/>
        <v>0</v>
      </c>
      <c r="K146" s="514"/>
      <c r="L146" s="525"/>
      <c r="M146" s="514">
        <f t="shared" si="25"/>
        <v>0</v>
      </c>
      <c r="N146" s="525"/>
      <c r="O146" s="514">
        <f t="shared" si="26"/>
        <v>0</v>
      </c>
      <c r="P146" s="514">
        <f t="shared" si="27"/>
        <v>0</v>
      </c>
    </row>
    <row r="147" spans="2:16" ht="12.5">
      <c r="B147" s="195" t="str">
        <f t="shared" si="14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2"/>
        <v>0</v>
      </c>
      <c r="G147" s="523">
        <f t="shared" si="23"/>
        <v>0</v>
      </c>
      <c r="H147" s="526">
        <f t="shared" si="20"/>
        <v>0</v>
      </c>
      <c r="I147" s="577">
        <f t="shared" si="21"/>
        <v>0</v>
      </c>
      <c r="J147" s="514">
        <f t="shared" si="24"/>
        <v>0</v>
      </c>
      <c r="K147" s="514"/>
      <c r="L147" s="525"/>
      <c r="M147" s="514">
        <f t="shared" si="25"/>
        <v>0</v>
      </c>
      <c r="N147" s="525"/>
      <c r="O147" s="514">
        <f t="shared" si="26"/>
        <v>0</v>
      </c>
      <c r="P147" s="514">
        <f t="shared" si="27"/>
        <v>0</v>
      </c>
    </row>
    <row r="148" spans="2:16" ht="12.5">
      <c r="B148" s="195" t="str">
        <f t="shared" si="14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2"/>
        <v>0</v>
      </c>
      <c r="G148" s="523">
        <f t="shared" si="23"/>
        <v>0</v>
      </c>
      <c r="H148" s="526">
        <f t="shared" si="20"/>
        <v>0</v>
      </c>
      <c r="I148" s="577">
        <f t="shared" si="21"/>
        <v>0</v>
      </c>
      <c r="J148" s="514">
        <f t="shared" si="24"/>
        <v>0</v>
      </c>
      <c r="K148" s="514"/>
      <c r="L148" s="525"/>
      <c r="M148" s="514">
        <f t="shared" si="25"/>
        <v>0</v>
      </c>
      <c r="N148" s="525"/>
      <c r="O148" s="514">
        <f t="shared" si="26"/>
        <v>0</v>
      </c>
      <c r="P148" s="514">
        <f t="shared" si="27"/>
        <v>0</v>
      </c>
    </row>
    <row r="149" spans="2:16" ht="12.5">
      <c r="B149" s="195" t="str">
        <f t="shared" si="14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2"/>
        <v>0</v>
      </c>
      <c r="G149" s="523">
        <f t="shared" si="23"/>
        <v>0</v>
      </c>
      <c r="H149" s="526">
        <f t="shared" si="20"/>
        <v>0</v>
      </c>
      <c r="I149" s="577">
        <f t="shared" si="21"/>
        <v>0</v>
      </c>
      <c r="J149" s="514">
        <f t="shared" si="24"/>
        <v>0</v>
      </c>
      <c r="K149" s="514"/>
      <c r="L149" s="525"/>
      <c r="M149" s="514">
        <f t="shared" si="25"/>
        <v>0</v>
      </c>
      <c r="N149" s="525"/>
      <c r="O149" s="514">
        <f t="shared" si="26"/>
        <v>0</v>
      </c>
      <c r="P149" s="514">
        <f t="shared" si="27"/>
        <v>0</v>
      </c>
    </row>
    <row r="150" spans="2:16" ht="12.5">
      <c r="B150" s="195" t="str">
        <f t="shared" si="14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2"/>
        <v>0</v>
      </c>
      <c r="G150" s="523">
        <f t="shared" si="23"/>
        <v>0</v>
      </c>
      <c r="H150" s="526">
        <f t="shared" si="20"/>
        <v>0</v>
      </c>
      <c r="I150" s="577">
        <f t="shared" si="21"/>
        <v>0</v>
      </c>
      <c r="J150" s="514">
        <f t="shared" si="24"/>
        <v>0</v>
      </c>
      <c r="K150" s="514"/>
      <c r="L150" s="525"/>
      <c r="M150" s="514">
        <f t="shared" si="25"/>
        <v>0</v>
      </c>
      <c r="N150" s="525"/>
      <c r="O150" s="514">
        <f t="shared" si="26"/>
        <v>0</v>
      </c>
      <c r="P150" s="514">
        <f t="shared" si="27"/>
        <v>0</v>
      </c>
    </row>
    <row r="151" spans="2:16" ht="12.5">
      <c r="B151" s="195" t="str">
        <f t="shared" si="14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2"/>
        <v>0</v>
      </c>
      <c r="G151" s="523">
        <f t="shared" si="23"/>
        <v>0</v>
      </c>
      <c r="H151" s="526">
        <f t="shared" si="20"/>
        <v>0</v>
      </c>
      <c r="I151" s="577">
        <f t="shared" si="21"/>
        <v>0</v>
      </c>
      <c r="J151" s="514">
        <f t="shared" si="24"/>
        <v>0</v>
      </c>
      <c r="K151" s="514"/>
      <c r="L151" s="525"/>
      <c r="M151" s="514">
        <f t="shared" si="25"/>
        <v>0</v>
      </c>
      <c r="N151" s="525"/>
      <c r="O151" s="514">
        <f t="shared" si="26"/>
        <v>0</v>
      </c>
      <c r="P151" s="514">
        <f t="shared" si="27"/>
        <v>0</v>
      </c>
    </row>
    <row r="152" spans="2:16" ht="12.5">
      <c r="B152" s="195" t="str">
        <f t="shared" si="14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2"/>
        <v>0</v>
      </c>
      <c r="G152" s="523">
        <f t="shared" si="23"/>
        <v>0</v>
      </c>
      <c r="H152" s="526">
        <f t="shared" si="20"/>
        <v>0</v>
      </c>
      <c r="I152" s="577">
        <f t="shared" si="21"/>
        <v>0</v>
      </c>
      <c r="J152" s="514">
        <f t="shared" si="24"/>
        <v>0</v>
      </c>
      <c r="K152" s="514"/>
      <c r="L152" s="525"/>
      <c r="M152" s="514">
        <f t="shared" si="25"/>
        <v>0</v>
      </c>
      <c r="N152" s="525"/>
      <c r="O152" s="514">
        <f t="shared" si="26"/>
        <v>0</v>
      </c>
      <c r="P152" s="514">
        <f t="shared" si="27"/>
        <v>0</v>
      </c>
    </row>
    <row r="153" spans="2:16" ht="12.5">
      <c r="B153" s="195" t="str">
        <f t="shared" si="14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2"/>
        <v>0</v>
      </c>
      <c r="G153" s="523">
        <f t="shared" si="23"/>
        <v>0</v>
      </c>
      <c r="H153" s="526">
        <f t="shared" si="20"/>
        <v>0</v>
      </c>
      <c r="I153" s="577">
        <f t="shared" si="21"/>
        <v>0</v>
      </c>
      <c r="J153" s="514">
        <f t="shared" si="24"/>
        <v>0</v>
      </c>
      <c r="K153" s="514"/>
      <c r="L153" s="525"/>
      <c r="M153" s="514">
        <f t="shared" si="25"/>
        <v>0</v>
      </c>
      <c r="N153" s="525"/>
      <c r="O153" s="514">
        <f t="shared" si="26"/>
        <v>0</v>
      </c>
      <c r="P153" s="514">
        <f t="shared" si="27"/>
        <v>0</v>
      </c>
    </row>
    <row r="154" spans="2:16" ht="13" thickBot="1">
      <c r="B154" s="195" t="str">
        <f t="shared" si="14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2"/>
        <v>0</v>
      </c>
      <c r="G154" s="528">
        <f t="shared" si="23"/>
        <v>0</v>
      </c>
      <c r="H154" s="530">
        <f t="shared" si="20"/>
        <v>0</v>
      </c>
      <c r="I154" s="579">
        <f t="shared" si="21"/>
        <v>0</v>
      </c>
      <c r="J154" s="533">
        <f t="shared" si="24"/>
        <v>0</v>
      </c>
      <c r="K154" s="514"/>
      <c r="L154" s="532"/>
      <c r="M154" s="533">
        <f t="shared" si="25"/>
        <v>0</v>
      </c>
      <c r="N154" s="532"/>
      <c r="O154" s="533">
        <f t="shared" si="26"/>
        <v>0</v>
      </c>
      <c r="P154" s="533">
        <f t="shared" si="27"/>
        <v>0</v>
      </c>
    </row>
    <row r="155" spans="2:16" ht="12.5">
      <c r="C155" s="374" t="s">
        <v>78</v>
      </c>
      <c r="D155" s="375"/>
      <c r="E155" s="375">
        <f>SUM(E99:E154)</f>
        <v>1558181</v>
      </c>
      <c r="F155" s="375"/>
      <c r="G155" s="375"/>
      <c r="H155" s="375">
        <f>SUM(H99:H154)</f>
        <v>5157193.2061156994</v>
      </c>
      <c r="I155" s="375">
        <f>SUM(I99:I154)</f>
        <v>5157193.2061156994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7" priority="1" stopIfTrue="1" operator="equal">
      <formula>$I$10</formula>
    </cfRule>
  </conditionalFormatting>
  <conditionalFormatting sqref="C99:C154">
    <cfRule type="cellIs" dxfId="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/>
  <dimension ref="A1:Q162"/>
  <sheetViews>
    <sheetView view="pageBreakPreview" topLeftCell="A79" zoomScale="84" zoomScaleNormal="100" zoomScaleSheetLayoutView="84" workbookViewId="0"/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3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1381430.0428702787</v>
      </c>
      <c r="O5" s="249"/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1381430.0428702787</v>
      </c>
      <c r="O6" s="269"/>
      <c r="P6" s="269"/>
    </row>
    <row r="7" spans="1:17" ht="13.5" thickBot="1">
      <c r="C7" s="467" t="s">
        <v>48</v>
      </c>
      <c r="D7" s="468" t="s">
        <v>242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583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584"/>
      <c r="O8" s="585"/>
      <c r="P8" s="396"/>
    </row>
    <row r="9" spans="1:17" ht="13.5" thickBot="1">
      <c r="A9" s="191"/>
      <c r="C9" s="476" t="s">
        <v>50</v>
      </c>
      <c r="D9" s="477" t="s">
        <v>142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f>13742804</f>
        <v>13742804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327209.61904761905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13558697</v>
      </c>
      <c r="E17" s="509">
        <v>0</v>
      </c>
      <c r="F17" s="508">
        <v>13558697</v>
      </c>
      <c r="G17" s="509">
        <v>173170</v>
      </c>
      <c r="H17" s="510">
        <v>173170</v>
      </c>
      <c r="I17" s="511">
        <f t="shared" ref="I17:I48" si="0">H17-G17</f>
        <v>0</v>
      </c>
      <c r="J17" s="511"/>
      <c r="K17" s="512">
        <v>173170</v>
      </c>
      <c r="L17" s="513">
        <f t="shared" ref="L17:L48" si="1">IF(K17&lt;&gt;0,+G17-K17,0)</f>
        <v>0</v>
      </c>
      <c r="M17" s="512">
        <v>173170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14833730</v>
      </c>
      <c r="E18" s="516">
        <v>390361</v>
      </c>
      <c r="F18" s="515">
        <v>14443368</v>
      </c>
      <c r="G18" s="516">
        <v>2466812</v>
      </c>
      <c r="H18" s="510">
        <v>2466812</v>
      </c>
      <c r="I18" s="517">
        <v>0</v>
      </c>
      <c r="J18" s="511"/>
      <c r="K18" s="518">
        <f t="shared" ref="K18:K23" si="4">G18</f>
        <v>2466812</v>
      </c>
      <c r="L18" s="519">
        <f t="shared" si="1"/>
        <v>0</v>
      </c>
      <c r="M18" s="518">
        <f t="shared" ref="M18:M23" si="5">H18</f>
        <v>2466812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13352442</v>
      </c>
      <c r="E19" s="516">
        <v>335190.31707317074</v>
      </c>
      <c r="F19" s="515">
        <v>13017251.68292683</v>
      </c>
      <c r="G19" s="516">
        <v>2368383.292220511</v>
      </c>
      <c r="H19" s="510">
        <v>2368383.292220511</v>
      </c>
      <c r="I19" s="517">
        <v>0</v>
      </c>
      <c r="J19" s="511"/>
      <c r="K19" s="518">
        <f t="shared" si="4"/>
        <v>2368383.292220511</v>
      </c>
      <c r="L19" s="519">
        <f t="shared" si="1"/>
        <v>0</v>
      </c>
      <c r="M19" s="518">
        <f t="shared" si="5"/>
        <v>2368383.292220511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13017251.68292683</v>
      </c>
      <c r="E20" s="520">
        <v>327209.59523809527</v>
      </c>
      <c r="F20" s="515">
        <v>12690042.087688735</v>
      </c>
      <c r="G20" s="516">
        <v>2214474.4319801349</v>
      </c>
      <c r="H20" s="510">
        <v>2214474.4319801349</v>
      </c>
      <c r="I20" s="517">
        <v>0</v>
      </c>
      <c r="J20" s="511"/>
      <c r="K20" s="518">
        <f t="shared" si="4"/>
        <v>2214474.4319801349</v>
      </c>
      <c r="L20" s="519">
        <f t="shared" si="1"/>
        <v>0</v>
      </c>
      <c r="M20" s="518">
        <f t="shared" si="5"/>
        <v>2214474.4319801349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12690042.087688735</v>
      </c>
      <c r="E21" s="520">
        <v>327209.59523809527</v>
      </c>
      <c r="F21" s="515">
        <v>12362832.49245064</v>
      </c>
      <c r="G21" s="516">
        <v>2057846.4420481771</v>
      </c>
      <c r="H21" s="510">
        <v>2057846.4420481771</v>
      </c>
      <c r="I21" s="511">
        <v>0</v>
      </c>
      <c r="J21" s="511"/>
      <c r="K21" s="518">
        <f t="shared" si="4"/>
        <v>2057846.4420481771</v>
      </c>
      <c r="L21" s="519">
        <f t="shared" ref="L21:L26" si="7">IF(K21&lt;&gt;0,+G21-K21,0)</f>
        <v>0</v>
      </c>
      <c r="M21" s="518">
        <f t="shared" si="5"/>
        <v>2057846.4420481771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12362832.49245064</v>
      </c>
      <c r="E22" s="520">
        <v>327209.59523809527</v>
      </c>
      <c r="F22" s="515">
        <v>12035622.897212544</v>
      </c>
      <c r="G22" s="516">
        <v>1950941.5974063124</v>
      </c>
      <c r="H22" s="510">
        <v>1950941.5974063124</v>
      </c>
      <c r="I22" s="511">
        <v>0</v>
      </c>
      <c r="J22" s="511"/>
      <c r="K22" s="518">
        <f t="shared" si="4"/>
        <v>1950941.5974063124</v>
      </c>
      <c r="L22" s="519">
        <f t="shared" si="7"/>
        <v>0</v>
      </c>
      <c r="M22" s="518">
        <f t="shared" si="5"/>
        <v>1950941.5974063124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12035622.897212544</v>
      </c>
      <c r="E23" s="520">
        <v>327209.59523809527</v>
      </c>
      <c r="F23" s="515">
        <v>11708413.301974449</v>
      </c>
      <c r="G23" s="516">
        <v>1869263.8389089857</v>
      </c>
      <c r="H23" s="510">
        <v>1869263.8389089857</v>
      </c>
      <c r="I23" s="511">
        <v>0</v>
      </c>
      <c r="J23" s="511"/>
      <c r="K23" s="518">
        <f t="shared" si="4"/>
        <v>1869263.8389089857</v>
      </c>
      <c r="L23" s="519">
        <f t="shared" si="7"/>
        <v>0</v>
      </c>
      <c r="M23" s="518">
        <f t="shared" si="5"/>
        <v>1869263.8389089857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>IU</v>
      </c>
      <c r="C24" s="507">
        <f>IF(D11="","-",+C23+1)</f>
        <v>2016</v>
      </c>
      <c r="D24" s="515">
        <v>11708414.301974449</v>
      </c>
      <c r="E24" s="520">
        <v>327209.61904761905</v>
      </c>
      <c r="F24" s="515">
        <v>11381204.68292683</v>
      </c>
      <c r="G24" s="516">
        <v>1807676.4398879381</v>
      </c>
      <c r="H24" s="510">
        <v>1807676.4398879381</v>
      </c>
      <c r="I24" s="511">
        <f t="shared" si="0"/>
        <v>0</v>
      </c>
      <c r="J24" s="511"/>
      <c r="K24" s="518">
        <f>G24</f>
        <v>1807676.4398879381</v>
      </c>
      <c r="L24" s="519">
        <f t="shared" si="7"/>
        <v>0</v>
      </c>
      <c r="M24" s="518">
        <f>H24</f>
        <v>1807676.4398879381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11381204.68292683</v>
      </c>
      <c r="E25" s="520">
        <v>319600.09302325582</v>
      </c>
      <c r="F25" s="515">
        <v>11061604.589903574</v>
      </c>
      <c r="G25" s="516">
        <v>1709848.34416372</v>
      </c>
      <c r="H25" s="510">
        <v>1709848.34416372</v>
      </c>
      <c r="I25" s="511">
        <f t="shared" si="0"/>
        <v>0</v>
      </c>
      <c r="J25" s="511"/>
      <c r="K25" s="518">
        <f>G25</f>
        <v>1709848.34416372</v>
      </c>
      <c r="L25" s="519">
        <f t="shared" si="7"/>
        <v>0</v>
      </c>
      <c r="M25" s="518">
        <f>H25</f>
        <v>1709848.34416372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11061604.589903574</v>
      </c>
      <c r="E26" s="520">
        <v>335190.34146341466</v>
      </c>
      <c r="F26" s="515">
        <v>10726414.248440159</v>
      </c>
      <c r="G26" s="516">
        <v>1719754.6523090333</v>
      </c>
      <c r="H26" s="510">
        <v>1719754.6523090333</v>
      </c>
      <c r="I26" s="511">
        <f t="shared" si="0"/>
        <v>0</v>
      </c>
      <c r="J26" s="511"/>
      <c r="K26" s="518">
        <f>G26</f>
        <v>1719754.6523090333</v>
      </c>
      <c r="L26" s="519">
        <f t="shared" si="7"/>
        <v>0</v>
      </c>
      <c r="M26" s="518">
        <f>H26</f>
        <v>1719754.6523090333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10726414.248440159</v>
      </c>
      <c r="E27" s="520">
        <v>335190.34146341466</v>
      </c>
      <c r="F27" s="515">
        <v>10391223.906976745</v>
      </c>
      <c r="G27" s="516">
        <v>1677153.9378912852</v>
      </c>
      <c r="H27" s="510">
        <v>1677153.9378912852</v>
      </c>
      <c r="I27" s="511">
        <f t="shared" si="0"/>
        <v>0</v>
      </c>
      <c r="J27" s="511"/>
      <c r="K27" s="518">
        <f>G27</f>
        <v>1677153.9378912852</v>
      </c>
      <c r="L27" s="519">
        <f t="shared" ref="L27" si="10">IF(K27&lt;&gt;0,+G27-K27,0)</f>
        <v>0</v>
      </c>
      <c r="M27" s="518">
        <f>H27</f>
        <v>1677153.9378912852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10391223.906976745</v>
      </c>
      <c r="E28" s="520">
        <v>335190.34146341466</v>
      </c>
      <c r="F28" s="515">
        <v>10056033.56551333</v>
      </c>
      <c r="G28" s="516">
        <v>1381430.0428702787</v>
      </c>
      <c r="H28" s="510">
        <v>1381430.0428702787</v>
      </c>
      <c r="I28" s="511">
        <f t="shared" si="0"/>
        <v>0</v>
      </c>
      <c r="J28" s="511"/>
      <c r="K28" s="518">
        <f>G28</f>
        <v>1381430.0428702787</v>
      </c>
      <c r="L28" s="519">
        <f t="shared" ref="L28" si="11">IF(K28&lt;&gt;0,+G28-K28,0)</f>
        <v>0</v>
      </c>
      <c r="M28" s="518">
        <f>H28</f>
        <v>1381430.0428702787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2021</v>
      </c>
      <c r="D29" s="523">
        <f>IF(F28+SUM(E$17:E28)=D$10,F28,D$10-SUM(E$17:E28))</f>
        <v>10056033.56551333</v>
      </c>
      <c r="E29" s="522">
        <f>IF(+I14&lt;F28,I14,D29)</f>
        <v>327209.61904761905</v>
      </c>
      <c r="F29" s="523">
        <f t="shared" ref="F29:F48" si="12">+D29-E29</f>
        <v>9728823.9464657102</v>
      </c>
      <c r="G29" s="524">
        <f t="shared" ref="G29:G72" si="13">+I$12*((D29+F29)/2)+E29</f>
        <v>1383898.8143325378</v>
      </c>
      <c r="H29" s="491">
        <f t="shared" ref="H29:H72" si="14">+I$13*((D29+F29)/2)+E29</f>
        <v>1383898.8143325378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/>
      </c>
      <c r="C30" s="507">
        <f>IF(D11="","-",+C29+1)</f>
        <v>2022</v>
      </c>
      <c r="D30" s="523">
        <f>IF(F29+SUM(E$17:E29)=D$10,F29,D$10-SUM(E$17:E29))</f>
        <v>9728823.9464657102</v>
      </c>
      <c r="E30" s="522">
        <f>IF(+I14&lt;F29,I14,D30)</f>
        <v>327209.61904761905</v>
      </c>
      <c r="F30" s="523">
        <f t="shared" si="12"/>
        <v>9401614.3274180908</v>
      </c>
      <c r="G30" s="524">
        <f t="shared" si="13"/>
        <v>1348946.9458309254</v>
      </c>
      <c r="H30" s="491">
        <f t="shared" si="14"/>
        <v>1348946.9458309254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9401614.3274180908</v>
      </c>
      <c r="E31" s="522">
        <f>IF(+I14&lt;F30,I14,D31)</f>
        <v>327209.61904761905</v>
      </c>
      <c r="F31" s="523">
        <f t="shared" si="12"/>
        <v>9074404.7083704714</v>
      </c>
      <c r="G31" s="524">
        <f t="shared" si="13"/>
        <v>1313995.0773293131</v>
      </c>
      <c r="H31" s="491">
        <f t="shared" si="14"/>
        <v>1313995.0773293131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9074404.7083704714</v>
      </c>
      <c r="E32" s="522">
        <f>IF(+I14&lt;F31,I14,D32)</f>
        <v>327209.61904761905</v>
      </c>
      <c r="F32" s="523">
        <f t="shared" si="12"/>
        <v>8747195.089322852</v>
      </c>
      <c r="G32" s="524">
        <f t="shared" si="13"/>
        <v>1279043.2088277009</v>
      </c>
      <c r="H32" s="491">
        <f t="shared" si="14"/>
        <v>1279043.2088277009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8747195.089322852</v>
      </c>
      <c r="E33" s="522">
        <f>IF(+I14&lt;F32,I14,D33)</f>
        <v>327209.61904761905</v>
      </c>
      <c r="F33" s="523">
        <f t="shared" si="12"/>
        <v>8419985.4702752326</v>
      </c>
      <c r="G33" s="524">
        <f t="shared" si="13"/>
        <v>1244091.3403260885</v>
      </c>
      <c r="H33" s="491">
        <f t="shared" si="14"/>
        <v>1244091.3403260885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8419985.4702752326</v>
      </c>
      <c r="E34" s="522">
        <f>IF(+I14&lt;F33,I14,D34)</f>
        <v>327209.61904761905</v>
      </c>
      <c r="F34" s="523">
        <f t="shared" si="12"/>
        <v>8092775.8512276132</v>
      </c>
      <c r="G34" s="524">
        <f t="shared" si="13"/>
        <v>1209139.4718244763</v>
      </c>
      <c r="H34" s="491">
        <f t="shared" si="14"/>
        <v>1209139.4718244763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8092775.8512276132</v>
      </c>
      <c r="E35" s="522">
        <f>IF(+I14&lt;F34,I14,D35)</f>
        <v>327209.61904761905</v>
      </c>
      <c r="F35" s="523">
        <f t="shared" si="12"/>
        <v>7765566.2321799938</v>
      </c>
      <c r="G35" s="524">
        <f t="shared" si="13"/>
        <v>1174187.603322864</v>
      </c>
      <c r="H35" s="491">
        <f t="shared" si="14"/>
        <v>1174187.603322864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7765566.2321799938</v>
      </c>
      <c r="E36" s="522">
        <f>IF(+I14&lt;F35,I14,D36)</f>
        <v>327209.61904761905</v>
      </c>
      <c r="F36" s="523">
        <f t="shared" si="12"/>
        <v>7438356.6131323744</v>
      </c>
      <c r="G36" s="524">
        <f t="shared" si="13"/>
        <v>1139235.7348212516</v>
      </c>
      <c r="H36" s="491">
        <f t="shared" si="14"/>
        <v>1139235.7348212516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7438356.6131323744</v>
      </c>
      <c r="E37" s="522">
        <f>IF(+I14&lt;F36,I14,D37)</f>
        <v>327209.61904761905</v>
      </c>
      <c r="F37" s="523">
        <f t="shared" si="12"/>
        <v>7111146.994084755</v>
      </c>
      <c r="G37" s="524">
        <f t="shared" si="13"/>
        <v>1104283.8663196394</v>
      </c>
      <c r="H37" s="491">
        <f t="shared" si="14"/>
        <v>1104283.8663196394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7111146.994084755</v>
      </c>
      <c r="E38" s="522">
        <f>IF(+I14&lt;F37,I14,D38)</f>
        <v>327209.61904761905</v>
      </c>
      <c r="F38" s="523">
        <f t="shared" si="12"/>
        <v>6783937.3750371356</v>
      </c>
      <c r="G38" s="524">
        <f t="shared" si="13"/>
        <v>1069331.9978180272</v>
      </c>
      <c r="H38" s="491">
        <f t="shared" si="14"/>
        <v>1069331.9978180272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6783937.3750371356</v>
      </c>
      <c r="E39" s="522">
        <f>IF(+I14&lt;F38,I14,D39)</f>
        <v>327209.61904761905</v>
      </c>
      <c r="F39" s="523">
        <f t="shared" si="12"/>
        <v>6456727.7559895162</v>
      </c>
      <c r="G39" s="524">
        <f t="shared" si="13"/>
        <v>1034380.1293164148</v>
      </c>
      <c r="H39" s="491">
        <f t="shared" si="14"/>
        <v>1034380.1293164148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6456727.7559895162</v>
      </c>
      <c r="E40" s="522">
        <f>IF(+I14&lt;F39,I14,D40)</f>
        <v>327209.61904761905</v>
      </c>
      <c r="F40" s="523">
        <f t="shared" si="12"/>
        <v>6129518.1369418968</v>
      </c>
      <c r="G40" s="524">
        <f t="shared" si="13"/>
        <v>999428.26081480249</v>
      </c>
      <c r="H40" s="491">
        <f t="shared" si="14"/>
        <v>999428.26081480249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6129518.1369418968</v>
      </c>
      <c r="E41" s="522">
        <f>IF(+I14&lt;F40,I14,D41)</f>
        <v>327209.61904761905</v>
      </c>
      <c r="F41" s="523">
        <f t="shared" si="12"/>
        <v>5802308.5178942773</v>
      </c>
      <c r="G41" s="524">
        <f t="shared" si="13"/>
        <v>964476.39231319027</v>
      </c>
      <c r="H41" s="491">
        <f t="shared" si="14"/>
        <v>964476.39231319027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5802308.5178942773</v>
      </c>
      <c r="E42" s="522">
        <f>IF(+I14&lt;F41,I14,D42)</f>
        <v>327209.61904761905</v>
      </c>
      <c r="F42" s="523">
        <f t="shared" si="12"/>
        <v>5475098.8988466579</v>
      </c>
      <c r="G42" s="524">
        <f t="shared" si="13"/>
        <v>929524.52381157794</v>
      </c>
      <c r="H42" s="491">
        <f t="shared" si="14"/>
        <v>929524.52381157794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5475098.8988466579</v>
      </c>
      <c r="E43" s="522">
        <f>IF(+I14&lt;F42,I14,D43)</f>
        <v>327209.61904761905</v>
      </c>
      <c r="F43" s="523">
        <f t="shared" si="12"/>
        <v>5147889.2797990385</v>
      </c>
      <c r="G43" s="524">
        <f t="shared" si="13"/>
        <v>894572.65530996572</v>
      </c>
      <c r="H43" s="491">
        <f t="shared" si="14"/>
        <v>894572.65530996572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5147889.2797990385</v>
      </c>
      <c r="E44" s="522">
        <f>IF(+I14&lt;F43,I14,D44)</f>
        <v>327209.61904761905</v>
      </c>
      <c r="F44" s="523">
        <f t="shared" si="12"/>
        <v>4820679.6607514191</v>
      </c>
      <c r="G44" s="524">
        <f t="shared" si="13"/>
        <v>859620.78680835338</v>
      </c>
      <c r="H44" s="491">
        <f t="shared" si="14"/>
        <v>859620.78680835338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4820679.6607514191</v>
      </c>
      <c r="E45" s="522">
        <f>IF(+I14&lt;F44,I14,D45)</f>
        <v>327209.61904761905</v>
      </c>
      <c r="F45" s="523">
        <f t="shared" si="12"/>
        <v>4493470.0417037997</v>
      </c>
      <c r="G45" s="524">
        <f t="shared" si="13"/>
        <v>824668.91830674116</v>
      </c>
      <c r="H45" s="491">
        <f t="shared" si="14"/>
        <v>824668.91830674116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4493470.0417037997</v>
      </c>
      <c r="E46" s="522">
        <f>IF(+I14&lt;F45,I14,D46)</f>
        <v>327209.61904761905</v>
      </c>
      <c r="F46" s="523">
        <f t="shared" si="12"/>
        <v>4166260.4226561808</v>
      </c>
      <c r="G46" s="524">
        <f t="shared" si="13"/>
        <v>789717.04980512883</v>
      </c>
      <c r="H46" s="491">
        <f t="shared" si="14"/>
        <v>789717.04980512883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4166260.4226561808</v>
      </c>
      <c r="E47" s="522">
        <f>IF(+I14&lt;F46,I14,D47)</f>
        <v>327209.61904761905</v>
      </c>
      <c r="F47" s="523">
        <f t="shared" si="12"/>
        <v>3839050.8036085619</v>
      </c>
      <c r="G47" s="524">
        <f t="shared" si="13"/>
        <v>754765.18130351661</v>
      </c>
      <c r="H47" s="491">
        <f t="shared" si="14"/>
        <v>754765.18130351661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3839050.8036085619</v>
      </c>
      <c r="E48" s="522">
        <f>IF(+I14&lt;F47,I14,D48)</f>
        <v>327209.61904761905</v>
      </c>
      <c r="F48" s="523">
        <f t="shared" si="12"/>
        <v>3511841.1845609429</v>
      </c>
      <c r="G48" s="524">
        <f t="shared" si="13"/>
        <v>719813.31280190428</v>
      </c>
      <c r="H48" s="491">
        <f t="shared" si="14"/>
        <v>719813.31280190428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3511841.1845609429</v>
      </c>
      <c r="E49" s="522">
        <f>IF(+I14&lt;F48,I14,D49)</f>
        <v>327209.61904761905</v>
      </c>
      <c r="F49" s="523">
        <f t="shared" ref="F49:F72" si="15">+D49-E49</f>
        <v>3184631.565513324</v>
      </c>
      <c r="G49" s="524">
        <f t="shared" si="13"/>
        <v>684861.44430029206</v>
      </c>
      <c r="H49" s="491">
        <f t="shared" si="14"/>
        <v>684861.44430029206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3184631.565513324</v>
      </c>
      <c r="E50" s="522">
        <f>IF(+I14&lt;F49,I14,D50)</f>
        <v>327209.61904761905</v>
      </c>
      <c r="F50" s="523">
        <f t="shared" si="15"/>
        <v>2857421.9464657051</v>
      </c>
      <c r="G50" s="524">
        <f t="shared" si="13"/>
        <v>649909.57579867984</v>
      </c>
      <c r="H50" s="491">
        <f t="shared" si="14"/>
        <v>649909.57579867984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2857421.9464657051</v>
      </c>
      <c r="E51" s="522">
        <f>IF(+I14&lt;F50,I14,D51)</f>
        <v>327209.61904761905</v>
      </c>
      <c r="F51" s="523">
        <f t="shared" si="15"/>
        <v>2530212.3274180861</v>
      </c>
      <c r="G51" s="524">
        <f t="shared" si="13"/>
        <v>614957.70729706762</v>
      </c>
      <c r="H51" s="491">
        <f t="shared" si="14"/>
        <v>614957.70729706762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2530212.3274180861</v>
      </c>
      <c r="E52" s="522">
        <f>IF(+I14&lt;F51,I14,D52)</f>
        <v>327209.61904761905</v>
      </c>
      <c r="F52" s="523">
        <f t="shared" si="15"/>
        <v>2203002.7083704672</v>
      </c>
      <c r="G52" s="524">
        <f t="shared" si="13"/>
        <v>580005.83879545541</v>
      </c>
      <c r="H52" s="491">
        <f t="shared" si="14"/>
        <v>580005.83879545541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2203002.7083704672</v>
      </c>
      <c r="E53" s="522">
        <f>IF(+I14&lt;F52,I14,D53)</f>
        <v>327209.61904761905</v>
      </c>
      <c r="F53" s="523">
        <f t="shared" si="15"/>
        <v>1875793.0893228482</v>
      </c>
      <c r="G53" s="524">
        <f t="shared" si="13"/>
        <v>545053.97029384319</v>
      </c>
      <c r="H53" s="491">
        <f t="shared" si="14"/>
        <v>545053.97029384319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1875793.0893228482</v>
      </c>
      <c r="E54" s="522">
        <f>IF(+I14&lt;F53,I14,D54)</f>
        <v>327209.61904761905</v>
      </c>
      <c r="F54" s="523">
        <f t="shared" si="15"/>
        <v>1548583.4702752293</v>
      </c>
      <c r="G54" s="524">
        <f t="shared" si="13"/>
        <v>510102.10179223091</v>
      </c>
      <c r="H54" s="491">
        <f t="shared" si="14"/>
        <v>510102.10179223091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1548583.4702752293</v>
      </c>
      <c r="E55" s="522">
        <f>IF(+I14&lt;F54,I14,D55)</f>
        <v>327209.61904761905</v>
      </c>
      <c r="F55" s="523">
        <f t="shared" si="15"/>
        <v>1221373.8512276104</v>
      </c>
      <c r="G55" s="524">
        <f t="shared" si="13"/>
        <v>475150.23329061863</v>
      </c>
      <c r="H55" s="491">
        <f t="shared" si="14"/>
        <v>475150.23329061863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1221373.8512276104</v>
      </c>
      <c r="E56" s="522">
        <f>IF(+I14&lt;F55,I14,D56)</f>
        <v>327209.61904761905</v>
      </c>
      <c r="F56" s="523">
        <f t="shared" si="15"/>
        <v>894164.23217999132</v>
      </c>
      <c r="G56" s="524">
        <f t="shared" si="13"/>
        <v>440198.36478900642</v>
      </c>
      <c r="H56" s="491">
        <f t="shared" si="14"/>
        <v>440198.36478900642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894164.23217999132</v>
      </c>
      <c r="E57" s="522">
        <f>IF(+I14&lt;F56,I14,D57)</f>
        <v>327209.61904761905</v>
      </c>
      <c r="F57" s="523">
        <f t="shared" si="15"/>
        <v>566954.61313237227</v>
      </c>
      <c r="G57" s="524">
        <f t="shared" si="13"/>
        <v>405246.4962873942</v>
      </c>
      <c r="H57" s="491">
        <f t="shared" si="14"/>
        <v>405246.4962873942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566954.61313237227</v>
      </c>
      <c r="E58" s="522">
        <f>IF(+I14&lt;F57,I14,D58)</f>
        <v>327209.61904761905</v>
      </c>
      <c r="F58" s="523">
        <f t="shared" si="15"/>
        <v>239744.99408475321</v>
      </c>
      <c r="G58" s="524">
        <f t="shared" si="13"/>
        <v>370294.62778578192</v>
      </c>
      <c r="H58" s="491">
        <f t="shared" si="14"/>
        <v>370294.62778578192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239744.99408475321</v>
      </c>
      <c r="E59" s="522">
        <f>IF(+I14&lt;F58,I14,D59)</f>
        <v>239744.99408475321</v>
      </c>
      <c r="F59" s="523">
        <f t="shared" si="15"/>
        <v>0</v>
      </c>
      <c r="G59" s="524">
        <f t="shared" si="13"/>
        <v>252549.53132843159</v>
      </c>
      <c r="H59" s="491">
        <f t="shared" si="14"/>
        <v>252549.53132843159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13"/>
        <v>0</v>
      </c>
      <c r="H60" s="491">
        <f t="shared" si="14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6">
        <f t="shared" si="13"/>
        <v>0</v>
      </c>
      <c r="H61" s="491">
        <f t="shared" si="14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6">
        <f t="shared" si="13"/>
        <v>0</v>
      </c>
      <c r="H62" s="491">
        <f t="shared" si="14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6">
        <f t="shared" si="13"/>
        <v>0</v>
      </c>
      <c r="H63" s="491">
        <f t="shared" si="14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6">
        <f t="shared" si="13"/>
        <v>0</v>
      </c>
      <c r="H64" s="491">
        <f t="shared" si="14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6">
        <f t="shared" si="13"/>
        <v>0</v>
      </c>
      <c r="H65" s="491">
        <f t="shared" si="14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6">
        <f t="shared" si="13"/>
        <v>0</v>
      </c>
      <c r="H66" s="491">
        <f t="shared" si="14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6">
        <f t="shared" si="13"/>
        <v>0</v>
      </c>
      <c r="H67" s="491">
        <f t="shared" si="14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6">
        <f t="shared" si="13"/>
        <v>0</v>
      </c>
      <c r="H68" s="491">
        <f t="shared" si="14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6">
        <f t="shared" si="13"/>
        <v>0</v>
      </c>
      <c r="H69" s="491">
        <f t="shared" si="14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6">
        <f t="shared" si="13"/>
        <v>0</v>
      </c>
      <c r="H70" s="491">
        <f t="shared" si="14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6">
        <f t="shared" si="13"/>
        <v>0</v>
      </c>
      <c r="H71" s="491">
        <f t="shared" si="14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30">
        <f t="shared" si="13"/>
        <v>0</v>
      </c>
      <c r="H72" s="471">
        <f t="shared" si="14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13742804.000000004</v>
      </c>
      <c r="F73" s="375"/>
      <c r="G73" s="375">
        <f>SUM(G17:G72)</f>
        <v>47962206.182789594</v>
      </c>
      <c r="H73" s="375">
        <f>SUM(H17:H72)</f>
        <v>47962206.182789594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1381430.0428702787</v>
      </c>
      <c r="N87" s="546">
        <f>IF(J92&lt;D11,0,VLOOKUP(J92,C17:O72,11))</f>
        <v>1381430.0428702787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1419233.2721645404</v>
      </c>
      <c r="N88" s="550">
        <f>IF(J92&lt;D11,0,VLOOKUP(J92,C99:P154,7))</f>
        <v>1419233.2721645404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[NW Ark Area Improve - 2009]  E. Centerton-Flint Crk, E Rogers-N Rogers, Centerton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37803.229294261662</v>
      </c>
      <c r="N89" s="555">
        <f>+N88-N87</f>
        <v>37803.229294261662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TP2007103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13742804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327209.61904761905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162954</v>
      </c>
      <c r="F99" s="515">
        <v>12221607</v>
      </c>
      <c r="G99" s="574">
        <v>6110803</v>
      </c>
      <c r="H99" s="575">
        <v>1047418</v>
      </c>
      <c r="I99" s="576">
        <v>1047418</v>
      </c>
      <c r="J99" s="514">
        <f t="shared" ref="J99:J130" si="20">+I99-H99</f>
        <v>0</v>
      </c>
      <c r="K99" s="514"/>
      <c r="L99" s="512">
        <f t="shared" ref="L99:L104" si="21">H99</f>
        <v>1047418</v>
      </c>
      <c r="M99" s="513">
        <f t="shared" ref="M99:M130" si="22">IF(L99&lt;&gt;0,+H99-L99,0)</f>
        <v>0</v>
      </c>
      <c r="N99" s="512">
        <f t="shared" ref="N99:N104" si="23">I99</f>
        <v>1047418</v>
      </c>
      <c r="O99" s="513">
        <f t="shared" ref="O99:O130" si="24">IF(N99&lt;&gt;0,+I99-N99,0)</f>
        <v>0</v>
      </c>
      <c r="P99" s="513">
        <f t="shared" ref="P99:P130" si="25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13579849</v>
      </c>
      <c r="E100" s="516">
        <v>335190.31707317074</v>
      </c>
      <c r="F100" s="515">
        <v>13244658.68292683</v>
      </c>
      <c r="G100" s="515">
        <v>13412253.841463415</v>
      </c>
      <c r="H100" s="516">
        <v>2549366.7560608997</v>
      </c>
      <c r="I100" s="510">
        <v>2549366.7560608997</v>
      </c>
      <c r="J100" s="514">
        <f t="shared" si="20"/>
        <v>0</v>
      </c>
      <c r="K100" s="514"/>
      <c r="L100" s="518">
        <f t="shared" si="21"/>
        <v>2549366.7560608997</v>
      </c>
      <c r="M100" s="519">
        <f t="shared" si="22"/>
        <v>0</v>
      </c>
      <c r="N100" s="518">
        <f t="shared" si="23"/>
        <v>2549366.7560608997</v>
      </c>
      <c r="O100" s="514">
        <f t="shared" si="24"/>
        <v>0</v>
      </c>
      <c r="P100" s="514">
        <f t="shared" si="25"/>
        <v>0</v>
      </c>
      <c r="Q100" s="269"/>
    </row>
    <row r="101" spans="1:17" ht="12.5">
      <c r="B101" s="195" t="str">
        <f t="shared" ref="B101:B154" si="26">IF(D101=F100,"","IU")</f>
        <v/>
      </c>
      <c r="C101" s="507">
        <f>IF(D93="","-",+C100+1)</f>
        <v>2011</v>
      </c>
      <c r="D101" s="508">
        <v>13244658.68292683</v>
      </c>
      <c r="E101" s="520">
        <v>327209.59523809527</v>
      </c>
      <c r="F101" s="515">
        <v>12917449.087688735</v>
      </c>
      <c r="G101" s="515">
        <v>13081053.885307781</v>
      </c>
      <c r="H101" s="516">
        <v>2294337.1869887193</v>
      </c>
      <c r="I101" s="510">
        <v>2294337.1869887193</v>
      </c>
      <c r="J101" s="514">
        <f t="shared" si="20"/>
        <v>0</v>
      </c>
      <c r="K101" s="514"/>
      <c r="L101" s="518">
        <f t="shared" si="21"/>
        <v>2294337.1869887193</v>
      </c>
      <c r="M101" s="519">
        <f t="shared" si="22"/>
        <v>0</v>
      </c>
      <c r="N101" s="518">
        <f t="shared" si="23"/>
        <v>2294337.1869887193</v>
      </c>
      <c r="O101" s="514">
        <f t="shared" si="24"/>
        <v>0</v>
      </c>
      <c r="P101" s="514">
        <f t="shared" si="25"/>
        <v>0</v>
      </c>
      <c r="Q101" s="269"/>
    </row>
    <row r="102" spans="1:17" ht="12.5">
      <c r="B102" s="195" t="str">
        <f t="shared" si="26"/>
        <v/>
      </c>
      <c r="C102" s="507">
        <f>IF(D93="","-",+C101+1)</f>
        <v>2012</v>
      </c>
      <c r="D102" s="508">
        <v>12917449.087688735</v>
      </c>
      <c r="E102" s="516">
        <v>327209.59523809527</v>
      </c>
      <c r="F102" s="515">
        <v>12590239.49245064</v>
      </c>
      <c r="G102" s="515">
        <v>12753844.290069688</v>
      </c>
      <c r="H102" s="516">
        <v>2203987.9280377463</v>
      </c>
      <c r="I102" s="510">
        <v>2203987.9280377463</v>
      </c>
      <c r="J102" s="514">
        <f t="shared" si="20"/>
        <v>0</v>
      </c>
      <c r="K102" s="514"/>
      <c r="L102" s="518">
        <f t="shared" si="21"/>
        <v>2203987.9280377463</v>
      </c>
      <c r="M102" s="519">
        <f t="shared" si="22"/>
        <v>0</v>
      </c>
      <c r="N102" s="518">
        <f t="shared" si="23"/>
        <v>2203987.9280377463</v>
      </c>
      <c r="O102" s="514">
        <f t="shared" si="24"/>
        <v>0</v>
      </c>
      <c r="P102" s="514">
        <f t="shared" si="25"/>
        <v>0</v>
      </c>
      <c r="Q102" s="269"/>
    </row>
    <row r="103" spans="1:17" ht="12.5">
      <c r="B103" s="195" t="str">
        <f t="shared" si="26"/>
        <v/>
      </c>
      <c r="C103" s="507">
        <f>IF(D93="","-",+C102+1)</f>
        <v>2013</v>
      </c>
      <c r="D103" s="508">
        <v>12590239.49245064</v>
      </c>
      <c r="E103" s="516">
        <v>327209.59523809527</v>
      </c>
      <c r="F103" s="515">
        <v>12263029.897212544</v>
      </c>
      <c r="G103" s="515">
        <v>12426634.694831591</v>
      </c>
      <c r="H103" s="516">
        <v>2008430.1570795039</v>
      </c>
      <c r="I103" s="510">
        <v>2008430.1570795039</v>
      </c>
      <c r="J103" s="514">
        <v>0</v>
      </c>
      <c r="K103" s="514"/>
      <c r="L103" s="518">
        <f t="shared" si="21"/>
        <v>2008430.1570795039</v>
      </c>
      <c r="M103" s="519">
        <f t="shared" ref="M103:M108" si="27">IF(L103&lt;&gt;0,+H103-L103,0)</f>
        <v>0</v>
      </c>
      <c r="N103" s="518">
        <f t="shared" si="23"/>
        <v>2008430.1570795039</v>
      </c>
      <c r="O103" s="514">
        <f t="shared" ref="O103:O108" si="28">IF(N103&lt;&gt;0,+I103-N103,0)</f>
        <v>0</v>
      </c>
      <c r="P103" s="514">
        <f t="shared" ref="P103:P108" si="29">+O103-M103</f>
        <v>0</v>
      </c>
      <c r="Q103" s="269"/>
    </row>
    <row r="104" spans="1:17" ht="12.5">
      <c r="B104" s="195" t="str">
        <f t="shared" si="26"/>
        <v/>
      </c>
      <c r="C104" s="507">
        <f>IF(D93="","-",+C103+1)</f>
        <v>2014</v>
      </c>
      <c r="D104" s="508">
        <v>12263029.897212544</v>
      </c>
      <c r="E104" s="516">
        <v>327209.59523809527</v>
      </c>
      <c r="F104" s="515">
        <v>11935820.301974449</v>
      </c>
      <c r="G104" s="515">
        <v>12099425.099593498</v>
      </c>
      <c r="H104" s="516">
        <v>1971805.3159359931</v>
      </c>
      <c r="I104" s="510">
        <v>1971805.3159359931</v>
      </c>
      <c r="J104" s="514">
        <v>0</v>
      </c>
      <c r="K104" s="514"/>
      <c r="L104" s="518">
        <f t="shared" si="21"/>
        <v>1971805.3159359931</v>
      </c>
      <c r="M104" s="519">
        <f t="shared" si="27"/>
        <v>0</v>
      </c>
      <c r="N104" s="518">
        <f t="shared" si="23"/>
        <v>1971805.3159359931</v>
      </c>
      <c r="O104" s="514">
        <f t="shared" si="28"/>
        <v>0</v>
      </c>
      <c r="P104" s="514">
        <f t="shared" si="29"/>
        <v>0</v>
      </c>
      <c r="Q104" s="269"/>
    </row>
    <row r="105" spans="1:17" ht="12.5">
      <c r="B105" s="195" t="str">
        <f t="shared" si="26"/>
        <v>IU</v>
      </c>
      <c r="C105" s="507">
        <f>IF(D93="","-",+C104+1)</f>
        <v>2015</v>
      </c>
      <c r="D105" s="508">
        <v>11935821.301974449</v>
      </c>
      <c r="E105" s="516">
        <v>327209.61904761905</v>
      </c>
      <c r="F105" s="515">
        <v>11608611.68292683</v>
      </c>
      <c r="G105" s="515">
        <v>11772216.49245064</v>
      </c>
      <c r="H105" s="516">
        <v>1878421.3763593063</v>
      </c>
      <c r="I105" s="510">
        <v>1878421.3763593063</v>
      </c>
      <c r="J105" s="514">
        <f t="shared" si="20"/>
        <v>0</v>
      </c>
      <c r="K105" s="514"/>
      <c r="L105" s="518">
        <f>H105</f>
        <v>1878421.3763593063</v>
      </c>
      <c r="M105" s="519">
        <f t="shared" si="27"/>
        <v>0</v>
      </c>
      <c r="N105" s="518">
        <f>I105</f>
        <v>1878421.3763593063</v>
      </c>
      <c r="O105" s="514">
        <f t="shared" si="28"/>
        <v>0</v>
      </c>
      <c r="P105" s="514">
        <f t="shared" si="29"/>
        <v>0</v>
      </c>
      <c r="Q105" s="269"/>
    </row>
    <row r="106" spans="1:17" ht="12.5">
      <c r="B106" s="195" t="str">
        <f t="shared" si="26"/>
        <v/>
      </c>
      <c r="C106" s="507">
        <f>IF(D93="","-",+C105+1)</f>
        <v>2016</v>
      </c>
      <c r="D106" s="508">
        <v>11608611.68292683</v>
      </c>
      <c r="E106" s="516">
        <v>319600.09302325582</v>
      </c>
      <c r="F106" s="515">
        <v>11289011.589903574</v>
      </c>
      <c r="G106" s="515">
        <v>11448811.636415202</v>
      </c>
      <c r="H106" s="516">
        <v>1773026.5961818276</v>
      </c>
      <c r="I106" s="510">
        <v>1773026.5961818276</v>
      </c>
      <c r="J106" s="514">
        <f t="shared" si="20"/>
        <v>0</v>
      </c>
      <c r="K106" s="514"/>
      <c r="L106" s="518">
        <f>H106</f>
        <v>1773026.5961818276</v>
      </c>
      <c r="M106" s="519">
        <f t="shared" si="27"/>
        <v>0</v>
      </c>
      <c r="N106" s="518">
        <f>I106</f>
        <v>1773026.5961818276</v>
      </c>
      <c r="O106" s="514">
        <f t="shared" si="28"/>
        <v>0</v>
      </c>
      <c r="P106" s="514">
        <f t="shared" si="29"/>
        <v>0</v>
      </c>
      <c r="Q106" s="269"/>
    </row>
    <row r="107" spans="1:17" ht="12.5">
      <c r="B107" s="195" t="str">
        <f t="shared" si="26"/>
        <v/>
      </c>
      <c r="C107" s="507">
        <f>IF(D93="","-",+C106+1)</f>
        <v>2017</v>
      </c>
      <c r="D107" s="508">
        <v>11289011.589903574</v>
      </c>
      <c r="E107" s="516">
        <v>327209.61904761905</v>
      </c>
      <c r="F107" s="515">
        <v>10961801.970855955</v>
      </c>
      <c r="G107" s="515">
        <v>11125406.780379765</v>
      </c>
      <c r="H107" s="516">
        <v>1678628.9979876066</v>
      </c>
      <c r="I107" s="510">
        <v>1678628.9979876066</v>
      </c>
      <c r="J107" s="514">
        <f t="shared" si="20"/>
        <v>0</v>
      </c>
      <c r="K107" s="514"/>
      <c r="L107" s="518">
        <f>H107</f>
        <v>1678628.9979876066</v>
      </c>
      <c r="M107" s="519">
        <f t="shared" si="27"/>
        <v>0</v>
      </c>
      <c r="N107" s="518">
        <f>I107</f>
        <v>1678628.9979876066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6"/>
        <v/>
      </c>
      <c r="C108" s="507">
        <f>IF(D93="","-",+C107+1)</f>
        <v>2018</v>
      </c>
      <c r="D108" s="508">
        <v>10961801.970855955</v>
      </c>
      <c r="E108" s="516">
        <v>327209.61904761905</v>
      </c>
      <c r="F108" s="515">
        <v>10634592.351808336</v>
      </c>
      <c r="G108" s="515">
        <v>10798197.161332145</v>
      </c>
      <c r="H108" s="516">
        <v>1467548.7578705251</v>
      </c>
      <c r="I108" s="510">
        <v>1467548.7578705251</v>
      </c>
      <c r="J108" s="514">
        <f t="shared" si="20"/>
        <v>0</v>
      </c>
      <c r="K108" s="514"/>
      <c r="L108" s="518">
        <f>H108</f>
        <v>1467548.7578705251</v>
      </c>
      <c r="M108" s="519">
        <f t="shared" si="27"/>
        <v>0</v>
      </c>
      <c r="N108" s="518">
        <f>I108</f>
        <v>1467548.7578705251</v>
      </c>
      <c r="O108" s="514">
        <f t="shared" si="28"/>
        <v>0</v>
      </c>
      <c r="P108" s="514">
        <f t="shared" si="29"/>
        <v>0</v>
      </c>
      <c r="Q108" s="269"/>
    </row>
    <row r="109" spans="1:17" ht="12.5">
      <c r="B109" s="195" t="str">
        <f t="shared" si="26"/>
        <v/>
      </c>
      <c r="C109" s="507">
        <f>IF(D93="","-",+C108+1)</f>
        <v>2019</v>
      </c>
      <c r="D109" s="508">
        <v>10634592.351808336</v>
      </c>
      <c r="E109" s="516">
        <v>319600.09302325582</v>
      </c>
      <c r="F109" s="515">
        <v>10314992.25878508</v>
      </c>
      <c r="G109" s="515">
        <v>10474792.305296708</v>
      </c>
      <c r="H109" s="516">
        <v>1440827.5862967977</v>
      </c>
      <c r="I109" s="510">
        <v>1440827.5862967977</v>
      </c>
      <c r="J109" s="514">
        <f t="shared" si="20"/>
        <v>0</v>
      </c>
      <c r="K109" s="514"/>
      <c r="L109" s="518">
        <f>H109</f>
        <v>1440827.5862967977</v>
      </c>
      <c r="M109" s="519">
        <f t="shared" ref="M109" si="30">IF(L109&lt;&gt;0,+H109-L109,0)</f>
        <v>0</v>
      </c>
      <c r="N109" s="518">
        <f>I109</f>
        <v>1440827.5862967977</v>
      </c>
      <c r="O109" s="514">
        <f t="shared" si="24"/>
        <v>0</v>
      </c>
      <c r="P109" s="514">
        <f t="shared" si="25"/>
        <v>0</v>
      </c>
      <c r="Q109" s="269"/>
    </row>
    <row r="110" spans="1:17" ht="12.5">
      <c r="B110" s="195" t="str">
        <f t="shared" si="26"/>
        <v/>
      </c>
      <c r="C110" s="507">
        <f>IF(D93="","-",+C109+1)</f>
        <v>2020</v>
      </c>
      <c r="D110" s="374">
        <f>IF(F109+SUM(E$99:E109)=D$92,F109,D$92-SUM(E$99:E109))</f>
        <v>10314992.25878508</v>
      </c>
      <c r="E110" s="522">
        <f>IF(+J96&lt;F109,J96,D110)</f>
        <v>327209.61904761905</v>
      </c>
      <c r="F110" s="523">
        <f t="shared" ref="F110:F130" si="31">+D110-E110</f>
        <v>9987782.6397374608</v>
      </c>
      <c r="G110" s="523">
        <f t="shared" ref="G110:G130" si="32">+(F110+D110)/2</f>
        <v>10151387.44926127</v>
      </c>
      <c r="H110" s="526">
        <f>+J$94*G110+E110</f>
        <v>1419233.2721645404</v>
      </c>
      <c r="I110" s="577">
        <f>+J$95*G110+E110</f>
        <v>1419233.2721645404</v>
      </c>
      <c r="J110" s="514">
        <f t="shared" si="20"/>
        <v>0</v>
      </c>
      <c r="K110" s="514"/>
      <c r="L110" s="525"/>
      <c r="M110" s="514">
        <f t="shared" si="22"/>
        <v>0</v>
      </c>
      <c r="N110" s="525"/>
      <c r="O110" s="514">
        <f t="shared" si="24"/>
        <v>0</v>
      </c>
      <c r="P110" s="514">
        <f t="shared" si="25"/>
        <v>0</v>
      </c>
      <c r="Q110" s="269"/>
    </row>
    <row r="111" spans="1:17" ht="12.5">
      <c r="B111" s="195" t="str">
        <f t="shared" si="26"/>
        <v/>
      </c>
      <c r="C111" s="507">
        <f>IF(D93="","-",+C110+1)</f>
        <v>2021</v>
      </c>
      <c r="D111" s="374">
        <f>IF(F110+SUM(E$99:E110)=D$92,F110,D$92-SUM(E$99:E110))</f>
        <v>9987782.6397374608</v>
      </c>
      <c r="E111" s="522">
        <f>IF(+J96&lt;F110,J96,D111)</f>
        <v>327209.61904761905</v>
      </c>
      <c r="F111" s="523">
        <f t="shared" si="31"/>
        <v>9660573.0206898414</v>
      </c>
      <c r="G111" s="523">
        <f t="shared" si="32"/>
        <v>9824177.8302136511</v>
      </c>
      <c r="H111" s="526">
        <f>+J$94*G111+E111</f>
        <v>1384034.0794124817</v>
      </c>
      <c r="I111" s="577">
        <f>+J$95*G111+E111</f>
        <v>1384034.0794124817</v>
      </c>
      <c r="J111" s="514">
        <f t="shared" si="20"/>
        <v>0</v>
      </c>
      <c r="K111" s="514"/>
      <c r="L111" s="525"/>
      <c r="M111" s="514">
        <f t="shared" si="22"/>
        <v>0</v>
      </c>
      <c r="N111" s="525"/>
      <c r="O111" s="514">
        <f t="shared" si="24"/>
        <v>0</v>
      </c>
      <c r="P111" s="514">
        <f t="shared" si="25"/>
        <v>0</v>
      </c>
      <c r="Q111" s="269"/>
    </row>
    <row r="112" spans="1:17" ht="12.5">
      <c r="B112" s="195" t="str">
        <f t="shared" si="26"/>
        <v/>
      </c>
      <c r="C112" s="507">
        <f>IF(D93="","-",+C111+1)</f>
        <v>2022</v>
      </c>
      <c r="D112" s="374">
        <f>IF(F111+SUM(E$99:E111)=D$92,F111,D$92-SUM(E$99:E111))</f>
        <v>9660573.0206898414</v>
      </c>
      <c r="E112" s="522">
        <f>IF(+J96&lt;F111,J96,D112)</f>
        <v>327209.61904761905</v>
      </c>
      <c r="F112" s="523">
        <f t="shared" si="31"/>
        <v>9333363.401642222</v>
      </c>
      <c r="G112" s="523">
        <f t="shared" si="32"/>
        <v>9496968.2111660317</v>
      </c>
      <c r="H112" s="526">
        <f>+J$94*G112+E112</f>
        <v>1348834.8866604227</v>
      </c>
      <c r="I112" s="577">
        <f>+J$95*G112+E112</f>
        <v>1348834.8866604227</v>
      </c>
      <c r="J112" s="514">
        <f t="shared" si="20"/>
        <v>0</v>
      </c>
      <c r="K112" s="514"/>
      <c r="L112" s="525"/>
      <c r="M112" s="514">
        <f t="shared" si="22"/>
        <v>0</v>
      </c>
      <c r="N112" s="525"/>
      <c r="O112" s="514">
        <f t="shared" si="24"/>
        <v>0</v>
      </c>
      <c r="P112" s="514">
        <f t="shared" si="25"/>
        <v>0</v>
      </c>
      <c r="Q112" s="269"/>
    </row>
    <row r="113" spans="2:17" ht="12.5">
      <c r="B113" s="195" t="str">
        <f t="shared" si="26"/>
        <v/>
      </c>
      <c r="C113" s="507">
        <f>IF(D93="","-",+C112+1)</f>
        <v>2023</v>
      </c>
      <c r="D113" s="374">
        <f>IF(F112+SUM(E$99:E112)=D$92,F112,D$92-SUM(E$99:E112))</f>
        <v>9333363.401642222</v>
      </c>
      <c r="E113" s="522">
        <f>IF(+J96&lt;F112,J96,D113)</f>
        <v>327209.61904761905</v>
      </c>
      <c r="F113" s="523">
        <f t="shared" si="31"/>
        <v>9006153.7825946026</v>
      </c>
      <c r="G113" s="523">
        <f t="shared" si="32"/>
        <v>9169758.5921184123</v>
      </c>
      <c r="H113" s="526">
        <f t="shared" ref="H113:H154" si="33">+J$94*G113+E113</f>
        <v>1313635.693908364</v>
      </c>
      <c r="I113" s="577">
        <f t="shared" ref="I113:I154" si="34">+J$95*G113+E113</f>
        <v>1313635.693908364</v>
      </c>
      <c r="J113" s="514">
        <f t="shared" si="20"/>
        <v>0</v>
      </c>
      <c r="K113" s="514"/>
      <c r="L113" s="525"/>
      <c r="M113" s="514">
        <f t="shared" si="22"/>
        <v>0</v>
      </c>
      <c r="N113" s="525"/>
      <c r="O113" s="514">
        <f t="shared" si="24"/>
        <v>0</v>
      </c>
      <c r="P113" s="514">
        <f t="shared" si="25"/>
        <v>0</v>
      </c>
      <c r="Q113" s="269"/>
    </row>
    <row r="114" spans="2:17" ht="12.5">
      <c r="B114" s="195" t="str">
        <f t="shared" si="26"/>
        <v/>
      </c>
      <c r="C114" s="507">
        <f>IF(D93="","-",+C113+1)</f>
        <v>2024</v>
      </c>
      <c r="D114" s="374">
        <f>IF(F113+SUM(E$99:E113)=D$92,F113,D$92-SUM(E$99:E113))</f>
        <v>9006153.7825946026</v>
      </c>
      <c r="E114" s="522">
        <f>IF(+J96&lt;F113,J96,D114)</f>
        <v>327209.61904761905</v>
      </c>
      <c r="F114" s="523">
        <f t="shared" si="31"/>
        <v>8678944.1635469832</v>
      </c>
      <c r="G114" s="523">
        <f t="shared" si="32"/>
        <v>8842548.9730707929</v>
      </c>
      <c r="H114" s="526">
        <f t="shared" si="33"/>
        <v>1278436.5011563054</v>
      </c>
      <c r="I114" s="577">
        <f t="shared" si="34"/>
        <v>1278436.5011563054</v>
      </c>
      <c r="J114" s="514">
        <f t="shared" si="20"/>
        <v>0</v>
      </c>
      <c r="K114" s="514"/>
      <c r="L114" s="525"/>
      <c r="M114" s="514">
        <f t="shared" si="22"/>
        <v>0</v>
      </c>
      <c r="N114" s="525"/>
      <c r="O114" s="514">
        <f t="shared" si="24"/>
        <v>0</v>
      </c>
      <c r="P114" s="514">
        <f t="shared" si="25"/>
        <v>0</v>
      </c>
      <c r="Q114" s="269"/>
    </row>
    <row r="115" spans="2:17" ht="12.5">
      <c r="B115" s="195" t="str">
        <f t="shared" si="26"/>
        <v/>
      </c>
      <c r="C115" s="507">
        <f>IF(D93="","-",+C114+1)</f>
        <v>2025</v>
      </c>
      <c r="D115" s="374">
        <f>IF(F114+SUM(E$99:E114)=D$92,F114,D$92-SUM(E$99:E114))</f>
        <v>8678944.1635469832</v>
      </c>
      <c r="E115" s="522">
        <f>IF(+J96&lt;F114,J96,D115)</f>
        <v>327209.61904761905</v>
      </c>
      <c r="F115" s="523">
        <f t="shared" si="31"/>
        <v>8351734.5444993638</v>
      </c>
      <c r="G115" s="523">
        <f t="shared" si="32"/>
        <v>8515339.3540231735</v>
      </c>
      <c r="H115" s="526">
        <f t="shared" si="33"/>
        <v>1243237.3084042466</v>
      </c>
      <c r="I115" s="577">
        <f t="shared" si="34"/>
        <v>1243237.3084042466</v>
      </c>
      <c r="J115" s="514">
        <f t="shared" si="20"/>
        <v>0</v>
      </c>
      <c r="K115" s="514"/>
      <c r="L115" s="525"/>
      <c r="M115" s="514">
        <f t="shared" si="22"/>
        <v>0</v>
      </c>
      <c r="N115" s="525"/>
      <c r="O115" s="514">
        <f t="shared" si="24"/>
        <v>0</v>
      </c>
      <c r="P115" s="514">
        <f t="shared" si="25"/>
        <v>0</v>
      </c>
      <c r="Q115" s="269"/>
    </row>
    <row r="116" spans="2:17" ht="12.5">
      <c r="B116" s="195" t="str">
        <f t="shared" si="26"/>
        <v/>
      </c>
      <c r="C116" s="507">
        <f>IF(D93="","-",+C115+1)</f>
        <v>2026</v>
      </c>
      <c r="D116" s="374">
        <f>IF(F115+SUM(E$99:E115)=D$92,F115,D$92-SUM(E$99:E115))</f>
        <v>8351734.5444993638</v>
      </c>
      <c r="E116" s="522">
        <f>IF(+J96&lt;F115,J96,D116)</f>
        <v>327209.61904761905</v>
      </c>
      <c r="F116" s="523">
        <f t="shared" si="31"/>
        <v>8024524.9254517443</v>
      </c>
      <c r="G116" s="523">
        <f t="shared" si="32"/>
        <v>8188129.734975554</v>
      </c>
      <c r="H116" s="526">
        <f t="shared" si="33"/>
        <v>1208038.1156521877</v>
      </c>
      <c r="I116" s="577">
        <f t="shared" si="34"/>
        <v>1208038.1156521877</v>
      </c>
      <c r="J116" s="514">
        <f t="shared" si="20"/>
        <v>0</v>
      </c>
      <c r="K116" s="514"/>
      <c r="L116" s="525"/>
      <c r="M116" s="514">
        <f t="shared" si="22"/>
        <v>0</v>
      </c>
      <c r="N116" s="525"/>
      <c r="O116" s="514">
        <f t="shared" si="24"/>
        <v>0</v>
      </c>
      <c r="P116" s="514">
        <f t="shared" si="25"/>
        <v>0</v>
      </c>
      <c r="Q116" s="269"/>
    </row>
    <row r="117" spans="2:17" ht="12.5">
      <c r="B117" s="195" t="str">
        <f t="shared" si="26"/>
        <v/>
      </c>
      <c r="C117" s="507">
        <f>IF(D93="","-",+C116+1)</f>
        <v>2027</v>
      </c>
      <c r="D117" s="374">
        <f>IF(F116+SUM(E$99:E116)=D$92,F116,D$92-SUM(E$99:E116))</f>
        <v>8024524.9254517443</v>
      </c>
      <c r="E117" s="522">
        <f>IF(+J96&lt;F116,J96,D117)</f>
        <v>327209.61904761905</v>
      </c>
      <c r="F117" s="523">
        <f t="shared" si="31"/>
        <v>7697315.3064041249</v>
      </c>
      <c r="G117" s="523">
        <f t="shared" si="32"/>
        <v>7860920.1159279346</v>
      </c>
      <c r="H117" s="526">
        <f t="shared" si="33"/>
        <v>1172838.9229001291</v>
      </c>
      <c r="I117" s="577">
        <f t="shared" si="34"/>
        <v>1172838.9229001291</v>
      </c>
      <c r="J117" s="514">
        <f t="shared" si="20"/>
        <v>0</v>
      </c>
      <c r="K117" s="514"/>
      <c r="L117" s="525"/>
      <c r="M117" s="514">
        <f t="shared" si="22"/>
        <v>0</v>
      </c>
      <c r="N117" s="525"/>
      <c r="O117" s="514">
        <f t="shared" si="24"/>
        <v>0</v>
      </c>
      <c r="P117" s="514">
        <f t="shared" si="25"/>
        <v>0</v>
      </c>
      <c r="Q117" s="269"/>
    </row>
    <row r="118" spans="2:17" ht="12.5">
      <c r="B118" s="195" t="str">
        <f t="shared" si="26"/>
        <v/>
      </c>
      <c r="C118" s="507">
        <f>IF(D93="","-",+C117+1)</f>
        <v>2028</v>
      </c>
      <c r="D118" s="374">
        <f>IF(F117+SUM(E$99:E117)=D$92,F117,D$92-SUM(E$99:E117))</f>
        <v>7697315.3064041249</v>
      </c>
      <c r="E118" s="522">
        <f>IF(+J96&lt;F117,J96,D118)</f>
        <v>327209.61904761905</v>
      </c>
      <c r="F118" s="523">
        <f t="shared" si="31"/>
        <v>7370105.6873565055</v>
      </c>
      <c r="G118" s="523">
        <f t="shared" si="32"/>
        <v>7533710.4968803152</v>
      </c>
      <c r="H118" s="526">
        <f t="shared" si="33"/>
        <v>1137639.7301480703</v>
      </c>
      <c r="I118" s="577">
        <f t="shared" si="34"/>
        <v>1137639.7301480703</v>
      </c>
      <c r="J118" s="514">
        <f t="shared" si="20"/>
        <v>0</v>
      </c>
      <c r="K118" s="514"/>
      <c r="L118" s="525"/>
      <c r="M118" s="514">
        <f t="shared" si="22"/>
        <v>0</v>
      </c>
      <c r="N118" s="525"/>
      <c r="O118" s="514">
        <f t="shared" si="24"/>
        <v>0</v>
      </c>
      <c r="P118" s="514">
        <f t="shared" si="25"/>
        <v>0</v>
      </c>
      <c r="Q118" s="269"/>
    </row>
    <row r="119" spans="2:17" ht="12.5">
      <c r="B119" s="195" t="str">
        <f t="shared" si="26"/>
        <v/>
      </c>
      <c r="C119" s="507">
        <f>IF(D93="","-",+C118+1)</f>
        <v>2029</v>
      </c>
      <c r="D119" s="374">
        <f>IF(F118+SUM(E$99:E118)=D$92,F118,D$92-SUM(E$99:E118))</f>
        <v>7370105.6873565055</v>
      </c>
      <c r="E119" s="522">
        <f>IF(+J96&lt;F118,J96,D119)</f>
        <v>327209.61904761905</v>
      </c>
      <c r="F119" s="523">
        <f t="shared" si="31"/>
        <v>7042896.0683088861</v>
      </c>
      <c r="G119" s="523">
        <f t="shared" si="32"/>
        <v>7206500.8778326958</v>
      </c>
      <c r="H119" s="526">
        <f t="shared" si="33"/>
        <v>1102440.5373960114</v>
      </c>
      <c r="I119" s="577">
        <f t="shared" si="34"/>
        <v>1102440.5373960114</v>
      </c>
      <c r="J119" s="514">
        <f t="shared" si="20"/>
        <v>0</v>
      </c>
      <c r="K119" s="514"/>
      <c r="L119" s="525"/>
      <c r="M119" s="514">
        <f t="shared" si="22"/>
        <v>0</v>
      </c>
      <c r="N119" s="525"/>
      <c r="O119" s="514">
        <f t="shared" si="24"/>
        <v>0</v>
      </c>
      <c r="P119" s="514">
        <f t="shared" si="25"/>
        <v>0</v>
      </c>
      <c r="Q119" s="269"/>
    </row>
    <row r="120" spans="2:17" ht="12.5">
      <c r="B120" s="195" t="str">
        <f t="shared" si="26"/>
        <v/>
      </c>
      <c r="C120" s="507">
        <f>IF(D93="","-",+C119+1)</f>
        <v>2030</v>
      </c>
      <c r="D120" s="374">
        <f>IF(F119+SUM(E$99:E119)=D$92,F119,D$92-SUM(E$99:E119))</f>
        <v>7042896.0683088861</v>
      </c>
      <c r="E120" s="522">
        <f>IF(+J96&lt;F119,J96,D120)</f>
        <v>327209.61904761905</v>
      </c>
      <c r="F120" s="523">
        <f t="shared" si="31"/>
        <v>6715686.4492612667</v>
      </c>
      <c r="G120" s="523">
        <f t="shared" si="32"/>
        <v>6879291.2587850764</v>
      </c>
      <c r="H120" s="526">
        <f t="shared" si="33"/>
        <v>1067241.3446439528</v>
      </c>
      <c r="I120" s="577">
        <f t="shared" si="34"/>
        <v>1067241.3446439528</v>
      </c>
      <c r="J120" s="514">
        <f t="shared" si="20"/>
        <v>0</v>
      </c>
      <c r="K120" s="514"/>
      <c r="L120" s="525"/>
      <c r="M120" s="514">
        <f t="shared" si="22"/>
        <v>0</v>
      </c>
      <c r="N120" s="525"/>
      <c r="O120" s="514">
        <f t="shared" si="24"/>
        <v>0</v>
      </c>
      <c r="P120" s="514">
        <f t="shared" si="25"/>
        <v>0</v>
      </c>
      <c r="Q120" s="269"/>
    </row>
    <row r="121" spans="2:17" ht="12.5">
      <c r="B121" s="195" t="str">
        <f t="shared" si="26"/>
        <v/>
      </c>
      <c r="C121" s="507">
        <f>IF(D93="","-",+C120+1)</f>
        <v>2031</v>
      </c>
      <c r="D121" s="374">
        <f>IF(F120+SUM(E$99:E120)=D$92,F120,D$92-SUM(E$99:E120))</f>
        <v>6715686.4492612667</v>
      </c>
      <c r="E121" s="522">
        <f>IF(+J96&lt;F120,J96,D121)</f>
        <v>327209.61904761905</v>
      </c>
      <c r="F121" s="523">
        <f t="shared" si="31"/>
        <v>6388476.8302136473</v>
      </c>
      <c r="G121" s="523">
        <f t="shared" si="32"/>
        <v>6552081.639737457</v>
      </c>
      <c r="H121" s="526">
        <f t="shared" si="33"/>
        <v>1032042.1518918941</v>
      </c>
      <c r="I121" s="577">
        <f t="shared" si="34"/>
        <v>1032042.1518918941</v>
      </c>
      <c r="J121" s="514">
        <f t="shared" si="20"/>
        <v>0</v>
      </c>
      <c r="K121" s="514"/>
      <c r="L121" s="525"/>
      <c r="M121" s="514">
        <f t="shared" si="22"/>
        <v>0</v>
      </c>
      <c r="N121" s="525"/>
      <c r="O121" s="514">
        <f t="shared" si="24"/>
        <v>0</v>
      </c>
      <c r="P121" s="514">
        <f t="shared" si="25"/>
        <v>0</v>
      </c>
      <c r="Q121" s="269"/>
    </row>
    <row r="122" spans="2:17" ht="12.5">
      <c r="B122" s="195" t="str">
        <f t="shared" si="26"/>
        <v/>
      </c>
      <c r="C122" s="507">
        <f>IF(D93="","-",+C121+1)</f>
        <v>2032</v>
      </c>
      <c r="D122" s="374">
        <f>IF(F121+SUM(E$99:E121)=D$92,F121,D$92-SUM(E$99:E121))</f>
        <v>6388476.8302136473</v>
      </c>
      <c r="E122" s="522">
        <f>IF(+J96&lt;F121,J96,D122)</f>
        <v>327209.61904761905</v>
      </c>
      <c r="F122" s="523">
        <f t="shared" si="31"/>
        <v>6061267.2111660279</v>
      </c>
      <c r="G122" s="523">
        <f t="shared" si="32"/>
        <v>6224872.0206898376</v>
      </c>
      <c r="H122" s="526">
        <f t="shared" si="33"/>
        <v>996842.95913983532</v>
      </c>
      <c r="I122" s="577">
        <f t="shared" si="34"/>
        <v>996842.95913983532</v>
      </c>
      <c r="J122" s="514">
        <f t="shared" si="20"/>
        <v>0</v>
      </c>
      <c r="K122" s="514"/>
      <c r="L122" s="525"/>
      <c r="M122" s="514">
        <f t="shared" si="22"/>
        <v>0</v>
      </c>
      <c r="N122" s="525"/>
      <c r="O122" s="514">
        <f t="shared" si="24"/>
        <v>0</v>
      </c>
      <c r="P122" s="514">
        <f t="shared" si="25"/>
        <v>0</v>
      </c>
      <c r="Q122" s="269"/>
    </row>
    <row r="123" spans="2:17" ht="12.5">
      <c r="B123" s="195" t="str">
        <f t="shared" si="26"/>
        <v/>
      </c>
      <c r="C123" s="507">
        <f>IF(D93="","-",+C122+1)</f>
        <v>2033</v>
      </c>
      <c r="D123" s="374">
        <f>IF(F122+SUM(E$99:E122)=D$92,F122,D$92-SUM(E$99:E122))</f>
        <v>6061267.2111660279</v>
      </c>
      <c r="E123" s="522">
        <f>IF(+J96&lt;F122,J96,D123)</f>
        <v>327209.61904761905</v>
      </c>
      <c r="F123" s="523">
        <f t="shared" si="31"/>
        <v>5734057.5921184085</v>
      </c>
      <c r="G123" s="523">
        <f t="shared" si="32"/>
        <v>5897662.4016422182</v>
      </c>
      <c r="H123" s="526">
        <f t="shared" si="33"/>
        <v>961643.76638777659</v>
      </c>
      <c r="I123" s="577">
        <f t="shared" si="34"/>
        <v>961643.76638777659</v>
      </c>
      <c r="J123" s="514">
        <f t="shared" si="20"/>
        <v>0</v>
      </c>
      <c r="K123" s="514"/>
      <c r="L123" s="525"/>
      <c r="M123" s="514">
        <f t="shared" si="22"/>
        <v>0</v>
      </c>
      <c r="N123" s="525"/>
      <c r="O123" s="514">
        <f t="shared" si="24"/>
        <v>0</v>
      </c>
      <c r="P123" s="514">
        <f t="shared" si="25"/>
        <v>0</v>
      </c>
      <c r="Q123" s="269"/>
    </row>
    <row r="124" spans="2:17" ht="12.5">
      <c r="B124" s="195" t="str">
        <f t="shared" si="26"/>
        <v/>
      </c>
      <c r="C124" s="507">
        <f>IF(D93="","-",+C123+1)</f>
        <v>2034</v>
      </c>
      <c r="D124" s="374">
        <f>IF(F123+SUM(E$99:E123)=D$92,F123,D$92-SUM(E$99:E123))</f>
        <v>5734057.5921184085</v>
      </c>
      <c r="E124" s="522">
        <f>IF(+J96&lt;F123,J96,D124)</f>
        <v>327209.61904761905</v>
      </c>
      <c r="F124" s="523">
        <f t="shared" si="31"/>
        <v>5406847.9730707891</v>
      </c>
      <c r="G124" s="523">
        <f t="shared" si="32"/>
        <v>5570452.7825945988</v>
      </c>
      <c r="H124" s="526">
        <f t="shared" si="33"/>
        <v>926444.57363571774</v>
      </c>
      <c r="I124" s="577">
        <f t="shared" si="34"/>
        <v>926444.57363571774</v>
      </c>
      <c r="J124" s="514">
        <f t="shared" si="20"/>
        <v>0</v>
      </c>
      <c r="K124" s="514"/>
      <c r="L124" s="525"/>
      <c r="M124" s="514">
        <f t="shared" si="22"/>
        <v>0</v>
      </c>
      <c r="N124" s="525"/>
      <c r="O124" s="514">
        <f t="shared" si="24"/>
        <v>0</v>
      </c>
      <c r="P124" s="514">
        <f t="shared" si="25"/>
        <v>0</v>
      </c>
      <c r="Q124" s="269"/>
    </row>
    <row r="125" spans="2:17" ht="12.5">
      <c r="B125" s="195" t="str">
        <f t="shared" si="26"/>
        <v/>
      </c>
      <c r="C125" s="507">
        <f>IF(D93="","-",+C124+1)</f>
        <v>2035</v>
      </c>
      <c r="D125" s="374">
        <f>IF(F124+SUM(E$99:E124)=D$92,F124,D$92-SUM(E$99:E124))</f>
        <v>5406847.9730707891</v>
      </c>
      <c r="E125" s="522">
        <f>IF(+J96&lt;F124,J96,D125)</f>
        <v>327209.61904761905</v>
      </c>
      <c r="F125" s="523">
        <f t="shared" si="31"/>
        <v>5079638.3540231697</v>
      </c>
      <c r="G125" s="523">
        <f t="shared" si="32"/>
        <v>5243243.1635469794</v>
      </c>
      <c r="H125" s="526">
        <f t="shared" si="33"/>
        <v>891245.380883659</v>
      </c>
      <c r="I125" s="577">
        <f t="shared" si="34"/>
        <v>891245.380883659</v>
      </c>
      <c r="J125" s="514">
        <f t="shared" si="20"/>
        <v>0</v>
      </c>
      <c r="K125" s="514"/>
      <c r="L125" s="525"/>
      <c r="M125" s="514">
        <f t="shared" si="22"/>
        <v>0</v>
      </c>
      <c r="N125" s="525"/>
      <c r="O125" s="514">
        <f t="shared" si="24"/>
        <v>0</v>
      </c>
      <c r="P125" s="514">
        <f t="shared" si="25"/>
        <v>0</v>
      </c>
      <c r="Q125" s="269"/>
    </row>
    <row r="126" spans="2:17" ht="12.5">
      <c r="B126" s="195" t="str">
        <f t="shared" si="26"/>
        <v/>
      </c>
      <c r="C126" s="507">
        <f>IF(D93="","-",+C125+1)</f>
        <v>2036</v>
      </c>
      <c r="D126" s="374">
        <f>IF(F125+SUM(E$99:E125)=D$92,F125,D$92-SUM(E$99:E125))</f>
        <v>5079638.3540231697</v>
      </c>
      <c r="E126" s="522">
        <f>IF(+J96&lt;F125,J96,D126)</f>
        <v>327209.61904761905</v>
      </c>
      <c r="F126" s="523">
        <f t="shared" si="31"/>
        <v>4752428.7349755503</v>
      </c>
      <c r="G126" s="523">
        <f t="shared" si="32"/>
        <v>4916033.54449936</v>
      </c>
      <c r="H126" s="526">
        <f t="shared" si="33"/>
        <v>856046.18813160027</v>
      </c>
      <c r="I126" s="577">
        <f t="shared" si="34"/>
        <v>856046.18813160027</v>
      </c>
      <c r="J126" s="514">
        <f t="shared" si="20"/>
        <v>0</v>
      </c>
      <c r="K126" s="514"/>
      <c r="L126" s="525"/>
      <c r="M126" s="514">
        <f t="shared" si="22"/>
        <v>0</v>
      </c>
      <c r="N126" s="525"/>
      <c r="O126" s="514">
        <f t="shared" si="24"/>
        <v>0</v>
      </c>
      <c r="P126" s="514">
        <f t="shared" si="25"/>
        <v>0</v>
      </c>
      <c r="Q126" s="269"/>
    </row>
    <row r="127" spans="2:17" ht="12.5">
      <c r="B127" s="195" t="str">
        <f t="shared" si="26"/>
        <v/>
      </c>
      <c r="C127" s="507">
        <f>IF(D93="","-",+C126+1)</f>
        <v>2037</v>
      </c>
      <c r="D127" s="374">
        <f>IF(F126+SUM(E$99:E126)=D$92,F126,D$92-SUM(E$99:E126))</f>
        <v>4752428.7349755503</v>
      </c>
      <c r="E127" s="522">
        <f>IF(+J96&lt;F126,J96,D127)</f>
        <v>327209.61904761905</v>
      </c>
      <c r="F127" s="523">
        <f t="shared" si="31"/>
        <v>4425219.1159279309</v>
      </c>
      <c r="G127" s="523">
        <f t="shared" si="32"/>
        <v>4588823.9254517406</v>
      </c>
      <c r="H127" s="526">
        <f t="shared" si="33"/>
        <v>820846.99537954153</v>
      </c>
      <c r="I127" s="577">
        <f t="shared" si="34"/>
        <v>820846.99537954153</v>
      </c>
      <c r="J127" s="514">
        <f t="shared" si="20"/>
        <v>0</v>
      </c>
      <c r="K127" s="514"/>
      <c r="L127" s="525"/>
      <c r="M127" s="514">
        <f t="shared" si="22"/>
        <v>0</v>
      </c>
      <c r="N127" s="525"/>
      <c r="O127" s="514">
        <f t="shared" si="24"/>
        <v>0</v>
      </c>
      <c r="P127" s="514">
        <f t="shared" si="25"/>
        <v>0</v>
      </c>
      <c r="Q127" s="269"/>
    </row>
    <row r="128" spans="2:17" ht="12.5">
      <c r="B128" s="195" t="str">
        <f t="shared" si="26"/>
        <v/>
      </c>
      <c r="C128" s="507">
        <f>IF(D93="","-",+C127+1)</f>
        <v>2038</v>
      </c>
      <c r="D128" s="374">
        <f>IF(F127+SUM(E$99:E127)=D$92,F127,D$92-SUM(E$99:E127))</f>
        <v>4425219.1159279309</v>
      </c>
      <c r="E128" s="522">
        <f>IF(+J96&lt;F127,J96,D128)</f>
        <v>327209.61904761905</v>
      </c>
      <c r="F128" s="523">
        <f t="shared" si="31"/>
        <v>4098009.496880312</v>
      </c>
      <c r="G128" s="523">
        <f t="shared" si="32"/>
        <v>4261614.3064041212</v>
      </c>
      <c r="H128" s="526">
        <f t="shared" si="33"/>
        <v>785647.8026274828</v>
      </c>
      <c r="I128" s="577">
        <f t="shared" si="34"/>
        <v>785647.8026274828</v>
      </c>
      <c r="J128" s="514">
        <f t="shared" si="20"/>
        <v>0</v>
      </c>
      <c r="K128" s="514"/>
      <c r="L128" s="525"/>
      <c r="M128" s="514">
        <f t="shared" si="22"/>
        <v>0</v>
      </c>
      <c r="N128" s="525"/>
      <c r="O128" s="514">
        <f t="shared" si="24"/>
        <v>0</v>
      </c>
      <c r="P128" s="514">
        <f t="shared" si="25"/>
        <v>0</v>
      </c>
      <c r="Q128" s="269"/>
    </row>
    <row r="129" spans="2:17" ht="12.5">
      <c r="B129" s="195" t="str">
        <f t="shared" si="26"/>
        <v/>
      </c>
      <c r="C129" s="507">
        <f>IF(D93="","-",+C128+1)</f>
        <v>2039</v>
      </c>
      <c r="D129" s="374">
        <f>IF(F128+SUM(E$99:E128)=D$92,F128,D$92-SUM(E$99:E128))</f>
        <v>4098009.496880312</v>
      </c>
      <c r="E129" s="522">
        <f>IF(+J96&lt;F128,J96,D129)</f>
        <v>327209.61904761905</v>
      </c>
      <c r="F129" s="523">
        <f t="shared" si="31"/>
        <v>3770799.877832693</v>
      </c>
      <c r="G129" s="523">
        <f t="shared" si="32"/>
        <v>3934404.6873565027</v>
      </c>
      <c r="H129" s="526">
        <f t="shared" si="33"/>
        <v>750448.60987542407</v>
      </c>
      <c r="I129" s="577">
        <f t="shared" si="34"/>
        <v>750448.60987542407</v>
      </c>
      <c r="J129" s="514">
        <f t="shared" si="20"/>
        <v>0</v>
      </c>
      <c r="K129" s="514"/>
      <c r="L129" s="525"/>
      <c r="M129" s="514">
        <f t="shared" si="22"/>
        <v>0</v>
      </c>
      <c r="N129" s="525"/>
      <c r="O129" s="514">
        <f t="shared" si="24"/>
        <v>0</v>
      </c>
      <c r="P129" s="514">
        <f t="shared" si="25"/>
        <v>0</v>
      </c>
      <c r="Q129" s="269"/>
    </row>
    <row r="130" spans="2:17" ht="12.5">
      <c r="B130" s="195" t="str">
        <f t="shared" si="26"/>
        <v/>
      </c>
      <c r="C130" s="507">
        <f>IF(D93="","-",+C129+1)</f>
        <v>2040</v>
      </c>
      <c r="D130" s="374">
        <f>IF(F129+SUM(E$99:E129)=D$92,F129,D$92-SUM(E$99:E129))</f>
        <v>3770799.877832693</v>
      </c>
      <c r="E130" s="522">
        <f>IF(+J96&lt;F129,J96,D130)</f>
        <v>327209.61904761905</v>
      </c>
      <c r="F130" s="523">
        <f t="shared" si="31"/>
        <v>3443590.2587850741</v>
      </c>
      <c r="G130" s="523">
        <f t="shared" si="32"/>
        <v>3607195.0683088833</v>
      </c>
      <c r="H130" s="526">
        <f t="shared" si="33"/>
        <v>715249.41712336545</v>
      </c>
      <c r="I130" s="577">
        <f t="shared" si="34"/>
        <v>715249.41712336545</v>
      </c>
      <c r="J130" s="514">
        <f t="shared" si="20"/>
        <v>0</v>
      </c>
      <c r="K130" s="514"/>
      <c r="L130" s="525"/>
      <c r="M130" s="514">
        <f t="shared" si="22"/>
        <v>0</v>
      </c>
      <c r="N130" s="525"/>
      <c r="O130" s="514">
        <f t="shared" si="24"/>
        <v>0</v>
      </c>
      <c r="P130" s="514">
        <f t="shared" si="25"/>
        <v>0</v>
      </c>
      <c r="Q130" s="269"/>
    </row>
    <row r="131" spans="2:17" ht="12.5">
      <c r="B131" s="195" t="str">
        <f t="shared" si="26"/>
        <v/>
      </c>
      <c r="C131" s="507">
        <f>IF(D93="","-",+C130+1)</f>
        <v>2041</v>
      </c>
      <c r="D131" s="374">
        <f>IF(F130+SUM(E$99:E130)=D$92,F130,D$92-SUM(E$99:E130))</f>
        <v>3443590.2587850741</v>
      </c>
      <c r="E131" s="522">
        <f>IF(+J96&lt;F130,J96,D131)</f>
        <v>327209.61904761905</v>
      </c>
      <c r="F131" s="523">
        <f t="shared" ref="F131:F154" si="35">+D131-E131</f>
        <v>3116380.6397374552</v>
      </c>
      <c r="G131" s="523">
        <f t="shared" ref="G131:G154" si="36">+(F131+D131)/2</f>
        <v>3279985.4492612649</v>
      </c>
      <c r="H131" s="526">
        <f t="shared" si="33"/>
        <v>680050.22437130671</v>
      </c>
      <c r="I131" s="577">
        <f t="shared" si="34"/>
        <v>680050.22437130671</v>
      </c>
      <c r="J131" s="514">
        <f t="shared" ref="J131:J154" si="37">+I131-H131</f>
        <v>0</v>
      </c>
      <c r="K131" s="514"/>
      <c r="L131" s="525"/>
      <c r="M131" s="514">
        <f t="shared" ref="M131:M154" si="38">IF(L131&lt;&gt;0,+H131-L131,0)</f>
        <v>0</v>
      </c>
      <c r="N131" s="525"/>
      <c r="O131" s="514">
        <f t="shared" ref="O131:O154" si="39">IF(N131&lt;&gt;0,+I131-N131,0)</f>
        <v>0</v>
      </c>
      <c r="P131" s="514">
        <f t="shared" ref="P131:P154" si="40">+O131-M131</f>
        <v>0</v>
      </c>
      <c r="Q131" s="269"/>
    </row>
    <row r="132" spans="2:17" ht="12.5">
      <c r="B132" s="195" t="str">
        <f t="shared" si="26"/>
        <v/>
      </c>
      <c r="C132" s="507">
        <f>IF(D93="","-",+C131+1)</f>
        <v>2042</v>
      </c>
      <c r="D132" s="374">
        <f>IF(F131+SUM(E$99:E131)=D$92,F131,D$92-SUM(E$99:E131))</f>
        <v>3116380.6397374552</v>
      </c>
      <c r="E132" s="522">
        <f>IF(+J96&lt;F131,J96,D132)</f>
        <v>327209.61904761905</v>
      </c>
      <c r="F132" s="523">
        <f t="shared" si="35"/>
        <v>2789171.0206898362</v>
      </c>
      <c r="G132" s="523">
        <f t="shared" si="36"/>
        <v>2952775.8302136455</v>
      </c>
      <c r="H132" s="526">
        <f t="shared" si="33"/>
        <v>644851.03161924798</v>
      </c>
      <c r="I132" s="577">
        <f t="shared" si="34"/>
        <v>644851.03161924798</v>
      </c>
      <c r="J132" s="514">
        <f t="shared" si="37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  <c r="Q132" s="269"/>
    </row>
    <row r="133" spans="2:17" ht="12.5">
      <c r="B133" s="195" t="str">
        <f t="shared" si="26"/>
        <v/>
      </c>
      <c r="C133" s="507">
        <f>IF(D93="","-",+C132+1)</f>
        <v>2043</v>
      </c>
      <c r="D133" s="374">
        <f>IF(F132+SUM(E$99:E132)=D$92,F132,D$92-SUM(E$99:E132))</f>
        <v>2789171.0206898362</v>
      </c>
      <c r="E133" s="522">
        <f>IF(+J96&lt;F132,J96,D133)</f>
        <v>327209.61904761905</v>
      </c>
      <c r="F133" s="523">
        <f t="shared" si="35"/>
        <v>2461961.4016422173</v>
      </c>
      <c r="G133" s="523">
        <f t="shared" si="36"/>
        <v>2625566.211166027</v>
      </c>
      <c r="H133" s="526">
        <f t="shared" si="33"/>
        <v>609651.83886718936</v>
      </c>
      <c r="I133" s="577">
        <f t="shared" si="34"/>
        <v>609651.83886718936</v>
      </c>
      <c r="J133" s="514">
        <f t="shared" si="37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  <c r="Q133" s="269"/>
    </row>
    <row r="134" spans="2:17" ht="12.5">
      <c r="B134" s="195" t="str">
        <f t="shared" si="26"/>
        <v/>
      </c>
      <c r="C134" s="507">
        <f>IF(D93="","-",+C133+1)</f>
        <v>2044</v>
      </c>
      <c r="D134" s="374">
        <f>IF(F133+SUM(E$99:E133)=D$92,F133,D$92-SUM(E$99:E133))</f>
        <v>2461961.4016422173</v>
      </c>
      <c r="E134" s="522">
        <f>IF(+J96&lt;F133,J96,D134)</f>
        <v>327209.61904761905</v>
      </c>
      <c r="F134" s="523">
        <f t="shared" si="35"/>
        <v>2134751.7825945984</v>
      </c>
      <c r="G134" s="523">
        <f t="shared" si="36"/>
        <v>2298356.5921184076</v>
      </c>
      <c r="H134" s="526">
        <f t="shared" si="33"/>
        <v>574452.64611513063</v>
      </c>
      <c r="I134" s="577">
        <f t="shared" si="34"/>
        <v>574452.64611513063</v>
      </c>
      <c r="J134" s="514">
        <f t="shared" si="37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  <c r="Q134" s="269"/>
    </row>
    <row r="135" spans="2:17" ht="12.5">
      <c r="B135" s="195" t="str">
        <f t="shared" si="26"/>
        <v/>
      </c>
      <c r="C135" s="507">
        <f>IF(D93="","-",+C134+1)</f>
        <v>2045</v>
      </c>
      <c r="D135" s="374">
        <f>IF(F134+SUM(E$99:E134)=D$92,F134,D$92-SUM(E$99:E134))</f>
        <v>2134751.7825945984</v>
      </c>
      <c r="E135" s="522">
        <f>IF(+J96&lt;F134,J96,D135)</f>
        <v>327209.61904761905</v>
      </c>
      <c r="F135" s="523">
        <f t="shared" si="35"/>
        <v>1807542.1635469794</v>
      </c>
      <c r="G135" s="523">
        <f t="shared" si="36"/>
        <v>1971146.9730707889</v>
      </c>
      <c r="H135" s="526">
        <f t="shared" si="33"/>
        <v>539253.45336307189</v>
      </c>
      <c r="I135" s="577">
        <f t="shared" si="34"/>
        <v>539253.45336307189</v>
      </c>
      <c r="J135" s="514">
        <f t="shared" si="37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  <c r="Q135" s="269"/>
    </row>
    <row r="136" spans="2:17" ht="12.5">
      <c r="B136" s="195" t="str">
        <f t="shared" si="26"/>
        <v/>
      </c>
      <c r="C136" s="507">
        <f>IF(D93="","-",+C135+1)</f>
        <v>2046</v>
      </c>
      <c r="D136" s="374">
        <f>IF(F135+SUM(E$99:E135)=D$92,F135,D$92-SUM(E$99:E135))</f>
        <v>1807542.1635469794</v>
      </c>
      <c r="E136" s="522">
        <f>IF(+J96&lt;F135,J96,D136)</f>
        <v>327209.61904761905</v>
      </c>
      <c r="F136" s="523">
        <f t="shared" si="35"/>
        <v>1480332.5444993605</v>
      </c>
      <c r="G136" s="523">
        <f t="shared" si="36"/>
        <v>1643937.35402317</v>
      </c>
      <c r="H136" s="526">
        <f t="shared" si="33"/>
        <v>504054.26061101322</v>
      </c>
      <c r="I136" s="577">
        <f t="shared" si="34"/>
        <v>504054.26061101322</v>
      </c>
      <c r="J136" s="514">
        <f t="shared" si="37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  <c r="Q136" s="269"/>
    </row>
    <row r="137" spans="2:17" ht="12.5">
      <c r="B137" s="195" t="str">
        <f t="shared" si="26"/>
        <v/>
      </c>
      <c r="C137" s="507">
        <f>IF(D93="","-",+C136+1)</f>
        <v>2047</v>
      </c>
      <c r="D137" s="374">
        <f>IF(F136+SUM(E$99:E136)=D$92,F136,D$92-SUM(E$99:E136))</f>
        <v>1480332.5444993605</v>
      </c>
      <c r="E137" s="522">
        <f>IF(+J96&lt;F136,J96,D137)</f>
        <v>327209.61904761905</v>
      </c>
      <c r="F137" s="523">
        <f t="shared" si="35"/>
        <v>1153122.9254517416</v>
      </c>
      <c r="G137" s="523">
        <f t="shared" si="36"/>
        <v>1316727.734975551</v>
      </c>
      <c r="H137" s="526">
        <f t="shared" si="33"/>
        <v>468855.06785895454</v>
      </c>
      <c r="I137" s="577">
        <f t="shared" si="34"/>
        <v>468855.06785895454</v>
      </c>
      <c r="J137" s="514">
        <f t="shared" si="37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  <c r="Q137" s="269"/>
    </row>
    <row r="138" spans="2:17" ht="12.5">
      <c r="B138" s="195" t="str">
        <f t="shared" si="26"/>
        <v/>
      </c>
      <c r="C138" s="507">
        <f>IF(D93="","-",+C137+1)</f>
        <v>2048</v>
      </c>
      <c r="D138" s="374">
        <f>IF(F137+SUM(E$99:E137)=D$92,F137,D$92-SUM(E$99:E137))</f>
        <v>1153122.9254517416</v>
      </c>
      <c r="E138" s="522">
        <f>IF(+J96&lt;F137,J96,D138)</f>
        <v>327209.61904761905</v>
      </c>
      <c r="F138" s="523">
        <f t="shared" si="35"/>
        <v>825913.3064041225</v>
      </c>
      <c r="G138" s="523">
        <f t="shared" si="36"/>
        <v>989518.11592793209</v>
      </c>
      <c r="H138" s="526">
        <f t="shared" si="33"/>
        <v>433655.87510689581</v>
      </c>
      <c r="I138" s="577">
        <f t="shared" si="34"/>
        <v>433655.87510689581</v>
      </c>
      <c r="J138" s="514">
        <f t="shared" si="37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  <c r="Q138" s="269"/>
    </row>
    <row r="139" spans="2:17" ht="12.5">
      <c r="B139" s="195" t="str">
        <f t="shared" si="26"/>
        <v/>
      </c>
      <c r="C139" s="507">
        <f>IF(D93="","-",+C138+1)</f>
        <v>2049</v>
      </c>
      <c r="D139" s="374">
        <f>IF(F138+SUM(E$99:E138)=D$92,F138,D$92-SUM(E$99:E138))</f>
        <v>825913.3064041225</v>
      </c>
      <c r="E139" s="522">
        <f>IF(+J96&lt;F138,J96,D139)</f>
        <v>327209.61904761905</v>
      </c>
      <c r="F139" s="523">
        <f t="shared" si="35"/>
        <v>498703.68735650345</v>
      </c>
      <c r="G139" s="523">
        <f t="shared" si="36"/>
        <v>662308.49688031292</v>
      </c>
      <c r="H139" s="526">
        <f t="shared" si="33"/>
        <v>398456.68235483707</v>
      </c>
      <c r="I139" s="577">
        <f t="shared" si="34"/>
        <v>398456.68235483707</v>
      </c>
      <c r="J139" s="514">
        <f t="shared" si="37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  <c r="Q139" s="269"/>
    </row>
    <row r="140" spans="2:17" ht="12.5">
      <c r="B140" s="195" t="str">
        <f t="shared" si="26"/>
        <v/>
      </c>
      <c r="C140" s="507">
        <f>IF(D93="","-",+C139+1)</f>
        <v>2050</v>
      </c>
      <c r="D140" s="374">
        <f>IF(F139+SUM(E$99:E139)=D$92,F139,D$92-SUM(E$99:E139))</f>
        <v>498703.68735650345</v>
      </c>
      <c r="E140" s="522">
        <f>IF(+J96&lt;F139,J96,D140)</f>
        <v>327209.61904761905</v>
      </c>
      <c r="F140" s="523">
        <f t="shared" si="35"/>
        <v>171494.06830888439</v>
      </c>
      <c r="G140" s="523">
        <f t="shared" si="36"/>
        <v>335098.87783269392</v>
      </c>
      <c r="H140" s="526">
        <f t="shared" si="33"/>
        <v>363257.4896027784</v>
      </c>
      <c r="I140" s="577">
        <f t="shared" si="34"/>
        <v>363257.4896027784</v>
      </c>
      <c r="J140" s="514">
        <f t="shared" si="37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  <c r="Q140" s="269"/>
    </row>
    <row r="141" spans="2:17" ht="12.5">
      <c r="B141" s="195" t="str">
        <f t="shared" si="26"/>
        <v/>
      </c>
      <c r="C141" s="507">
        <f>IF(D93="","-",+C140+1)</f>
        <v>2051</v>
      </c>
      <c r="D141" s="374">
        <f>IF(F140+SUM(E$99:E140)=D$92,F140,D$92-SUM(E$99:E140))</f>
        <v>171494.06830888439</v>
      </c>
      <c r="E141" s="522">
        <f>IF(+J96&lt;F140,J96,D141)</f>
        <v>171494.06830888439</v>
      </c>
      <c r="F141" s="523">
        <f t="shared" si="35"/>
        <v>0</v>
      </c>
      <c r="G141" s="523">
        <f t="shared" si="36"/>
        <v>85747.034154442197</v>
      </c>
      <c r="H141" s="526">
        <f t="shared" si="33"/>
        <v>180718.20539844938</v>
      </c>
      <c r="I141" s="577">
        <f t="shared" si="34"/>
        <v>180718.20539844938</v>
      </c>
      <c r="J141" s="514">
        <f t="shared" si="37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  <c r="Q141" s="269"/>
    </row>
    <row r="142" spans="2:17" ht="12.5">
      <c r="B142" s="195" t="str">
        <f t="shared" si="26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5"/>
        <v>0</v>
      </c>
      <c r="G142" s="523">
        <f t="shared" si="36"/>
        <v>0</v>
      </c>
      <c r="H142" s="526">
        <f t="shared" si="33"/>
        <v>0</v>
      </c>
      <c r="I142" s="577">
        <f t="shared" si="34"/>
        <v>0</v>
      </c>
      <c r="J142" s="514">
        <f t="shared" si="37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  <c r="Q142" s="269"/>
    </row>
    <row r="143" spans="2:17" ht="12.5">
      <c r="B143" s="195" t="str">
        <f t="shared" si="26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5"/>
        <v>0</v>
      </c>
      <c r="G143" s="523">
        <f t="shared" si="36"/>
        <v>0</v>
      </c>
      <c r="H143" s="526">
        <f t="shared" si="33"/>
        <v>0</v>
      </c>
      <c r="I143" s="577">
        <f t="shared" si="34"/>
        <v>0</v>
      </c>
      <c r="J143" s="514">
        <f t="shared" si="37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  <c r="Q143" s="269"/>
    </row>
    <row r="144" spans="2:17" ht="12.5">
      <c r="B144" s="195" t="str">
        <f t="shared" si="26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5"/>
        <v>0</v>
      </c>
      <c r="G144" s="523">
        <f t="shared" si="36"/>
        <v>0</v>
      </c>
      <c r="H144" s="526">
        <f t="shared" si="33"/>
        <v>0</v>
      </c>
      <c r="I144" s="577">
        <f t="shared" si="34"/>
        <v>0</v>
      </c>
      <c r="J144" s="514">
        <f t="shared" si="37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  <c r="Q144" s="269"/>
    </row>
    <row r="145" spans="2:17" ht="12.5">
      <c r="B145" s="195" t="str">
        <f t="shared" si="26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5"/>
        <v>0</v>
      </c>
      <c r="G145" s="523">
        <f t="shared" si="36"/>
        <v>0</v>
      </c>
      <c r="H145" s="526">
        <f t="shared" si="33"/>
        <v>0</v>
      </c>
      <c r="I145" s="577">
        <f t="shared" si="34"/>
        <v>0</v>
      </c>
      <c r="J145" s="514">
        <f t="shared" si="37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  <c r="Q145" s="269"/>
    </row>
    <row r="146" spans="2:17" ht="12.5">
      <c r="B146" s="195" t="str">
        <f t="shared" si="26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5"/>
        <v>0</v>
      </c>
      <c r="G146" s="523">
        <f t="shared" si="36"/>
        <v>0</v>
      </c>
      <c r="H146" s="526">
        <f t="shared" si="33"/>
        <v>0</v>
      </c>
      <c r="I146" s="577">
        <f t="shared" si="34"/>
        <v>0</v>
      </c>
      <c r="J146" s="514">
        <f t="shared" si="37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  <c r="Q146" s="269"/>
    </row>
    <row r="147" spans="2:17" ht="12.5">
      <c r="B147" s="195" t="str">
        <f t="shared" si="26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5"/>
        <v>0</v>
      </c>
      <c r="G147" s="523">
        <f t="shared" si="36"/>
        <v>0</v>
      </c>
      <c r="H147" s="526">
        <f t="shared" si="33"/>
        <v>0</v>
      </c>
      <c r="I147" s="577">
        <f t="shared" si="34"/>
        <v>0</v>
      </c>
      <c r="J147" s="514">
        <f t="shared" si="37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  <c r="Q147" s="269"/>
    </row>
    <row r="148" spans="2:17" ht="12.5">
      <c r="B148" s="195" t="str">
        <f t="shared" si="26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5"/>
        <v>0</v>
      </c>
      <c r="G148" s="523">
        <f t="shared" si="36"/>
        <v>0</v>
      </c>
      <c r="H148" s="526">
        <f t="shared" si="33"/>
        <v>0</v>
      </c>
      <c r="I148" s="577">
        <f t="shared" si="34"/>
        <v>0</v>
      </c>
      <c r="J148" s="514">
        <f t="shared" si="37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  <c r="Q148" s="269"/>
    </row>
    <row r="149" spans="2:17" ht="12.5">
      <c r="B149" s="195" t="str">
        <f t="shared" si="26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5"/>
        <v>0</v>
      </c>
      <c r="G149" s="523">
        <f t="shared" si="36"/>
        <v>0</v>
      </c>
      <c r="H149" s="526">
        <f t="shared" si="33"/>
        <v>0</v>
      </c>
      <c r="I149" s="577">
        <f t="shared" si="34"/>
        <v>0</v>
      </c>
      <c r="J149" s="514">
        <f t="shared" si="37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  <c r="Q149" s="269"/>
    </row>
    <row r="150" spans="2:17" ht="12.5">
      <c r="B150" s="195" t="str">
        <f t="shared" si="26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5"/>
        <v>0</v>
      </c>
      <c r="G150" s="523">
        <f t="shared" si="36"/>
        <v>0</v>
      </c>
      <c r="H150" s="526">
        <f t="shared" si="33"/>
        <v>0</v>
      </c>
      <c r="I150" s="577">
        <f t="shared" si="34"/>
        <v>0</v>
      </c>
      <c r="J150" s="514">
        <f t="shared" si="37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  <c r="Q150" s="269"/>
    </row>
    <row r="151" spans="2:17" ht="12.5">
      <c r="B151" s="195" t="str">
        <f t="shared" si="26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5"/>
        <v>0</v>
      </c>
      <c r="G151" s="523">
        <f t="shared" si="36"/>
        <v>0</v>
      </c>
      <c r="H151" s="526">
        <f t="shared" si="33"/>
        <v>0</v>
      </c>
      <c r="I151" s="577">
        <f t="shared" si="34"/>
        <v>0</v>
      </c>
      <c r="J151" s="514">
        <f t="shared" si="37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  <c r="Q151" s="269"/>
    </row>
    <row r="152" spans="2:17" ht="12.5">
      <c r="B152" s="195" t="str">
        <f t="shared" si="26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5"/>
        <v>0</v>
      </c>
      <c r="G152" s="523">
        <f t="shared" si="36"/>
        <v>0</v>
      </c>
      <c r="H152" s="526">
        <f t="shared" si="33"/>
        <v>0</v>
      </c>
      <c r="I152" s="577">
        <f t="shared" si="34"/>
        <v>0</v>
      </c>
      <c r="J152" s="514">
        <f t="shared" si="37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  <c r="Q152" s="269"/>
    </row>
    <row r="153" spans="2:17" ht="12.5">
      <c r="B153" s="195" t="str">
        <f t="shared" si="26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5"/>
        <v>0</v>
      </c>
      <c r="G153" s="523">
        <f t="shared" si="36"/>
        <v>0</v>
      </c>
      <c r="H153" s="526">
        <f t="shared" si="33"/>
        <v>0</v>
      </c>
      <c r="I153" s="577">
        <f t="shared" si="34"/>
        <v>0</v>
      </c>
      <c r="J153" s="514">
        <f t="shared" si="37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  <c r="Q153" s="269"/>
    </row>
    <row r="154" spans="2:17" ht="13" thickBot="1">
      <c r="B154" s="195" t="str">
        <f t="shared" si="26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5"/>
        <v>0</v>
      </c>
      <c r="G154" s="528">
        <f t="shared" si="36"/>
        <v>0</v>
      </c>
      <c r="H154" s="530">
        <f t="shared" si="33"/>
        <v>0</v>
      </c>
      <c r="I154" s="579">
        <f t="shared" si="34"/>
        <v>0</v>
      </c>
      <c r="J154" s="533">
        <f t="shared" si="37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  <c r="Q154" s="269"/>
    </row>
    <row r="155" spans="2:17" ht="12.5">
      <c r="C155" s="374" t="s">
        <v>78</v>
      </c>
      <c r="D155" s="375"/>
      <c r="E155" s="375">
        <f>SUM(E99:E154)</f>
        <v>13742804.000000004</v>
      </c>
      <c r="F155" s="375"/>
      <c r="G155" s="375"/>
      <c r="H155" s="375">
        <f>SUM(H99:H154)</f>
        <v>48123123.671590813</v>
      </c>
      <c r="I155" s="375">
        <f>SUM(I99:I154)</f>
        <v>48123123.671590813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5" priority="1" stopIfTrue="1" operator="equal">
      <formula>$I$10</formula>
    </cfRule>
  </conditionalFormatting>
  <conditionalFormatting sqref="C99:C154">
    <cfRule type="cellIs" dxfId="15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P162"/>
  <sheetViews>
    <sheetView view="pageBreakPreview" zoomScale="80" zoomScaleNormal="100" zoomScaleSheetLayoutView="80" workbookViewId="0">
      <selection activeCell="D8" sqref="D8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57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143982.10231573079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143982.10231573079</v>
      </c>
      <c r="O6" s="269"/>
      <c r="P6" s="269"/>
    </row>
    <row r="7" spans="1:16" ht="13.5" thickBot="1">
      <c r="C7" s="467" t="s">
        <v>48</v>
      </c>
      <c r="D7" s="624" t="s">
        <v>363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364</v>
      </c>
      <c r="E9" s="637" t="s">
        <v>406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1231361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29318.119047619046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1140472</v>
      </c>
      <c r="E17" s="630">
        <v>13577.047619047618</v>
      </c>
      <c r="F17" s="631">
        <v>1126894.9523809524</v>
      </c>
      <c r="G17" s="630">
        <v>160163.51487370714</v>
      </c>
      <c r="H17" s="639">
        <v>160163.51487370714</v>
      </c>
      <c r="I17" s="511">
        <f t="shared" ref="I17:I72" si="0">H17-G17</f>
        <v>0</v>
      </c>
      <c r="J17" s="511"/>
      <c r="K17" s="512">
        <f>+G17</f>
        <v>160163.51487370714</v>
      </c>
      <c r="L17" s="513">
        <f t="shared" ref="L17:L72" si="1">IF(K17&lt;&gt;0,+G17-K17,0)</f>
        <v>0</v>
      </c>
      <c r="M17" s="512">
        <f>+H17</f>
        <v>160163.51487370714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51">
        <v>1217280.9523809524</v>
      </c>
      <c r="E18" s="656">
        <v>28624.60465116279</v>
      </c>
      <c r="F18" s="651">
        <v>1188656.3477297896</v>
      </c>
      <c r="G18" s="650">
        <v>177663.43856764107</v>
      </c>
      <c r="H18" s="657">
        <v>177663.43856764107</v>
      </c>
      <c r="I18" s="511">
        <f t="shared" si="0"/>
        <v>0</v>
      </c>
      <c r="J18" s="511"/>
      <c r="K18" s="518">
        <f>+G18</f>
        <v>177663.43856764107</v>
      </c>
      <c r="L18" s="519">
        <f>IF(K18&lt;&gt;0,+G18-K18,0)</f>
        <v>0</v>
      </c>
      <c r="M18" s="518">
        <f>+H18</f>
        <v>177663.43856764107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51">
        <v>1188656.3477297896</v>
      </c>
      <c r="E19" s="656">
        <v>30020.926829268294</v>
      </c>
      <c r="F19" s="651">
        <v>1158635.4209005213</v>
      </c>
      <c r="G19" s="650">
        <v>179184.3929571631</v>
      </c>
      <c r="H19" s="657">
        <v>179184.3929571631</v>
      </c>
      <c r="I19" s="511">
        <f t="shared" si="0"/>
        <v>0</v>
      </c>
      <c r="J19" s="511"/>
      <c r="K19" s="518">
        <f>+G19</f>
        <v>179184.3929571631</v>
      </c>
      <c r="L19" s="519">
        <f>IF(K19&lt;&gt;0,+G19-K19,0)</f>
        <v>0</v>
      </c>
      <c r="M19" s="518">
        <f>+H19</f>
        <v>179184.3929571631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2019</v>
      </c>
      <c r="D20" s="651">
        <v>1158635.4209005213</v>
      </c>
      <c r="E20" s="656">
        <v>30020.926829268294</v>
      </c>
      <c r="F20" s="651">
        <v>1128614.4940712531</v>
      </c>
      <c r="G20" s="650">
        <v>175368.91031280605</v>
      </c>
      <c r="H20" s="657">
        <v>175368.91031280605</v>
      </c>
      <c r="I20" s="511">
        <f t="shared" si="0"/>
        <v>0</v>
      </c>
      <c r="J20" s="511"/>
      <c r="K20" s="518">
        <f>+G20</f>
        <v>175368.91031280605</v>
      </c>
      <c r="L20" s="519">
        <f>IF(K20&lt;&gt;0,+G20-K20,0)</f>
        <v>0</v>
      </c>
      <c r="M20" s="518">
        <f>+H20</f>
        <v>175368.91031280605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4"/>
        <v/>
      </c>
      <c r="C21" s="507">
        <f>IF(D11="","-",+C20+1)</f>
        <v>2020</v>
      </c>
      <c r="D21" s="651">
        <v>1128614.4940712531</v>
      </c>
      <c r="E21" s="656">
        <v>30020.926829268294</v>
      </c>
      <c r="F21" s="651">
        <v>1098593.5672419849</v>
      </c>
      <c r="G21" s="650">
        <v>143982.10231573079</v>
      </c>
      <c r="H21" s="657">
        <v>143982.10231573079</v>
      </c>
      <c r="I21" s="511">
        <f t="shared" si="0"/>
        <v>0</v>
      </c>
      <c r="J21" s="511"/>
      <c r="K21" s="518">
        <f>+G21</f>
        <v>143982.10231573079</v>
      </c>
      <c r="L21" s="519">
        <f>IF(K21&lt;&gt;0,+G21-K21,0)</f>
        <v>0</v>
      </c>
      <c r="M21" s="518">
        <f>+H21</f>
        <v>143982.10231573079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4"/>
        <v>IU</v>
      </c>
      <c r="C22" s="507">
        <f>IF(D11="","-",+C21+1)</f>
        <v>2021</v>
      </c>
      <c r="D22" s="523">
        <f>IF(F21+SUM(E$17:E21)=D$10,F21,D$10-SUM(E$17:E21))</f>
        <v>1099096.5672419847</v>
      </c>
      <c r="E22" s="522">
        <f>IF(+I14&lt;F21,I14,D22)</f>
        <v>29318.119047619046</v>
      </c>
      <c r="F22" s="523">
        <f t="shared" ref="F22:F72" si="5">+D22-E22</f>
        <v>1069778.4481943657</v>
      </c>
      <c r="G22" s="524">
        <f t="shared" ref="G22:G49" si="6">+I$12*((D22+F22)/2)+E22</f>
        <v>145155.53629196269</v>
      </c>
      <c r="H22" s="491">
        <f t="shared" ref="H22:H49" si="7">+I$13*((D22+F22)/2)+E22</f>
        <v>145155.53629196269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4"/>
        <v/>
      </c>
      <c r="C23" s="507">
        <f>IF(D11="","-",+C22+1)</f>
        <v>2022</v>
      </c>
      <c r="D23" s="523">
        <f>IF(F22+SUM(E$17:E22)=D$10,F22,D$10-SUM(E$17:E22))</f>
        <v>1069778.4481943657</v>
      </c>
      <c r="E23" s="522">
        <f>IF(+I14&lt;F22,I14,D23)</f>
        <v>29318.119047619046</v>
      </c>
      <c r="F23" s="523">
        <f t="shared" si="5"/>
        <v>1040460.3291467467</v>
      </c>
      <c r="G23" s="524">
        <f t="shared" si="6"/>
        <v>142023.83422082686</v>
      </c>
      <c r="H23" s="491">
        <f t="shared" si="7"/>
        <v>142023.83422082686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4"/>
        <v/>
      </c>
      <c r="C24" s="507">
        <f>IF(D11="","-",+C23+1)</f>
        <v>2023</v>
      </c>
      <c r="D24" s="523">
        <f>IF(F23+SUM(E$17:E23)=D$10,F23,D$10-SUM(E$17:E23))</f>
        <v>1040460.3291467467</v>
      </c>
      <c r="E24" s="522">
        <f>IF(+I14&lt;F23,I14,D24)</f>
        <v>29318.119047619046</v>
      </c>
      <c r="F24" s="523">
        <f t="shared" si="5"/>
        <v>1011142.2100991276</v>
      </c>
      <c r="G24" s="524">
        <f t="shared" si="6"/>
        <v>138892.13214969102</v>
      </c>
      <c r="H24" s="491">
        <f t="shared" si="7"/>
        <v>138892.13214969102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4"/>
        <v/>
      </c>
      <c r="C25" s="507">
        <f>IF(D11="","-",+C24+1)</f>
        <v>2024</v>
      </c>
      <c r="D25" s="523">
        <f>IF(F24+SUM(E$17:E24)=D$10,F24,D$10-SUM(E$17:E24))</f>
        <v>1011142.2100991276</v>
      </c>
      <c r="E25" s="522">
        <f>IF(+I14&lt;F24,I14,D25)</f>
        <v>29318.119047619046</v>
      </c>
      <c r="F25" s="523">
        <f t="shared" si="5"/>
        <v>981824.09105150856</v>
      </c>
      <c r="G25" s="524">
        <f t="shared" si="6"/>
        <v>135760.43007855522</v>
      </c>
      <c r="H25" s="491">
        <f t="shared" si="7"/>
        <v>135760.43007855522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4"/>
        <v/>
      </c>
      <c r="C26" s="507">
        <f>IF(D11="","-",+C25+1)</f>
        <v>2025</v>
      </c>
      <c r="D26" s="523">
        <f>IF(F25+SUM(E$17:E25)=D$10,F25,D$10-SUM(E$17:E25))</f>
        <v>981824.09105150856</v>
      </c>
      <c r="E26" s="522">
        <f>IF(+I14&lt;F25,I14,D26)</f>
        <v>29318.119047619046</v>
      </c>
      <c r="F26" s="523">
        <f t="shared" si="5"/>
        <v>952505.9720038895</v>
      </c>
      <c r="G26" s="524">
        <f t="shared" si="6"/>
        <v>132628.72800741935</v>
      </c>
      <c r="H26" s="491">
        <f t="shared" si="7"/>
        <v>132628.72800741935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4"/>
        <v/>
      </c>
      <c r="C27" s="507">
        <f>IF(D11="","-",+C26+1)</f>
        <v>2026</v>
      </c>
      <c r="D27" s="523">
        <f>IF(F26+SUM(E$17:E26)=D$10,F26,D$10-SUM(E$17:E26))</f>
        <v>952505.9720038895</v>
      </c>
      <c r="E27" s="522">
        <f>IF(+I14&lt;F26,I14,D27)</f>
        <v>29318.119047619046</v>
      </c>
      <c r="F27" s="523">
        <f t="shared" si="5"/>
        <v>923187.85295627045</v>
      </c>
      <c r="G27" s="524">
        <f t="shared" si="6"/>
        <v>129497.02593628355</v>
      </c>
      <c r="H27" s="491">
        <f t="shared" si="7"/>
        <v>129497.02593628355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4"/>
        <v/>
      </c>
      <c r="C28" s="507">
        <f>IF(D11="","-",+C27+1)</f>
        <v>2027</v>
      </c>
      <c r="D28" s="523">
        <f>IF(F27+SUM(E$17:E27)=D$10,F27,D$10-SUM(E$17:E27))</f>
        <v>923187.85295627045</v>
      </c>
      <c r="E28" s="522">
        <f>IF(+I14&lt;F27,I14,D28)</f>
        <v>29318.119047619046</v>
      </c>
      <c r="F28" s="523">
        <f t="shared" si="5"/>
        <v>893869.7339086514</v>
      </c>
      <c r="G28" s="524">
        <f t="shared" si="6"/>
        <v>126365.32386514771</v>
      </c>
      <c r="H28" s="491">
        <f t="shared" si="7"/>
        <v>126365.32386514771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4"/>
        <v/>
      </c>
      <c r="C29" s="507">
        <f>IF(D11="","-",+C28+1)</f>
        <v>2028</v>
      </c>
      <c r="D29" s="523">
        <f>IF(F28+SUM(E$17:E28)=D$10,F28,D$10-SUM(E$17:E28))</f>
        <v>893869.7339086514</v>
      </c>
      <c r="E29" s="522">
        <f>IF(+I14&lt;F28,I14,D29)</f>
        <v>29318.119047619046</v>
      </c>
      <c r="F29" s="523">
        <f t="shared" si="5"/>
        <v>864551.61486103234</v>
      </c>
      <c r="G29" s="524">
        <f t="shared" si="6"/>
        <v>123233.62179401188</v>
      </c>
      <c r="H29" s="491">
        <f t="shared" si="7"/>
        <v>123233.62179401188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4"/>
        <v/>
      </c>
      <c r="C30" s="507">
        <f>IF(D11="","-",+C29+1)</f>
        <v>2029</v>
      </c>
      <c r="D30" s="523">
        <f>IF(F29+SUM(E$17:E29)=D$10,F29,D$10-SUM(E$17:E29))</f>
        <v>864551.61486103234</v>
      </c>
      <c r="E30" s="522">
        <f>IF(+I14&lt;F29,I14,D30)</f>
        <v>29318.119047619046</v>
      </c>
      <c r="F30" s="523">
        <f t="shared" si="5"/>
        <v>835233.49581341329</v>
      </c>
      <c r="G30" s="524">
        <f t="shared" si="6"/>
        <v>120101.91972287605</v>
      </c>
      <c r="H30" s="491">
        <f t="shared" si="7"/>
        <v>120101.91972287605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4"/>
        <v/>
      </c>
      <c r="C31" s="507">
        <f>IF(D11="","-",+C30+1)</f>
        <v>2030</v>
      </c>
      <c r="D31" s="523">
        <f>IF(F30+SUM(E$17:E30)=D$10,F30,D$10-SUM(E$17:E30))</f>
        <v>835233.49581341329</v>
      </c>
      <c r="E31" s="522">
        <f>IF(+I14&lt;F30,I14,D31)</f>
        <v>29318.119047619046</v>
      </c>
      <c r="F31" s="523">
        <f t="shared" si="5"/>
        <v>805915.37676579424</v>
      </c>
      <c r="G31" s="524">
        <f t="shared" si="6"/>
        <v>116970.21765174024</v>
      </c>
      <c r="H31" s="491">
        <f t="shared" si="7"/>
        <v>116970.21765174024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4"/>
        <v/>
      </c>
      <c r="C32" s="507">
        <f>IF(D11="","-",+C31+1)</f>
        <v>2031</v>
      </c>
      <c r="D32" s="523">
        <f>IF(F31+SUM(E$17:E31)=D$10,F31,D$10-SUM(E$17:E31))</f>
        <v>805915.37676579424</v>
      </c>
      <c r="E32" s="522">
        <f>IF(+I14&lt;F31,I14,D32)</f>
        <v>29318.119047619046</v>
      </c>
      <c r="F32" s="523">
        <f t="shared" si="5"/>
        <v>776597.25771817518</v>
      </c>
      <c r="G32" s="524">
        <f t="shared" si="6"/>
        <v>113838.51558060438</v>
      </c>
      <c r="H32" s="491">
        <f t="shared" si="7"/>
        <v>113838.51558060438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4"/>
        <v/>
      </c>
      <c r="C33" s="507">
        <f>IF(D11="","-",+C32+1)</f>
        <v>2032</v>
      </c>
      <c r="D33" s="523">
        <f>IF(F32+SUM(E$17:E32)=D$10,F32,D$10-SUM(E$17:E32))</f>
        <v>776597.25771817518</v>
      </c>
      <c r="E33" s="522">
        <f>IF(+I14&lt;F32,I14,D33)</f>
        <v>29318.119047619046</v>
      </c>
      <c r="F33" s="523">
        <f t="shared" si="5"/>
        <v>747279.13867055613</v>
      </c>
      <c r="G33" s="524">
        <f t="shared" si="6"/>
        <v>110706.81350946857</v>
      </c>
      <c r="H33" s="491">
        <f t="shared" si="7"/>
        <v>110706.81350946857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4"/>
        <v/>
      </c>
      <c r="C34" s="507">
        <f>IF(D11="","-",+C33+1)</f>
        <v>2033</v>
      </c>
      <c r="D34" s="523">
        <f>IF(F33+SUM(E$17:E33)=D$10,F33,D$10-SUM(E$17:E33))</f>
        <v>747279.13867055613</v>
      </c>
      <c r="E34" s="522">
        <f>IF(+I14&lt;F33,I14,D34)</f>
        <v>29318.119047619046</v>
      </c>
      <c r="F34" s="523">
        <f t="shared" si="5"/>
        <v>717961.01962293708</v>
      </c>
      <c r="G34" s="524">
        <f t="shared" si="6"/>
        <v>107575.11143833274</v>
      </c>
      <c r="H34" s="491">
        <f t="shared" si="7"/>
        <v>107575.11143833274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4"/>
        <v/>
      </c>
      <c r="C35" s="507">
        <f>IF(D11="","-",+C34+1)</f>
        <v>2034</v>
      </c>
      <c r="D35" s="523">
        <f>IF(F34+SUM(E$17:E34)=D$10,F34,D$10-SUM(E$17:E34))</f>
        <v>717961.01962293708</v>
      </c>
      <c r="E35" s="522">
        <f>IF(+I14&lt;F34,I14,D35)</f>
        <v>29318.119047619046</v>
      </c>
      <c r="F35" s="523">
        <f t="shared" si="5"/>
        <v>688642.90057531802</v>
      </c>
      <c r="G35" s="524">
        <f t="shared" si="6"/>
        <v>104443.4093671969</v>
      </c>
      <c r="H35" s="491">
        <f t="shared" si="7"/>
        <v>104443.4093671969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4"/>
        <v/>
      </c>
      <c r="C36" s="507">
        <f>IF(D11="","-",+C35+1)</f>
        <v>2035</v>
      </c>
      <c r="D36" s="523">
        <f>IF(F35+SUM(E$17:E35)=D$10,F35,D$10-SUM(E$17:E35))</f>
        <v>688642.90057531802</v>
      </c>
      <c r="E36" s="522">
        <f>IF(+I14&lt;F35,I14,D36)</f>
        <v>29318.119047619046</v>
      </c>
      <c r="F36" s="523">
        <f t="shared" si="5"/>
        <v>659324.78152769897</v>
      </c>
      <c r="G36" s="524">
        <f t="shared" si="6"/>
        <v>101311.70729606107</v>
      </c>
      <c r="H36" s="491">
        <f t="shared" si="7"/>
        <v>101311.70729606107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4"/>
        <v/>
      </c>
      <c r="C37" s="507">
        <f>IF(D11="","-",+C36+1)</f>
        <v>2036</v>
      </c>
      <c r="D37" s="523">
        <f>IF(F36+SUM(E$17:E36)=D$10,F36,D$10-SUM(E$17:E36))</f>
        <v>659324.78152769897</v>
      </c>
      <c r="E37" s="522">
        <f>IF(+I14&lt;F36,I14,D37)</f>
        <v>29318.119047619046</v>
      </c>
      <c r="F37" s="523">
        <f t="shared" si="5"/>
        <v>630006.66248007992</v>
      </c>
      <c r="G37" s="524">
        <f t="shared" si="6"/>
        <v>98180.005224925233</v>
      </c>
      <c r="H37" s="491">
        <f t="shared" si="7"/>
        <v>98180.005224925233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4"/>
        <v/>
      </c>
      <c r="C38" s="507">
        <f>IF(D11="","-",+C37+1)</f>
        <v>2037</v>
      </c>
      <c r="D38" s="523">
        <f>IF(F37+SUM(E$17:E37)=D$10,F37,D$10-SUM(E$17:E37))</f>
        <v>630006.66248007992</v>
      </c>
      <c r="E38" s="522">
        <f>IF(+I14&lt;F37,I14,D38)</f>
        <v>29318.119047619046</v>
      </c>
      <c r="F38" s="523">
        <f t="shared" si="5"/>
        <v>600688.54343246087</v>
      </c>
      <c r="G38" s="524">
        <f t="shared" si="6"/>
        <v>95048.303153789398</v>
      </c>
      <c r="H38" s="491">
        <f t="shared" si="7"/>
        <v>95048.303153789398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4"/>
        <v/>
      </c>
      <c r="C39" s="507">
        <f>IF(D11="","-",+C38+1)</f>
        <v>2038</v>
      </c>
      <c r="D39" s="523">
        <f>IF(F38+SUM(E$17:E38)=D$10,F38,D$10-SUM(E$17:E38))</f>
        <v>600688.54343246087</v>
      </c>
      <c r="E39" s="522">
        <f>IF(+I14&lt;F38,I14,D39)</f>
        <v>29318.119047619046</v>
      </c>
      <c r="F39" s="523">
        <f t="shared" si="5"/>
        <v>571370.42438484181</v>
      </c>
      <c r="G39" s="524">
        <f t="shared" si="6"/>
        <v>91916.601082653593</v>
      </c>
      <c r="H39" s="491">
        <f t="shared" si="7"/>
        <v>91916.601082653593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4"/>
        <v/>
      </c>
      <c r="C40" s="507">
        <f>IF(D11="","-",+C39+1)</f>
        <v>2039</v>
      </c>
      <c r="D40" s="523">
        <f>IF(F39+SUM(E$17:E39)=D$10,F39,D$10-SUM(E$17:E39))</f>
        <v>571370.42438484181</v>
      </c>
      <c r="E40" s="522">
        <f>IF(+I14&lt;F39,I14,D40)</f>
        <v>29318.119047619046</v>
      </c>
      <c r="F40" s="523">
        <f t="shared" si="5"/>
        <v>542052.30533722276</v>
      </c>
      <c r="G40" s="524">
        <f t="shared" si="6"/>
        <v>88784.899011517744</v>
      </c>
      <c r="H40" s="491">
        <f t="shared" si="7"/>
        <v>88784.899011517744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4"/>
        <v/>
      </c>
      <c r="C41" s="507">
        <f>IF(D11="","-",+C40+1)</f>
        <v>2040</v>
      </c>
      <c r="D41" s="523">
        <f>IF(F40+SUM(E$17:E40)=D$10,F40,D$10-SUM(E$17:E40))</f>
        <v>542052.30533722276</v>
      </c>
      <c r="E41" s="522">
        <f>IF(+I14&lt;F40,I14,D41)</f>
        <v>29318.119047619046</v>
      </c>
      <c r="F41" s="523">
        <f t="shared" si="5"/>
        <v>512734.18628960371</v>
      </c>
      <c r="G41" s="524">
        <f t="shared" si="6"/>
        <v>85653.196940381924</v>
      </c>
      <c r="H41" s="491">
        <f t="shared" si="7"/>
        <v>85653.196940381924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4"/>
        <v/>
      </c>
      <c r="C42" s="507">
        <f>IF(D11="","-",+C41+1)</f>
        <v>2041</v>
      </c>
      <c r="D42" s="523">
        <f>IF(F41+SUM(E$17:E41)=D$10,F41,D$10-SUM(E$17:E41))</f>
        <v>512734.18628960371</v>
      </c>
      <c r="E42" s="522">
        <f>IF(+I14&lt;F41,I14,D42)</f>
        <v>29318.119047619046</v>
      </c>
      <c r="F42" s="523">
        <f t="shared" si="5"/>
        <v>483416.06724198465</v>
      </c>
      <c r="G42" s="524">
        <f t="shared" si="6"/>
        <v>82521.494869246089</v>
      </c>
      <c r="H42" s="491">
        <f t="shared" si="7"/>
        <v>82521.494869246089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4"/>
        <v/>
      </c>
      <c r="C43" s="507">
        <f>IF(D11="","-",+C42+1)</f>
        <v>2042</v>
      </c>
      <c r="D43" s="523">
        <f>IF(F42+SUM(E$17:E42)=D$10,F42,D$10-SUM(E$17:E42))</f>
        <v>483416.06724198465</v>
      </c>
      <c r="E43" s="522">
        <f>IF(+I14&lt;F42,I14,D43)</f>
        <v>29318.119047619046</v>
      </c>
      <c r="F43" s="523">
        <f t="shared" si="5"/>
        <v>454097.9481943656</v>
      </c>
      <c r="G43" s="524">
        <f t="shared" si="6"/>
        <v>79389.792798110255</v>
      </c>
      <c r="H43" s="491">
        <f t="shared" si="7"/>
        <v>79389.792798110255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4"/>
        <v/>
      </c>
      <c r="C44" s="507">
        <f>IF(D11="","-",+C43+1)</f>
        <v>2043</v>
      </c>
      <c r="D44" s="523">
        <f>IF(F43+SUM(E$17:E43)=D$10,F43,D$10-SUM(E$17:E43))</f>
        <v>454097.9481943656</v>
      </c>
      <c r="E44" s="522">
        <f>IF(+I14&lt;F43,I14,D44)</f>
        <v>29318.119047619046</v>
      </c>
      <c r="F44" s="523">
        <f t="shared" si="5"/>
        <v>424779.82914674655</v>
      </c>
      <c r="G44" s="524">
        <f t="shared" si="6"/>
        <v>76258.09072697442</v>
      </c>
      <c r="H44" s="491">
        <f t="shared" si="7"/>
        <v>76258.09072697442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4"/>
        <v/>
      </c>
      <c r="C45" s="507">
        <f>IF(D11="","-",+C44+1)</f>
        <v>2044</v>
      </c>
      <c r="D45" s="523">
        <f>IF(F44+SUM(E$17:E44)=D$10,F44,D$10-SUM(E$17:E44))</f>
        <v>424779.82914674655</v>
      </c>
      <c r="E45" s="522">
        <f>IF(+I14&lt;F44,I14,D45)</f>
        <v>29318.119047619046</v>
      </c>
      <c r="F45" s="523">
        <f t="shared" si="5"/>
        <v>395461.71009912749</v>
      </c>
      <c r="G45" s="524">
        <f t="shared" si="6"/>
        <v>73126.3886558386</v>
      </c>
      <c r="H45" s="491">
        <f t="shared" si="7"/>
        <v>73126.3886558386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4"/>
        <v/>
      </c>
      <c r="C46" s="507">
        <f>IF(D11="","-",+C45+1)</f>
        <v>2045</v>
      </c>
      <c r="D46" s="523">
        <f>IF(F45+SUM(E$17:E45)=D$10,F45,D$10-SUM(E$17:E45))</f>
        <v>395461.71009912749</v>
      </c>
      <c r="E46" s="522">
        <f>IF(+I14&lt;F45,I14,D46)</f>
        <v>29318.119047619046</v>
      </c>
      <c r="F46" s="523">
        <f t="shared" si="5"/>
        <v>366143.59105150844</v>
      </c>
      <c r="G46" s="524">
        <f t="shared" si="6"/>
        <v>69994.686584702766</v>
      </c>
      <c r="H46" s="491">
        <f t="shared" si="7"/>
        <v>69994.686584702766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4"/>
        <v/>
      </c>
      <c r="C47" s="507">
        <f>IF(D11="","-",+C46+1)</f>
        <v>2046</v>
      </c>
      <c r="D47" s="523">
        <f>IF(F46+SUM(E$17:E46)=D$10,F46,D$10-SUM(E$17:E46))</f>
        <v>366143.59105150844</v>
      </c>
      <c r="E47" s="522">
        <f>IF(+I14&lt;F46,I14,D47)</f>
        <v>29318.119047619046</v>
      </c>
      <c r="F47" s="523">
        <f t="shared" si="5"/>
        <v>336825.47200388939</v>
      </c>
      <c r="G47" s="524">
        <f t="shared" si="6"/>
        <v>66862.984513566946</v>
      </c>
      <c r="H47" s="491">
        <f t="shared" si="7"/>
        <v>66862.984513566946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4"/>
        <v/>
      </c>
      <c r="C48" s="507">
        <f>IF(D11="","-",+C47+1)</f>
        <v>2047</v>
      </c>
      <c r="D48" s="523">
        <f>IF(F47+SUM(E$17:E47)=D$10,F47,D$10-SUM(E$17:E47))</f>
        <v>336825.47200388939</v>
      </c>
      <c r="E48" s="522">
        <f>IF(+I14&lt;F47,I14,D48)</f>
        <v>29318.119047619046</v>
      </c>
      <c r="F48" s="523">
        <f t="shared" si="5"/>
        <v>307507.35295627033</v>
      </c>
      <c r="G48" s="524">
        <f t="shared" si="6"/>
        <v>63731.282442431111</v>
      </c>
      <c r="H48" s="491">
        <f t="shared" si="7"/>
        <v>63731.282442431111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4"/>
        <v/>
      </c>
      <c r="C49" s="507">
        <f>IF(D11="","-",+C48+1)</f>
        <v>2048</v>
      </c>
      <c r="D49" s="523">
        <f>IF(F48+SUM(E$17:E48)=D$10,F48,D$10-SUM(E$17:E48))</f>
        <v>307507.35295627033</v>
      </c>
      <c r="E49" s="522">
        <f>IF(+I14&lt;F48,I14,D49)</f>
        <v>29318.119047619046</v>
      </c>
      <c r="F49" s="523">
        <f t="shared" si="5"/>
        <v>278189.23390865128</v>
      </c>
      <c r="G49" s="524">
        <f t="shared" si="6"/>
        <v>60599.580371295277</v>
      </c>
      <c r="H49" s="491">
        <f t="shared" si="7"/>
        <v>60599.580371295277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4"/>
        <v/>
      </c>
      <c r="C50" s="507">
        <f>IF(D11="","-",+C49+1)</f>
        <v>2049</v>
      </c>
      <c r="D50" s="523">
        <f>IF(F49+SUM(E$17:E49)=D$10,F49,D$10-SUM(E$17:E49))</f>
        <v>278189.23390865128</v>
      </c>
      <c r="E50" s="522">
        <f>IF(+I14&lt;F49,I14,D50)</f>
        <v>29318.119047619046</v>
      </c>
      <c r="F50" s="523">
        <f t="shared" si="5"/>
        <v>248871.11486103223</v>
      </c>
      <c r="G50" s="524">
        <f t="shared" ref="G50:G72" si="8">+I$12*((D50+F50)/2)+E50</f>
        <v>57467.878300159442</v>
      </c>
      <c r="H50" s="491">
        <f t="shared" ref="H50:H72" si="9">+I$13*((D50+F50)/2)+E50</f>
        <v>57467.878300159442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4"/>
        <v/>
      </c>
      <c r="C51" s="507">
        <f>IF(D11="","-",+C50+1)</f>
        <v>2050</v>
      </c>
      <c r="D51" s="523">
        <f>IF(F50+SUM(E$17:E50)=D$10,F50,D$10-SUM(E$17:E50))</f>
        <v>248871.11486103223</v>
      </c>
      <c r="E51" s="522">
        <f>IF(+I14&lt;F50,I14,D51)</f>
        <v>29318.119047619046</v>
      </c>
      <c r="F51" s="523">
        <f t="shared" si="5"/>
        <v>219552.99581341317</v>
      </c>
      <c r="G51" s="524">
        <f t="shared" si="8"/>
        <v>54336.176229023622</v>
      </c>
      <c r="H51" s="491">
        <f t="shared" si="9"/>
        <v>54336.176229023622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4"/>
        <v/>
      </c>
      <c r="C52" s="507">
        <f>IF(D11="","-",+C51+1)</f>
        <v>2051</v>
      </c>
      <c r="D52" s="523">
        <f>IF(F51+SUM(E$17:E51)=D$10,F51,D$10-SUM(E$17:E51))</f>
        <v>219552.99581341317</v>
      </c>
      <c r="E52" s="522">
        <f>IF(+I14&lt;F51,I14,D52)</f>
        <v>29318.119047619046</v>
      </c>
      <c r="F52" s="523">
        <f t="shared" si="5"/>
        <v>190234.87676579412</v>
      </c>
      <c r="G52" s="524">
        <f t="shared" si="8"/>
        <v>51204.474157887787</v>
      </c>
      <c r="H52" s="491">
        <f t="shared" si="9"/>
        <v>51204.474157887787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4"/>
        <v/>
      </c>
      <c r="C53" s="507">
        <f>IF(D11="","-",+C52+1)</f>
        <v>2052</v>
      </c>
      <c r="D53" s="523">
        <f>IF(F52+SUM(E$17:E52)=D$10,F52,D$10-SUM(E$17:E52))</f>
        <v>190234.87676579412</v>
      </c>
      <c r="E53" s="522">
        <f>IF(+I14&lt;F52,I14,D53)</f>
        <v>29318.119047619046</v>
      </c>
      <c r="F53" s="523">
        <f t="shared" si="5"/>
        <v>160916.75771817507</v>
      </c>
      <c r="G53" s="524">
        <f t="shared" si="8"/>
        <v>48072.772086751953</v>
      </c>
      <c r="H53" s="491">
        <f t="shared" si="9"/>
        <v>48072.772086751953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4"/>
        <v/>
      </c>
      <c r="C54" s="507">
        <f>IF(D11="","-",+C53+1)</f>
        <v>2053</v>
      </c>
      <c r="D54" s="523">
        <f>IF(F53+SUM(E$17:E53)=D$10,F53,D$10-SUM(E$17:E53))</f>
        <v>160916.75771817507</v>
      </c>
      <c r="E54" s="522">
        <f>IF(+I14&lt;F53,I14,D54)</f>
        <v>29318.119047619046</v>
      </c>
      <c r="F54" s="523">
        <f t="shared" si="5"/>
        <v>131598.63867055601</v>
      </c>
      <c r="G54" s="524">
        <f t="shared" si="8"/>
        <v>44941.070015616126</v>
      </c>
      <c r="H54" s="491">
        <f t="shared" si="9"/>
        <v>44941.070015616126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4"/>
        <v/>
      </c>
      <c r="C55" s="507">
        <f>IF(D11="","-",+C54+1)</f>
        <v>2054</v>
      </c>
      <c r="D55" s="523">
        <f>IF(F54+SUM(E$17:E54)=D$10,F54,D$10-SUM(E$17:E54))</f>
        <v>131598.63867055601</v>
      </c>
      <c r="E55" s="522">
        <f>IF(+I14&lt;F54,I14,D55)</f>
        <v>29318.119047619046</v>
      </c>
      <c r="F55" s="523">
        <f t="shared" si="5"/>
        <v>102280.51962293696</v>
      </c>
      <c r="G55" s="524">
        <f t="shared" si="8"/>
        <v>41809.367944480298</v>
      </c>
      <c r="H55" s="491">
        <f t="shared" si="9"/>
        <v>41809.367944480298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4"/>
        <v/>
      </c>
      <c r="C56" s="507">
        <f>IF(D11="","-",+C55+1)</f>
        <v>2055</v>
      </c>
      <c r="D56" s="523">
        <f>IF(F55+SUM(E$17:E55)=D$10,F55,D$10-SUM(E$17:E55))</f>
        <v>102280.51962293696</v>
      </c>
      <c r="E56" s="522">
        <f>IF(+I14&lt;F55,I14,D56)</f>
        <v>29318.119047619046</v>
      </c>
      <c r="F56" s="523">
        <f t="shared" si="5"/>
        <v>72962.400575317908</v>
      </c>
      <c r="G56" s="524">
        <f t="shared" si="8"/>
        <v>38677.665873344464</v>
      </c>
      <c r="H56" s="491">
        <f t="shared" si="9"/>
        <v>38677.665873344464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4"/>
        <v/>
      </c>
      <c r="C57" s="507">
        <f>IF(D11="","-",+C56+1)</f>
        <v>2056</v>
      </c>
      <c r="D57" s="523">
        <f>IF(F56+SUM(E$17:E56)=D$10,F56,D$10-SUM(E$17:E56))</f>
        <v>72962.400575317908</v>
      </c>
      <c r="E57" s="522">
        <f>IF(+I14&lt;F56,I14,D57)</f>
        <v>29318.119047619046</v>
      </c>
      <c r="F57" s="523">
        <f t="shared" si="5"/>
        <v>43644.281527698862</v>
      </c>
      <c r="G57" s="524">
        <f t="shared" si="8"/>
        <v>35545.963802208636</v>
      </c>
      <c r="H57" s="491">
        <f t="shared" si="9"/>
        <v>35545.963802208636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4"/>
        <v/>
      </c>
      <c r="C58" s="507">
        <f>IF(D11="","-",+C57+1)</f>
        <v>2057</v>
      </c>
      <c r="D58" s="523">
        <f>IF(F57+SUM(E$17:E57)=D$10,F57,D$10-SUM(E$17:E57))</f>
        <v>43644.281527698862</v>
      </c>
      <c r="E58" s="522">
        <f>IF(+I14&lt;F57,I14,D58)</f>
        <v>29318.119047619046</v>
      </c>
      <c r="F58" s="523">
        <f t="shared" si="5"/>
        <v>14326.162480079816</v>
      </c>
      <c r="G58" s="524">
        <f t="shared" si="8"/>
        <v>32414.261731072806</v>
      </c>
      <c r="H58" s="491">
        <f t="shared" si="9"/>
        <v>32414.261731072806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4"/>
        <v/>
      </c>
      <c r="C59" s="507">
        <f>IF(D11="","-",+C58+1)</f>
        <v>2058</v>
      </c>
      <c r="D59" s="523">
        <f>IF(F58+SUM(E$17:E58)=D$10,F58,D$10-SUM(E$17:E58))</f>
        <v>14326.162480079816</v>
      </c>
      <c r="E59" s="522">
        <f>IF(+I14&lt;F58,I14,D59)</f>
        <v>14326.162480079816</v>
      </c>
      <c r="F59" s="523">
        <f t="shared" si="5"/>
        <v>0</v>
      </c>
      <c r="G59" s="524">
        <f t="shared" si="8"/>
        <v>15091.308304022739</v>
      </c>
      <c r="H59" s="491">
        <f t="shared" si="9"/>
        <v>15091.308304022739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4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5"/>
        <v>0</v>
      </c>
      <c r="G60" s="524">
        <f t="shared" si="8"/>
        <v>0</v>
      </c>
      <c r="H60" s="491">
        <f t="shared" si="9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4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5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4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5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4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5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4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5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4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5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4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5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4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5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4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5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4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5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4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5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4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5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5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1231360.9999999993</v>
      </c>
      <c r="F73" s="375"/>
      <c r="G73" s="375">
        <f>SUM(G17:G72)</f>
        <v>4136494.9307572278</v>
      </c>
      <c r="H73" s="375">
        <f>SUM(H17:H72)</f>
        <v>4136494.9307572278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57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143982.10231573079</v>
      </c>
      <c r="N87" s="546">
        <f>IF(J92&lt;D11,0,VLOOKUP(J92,C17:O72,11))</f>
        <v>143982.10231573079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148762.32919982137</v>
      </c>
      <c r="N88" s="550">
        <f>IF(J92&lt;D11,0,VLOOKUP(J92,C99:P154,7))</f>
        <v>148762.32919982137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Winnsboro 138 kw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4780.2268840905745</v>
      </c>
      <c r="N89" s="555">
        <f>+N88-N87</f>
        <v>4780.2268840905745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TP2013122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v>1231361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29318.119047619046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19083.069767441859</v>
      </c>
      <c r="F99" s="651">
        <v>1211774.9302325582</v>
      </c>
      <c r="G99" s="652">
        <v>605887.46511627908</v>
      </c>
      <c r="H99" s="653">
        <v>96000.47636801879</v>
      </c>
      <c r="I99" s="654">
        <v>96000.47636801879</v>
      </c>
      <c r="J99" s="514">
        <f t="shared" ref="J99:J130" si="10">+I99-H99</f>
        <v>0</v>
      </c>
      <c r="K99" s="514"/>
      <c r="L99" s="512">
        <f>+H99</f>
        <v>96000.47636801879</v>
      </c>
      <c r="M99" s="513">
        <f t="shared" ref="M99:M130" si="11">IF(L99&lt;&gt;0,+H99-L99,0)</f>
        <v>0</v>
      </c>
      <c r="N99" s="512">
        <f>+I99</f>
        <v>96000.47636801879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1212277.9302325582</v>
      </c>
      <c r="E100" s="630">
        <v>29318.119047619046</v>
      </c>
      <c r="F100" s="631">
        <v>1182959.8111849392</v>
      </c>
      <c r="G100" s="631">
        <v>1197618.8707087487</v>
      </c>
      <c r="H100" s="633">
        <v>174794.62902245519</v>
      </c>
      <c r="I100" s="634">
        <v>174794.62902245519</v>
      </c>
      <c r="J100" s="514">
        <f t="shared" si="10"/>
        <v>0</v>
      </c>
      <c r="K100" s="514"/>
      <c r="L100" s="655">
        <f>+H100</f>
        <v>174794.62902245519</v>
      </c>
      <c r="M100" s="514">
        <f t="shared" si="11"/>
        <v>0</v>
      </c>
      <c r="N100" s="655">
        <f>+I100</f>
        <v>174794.62902245519</v>
      </c>
      <c r="O100" s="514">
        <f t="shared" si="12"/>
        <v>0</v>
      </c>
      <c r="P100" s="514">
        <f t="shared" si="13"/>
        <v>0</v>
      </c>
    </row>
    <row r="101" spans="1:16" ht="12.5">
      <c r="B101" s="195" t="str">
        <f t="shared" ref="B101:B154" si="14">IF(D101=F100,"","IU")</f>
        <v/>
      </c>
      <c r="C101" s="507">
        <f>IF(D93="","-",+C100+1)</f>
        <v>2018</v>
      </c>
      <c r="D101" s="629">
        <v>1182959.8111849392</v>
      </c>
      <c r="E101" s="630">
        <v>29318.119047619046</v>
      </c>
      <c r="F101" s="631">
        <v>1153641.6921373203</v>
      </c>
      <c r="G101" s="631">
        <v>1168300.7516611298</v>
      </c>
      <c r="H101" s="633">
        <v>152696.03603974119</v>
      </c>
      <c r="I101" s="634">
        <v>152696.03603974119</v>
      </c>
      <c r="J101" s="514">
        <f t="shared" si="10"/>
        <v>0</v>
      </c>
      <c r="K101" s="514"/>
      <c r="L101" s="655">
        <f>+H101</f>
        <v>152696.03603974119</v>
      </c>
      <c r="M101" s="514">
        <f t="shared" ref="M101" si="15">IF(L101&lt;&gt;0,+H101-L101,0)</f>
        <v>0</v>
      </c>
      <c r="N101" s="655">
        <f>+I101</f>
        <v>152696.03603974119</v>
      </c>
      <c r="O101" s="514">
        <f t="shared" ref="O101" si="16">IF(N101&lt;&gt;0,+I101-N101,0)</f>
        <v>0</v>
      </c>
      <c r="P101" s="514">
        <f t="shared" ref="P101" si="17">+O101-M101</f>
        <v>0</v>
      </c>
    </row>
    <row r="102" spans="1:16" ht="12.5">
      <c r="B102" s="195" t="str">
        <f t="shared" si="14"/>
        <v/>
      </c>
      <c r="C102" s="507">
        <f>IF(D93="","-",+C101+1)</f>
        <v>2019</v>
      </c>
      <c r="D102" s="629">
        <v>1153641.6921373203</v>
      </c>
      <c r="E102" s="630">
        <v>28636.302325581397</v>
      </c>
      <c r="F102" s="631">
        <v>1125005.3898117389</v>
      </c>
      <c r="G102" s="631">
        <v>1139323.5409745295</v>
      </c>
      <c r="H102" s="633">
        <v>150590.11683973201</v>
      </c>
      <c r="I102" s="634">
        <v>150590.11683973201</v>
      </c>
      <c r="J102" s="514">
        <f t="shared" si="10"/>
        <v>0</v>
      </c>
      <c r="K102" s="514"/>
      <c r="L102" s="655">
        <f>+H102</f>
        <v>150590.11683973201</v>
      </c>
      <c r="M102" s="514">
        <f t="shared" ref="M102" si="18">IF(L102&lt;&gt;0,+H102-L102,0)</f>
        <v>0</v>
      </c>
      <c r="N102" s="655">
        <f>+I102</f>
        <v>150590.11683973201</v>
      </c>
      <c r="O102" s="514">
        <f t="shared" si="12"/>
        <v>0</v>
      </c>
      <c r="P102" s="514">
        <f t="shared" si="13"/>
        <v>0</v>
      </c>
    </row>
    <row r="103" spans="1:16" ht="12.5">
      <c r="B103" s="195" t="str">
        <f t="shared" si="14"/>
        <v/>
      </c>
      <c r="C103" s="507">
        <f>IF(D93="","-",+C102+1)</f>
        <v>2020</v>
      </c>
      <c r="D103" s="374">
        <f>IF(F102+SUM(E$99:E102)=D$92,F102,D$92-SUM(E$99:E102))</f>
        <v>1125005.3898117389</v>
      </c>
      <c r="E103" s="522">
        <f>IF(+J96&lt;F102,J96,D103)</f>
        <v>29318.119047619046</v>
      </c>
      <c r="F103" s="523">
        <f t="shared" ref="F103:F130" si="19">+D103-E103</f>
        <v>1095687.2707641199</v>
      </c>
      <c r="G103" s="523">
        <f t="shared" ref="G103:G130" si="20">+(F103+D103)/2</f>
        <v>1110346.3302879294</v>
      </c>
      <c r="H103" s="526">
        <f t="shared" ref="H103:H154" si="21">+J$94*G103+E103</f>
        <v>148762.32919982137</v>
      </c>
      <c r="I103" s="577">
        <f t="shared" ref="I103:I154" si="22">+J$95*G103+E103</f>
        <v>148762.32919982137</v>
      </c>
      <c r="J103" s="514">
        <f t="shared" si="10"/>
        <v>0</v>
      </c>
      <c r="K103" s="514"/>
      <c r="L103" s="525"/>
      <c r="M103" s="514">
        <f t="shared" si="11"/>
        <v>0</v>
      </c>
      <c r="N103" s="525"/>
      <c r="O103" s="514">
        <f t="shared" si="12"/>
        <v>0</v>
      </c>
      <c r="P103" s="514">
        <f t="shared" si="13"/>
        <v>0</v>
      </c>
    </row>
    <row r="104" spans="1:16" ht="12.5">
      <c r="B104" s="195" t="str">
        <f t="shared" si="14"/>
        <v/>
      </c>
      <c r="C104" s="507">
        <f>IF(D93="","-",+C103+1)</f>
        <v>2021</v>
      </c>
      <c r="D104" s="374">
        <f>IF(F103+SUM(E$99:E103)=D$92,F103,D$92-SUM(E$99:E103))</f>
        <v>1095687.2707641199</v>
      </c>
      <c r="E104" s="522">
        <f>IF(+J96&lt;F103,J96,D104)</f>
        <v>29318.119047619046</v>
      </c>
      <c r="F104" s="523">
        <f t="shared" si="19"/>
        <v>1066369.151716501</v>
      </c>
      <c r="G104" s="523">
        <f t="shared" si="20"/>
        <v>1081028.2112403105</v>
      </c>
      <c r="H104" s="526">
        <f t="shared" si="21"/>
        <v>145608.46677215613</v>
      </c>
      <c r="I104" s="577">
        <f t="shared" si="22"/>
        <v>145608.46677215613</v>
      </c>
      <c r="J104" s="514">
        <f t="shared" si="10"/>
        <v>0</v>
      </c>
      <c r="K104" s="514"/>
      <c r="L104" s="525"/>
      <c r="M104" s="514">
        <f t="shared" si="11"/>
        <v>0</v>
      </c>
      <c r="N104" s="525"/>
      <c r="O104" s="514">
        <f t="shared" si="12"/>
        <v>0</v>
      </c>
      <c r="P104" s="514">
        <f t="shared" si="13"/>
        <v>0</v>
      </c>
    </row>
    <row r="105" spans="1:16" ht="12.5">
      <c r="B105" s="195" t="str">
        <f t="shared" si="14"/>
        <v/>
      </c>
      <c r="C105" s="507">
        <f>IF(D93="","-",+C104+1)</f>
        <v>2022</v>
      </c>
      <c r="D105" s="374">
        <f>IF(F104+SUM(E$99:E104)=D$92,F104,D$92-SUM(E$99:E104))</f>
        <v>1066369.151716501</v>
      </c>
      <c r="E105" s="522">
        <f>IF(+J96&lt;F104,J96,D105)</f>
        <v>29318.119047619046</v>
      </c>
      <c r="F105" s="523">
        <f t="shared" si="19"/>
        <v>1037051.0326688819</v>
      </c>
      <c r="G105" s="523">
        <f t="shared" si="20"/>
        <v>1051710.0921926915</v>
      </c>
      <c r="H105" s="526">
        <f t="shared" si="21"/>
        <v>142454.60434449089</v>
      </c>
      <c r="I105" s="577">
        <f t="shared" si="22"/>
        <v>142454.60434449089</v>
      </c>
      <c r="J105" s="514">
        <f t="shared" si="10"/>
        <v>0</v>
      </c>
      <c r="K105" s="514"/>
      <c r="L105" s="525"/>
      <c r="M105" s="514">
        <f t="shared" si="11"/>
        <v>0</v>
      </c>
      <c r="N105" s="525"/>
      <c r="O105" s="514">
        <f t="shared" si="12"/>
        <v>0</v>
      </c>
      <c r="P105" s="514">
        <f t="shared" si="13"/>
        <v>0</v>
      </c>
    </row>
    <row r="106" spans="1:16" ht="12.5">
      <c r="B106" s="195" t="str">
        <f t="shared" si="14"/>
        <v/>
      </c>
      <c r="C106" s="507">
        <f>IF(D93="","-",+C105+1)</f>
        <v>2023</v>
      </c>
      <c r="D106" s="374">
        <f>IF(F105+SUM(E$99:E105)=D$92,F105,D$92-SUM(E$99:E105))</f>
        <v>1037051.0326688819</v>
      </c>
      <c r="E106" s="522">
        <f>IF(+J96&lt;F105,J96,D106)</f>
        <v>29318.119047619046</v>
      </c>
      <c r="F106" s="523">
        <f t="shared" si="19"/>
        <v>1007732.9136212629</v>
      </c>
      <c r="G106" s="523">
        <f t="shared" si="20"/>
        <v>1022391.9731450723</v>
      </c>
      <c r="H106" s="526">
        <f t="shared" si="21"/>
        <v>139300.74191682562</v>
      </c>
      <c r="I106" s="577">
        <f t="shared" si="22"/>
        <v>139300.74191682562</v>
      </c>
      <c r="J106" s="514">
        <f t="shared" si="10"/>
        <v>0</v>
      </c>
      <c r="K106" s="514"/>
      <c r="L106" s="525"/>
      <c r="M106" s="514">
        <f t="shared" si="11"/>
        <v>0</v>
      </c>
      <c r="N106" s="525"/>
      <c r="O106" s="514">
        <f t="shared" si="12"/>
        <v>0</v>
      </c>
      <c r="P106" s="514">
        <f t="shared" si="13"/>
        <v>0</v>
      </c>
    </row>
    <row r="107" spans="1:16" ht="12.5">
      <c r="B107" s="195" t="str">
        <f t="shared" si="14"/>
        <v/>
      </c>
      <c r="C107" s="507">
        <f>IF(D93="","-",+C106+1)</f>
        <v>2024</v>
      </c>
      <c r="D107" s="374">
        <f>IF(F106+SUM(E$99:E106)=D$92,F106,D$92-SUM(E$99:E106))</f>
        <v>1007732.9136212629</v>
      </c>
      <c r="E107" s="522">
        <f>IF(+J96&lt;F106,J96,D107)</f>
        <v>29318.119047619046</v>
      </c>
      <c r="F107" s="523">
        <f t="shared" si="19"/>
        <v>978414.79457364383</v>
      </c>
      <c r="G107" s="523">
        <f t="shared" si="20"/>
        <v>993073.85409745341</v>
      </c>
      <c r="H107" s="526">
        <f t="shared" si="21"/>
        <v>136146.87948916038</v>
      </c>
      <c r="I107" s="577">
        <f t="shared" si="22"/>
        <v>136146.87948916038</v>
      </c>
      <c r="J107" s="514">
        <f t="shared" si="10"/>
        <v>0</v>
      </c>
      <c r="K107" s="514"/>
      <c r="L107" s="525"/>
      <c r="M107" s="514">
        <f t="shared" si="11"/>
        <v>0</v>
      </c>
      <c r="N107" s="525"/>
      <c r="O107" s="514">
        <f t="shared" si="12"/>
        <v>0</v>
      </c>
      <c r="P107" s="514">
        <f t="shared" si="13"/>
        <v>0</v>
      </c>
    </row>
    <row r="108" spans="1:16" ht="12.5">
      <c r="B108" s="195" t="str">
        <f t="shared" si="14"/>
        <v/>
      </c>
      <c r="C108" s="507">
        <f>IF(D93="","-",+C107+1)</f>
        <v>2025</v>
      </c>
      <c r="D108" s="374">
        <f>IF(F107+SUM(E$99:E107)=D$92,F107,D$92-SUM(E$99:E107))</f>
        <v>978414.79457364383</v>
      </c>
      <c r="E108" s="522">
        <f>IF(+J96&lt;F107,J96,D108)</f>
        <v>29318.119047619046</v>
      </c>
      <c r="F108" s="523">
        <f t="shared" si="19"/>
        <v>949096.67552602477</v>
      </c>
      <c r="G108" s="523">
        <f t="shared" si="20"/>
        <v>963755.73504983424</v>
      </c>
      <c r="H108" s="526">
        <f t="shared" si="21"/>
        <v>132993.01706149511</v>
      </c>
      <c r="I108" s="577">
        <f t="shared" si="22"/>
        <v>132993.01706149511</v>
      </c>
      <c r="J108" s="514">
        <f t="shared" si="10"/>
        <v>0</v>
      </c>
      <c r="K108" s="514"/>
      <c r="L108" s="525"/>
      <c r="M108" s="514">
        <f t="shared" si="11"/>
        <v>0</v>
      </c>
      <c r="N108" s="525"/>
      <c r="O108" s="514">
        <f t="shared" si="12"/>
        <v>0</v>
      </c>
      <c r="P108" s="514">
        <f t="shared" si="13"/>
        <v>0</v>
      </c>
    </row>
    <row r="109" spans="1:16" ht="12.5">
      <c r="B109" s="195" t="str">
        <f t="shared" si="14"/>
        <v/>
      </c>
      <c r="C109" s="507">
        <f>IF(D93="","-",+C108+1)</f>
        <v>2026</v>
      </c>
      <c r="D109" s="374">
        <f>IF(F108+SUM(E$99:E108)=D$92,F108,D$92-SUM(E$99:E108))</f>
        <v>949096.67552602477</v>
      </c>
      <c r="E109" s="522">
        <f>IF(+J96&lt;F108,J96,D109)</f>
        <v>29318.119047619046</v>
      </c>
      <c r="F109" s="523">
        <f t="shared" si="19"/>
        <v>919778.55647840572</v>
      </c>
      <c r="G109" s="523">
        <f t="shared" si="20"/>
        <v>934437.61600221531</v>
      </c>
      <c r="H109" s="526">
        <f t="shared" si="21"/>
        <v>129839.15463382986</v>
      </c>
      <c r="I109" s="577">
        <f t="shared" si="22"/>
        <v>129839.15463382986</v>
      </c>
      <c r="J109" s="514">
        <f t="shared" si="10"/>
        <v>0</v>
      </c>
      <c r="K109" s="514"/>
      <c r="L109" s="525"/>
      <c r="M109" s="514">
        <f t="shared" si="11"/>
        <v>0</v>
      </c>
      <c r="N109" s="525"/>
      <c r="O109" s="514">
        <f t="shared" si="12"/>
        <v>0</v>
      </c>
      <c r="P109" s="514">
        <f t="shared" si="13"/>
        <v>0</v>
      </c>
    </row>
    <row r="110" spans="1:16" ht="12.5">
      <c r="B110" s="195" t="str">
        <f t="shared" si="14"/>
        <v/>
      </c>
      <c r="C110" s="507">
        <f>IF(D93="","-",+C109+1)</f>
        <v>2027</v>
      </c>
      <c r="D110" s="374">
        <f>IF(F109+SUM(E$99:E109)=D$92,F109,D$92-SUM(E$99:E109))</f>
        <v>919778.55647840572</v>
      </c>
      <c r="E110" s="522">
        <f>IF(+J96&lt;F109,J96,D110)</f>
        <v>29318.119047619046</v>
      </c>
      <c r="F110" s="523">
        <f t="shared" si="19"/>
        <v>890460.43743078667</v>
      </c>
      <c r="G110" s="523">
        <f t="shared" si="20"/>
        <v>905119.49695459614</v>
      </c>
      <c r="H110" s="526">
        <f t="shared" si="21"/>
        <v>126685.29220616459</v>
      </c>
      <c r="I110" s="577">
        <f t="shared" si="22"/>
        <v>126685.29220616459</v>
      </c>
      <c r="J110" s="514">
        <f t="shared" si="10"/>
        <v>0</v>
      </c>
      <c r="K110" s="514"/>
      <c r="L110" s="525"/>
      <c r="M110" s="514">
        <f t="shared" si="11"/>
        <v>0</v>
      </c>
      <c r="N110" s="525"/>
      <c r="O110" s="514">
        <f t="shared" si="12"/>
        <v>0</v>
      </c>
      <c r="P110" s="514">
        <f t="shared" si="13"/>
        <v>0</v>
      </c>
    </row>
    <row r="111" spans="1:16" ht="12.5">
      <c r="B111" s="195" t="str">
        <f t="shared" si="14"/>
        <v/>
      </c>
      <c r="C111" s="507">
        <f>IF(D93="","-",+C110+1)</f>
        <v>2028</v>
      </c>
      <c r="D111" s="374">
        <f>IF(F110+SUM(E$99:E110)=D$92,F110,D$92-SUM(E$99:E110))</f>
        <v>890460.43743078667</v>
      </c>
      <c r="E111" s="522">
        <f>IF(+J96&lt;F110,J96,D111)</f>
        <v>29318.119047619046</v>
      </c>
      <c r="F111" s="523">
        <f t="shared" si="19"/>
        <v>861142.31838316761</v>
      </c>
      <c r="G111" s="523">
        <f t="shared" si="20"/>
        <v>875801.3779069772</v>
      </c>
      <c r="H111" s="526">
        <f t="shared" si="21"/>
        <v>123531.42977849935</v>
      </c>
      <c r="I111" s="577">
        <f t="shared" si="22"/>
        <v>123531.42977849935</v>
      </c>
      <c r="J111" s="514">
        <f t="shared" si="10"/>
        <v>0</v>
      </c>
      <c r="K111" s="514"/>
      <c r="L111" s="525"/>
      <c r="M111" s="514">
        <f t="shared" si="11"/>
        <v>0</v>
      </c>
      <c r="N111" s="525"/>
      <c r="O111" s="514">
        <f t="shared" si="12"/>
        <v>0</v>
      </c>
      <c r="P111" s="514">
        <f t="shared" si="13"/>
        <v>0</v>
      </c>
    </row>
    <row r="112" spans="1:16" ht="12.5">
      <c r="B112" s="195" t="str">
        <f t="shared" si="14"/>
        <v/>
      </c>
      <c r="C112" s="507">
        <f>IF(D93="","-",+C111+1)</f>
        <v>2029</v>
      </c>
      <c r="D112" s="374">
        <f>IF(F111+SUM(E$99:E111)=D$92,F111,D$92-SUM(E$99:E111))</f>
        <v>861142.31838316761</v>
      </c>
      <c r="E112" s="522">
        <f>IF(+J96&lt;F111,J96,D112)</f>
        <v>29318.119047619046</v>
      </c>
      <c r="F112" s="523">
        <f t="shared" si="19"/>
        <v>831824.19933554856</v>
      </c>
      <c r="G112" s="523">
        <f t="shared" si="20"/>
        <v>846483.25885935803</v>
      </c>
      <c r="H112" s="526">
        <f t="shared" si="21"/>
        <v>120377.56735083408</v>
      </c>
      <c r="I112" s="577">
        <f t="shared" si="22"/>
        <v>120377.56735083408</v>
      </c>
      <c r="J112" s="514">
        <f t="shared" si="10"/>
        <v>0</v>
      </c>
      <c r="K112" s="514"/>
      <c r="L112" s="525"/>
      <c r="M112" s="514">
        <f t="shared" si="11"/>
        <v>0</v>
      </c>
      <c r="N112" s="525"/>
      <c r="O112" s="514">
        <f t="shared" si="12"/>
        <v>0</v>
      </c>
      <c r="P112" s="514">
        <f t="shared" si="13"/>
        <v>0</v>
      </c>
    </row>
    <row r="113" spans="2:16" ht="12.5">
      <c r="B113" s="195" t="str">
        <f t="shared" si="14"/>
        <v/>
      </c>
      <c r="C113" s="507">
        <f>IF(D93="","-",+C112+1)</f>
        <v>2030</v>
      </c>
      <c r="D113" s="374">
        <f>IF(F112+SUM(E$99:E112)=D$92,F112,D$92-SUM(E$99:E112))</f>
        <v>831824.19933554856</v>
      </c>
      <c r="E113" s="522">
        <f>IF(+J96&lt;F112,J96,D113)</f>
        <v>29318.119047619046</v>
      </c>
      <c r="F113" s="523">
        <f t="shared" si="19"/>
        <v>802506.08028792951</v>
      </c>
      <c r="G113" s="523">
        <f t="shared" si="20"/>
        <v>817165.13981173909</v>
      </c>
      <c r="H113" s="526">
        <f t="shared" si="21"/>
        <v>117223.70492316884</v>
      </c>
      <c r="I113" s="577">
        <f t="shared" si="22"/>
        <v>117223.70492316884</v>
      </c>
      <c r="J113" s="514">
        <f t="shared" si="10"/>
        <v>0</v>
      </c>
      <c r="K113" s="514"/>
      <c r="L113" s="525"/>
      <c r="M113" s="514">
        <f t="shared" si="11"/>
        <v>0</v>
      </c>
      <c r="N113" s="525"/>
      <c r="O113" s="514">
        <f t="shared" si="12"/>
        <v>0</v>
      </c>
      <c r="P113" s="514">
        <f t="shared" si="13"/>
        <v>0</v>
      </c>
    </row>
    <row r="114" spans="2:16" ht="12.5">
      <c r="B114" s="195" t="str">
        <f t="shared" si="14"/>
        <v/>
      </c>
      <c r="C114" s="507">
        <f>IF(D93="","-",+C113+1)</f>
        <v>2031</v>
      </c>
      <c r="D114" s="374">
        <f>IF(F113+SUM(E$99:E113)=D$92,F113,D$92-SUM(E$99:E113))</f>
        <v>802506.08028792951</v>
      </c>
      <c r="E114" s="522">
        <f>IF(+J96&lt;F113,J96,D114)</f>
        <v>29318.119047619046</v>
      </c>
      <c r="F114" s="523">
        <f t="shared" si="19"/>
        <v>773187.96124031045</v>
      </c>
      <c r="G114" s="523">
        <f t="shared" si="20"/>
        <v>787847.02076411992</v>
      </c>
      <c r="H114" s="526">
        <f t="shared" si="21"/>
        <v>114069.84249550357</v>
      </c>
      <c r="I114" s="577">
        <f t="shared" si="22"/>
        <v>114069.84249550357</v>
      </c>
      <c r="J114" s="514">
        <f t="shared" si="10"/>
        <v>0</v>
      </c>
      <c r="K114" s="514"/>
      <c r="L114" s="525"/>
      <c r="M114" s="514">
        <f t="shared" si="11"/>
        <v>0</v>
      </c>
      <c r="N114" s="525"/>
      <c r="O114" s="514">
        <f t="shared" si="12"/>
        <v>0</v>
      </c>
      <c r="P114" s="514">
        <f t="shared" si="13"/>
        <v>0</v>
      </c>
    </row>
    <row r="115" spans="2:16" ht="12.5">
      <c r="B115" s="195" t="str">
        <f t="shared" si="14"/>
        <v/>
      </c>
      <c r="C115" s="507">
        <f>IF(D93="","-",+C114+1)</f>
        <v>2032</v>
      </c>
      <c r="D115" s="374">
        <f>IF(F114+SUM(E$99:E114)=D$92,F114,D$92-SUM(E$99:E114))</f>
        <v>773187.96124031045</v>
      </c>
      <c r="E115" s="522">
        <f>IF(+J96&lt;F114,J96,D115)</f>
        <v>29318.119047619046</v>
      </c>
      <c r="F115" s="523">
        <f t="shared" si="19"/>
        <v>743869.8421926914</v>
      </c>
      <c r="G115" s="523">
        <f t="shared" si="20"/>
        <v>758528.90171650099</v>
      </c>
      <c r="H115" s="526">
        <f t="shared" si="21"/>
        <v>110915.98006783833</v>
      </c>
      <c r="I115" s="577">
        <f t="shared" si="22"/>
        <v>110915.98006783833</v>
      </c>
      <c r="J115" s="514">
        <f t="shared" si="10"/>
        <v>0</v>
      </c>
      <c r="K115" s="514"/>
      <c r="L115" s="525"/>
      <c r="M115" s="514">
        <f t="shared" si="11"/>
        <v>0</v>
      </c>
      <c r="N115" s="525"/>
      <c r="O115" s="514">
        <f t="shared" si="12"/>
        <v>0</v>
      </c>
      <c r="P115" s="514">
        <f t="shared" si="13"/>
        <v>0</v>
      </c>
    </row>
    <row r="116" spans="2:16" ht="12.5">
      <c r="B116" s="195" t="str">
        <f t="shared" si="14"/>
        <v/>
      </c>
      <c r="C116" s="507">
        <f>IF(D93="","-",+C115+1)</f>
        <v>2033</v>
      </c>
      <c r="D116" s="374">
        <f>IF(F115+SUM(E$99:E115)=D$92,F115,D$92-SUM(E$99:E115))</f>
        <v>743869.8421926914</v>
      </c>
      <c r="E116" s="522">
        <f>IF(+J96&lt;F115,J96,D116)</f>
        <v>29318.119047619046</v>
      </c>
      <c r="F116" s="523">
        <f t="shared" si="19"/>
        <v>714551.72314507235</v>
      </c>
      <c r="G116" s="523">
        <f t="shared" si="20"/>
        <v>729210.78266888182</v>
      </c>
      <c r="H116" s="526">
        <f t="shared" si="21"/>
        <v>107762.11764017306</v>
      </c>
      <c r="I116" s="577">
        <f t="shared" si="22"/>
        <v>107762.11764017306</v>
      </c>
      <c r="J116" s="514">
        <f t="shared" si="10"/>
        <v>0</v>
      </c>
      <c r="K116" s="514"/>
      <c r="L116" s="525"/>
      <c r="M116" s="514">
        <f t="shared" si="11"/>
        <v>0</v>
      </c>
      <c r="N116" s="525"/>
      <c r="O116" s="514">
        <f t="shared" si="12"/>
        <v>0</v>
      </c>
      <c r="P116" s="514">
        <f t="shared" si="13"/>
        <v>0</v>
      </c>
    </row>
    <row r="117" spans="2:16" ht="12.5">
      <c r="B117" s="195" t="str">
        <f t="shared" si="14"/>
        <v/>
      </c>
      <c r="C117" s="507">
        <f>IF(D93="","-",+C116+1)</f>
        <v>2034</v>
      </c>
      <c r="D117" s="374">
        <f>IF(F116+SUM(E$99:E116)=D$92,F116,D$92-SUM(E$99:E116))</f>
        <v>714551.72314507235</v>
      </c>
      <c r="E117" s="522">
        <f>IF(+J96&lt;F116,J96,D117)</f>
        <v>29318.119047619046</v>
      </c>
      <c r="F117" s="523">
        <f t="shared" si="19"/>
        <v>685233.6040974533</v>
      </c>
      <c r="G117" s="523">
        <f t="shared" si="20"/>
        <v>699892.66362126288</v>
      </c>
      <c r="H117" s="526">
        <f t="shared" si="21"/>
        <v>104608.25521250782</v>
      </c>
      <c r="I117" s="577">
        <f t="shared" si="22"/>
        <v>104608.25521250782</v>
      </c>
      <c r="J117" s="514">
        <f t="shared" si="10"/>
        <v>0</v>
      </c>
      <c r="K117" s="514"/>
      <c r="L117" s="525"/>
      <c r="M117" s="514">
        <f t="shared" si="11"/>
        <v>0</v>
      </c>
      <c r="N117" s="525"/>
      <c r="O117" s="514">
        <f t="shared" si="12"/>
        <v>0</v>
      </c>
      <c r="P117" s="514">
        <f t="shared" si="13"/>
        <v>0</v>
      </c>
    </row>
    <row r="118" spans="2:16" ht="12.5">
      <c r="B118" s="195" t="str">
        <f t="shared" si="14"/>
        <v/>
      </c>
      <c r="C118" s="507">
        <f>IF(D93="","-",+C117+1)</f>
        <v>2035</v>
      </c>
      <c r="D118" s="374">
        <f>IF(F117+SUM(E$99:E117)=D$92,F117,D$92-SUM(E$99:E117))</f>
        <v>685233.6040974533</v>
      </c>
      <c r="E118" s="522">
        <f>IF(+J96&lt;F117,J96,D118)</f>
        <v>29318.119047619046</v>
      </c>
      <c r="F118" s="523">
        <f t="shared" si="19"/>
        <v>655915.48504983424</v>
      </c>
      <c r="G118" s="523">
        <f t="shared" si="20"/>
        <v>670574.54457364371</v>
      </c>
      <c r="H118" s="526">
        <f t="shared" si="21"/>
        <v>101454.39278484255</v>
      </c>
      <c r="I118" s="577">
        <f t="shared" si="22"/>
        <v>101454.39278484255</v>
      </c>
      <c r="J118" s="514">
        <f t="shared" si="10"/>
        <v>0</v>
      </c>
      <c r="K118" s="514"/>
      <c r="L118" s="525"/>
      <c r="M118" s="514">
        <f t="shared" si="11"/>
        <v>0</v>
      </c>
      <c r="N118" s="525"/>
      <c r="O118" s="514">
        <f t="shared" si="12"/>
        <v>0</v>
      </c>
      <c r="P118" s="514">
        <f t="shared" si="13"/>
        <v>0</v>
      </c>
    </row>
    <row r="119" spans="2:16" ht="12.5">
      <c r="B119" s="195" t="str">
        <f t="shared" si="14"/>
        <v/>
      </c>
      <c r="C119" s="507">
        <f>IF(D93="","-",+C118+1)</f>
        <v>2036</v>
      </c>
      <c r="D119" s="374">
        <f>IF(F118+SUM(E$99:E118)=D$92,F118,D$92-SUM(E$99:E118))</f>
        <v>655915.48504983424</v>
      </c>
      <c r="E119" s="522">
        <f>IF(+J96&lt;F118,J96,D119)</f>
        <v>29318.119047619046</v>
      </c>
      <c r="F119" s="523">
        <f t="shared" si="19"/>
        <v>626597.36600221519</v>
      </c>
      <c r="G119" s="523">
        <f t="shared" si="20"/>
        <v>641256.42552602477</v>
      </c>
      <c r="H119" s="526">
        <f t="shared" si="21"/>
        <v>98300.530357177311</v>
      </c>
      <c r="I119" s="577">
        <f t="shared" si="22"/>
        <v>98300.530357177311</v>
      </c>
      <c r="J119" s="514">
        <f t="shared" si="10"/>
        <v>0</v>
      </c>
      <c r="K119" s="514"/>
      <c r="L119" s="525"/>
      <c r="M119" s="514">
        <f t="shared" si="11"/>
        <v>0</v>
      </c>
      <c r="N119" s="525"/>
      <c r="O119" s="514">
        <f t="shared" si="12"/>
        <v>0</v>
      </c>
      <c r="P119" s="514">
        <f t="shared" si="13"/>
        <v>0</v>
      </c>
    </row>
    <row r="120" spans="2:16" ht="12.5">
      <c r="B120" s="195" t="str">
        <f t="shared" si="14"/>
        <v/>
      </c>
      <c r="C120" s="507">
        <f>IF(D93="","-",+C119+1)</f>
        <v>2037</v>
      </c>
      <c r="D120" s="374">
        <f>IF(F119+SUM(E$99:E119)=D$92,F119,D$92-SUM(E$99:E119))</f>
        <v>626597.36600221519</v>
      </c>
      <c r="E120" s="522">
        <f>IF(+J96&lt;F119,J96,D120)</f>
        <v>29318.119047619046</v>
      </c>
      <c r="F120" s="523">
        <f t="shared" si="19"/>
        <v>597279.24695459614</v>
      </c>
      <c r="G120" s="523">
        <f t="shared" si="20"/>
        <v>611938.3064784056</v>
      </c>
      <c r="H120" s="526">
        <f t="shared" si="21"/>
        <v>95146.667929512041</v>
      </c>
      <c r="I120" s="577">
        <f t="shared" si="22"/>
        <v>95146.667929512041</v>
      </c>
      <c r="J120" s="514">
        <f t="shared" si="10"/>
        <v>0</v>
      </c>
      <c r="K120" s="514"/>
      <c r="L120" s="525"/>
      <c r="M120" s="514">
        <f t="shared" si="11"/>
        <v>0</v>
      </c>
      <c r="N120" s="525"/>
      <c r="O120" s="514">
        <f t="shared" si="12"/>
        <v>0</v>
      </c>
      <c r="P120" s="514">
        <f t="shared" si="13"/>
        <v>0</v>
      </c>
    </row>
    <row r="121" spans="2:16" ht="12.5">
      <c r="B121" s="195" t="str">
        <f t="shared" si="14"/>
        <v/>
      </c>
      <c r="C121" s="507">
        <f>IF(D93="","-",+C120+1)</f>
        <v>2038</v>
      </c>
      <c r="D121" s="374">
        <f>IF(F120+SUM(E$99:E120)=D$92,F120,D$92-SUM(E$99:E120))</f>
        <v>597279.24695459614</v>
      </c>
      <c r="E121" s="522">
        <f>IF(+J96&lt;F120,J96,D121)</f>
        <v>29318.119047619046</v>
      </c>
      <c r="F121" s="523">
        <f t="shared" si="19"/>
        <v>567961.12790697708</v>
      </c>
      <c r="G121" s="523">
        <f t="shared" si="20"/>
        <v>582620.18743078667</v>
      </c>
      <c r="H121" s="526">
        <f t="shared" si="21"/>
        <v>91992.8055018468</v>
      </c>
      <c r="I121" s="577">
        <f t="shared" si="22"/>
        <v>91992.8055018468</v>
      </c>
      <c r="J121" s="514">
        <f t="shared" si="10"/>
        <v>0</v>
      </c>
      <c r="K121" s="514"/>
      <c r="L121" s="525"/>
      <c r="M121" s="514">
        <f t="shared" si="11"/>
        <v>0</v>
      </c>
      <c r="N121" s="525"/>
      <c r="O121" s="514">
        <f t="shared" si="12"/>
        <v>0</v>
      </c>
      <c r="P121" s="514">
        <f t="shared" si="13"/>
        <v>0</v>
      </c>
    </row>
    <row r="122" spans="2:16" ht="12.5">
      <c r="B122" s="195" t="str">
        <f t="shared" si="14"/>
        <v/>
      </c>
      <c r="C122" s="507">
        <f>IF(D93="","-",+C121+1)</f>
        <v>2039</v>
      </c>
      <c r="D122" s="374">
        <f>IF(F121+SUM(E$99:E121)=D$92,F121,D$92-SUM(E$99:E121))</f>
        <v>567961.12790697708</v>
      </c>
      <c r="E122" s="522">
        <f>IF(+J96&lt;F121,J96,D122)</f>
        <v>29318.119047619046</v>
      </c>
      <c r="F122" s="523">
        <f t="shared" si="19"/>
        <v>538643.00885935803</v>
      </c>
      <c r="G122" s="523">
        <f t="shared" si="20"/>
        <v>553302.0683831675</v>
      </c>
      <c r="H122" s="526">
        <f t="shared" si="21"/>
        <v>88838.94307418153</v>
      </c>
      <c r="I122" s="577">
        <f t="shared" si="22"/>
        <v>88838.94307418153</v>
      </c>
      <c r="J122" s="514">
        <f t="shared" si="10"/>
        <v>0</v>
      </c>
      <c r="K122" s="514"/>
      <c r="L122" s="525"/>
      <c r="M122" s="514">
        <f t="shared" si="11"/>
        <v>0</v>
      </c>
      <c r="N122" s="525"/>
      <c r="O122" s="514">
        <f t="shared" si="12"/>
        <v>0</v>
      </c>
      <c r="P122" s="514">
        <f t="shared" si="13"/>
        <v>0</v>
      </c>
    </row>
    <row r="123" spans="2:16" ht="12.5">
      <c r="B123" s="195" t="str">
        <f t="shared" si="14"/>
        <v/>
      </c>
      <c r="C123" s="507">
        <f>IF(D93="","-",+C122+1)</f>
        <v>2040</v>
      </c>
      <c r="D123" s="374">
        <f>IF(F122+SUM(E$99:E122)=D$92,F122,D$92-SUM(E$99:E122))</f>
        <v>538643.00885935803</v>
      </c>
      <c r="E123" s="522">
        <f>IF(+J96&lt;F122,J96,D123)</f>
        <v>29318.119047619046</v>
      </c>
      <c r="F123" s="523">
        <f t="shared" si="19"/>
        <v>509324.88981173898</v>
      </c>
      <c r="G123" s="523">
        <f t="shared" si="20"/>
        <v>523983.9493355485</v>
      </c>
      <c r="H123" s="526">
        <f t="shared" si="21"/>
        <v>85685.08064651629</v>
      </c>
      <c r="I123" s="577">
        <f t="shared" si="22"/>
        <v>85685.08064651629</v>
      </c>
      <c r="J123" s="514">
        <f t="shared" si="10"/>
        <v>0</v>
      </c>
      <c r="K123" s="514"/>
      <c r="L123" s="525"/>
      <c r="M123" s="514">
        <f t="shared" si="11"/>
        <v>0</v>
      </c>
      <c r="N123" s="525"/>
      <c r="O123" s="514">
        <f t="shared" si="12"/>
        <v>0</v>
      </c>
      <c r="P123" s="514">
        <f t="shared" si="13"/>
        <v>0</v>
      </c>
    </row>
    <row r="124" spans="2:16" ht="12.5">
      <c r="B124" s="195" t="str">
        <f t="shared" si="14"/>
        <v/>
      </c>
      <c r="C124" s="507">
        <f>IF(D93="","-",+C123+1)</f>
        <v>2041</v>
      </c>
      <c r="D124" s="374">
        <f>IF(F123+SUM(E$99:E123)=D$92,F123,D$92-SUM(E$99:E123))</f>
        <v>509324.88981173898</v>
      </c>
      <c r="E124" s="522">
        <f>IF(+J96&lt;F123,J96,D124)</f>
        <v>29318.119047619046</v>
      </c>
      <c r="F124" s="523">
        <f t="shared" si="19"/>
        <v>480006.77076411992</v>
      </c>
      <c r="G124" s="523">
        <f t="shared" si="20"/>
        <v>494665.83028792945</v>
      </c>
      <c r="H124" s="526">
        <f t="shared" si="21"/>
        <v>82531.218218851034</v>
      </c>
      <c r="I124" s="577">
        <f t="shared" si="22"/>
        <v>82531.218218851034</v>
      </c>
      <c r="J124" s="514">
        <f t="shared" si="10"/>
        <v>0</v>
      </c>
      <c r="K124" s="514"/>
      <c r="L124" s="525"/>
      <c r="M124" s="514">
        <f t="shared" si="11"/>
        <v>0</v>
      </c>
      <c r="N124" s="525"/>
      <c r="O124" s="514">
        <f t="shared" si="12"/>
        <v>0</v>
      </c>
      <c r="P124" s="514">
        <f t="shared" si="13"/>
        <v>0</v>
      </c>
    </row>
    <row r="125" spans="2:16" ht="12.5">
      <c r="B125" s="195" t="str">
        <f t="shared" si="14"/>
        <v/>
      </c>
      <c r="C125" s="507">
        <f>IF(D93="","-",+C124+1)</f>
        <v>2042</v>
      </c>
      <c r="D125" s="374">
        <f>IF(F124+SUM(E$99:E124)=D$92,F124,D$92-SUM(E$99:E124))</f>
        <v>480006.77076411992</v>
      </c>
      <c r="E125" s="522">
        <f>IF(+J96&lt;F124,J96,D125)</f>
        <v>29318.119047619046</v>
      </c>
      <c r="F125" s="523">
        <f t="shared" si="19"/>
        <v>450688.65171650087</v>
      </c>
      <c r="G125" s="523">
        <f t="shared" si="20"/>
        <v>465347.7112403104</v>
      </c>
      <c r="H125" s="526">
        <f t="shared" si="21"/>
        <v>79377.355791185779</v>
      </c>
      <c r="I125" s="577">
        <f t="shared" si="22"/>
        <v>79377.355791185779</v>
      </c>
      <c r="J125" s="514">
        <f t="shared" si="10"/>
        <v>0</v>
      </c>
      <c r="K125" s="514"/>
      <c r="L125" s="525"/>
      <c r="M125" s="514">
        <f t="shared" si="11"/>
        <v>0</v>
      </c>
      <c r="N125" s="525"/>
      <c r="O125" s="514">
        <f t="shared" si="12"/>
        <v>0</v>
      </c>
      <c r="P125" s="514">
        <f t="shared" si="13"/>
        <v>0</v>
      </c>
    </row>
    <row r="126" spans="2:16" ht="12.5">
      <c r="B126" s="195" t="str">
        <f t="shared" si="14"/>
        <v/>
      </c>
      <c r="C126" s="507">
        <f>IF(D93="","-",+C125+1)</f>
        <v>2043</v>
      </c>
      <c r="D126" s="374">
        <f>IF(F125+SUM(E$99:E125)=D$92,F125,D$92-SUM(E$99:E125))</f>
        <v>450688.65171650087</v>
      </c>
      <c r="E126" s="522">
        <f>IF(+J96&lt;F125,J96,D126)</f>
        <v>29318.119047619046</v>
      </c>
      <c r="F126" s="523">
        <f t="shared" si="19"/>
        <v>421370.53266888182</v>
      </c>
      <c r="G126" s="523">
        <f t="shared" si="20"/>
        <v>436029.59219269134</v>
      </c>
      <c r="H126" s="526">
        <f t="shared" si="21"/>
        <v>76223.493363520523</v>
      </c>
      <c r="I126" s="577">
        <f t="shared" si="22"/>
        <v>76223.493363520523</v>
      </c>
      <c r="J126" s="514">
        <f t="shared" si="10"/>
        <v>0</v>
      </c>
      <c r="K126" s="514"/>
      <c r="L126" s="525"/>
      <c r="M126" s="514">
        <f t="shared" si="11"/>
        <v>0</v>
      </c>
      <c r="N126" s="525"/>
      <c r="O126" s="514">
        <f t="shared" si="12"/>
        <v>0</v>
      </c>
      <c r="P126" s="514">
        <f t="shared" si="13"/>
        <v>0</v>
      </c>
    </row>
    <row r="127" spans="2:16" ht="12.5">
      <c r="B127" s="195" t="str">
        <f t="shared" si="14"/>
        <v/>
      </c>
      <c r="C127" s="507">
        <f>IF(D93="","-",+C126+1)</f>
        <v>2044</v>
      </c>
      <c r="D127" s="374">
        <f>IF(F126+SUM(E$99:E126)=D$92,F126,D$92-SUM(E$99:E126))</f>
        <v>421370.53266888182</v>
      </c>
      <c r="E127" s="522">
        <f>IF(+J96&lt;F126,J96,D127)</f>
        <v>29318.119047619046</v>
      </c>
      <c r="F127" s="523">
        <f t="shared" si="19"/>
        <v>392052.41362126276</v>
      </c>
      <c r="G127" s="523">
        <f t="shared" si="20"/>
        <v>406711.47314507229</v>
      </c>
      <c r="H127" s="526">
        <f t="shared" si="21"/>
        <v>73069.630935855268</v>
      </c>
      <c r="I127" s="577">
        <f t="shared" si="22"/>
        <v>73069.630935855268</v>
      </c>
      <c r="J127" s="514">
        <f t="shared" si="10"/>
        <v>0</v>
      </c>
      <c r="K127" s="514"/>
      <c r="L127" s="525"/>
      <c r="M127" s="514">
        <f t="shared" si="11"/>
        <v>0</v>
      </c>
      <c r="N127" s="525"/>
      <c r="O127" s="514">
        <f t="shared" si="12"/>
        <v>0</v>
      </c>
      <c r="P127" s="514">
        <f t="shared" si="13"/>
        <v>0</v>
      </c>
    </row>
    <row r="128" spans="2:16" ht="12.5">
      <c r="B128" s="195" t="str">
        <f t="shared" si="14"/>
        <v/>
      </c>
      <c r="C128" s="507">
        <f>IF(D93="","-",+C127+1)</f>
        <v>2045</v>
      </c>
      <c r="D128" s="374">
        <f>IF(F127+SUM(E$99:E127)=D$92,F127,D$92-SUM(E$99:E127))</f>
        <v>392052.41362126276</v>
      </c>
      <c r="E128" s="522">
        <f>IF(+J96&lt;F127,J96,D128)</f>
        <v>29318.119047619046</v>
      </c>
      <c r="F128" s="523">
        <f t="shared" si="19"/>
        <v>362734.29457364371</v>
      </c>
      <c r="G128" s="523">
        <f t="shared" si="20"/>
        <v>377393.35409745324</v>
      </c>
      <c r="H128" s="526">
        <f t="shared" si="21"/>
        <v>69915.768508190013</v>
      </c>
      <c r="I128" s="577">
        <f t="shared" si="22"/>
        <v>69915.768508190013</v>
      </c>
      <c r="J128" s="514">
        <f t="shared" si="10"/>
        <v>0</v>
      </c>
      <c r="K128" s="514"/>
      <c r="L128" s="525"/>
      <c r="M128" s="514">
        <f t="shared" si="11"/>
        <v>0</v>
      </c>
      <c r="N128" s="525"/>
      <c r="O128" s="514">
        <f t="shared" si="12"/>
        <v>0</v>
      </c>
      <c r="P128" s="514">
        <f t="shared" si="13"/>
        <v>0</v>
      </c>
    </row>
    <row r="129" spans="2:16" ht="12.5">
      <c r="B129" s="195" t="str">
        <f t="shared" si="14"/>
        <v/>
      </c>
      <c r="C129" s="507">
        <f>IF(D93="","-",+C128+1)</f>
        <v>2046</v>
      </c>
      <c r="D129" s="374">
        <f>IF(F128+SUM(E$99:E128)=D$92,F128,D$92-SUM(E$99:E128))</f>
        <v>362734.29457364371</v>
      </c>
      <c r="E129" s="522">
        <f>IF(+J96&lt;F128,J96,D129)</f>
        <v>29318.119047619046</v>
      </c>
      <c r="F129" s="523">
        <f t="shared" si="19"/>
        <v>333416.17552602466</v>
      </c>
      <c r="G129" s="523">
        <f t="shared" si="20"/>
        <v>348075.23504983418</v>
      </c>
      <c r="H129" s="526">
        <f t="shared" si="21"/>
        <v>66761.906080524757</v>
      </c>
      <c r="I129" s="577">
        <f t="shared" si="22"/>
        <v>66761.906080524757</v>
      </c>
      <c r="J129" s="514">
        <f t="shared" si="10"/>
        <v>0</v>
      </c>
      <c r="K129" s="514"/>
      <c r="L129" s="525"/>
      <c r="M129" s="514">
        <f t="shared" si="11"/>
        <v>0</v>
      </c>
      <c r="N129" s="525"/>
      <c r="O129" s="514">
        <f t="shared" si="12"/>
        <v>0</v>
      </c>
      <c r="P129" s="514">
        <f t="shared" si="13"/>
        <v>0</v>
      </c>
    </row>
    <row r="130" spans="2:16" ht="12.5">
      <c r="B130" s="195" t="str">
        <f t="shared" si="14"/>
        <v/>
      </c>
      <c r="C130" s="507">
        <f>IF(D93="","-",+C129+1)</f>
        <v>2047</v>
      </c>
      <c r="D130" s="374">
        <f>IF(F129+SUM(E$99:E129)=D$92,F129,D$92-SUM(E$99:E129))</f>
        <v>333416.17552602466</v>
      </c>
      <c r="E130" s="522">
        <f>IF(+J96&lt;F129,J96,D130)</f>
        <v>29318.119047619046</v>
      </c>
      <c r="F130" s="523">
        <f t="shared" si="19"/>
        <v>304098.0564784056</v>
      </c>
      <c r="G130" s="523">
        <f t="shared" si="20"/>
        <v>318757.11600221513</v>
      </c>
      <c r="H130" s="526">
        <f t="shared" si="21"/>
        <v>63608.043652859502</v>
      </c>
      <c r="I130" s="577">
        <f t="shared" si="22"/>
        <v>63608.043652859502</v>
      </c>
      <c r="J130" s="514">
        <f t="shared" si="10"/>
        <v>0</v>
      </c>
      <c r="K130" s="514"/>
      <c r="L130" s="525"/>
      <c r="M130" s="514">
        <f t="shared" si="11"/>
        <v>0</v>
      </c>
      <c r="N130" s="525"/>
      <c r="O130" s="514">
        <f t="shared" si="12"/>
        <v>0</v>
      </c>
      <c r="P130" s="514">
        <f t="shared" si="13"/>
        <v>0</v>
      </c>
    </row>
    <row r="131" spans="2:16" ht="12.5">
      <c r="B131" s="195" t="str">
        <f t="shared" si="14"/>
        <v/>
      </c>
      <c r="C131" s="507">
        <f>IF(D93="","-",+C130+1)</f>
        <v>2048</v>
      </c>
      <c r="D131" s="374">
        <f>IF(F130+SUM(E$99:E130)=D$92,F130,D$92-SUM(E$99:E130))</f>
        <v>304098.0564784056</v>
      </c>
      <c r="E131" s="522">
        <f>IF(+J96&lt;F130,J96,D131)</f>
        <v>29318.119047619046</v>
      </c>
      <c r="F131" s="523">
        <f t="shared" ref="F131:F154" si="23">+D131-E131</f>
        <v>274779.93743078655</v>
      </c>
      <c r="G131" s="523">
        <f t="shared" ref="G131:G154" si="24">+(F131+D131)/2</f>
        <v>289438.99695459608</v>
      </c>
      <c r="H131" s="526">
        <f t="shared" si="21"/>
        <v>60454.181225194247</v>
      </c>
      <c r="I131" s="577">
        <f t="shared" si="22"/>
        <v>60454.181225194247</v>
      </c>
      <c r="J131" s="514">
        <f t="shared" ref="J131:J154" si="25">+I541-H541</f>
        <v>0</v>
      </c>
      <c r="K131" s="514"/>
      <c r="L131" s="525"/>
      <c r="M131" s="514">
        <f t="shared" ref="M131:M154" si="26">IF(L541&lt;&gt;0,+H541-L541,0)</f>
        <v>0</v>
      </c>
      <c r="N131" s="525"/>
      <c r="O131" s="514">
        <f t="shared" ref="O131:O154" si="27">IF(N541&lt;&gt;0,+I541-N541,0)</f>
        <v>0</v>
      </c>
      <c r="P131" s="514">
        <f t="shared" ref="P131:P154" si="28">+O541-M541</f>
        <v>0</v>
      </c>
    </row>
    <row r="132" spans="2:16" ht="12.5">
      <c r="B132" s="195" t="str">
        <f t="shared" si="14"/>
        <v/>
      </c>
      <c r="C132" s="507">
        <f>IF(D93="","-",+C131+1)</f>
        <v>2049</v>
      </c>
      <c r="D132" s="374">
        <f>IF(F131+SUM(E$99:E131)=D$92,F131,D$92-SUM(E$99:E131))</f>
        <v>274779.93743078655</v>
      </c>
      <c r="E132" s="522">
        <f>IF(+J96&lt;F131,J96,D132)</f>
        <v>29318.119047619046</v>
      </c>
      <c r="F132" s="523">
        <f t="shared" si="23"/>
        <v>245461.8183831675</v>
      </c>
      <c r="G132" s="523">
        <f t="shared" si="24"/>
        <v>260120.87790697702</v>
      </c>
      <c r="H132" s="526">
        <f t="shared" si="21"/>
        <v>57300.318797528991</v>
      </c>
      <c r="I132" s="577">
        <f t="shared" si="22"/>
        <v>57300.318797528991</v>
      </c>
      <c r="J132" s="514">
        <f t="shared" si="25"/>
        <v>0</v>
      </c>
      <c r="K132" s="514"/>
      <c r="L132" s="525"/>
      <c r="M132" s="514">
        <f t="shared" si="26"/>
        <v>0</v>
      </c>
      <c r="N132" s="525"/>
      <c r="O132" s="514">
        <f t="shared" si="27"/>
        <v>0</v>
      </c>
      <c r="P132" s="514">
        <f t="shared" si="28"/>
        <v>0</v>
      </c>
    </row>
    <row r="133" spans="2:16" ht="12.5">
      <c r="B133" s="195" t="str">
        <f t="shared" si="14"/>
        <v/>
      </c>
      <c r="C133" s="507">
        <f>IF(D93="","-",+C132+1)</f>
        <v>2050</v>
      </c>
      <c r="D133" s="374">
        <f>IF(F132+SUM(E$99:E132)=D$92,F132,D$92-SUM(E$99:E132))</f>
        <v>245461.8183831675</v>
      </c>
      <c r="E133" s="522">
        <f>IF(+J96&lt;F132,J96,D133)</f>
        <v>29318.119047619046</v>
      </c>
      <c r="F133" s="523">
        <f t="shared" si="23"/>
        <v>216143.69933554844</v>
      </c>
      <c r="G133" s="523">
        <f t="shared" si="24"/>
        <v>230802.75885935797</v>
      </c>
      <c r="H133" s="526">
        <f t="shared" si="21"/>
        <v>54146.456369863736</v>
      </c>
      <c r="I133" s="577">
        <f t="shared" si="22"/>
        <v>54146.456369863736</v>
      </c>
      <c r="J133" s="514">
        <f t="shared" si="25"/>
        <v>0</v>
      </c>
      <c r="K133" s="514"/>
      <c r="L133" s="525"/>
      <c r="M133" s="514">
        <f t="shared" si="26"/>
        <v>0</v>
      </c>
      <c r="N133" s="525"/>
      <c r="O133" s="514">
        <f t="shared" si="27"/>
        <v>0</v>
      </c>
      <c r="P133" s="514">
        <f t="shared" si="28"/>
        <v>0</v>
      </c>
    </row>
    <row r="134" spans="2:16" ht="12.5">
      <c r="B134" s="195" t="str">
        <f t="shared" si="14"/>
        <v/>
      </c>
      <c r="C134" s="507">
        <f>IF(D93="","-",+C133+1)</f>
        <v>2051</v>
      </c>
      <c r="D134" s="374">
        <f>IF(F133+SUM(E$99:E133)=D$92,F133,D$92-SUM(E$99:E133))</f>
        <v>216143.69933554844</v>
      </c>
      <c r="E134" s="522">
        <f>IF(+J96&lt;F133,J96,D134)</f>
        <v>29318.119047619046</v>
      </c>
      <c r="F134" s="523">
        <f t="shared" si="23"/>
        <v>186825.58028792939</v>
      </c>
      <c r="G134" s="523">
        <f t="shared" si="24"/>
        <v>201484.63981173892</v>
      </c>
      <c r="H134" s="526">
        <f t="shared" si="21"/>
        <v>50992.59394219848</v>
      </c>
      <c r="I134" s="577">
        <f t="shared" si="22"/>
        <v>50992.59394219848</v>
      </c>
      <c r="J134" s="514">
        <f t="shared" si="25"/>
        <v>0</v>
      </c>
      <c r="K134" s="514"/>
      <c r="L134" s="525"/>
      <c r="M134" s="514">
        <f t="shared" si="26"/>
        <v>0</v>
      </c>
      <c r="N134" s="525"/>
      <c r="O134" s="514">
        <f t="shared" si="27"/>
        <v>0</v>
      </c>
      <c r="P134" s="514">
        <f t="shared" si="28"/>
        <v>0</v>
      </c>
    </row>
    <row r="135" spans="2:16" ht="12.5">
      <c r="B135" s="195" t="str">
        <f t="shared" si="14"/>
        <v/>
      </c>
      <c r="C135" s="507">
        <f>IF(D93="","-",+C134+1)</f>
        <v>2052</v>
      </c>
      <c r="D135" s="374">
        <f>IF(F134+SUM(E$99:E134)=D$92,F134,D$92-SUM(E$99:E134))</f>
        <v>186825.58028792939</v>
      </c>
      <c r="E135" s="522">
        <f>IF(+J96&lt;F134,J96,D135)</f>
        <v>29318.119047619046</v>
      </c>
      <c r="F135" s="523">
        <f t="shared" si="23"/>
        <v>157507.46124031034</v>
      </c>
      <c r="G135" s="523">
        <f t="shared" si="24"/>
        <v>172166.52076411986</v>
      </c>
      <c r="H135" s="526">
        <f t="shared" si="21"/>
        <v>47838.731514533225</v>
      </c>
      <c r="I135" s="577">
        <f t="shared" si="22"/>
        <v>47838.731514533225</v>
      </c>
      <c r="J135" s="514">
        <f t="shared" si="25"/>
        <v>0</v>
      </c>
      <c r="K135" s="514"/>
      <c r="L135" s="525"/>
      <c r="M135" s="514">
        <f t="shared" si="26"/>
        <v>0</v>
      </c>
      <c r="N135" s="525"/>
      <c r="O135" s="514">
        <f t="shared" si="27"/>
        <v>0</v>
      </c>
      <c r="P135" s="514">
        <f t="shared" si="28"/>
        <v>0</v>
      </c>
    </row>
    <row r="136" spans="2:16" ht="12.5">
      <c r="B136" s="195" t="str">
        <f t="shared" si="14"/>
        <v/>
      </c>
      <c r="C136" s="507">
        <f>IF(D93="","-",+C135+1)</f>
        <v>2053</v>
      </c>
      <c r="D136" s="374">
        <f>IF(F135+SUM(E$99:E135)=D$92,F135,D$92-SUM(E$99:E135))</f>
        <v>157507.46124031034</v>
      </c>
      <c r="E136" s="522">
        <f>IF(+J96&lt;F135,J96,D136)</f>
        <v>29318.119047619046</v>
      </c>
      <c r="F136" s="523">
        <f t="shared" si="23"/>
        <v>128189.34219269129</v>
      </c>
      <c r="G136" s="523">
        <f t="shared" si="24"/>
        <v>142848.40171650081</v>
      </c>
      <c r="H136" s="526">
        <f t="shared" si="21"/>
        <v>44684.86908686797</v>
      </c>
      <c r="I136" s="577">
        <f t="shared" si="22"/>
        <v>44684.86908686797</v>
      </c>
      <c r="J136" s="514">
        <f t="shared" si="25"/>
        <v>0</v>
      </c>
      <c r="K136" s="514"/>
      <c r="L136" s="525"/>
      <c r="M136" s="514">
        <f t="shared" si="26"/>
        <v>0</v>
      </c>
      <c r="N136" s="525"/>
      <c r="O136" s="514">
        <f t="shared" si="27"/>
        <v>0</v>
      </c>
      <c r="P136" s="514">
        <f t="shared" si="28"/>
        <v>0</v>
      </c>
    </row>
    <row r="137" spans="2:16" ht="12.5">
      <c r="B137" s="195" t="str">
        <f t="shared" si="14"/>
        <v/>
      </c>
      <c r="C137" s="507">
        <f>IF(D93="","-",+C136+1)</f>
        <v>2054</v>
      </c>
      <c r="D137" s="374">
        <f>IF(F136+SUM(E$99:E136)=D$92,F136,D$92-SUM(E$99:E136))</f>
        <v>128189.34219269129</v>
      </c>
      <c r="E137" s="522">
        <f>IF(+J96&lt;F136,J96,D137)</f>
        <v>29318.119047619046</v>
      </c>
      <c r="F137" s="523">
        <f t="shared" si="23"/>
        <v>98871.223145072232</v>
      </c>
      <c r="G137" s="523">
        <f t="shared" si="24"/>
        <v>113530.28266888176</v>
      </c>
      <c r="H137" s="526">
        <f t="shared" si="21"/>
        <v>41531.006659202714</v>
      </c>
      <c r="I137" s="577">
        <f t="shared" si="22"/>
        <v>41531.006659202714</v>
      </c>
      <c r="J137" s="514">
        <f t="shared" si="25"/>
        <v>0</v>
      </c>
      <c r="K137" s="514"/>
      <c r="L137" s="525"/>
      <c r="M137" s="514">
        <f t="shared" si="26"/>
        <v>0</v>
      </c>
      <c r="N137" s="525"/>
      <c r="O137" s="514">
        <f t="shared" si="27"/>
        <v>0</v>
      </c>
      <c r="P137" s="514">
        <f t="shared" si="28"/>
        <v>0</v>
      </c>
    </row>
    <row r="138" spans="2:16" ht="12.5">
      <c r="B138" s="195" t="str">
        <f t="shared" si="14"/>
        <v/>
      </c>
      <c r="C138" s="507">
        <f>IF(D93="","-",+C137+1)</f>
        <v>2055</v>
      </c>
      <c r="D138" s="374">
        <f>IF(F137+SUM(E$99:E137)=D$92,F137,D$92-SUM(E$99:E137))</f>
        <v>98871.223145072232</v>
      </c>
      <c r="E138" s="522">
        <f>IF(+J96&lt;F137,J96,D138)</f>
        <v>29318.119047619046</v>
      </c>
      <c r="F138" s="523">
        <f t="shared" si="23"/>
        <v>69553.104097453179</v>
      </c>
      <c r="G138" s="523">
        <f t="shared" si="24"/>
        <v>84212.163621262705</v>
      </c>
      <c r="H138" s="526">
        <f t="shared" si="21"/>
        <v>38377.144231537466</v>
      </c>
      <c r="I138" s="577">
        <f t="shared" si="22"/>
        <v>38377.144231537466</v>
      </c>
      <c r="J138" s="514">
        <f t="shared" si="25"/>
        <v>0</v>
      </c>
      <c r="K138" s="514"/>
      <c r="L138" s="525"/>
      <c r="M138" s="514">
        <f t="shared" si="26"/>
        <v>0</v>
      </c>
      <c r="N138" s="525"/>
      <c r="O138" s="514">
        <f t="shared" si="27"/>
        <v>0</v>
      </c>
      <c r="P138" s="514">
        <f t="shared" si="28"/>
        <v>0</v>
      </c>
    </row>
    <row r="139" spans="2:16" ht="12.5">
      <c r="B139" s="195" t="str">
        <f t="shared" si="14"/>
        <v/>
      </c>
      <c r="C139" s="507">
        <f>IF(D93="","-",+C138+1)</f>
        <v>2056</v>
      </c>
      <c r="D139" s="374">
        <f>IF(F138+SUM(E$99:E138)=D$92,F138,D$92-SUM(E$99:E138))</f>
        <v>69553.104097453179</v>
      </c>
      <c r="E139" s="522">
        <f>IF(+J96&lt;F138,J96,D139)</f>
        <v>29318.119047619046</v>
      </c>
      <c r="F139" s="523">
        <f t="shared" si="23"/>
        <v>40234.985049834133</v>
      </c>
      <c r="G139" s="523">
        <f t="shared" si="24"/>
        <v>54894.044573643652</v>
      </c>
      <c r="H139" s="526">
        <f t="shared" si="21"/>
        <v>35223.281803872211</v>
      </c>
      <c r="I139" s="577">
        <f t="shared" si="22"/>
        <v>35223.281803872211</v>
      </c>
      <c r="J139" s="514">
        <f t="shared" si="25"/>
        <v>0</v>
      </c>
      <c r="K139" s="514"/>
      <c r="L139" s="525"/>
      <c r="M139" s="514">
        <f t="shared" si="26"/>
        <v>0</v>
      </c>
      <c r="N139" s="525"/>
      <c r="O139" s="514">
        <f t="shared" si="27"/>
        <v>0</v>
      </c>
      <c r="P139" s="514">
        <f t="shared" si="28"/>
        <v>0</v>
      </c>
    </row>
    <row r="140" spans="2:16" ht="12.5">
      <c r="B140" s="195" t="str">
        <f t="shared" si="14"/>
        <v/>
      </c>
      <c r="C140" s="507">
        <f>IF(D93="","-",+C139+1)</f>
        <v>2057</v>
      </c>
      <c r="D140" s="374">
        <f>IF(F139+SUM(E$99:E139)=D$92,F139,D$92-SUM(E$99:E139))</f>
        <v>40234.985049834133</v>
      </c>
      <c r="E140" s="522">
        <f>IF(+J96&lt;F139,J96,D140)</f>
        <v>29318.119047619046</v>
      </c>
      <c r="F140" s="523">
        <f t="shared" si="23"/>
        <v>10916.866002215087</v>
      </c>
      <c r="G140" s="523">
        <f t="shared" si="24"/>
        <v>25575.92552602461</v>
      </c>
      <c r="H140" s="526">
        <f t="shared" si="21"/>
        <v>32069.419376206955</v>
      </c>
      <c r="I140" s="577">
        <f t="shared" si="22"/>
        <v>32069.419376206955</v>
      </c>
      <c r="J140" s="514">
        <f t="shared" si="25"/>
        <v>0</v>
      </c>
      <c r="K140" s="514"/>
      <c r="L140" s="525"/>
      <c r="M140" s="514">
        <f t="shared" si="26"/>
        <v>0</v>
      </c>
      <c r="N140" s="525"/>
      <c r="O140" s="514">
        <f t="shared" si="27"/>
        <v>0</v>
      </c>
      <c r="P140" s="514">
        <f t="shared" si="28"/>
        <v>0</v>
      </c>
    </row>
    <row r="141" spans="2:16" ht="12.5">
      <c r="B141" s="195" t="str">
        <f t="shared" si="14"/>
        <v/>
      </c>
      <c r="C141" s="507">
        <f>IF(D93="","-",+C140+1)</f>
        <v>2058</v>
      </c>
      <c r="D141" s="374">
        <f>IF(F140+SUM(E$99:E140)=D$92,F140,D$92-SUM(E$99:E140))</f>
        <v>10916.866002215087</v>
      </c>
      <c r="E141" s="522">
        <f>IF(+J96&lt;F140,J96,D141)</f>
        <v>10916.866002215087</v>
      </c>
      <c r="F141" s="523">
        <f t="shared" si="23"/>
        <v>0</v>
      </c>
      <c r="G141" s="523">
        <f t="shared" si="24"/>
        <v>5458.4330011075435</v>
      </c>
      <c r="H141" s="526">
        <f t="shared" si="21"/>
        <v>11504.050559592728</v>
      </c>
      <c r="I141" s="577">
        <f t="shared" si="22"/>
        <v>11504.050559592728</v>
      </c>
      <c r="J141" s="514">
        <f t="shared" si="25"/>
        <v>0</v>
      </c>
      <c r="K141" s="514"/>
      <c r="L141" s="525"/>
      <c r="M141" s="514">
        <f t="shared" si="26"/>
        <v>0</v>
      </c>
      <c r="N141" s="525"/>
      <c r="O141" s="514">
        <f t="shared" si="27"/>
        <v>0</v>
      </c>
      <c r="P141" s="514">
        <f t="shared" si="28"/>
        <v>0</v>
      </c>
    </row>
    <row r="142" spans="2:16" ht="12.5">
      <c r="B142" s="195" t="str">
        <f t="shared" si="14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3"/>
        <v>0</v>
      </c>
      <c r="G142" s="523">
        <f t="shared" si="24"/>
        <v>0</v>
      </c>
      <c r="H142" s="526">
        <f t="shared" si="21"/>
        <v>0</v>
      </c>
      <c r="I142" s="577">
        <f t="shared" si="22"/>
        <v>0</v>
      </c>
      <c r="J142" s="514">
        <f t="shared" si="25"/>
        <v>0</v>
      </c>
      <c r="K142" s="514"/>
      <c r="L142" s="525"/>
      <c r="M142" s="514">
        <f t="shared" si="26"/>
        <v>0</v>
      </c>
      <c r="N142" s="525"/>
      <c r="O142" s="514">
        <f t="shared" si="27"/>
        <v>0</v>
      </c>
      <c r="P142" s="514">
        <f t="shared" si="28"/>
        <v>0</v>
      </c>
    </row>
    <row r="143" spans="2:16" ht="12.5">
      <c r="B143" s="195" t="str">
        <f t="shared" si="14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3"/>
        <v>0</v>
      </c>
      <c r="G143" s="523">
        <f t="shared" si="24"/>
        <v>0</v>
      </c>
      <c r="H143" s="526">
        <f t="shared" si="21"/>
        <v>0</v>
      </c>
      <c r="I143" s="577">
        <f t="shared" si="22"/>
        <v>0</v>
      </c>
      <c r="J143" s="514">
        <f t="shared" si="25"/>
        <v>0</v>
      </c>
      <c r="K143" s="514"/>
      <c r="L143" s="525"/>
      <c r="M143" s="514">
        <f t="shared" si="26"/>
        <v>0</v>
      </c>
      <c r="N143" s="525"/>
      <c r="O143" s="514">
        <f t="shared" si="27"/>
        <v>0</v>
      </c>
      <c r="P143" s="514">
        <f t="shared" si="28"/>
        <v>0</v>
      </c>
    </row>
    <row r="144" spans="2:16" ht="12.5">
      <c r="B144" s="195" t="str">
        <f t="shared" si="14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3"/>
        <v>0</v>
      </c>
      <c r="G144" s="523">
        <f t="shared" si="24"/>
        <v>0</v>
      </c>
      <c r="H144" s="526">
        <f t="shared" si="21"/>
        <v>0</v>
      </c>
      <c r="I144" s="577">
        <f t="shared" si="22"/>
        <v>0</v>
      </c>
      <c r="J144" s="514">
        <f t="shared" si="25"/>
        <v>0</v>
      </c>
      <c r="K144" s="514"/>
      <c r="L144" s="525"/>
      <c r="M144" s="514">
        <f t="shared" si="26"/>
        <v>0</v>
      </c>
      <c r="N144" s="525"/>
      <c r="O144" s="514">
        <f t="shared" si="27"/>
        <v>0</v>
      </c>
      <c r="P144" s="514">
        <f t="shared" si="28"/>
        <v>0</v>
      </c>
    </row>
    <row r="145" spans="2:16" ht="12.5">
      <c r="B145" s="195" t="str">
        <f t="shared" si="14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3"/>
        <v>0</v>
      </c>
      <c r="G145" s="523">
        <f t="shared" si="24"/>
        <v>0</v>
      </c>
      <c r="H145" s="526">
        <f t="shared" si="21"/>
        <v>0</v>
      </c>
      <c r="I145" s="577">
        <f t="shared" si="22"/>
        <v>0</v>
      </c>
      <c r="J145" s="514">
        <f t="shared" si="25"/>
        <v>0</v>
      </c>
      <c r="K145" s="514"/>
      <c r="L145" s="525"/>
      <c r="M145" s="514">
        <f t="shared" si="26"/>
        <v>0</v>
      </c>
      <c r="N145" s="525"/>
      <c r="O145" s="514">
        <f t="shared" si="27"/>
        <v>0</v>
      </c>
      <c r="P145" s="514">
        <f t="shared" si="28"/>
        <v>0</v>
      </c>
    </row>
    <row r="146" spans="2:16" ht="12.5">
      <c r="B146" s="195" t="str">
        <f t="shared" si="14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3"/>
        <v>0</v>
      </c>
      <c r="G146" s="523">
        <f t="shared" si="24"/>
        <v>0</v>
      </c>
      <c r="H146" s="526">
        <f t="shared" si="21"/>
        <v>0</v>
      </c>
      <c r="I146" s="577">
        <f t="shared" si="22"/>
        <v>0</v>
      </c>
      <c r="J146" s="514">
        <f t="shared" si="25"/>
        <v>0</v>
      </c>
      <c r="K146" s="514"/>
      <c r="L146" s="525"/>
      <c r="M146" s="514">
        <f t="shared" si="26"/>
        <v>0</v>
      </c>
      <c r="N146" s="525"/>
      <c r="O146" s="514">
        <f t="shared" si="27"/>
        <v>0</v>
      </c>
      <c r="P146" s="514">
        <f t="shared" si="28"/>
        <v>0</v>
      </c>
    </row>
    <row r="147" spans="2:16" ht="12.5">
      <c r="B147" s="195" t="str">
        <f t="shared" si="14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3"/>
        <v>0</v>
      </c>
      <c r="G147" s="523">
        <f t="shared" si="24"/>
        <v>0</v>
      </c>
      <c r="H147" s="526">
        <f t="shared" si="21"/>
        <v>0</v>
      </c>
      <c r="I147" s="577">
        <f t="shared" si="22"/>
        <v>0</v>
      </c>
      <c r="J147" s="514">
        <f t="shared" si="25"/>
        <v>0</v>
      </c>
      <c r="K147" s="514"/>
      <c r="L147" s="525"/>
      <c r="M147" s="514">
        <f t="shared" si="26"/>
        <v>0</v>
      </c>
      <c r="N147" s="525"/>
      <c r="O147" s="514">
        <f t="shared" si="27"/>
        <v>0</v>
      </c>
      <c r="P147" s="514">
        <f t="shared" si="28"/>
        <v>0</v>
      </c>
    </row>
    <row r="148" spans="2:16" ht="12.5">
      <c r="B148" s="195" t="str">
        <f t="shared" si="14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3"/>
        <v>0</v>
      </c>
      <c r="G148" s="523">
        <f t="shared" si="24"/>
        <v>0</v>
      </c>
      <c r="H148" s="526">
        <f t="shared" si="21"/>
        <v>0</v>
      </c>
      <c r="I148" s="577">
        <f t="shared" si="22"/>
        <v>0</v>
      </c>
      <c r="J148" s="514">
        <f t="shared" si="25"/>
        <v>0</v>
      </c>
      <c r="K148" s="514"/>
      <c r="L148" s="525"/>
      <c r="M148" s="514">
        <f t="shared" si="26"/>
        <v>0</v>
      </c>
      <c r="N148" s="525"/>
      <c r="O148" s="514">
        <f t="shared" si="27"/>
        <v>0</v>
      </c>
      <c r="P148" s="514">
        <f t="shared" si="28"/>
        <v>0</v>
      </c>
    </row>
    <row r="149" spans="2:16" ht="12.5">
      <c r="B149" s="195" t="str">
        <f t="shared" si="14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3"/>
        <v>0</v>
      </c>
      <c r="G149" s="523">
        <f t="shared" si="24"/>
        <v>0</v>
      </c>
      <c r="H149" s="526">
        <f t="shared" si="21"/>
        <v>0</v>
      </c>
      <c r="I149" s="577">
        <f t="shared" si="22"/>
        <v>0</v>
      </c>
      <c r="J149" s="514">
        <f t="shared" si="25"/>
        <v>0</v>
      </c>
      <c r="K149" s="514"/>
      <c r="L149" s="525"/>
      <c r="M149" s="514">
        <f t="shared" si="26"/>
        <v>0</v>
      </c>
      <c r="N149" s="525"/>
      <c r="O149" s="514">
        <f t="shared" si="27"/>
        <v>0</v>
      </c>
      <c r="P149" s="514">
        <f t="shared" si="28"/>
        <v>0</v>
      </c>
    </row>
    <row r="150" spans="2:16" ht="12.5">
      <c r="B150" s="195" t="str">
        <f t="shared" si="14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3"/>
        <v>0</v>
      </c>
      <c r="G150" s="523">
        <f t="shared" si="24"/>
        <v>0</v>
      </c>
      <c r="H150" s="526">
        <f t="shared" si="21"/>
        <v>0</v>
      </c>
      <c r="I150" s="577">
        <f t="shared" si="22"/>
        <v>0</v>
      </c>
      <c r="J150" s="514">
        <f t="shared" si="25"/>
        <v>0</v>
      </c>
      <c r="K150" s="514"/>
      <c r="L150" s="525"/>
      <c r="M150" s="514">
        <f t="shared" si="26"/>
        <v>0</v>
      </c>
      <c r="N150" s="525"/>
      <c r="O150" s="514">
        <f t="shared" si="27"/>
        <v>0</v>
      </c>
      <c r="P150" s="514">
        <f t="shared" si="28"/>
        <v>0</v>
      </c>
    </row>
    <row r="151" spans="2:16" ht="12.5">
      <c r="B151" s="195" t="str">
        <f t="shared" si="14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3"/>
        <v>0</v>
      </c>
      <c r="G151" s="523">
        <f t="shared" si="24"/>
        <v>0</v>
      </c>
      <c r="H151" s="526">
        <f t="shared" si="21"/>
        <v>0</v>
      </c>
      <c r="I151" s="577">
        <f t="shared" si="22"/>
        <v>0</v>
      </c>
      <c r="J151" s="514">
        <f t="shared" si="25"/>
        <v>0</v>
      </c>
      <c r="K151" s="514"/>
      <c r="L151" s="525"/>
      <c r="M151" s="514">
        <f t="shared" si="26"/>
        <v>0</v>
      </c>
      <c r="N151" s="525"/>
      <c r="O151" s="514">
        <f t="shared" si="27"/>
        <v>0</v>
      </c>
      <c r="P151" s="514">
        <f t="shared" si="28"/>
        <v>0</v>
      </c>
    </row>
    <row r="152" spans="2:16" ht="12.5">
      <c r="B152" s="195" t="str">
        <f t="shared" si="14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3"/>
        <v>0</v>
      </c>
      <c r="G152" s="523">
        <f t="shared" si="24"/>
        <v>0</v>
      </c>
      <c r="H152" s="526">
        <f t="shared" si="21"/>
        <v>0</v>
      </c>
      <c r="I152" s="577">
        <f t="shared" si="22"/>
        <v>0</v>
      </c>
      <c r="J152" s="514">
        <f t="shared" si="25"/>
        <v>0</v>
      </c>
      <c r="K152" s="514"/>
      <c r="L152" s="525"/>
      <c r="M152" s="514">
        <f t="shared" si="26"/>
        <v>0</v>
      </c>
      <c r="N152" s="525"/>
      <c r="O152" s="514">
        <f t="shared" si="27"/>
        <v>0</v>
      </c>
      <c r="P152" s="514">
        <f t="shared" si="28"/>
        <v>0</v>
      </c>
    </row>
    <row r="153" spans="2:16" ht="12.5">
      <c r="B153" s="195" t="str">
        <f t="shared" si="14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3"/>
        <v>0</v>
      </c>
      <c r="G153" s="523">
        <f t="shared" si="24"/>
        <v>0</v>
      </c>
      <c r="H153" s="526">
        <f t="shared" si="21"/>
        <v>0</v>
      </c>
      <c r="I153" s="577">
        <f t="shared" si="22"/>
        <v>0</v>
      </c>
      <c r="J153" s="514">
        <f t="shared" si="25"/>
        <v>0</v>
      </c>
      <c r="K153" s="514"/>
      <c r="L153" s="525"/>
      <c r="M153" s="514">
        <f t="shared" si="26"/>
        <v>0</v>
      </c>
      <c r="N153" s="525"/>
      <c r="O153" s="514">
        <f t="shared" si="27"/>
        <v>0</v>
      </c>
      <c r="P153" s="514">
        <f t="shared" si="28"/>
        <v>0</v>
      </c>
    </row>
    <row r="154" spans="2:16" ht="13" thickBot="1">
      <c r="B154" s="195" t="str">
        <f t="shared" si="14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3"/>
        <v>0</v>
      </c>
      <c r="G154" s="528">
        <f t="shared" si="24"/>
        <v>0</v>
      </c>
      <c r="H154" s="530">
        <f t="shared" si="21"/>
        <v>0</v>
      </c>
      <c r="I154" s="579">
        <f t="shared" si="22"/>
        <v>0</v>
      </c>
      <c r="J154" s="533">
        <f t="shared" si="25"/>
        <v>0</v>
      </c>
      <c r="K154" s="514"/>
      <c r="L154" s="532"/>
      <c r="M154" s="533">
        <f t="shared" si="26"/>
        <v>0</v>
      </c>
      <c r="N154" s="532"/>
      <c r="O154" s="533">
        <f t="shared" si="27"/>
        <v>0</v>
      </c>
      <c r="P154" s="533">
        <f t="shared" si="28"/>
        <v>0</v>
      </c>
    </row>
    <row r="155" spans="2:16" ht="12.5">
      <c r="C155" s="374" t="s">
        <v>78</v>
      </c>
      <c r="D155" s="375"/>
      <c r="E155" s="375">
        <f>SUM(E99:E154)</f>
        <v>1231360.9999999998</v>
      </c>
      <c r="F155" s="375"/>
      <c r="G155" s="375"/>
      <c r="H155" s="375">
        <f>SUM(H99:H154)</f>
        <v>4021388.5317740785</v>
      </c>
      <c r="I155" s="375">
        <f>SUM(I99:I154)</f>
        <v>4021388.5317740785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5" priority="1" stopIfTrue="1" operator="equal">
      <formula>$I$10</formula>
    </cfRule>
  </conditionalFormatting>
  <conditionalFormatting sqref="C99:C154">
    <cfRule type="cellIs" dxfId="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P162"/>
  <sheetViews>
    <sheetView view="pageBreakPreview" zoomScale="80" zoomScaleNormal="100" zoomScaleSheetLayoutView="80" workbookViewId="0">
      <selection activeCell="D8" sqref="D8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58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2949982.4012109563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2949982.4012109563</v>
      </c>
      <c r="O6" s="269"/>
      <c r="P6" s="269"/>
    </row>
    <row r="7" spans="1:16" ht="13.5" thickBot="1">
      <c r="C7" s="467" t="s">
        <v>48</v>
      </c>
      <c r="D7" s="624" t="s">
        <v>365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407</v>
      </c>
      <c r="E9" s="637" t="s">
        <v>408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25330929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603117.35714285716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23229161</v>
      </c>
      <c r="E17" s="630">
        <v>276537.63095238095</v>
      </c>
      <c r="F17" s="631">
        <v>22952623.369047619</v>
      </c>
      <c r="G17" s="630">
        <v>3262214.3054167381</v>
      </c>
      <c r="H17" s="639">
        <v>3262214.3054167381</v>
      </c>
      <c r="I17" s="511">
        <f t="shared" ref="I17:I72" si="0">H17-G17</f>
        <v>0</v>
      </c>
      <c r="J17" s="511"/>
      <c r="K17" s="512">
        <f>+G17</f>
        <v>3262214.3054167381</v>
      </c>
      <c r="L17" s="513">
        <f t="shared" ref="L17:L72" si="1">IF(K17&lt;&gt;0,+G17-K17,0)</f>
        <v>0</v>
      </c>
      <c r="M17" s="512">
        <f>+H17</f>
        <v>3262214.3054167381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51">
        <v>24940522.369047619</v>
      </c>
      <c r="E18" s="656">
        <v>586443.25581395347</v>
      </c>
      <c r="F18" s="651">
        <v>24354079.113233667</v>
      </c>
      <c r="G18" s="650">
        <v>3640059.7914396082</v>
      </c>
      <c r="H18" s="657">
        <v>3640059.7914396082</v>
      </c>
      <c r="I18" s="511">
        <f t="shared" si="0"/>
        <v>0</v>
      </c>
      <c r="J18" s="511"/>
      <c r="K18" s="518">
        <f>+G18</f>
        <v>3640059.7914396082</v>
      </c>
      <c r="L18" s="519">
        <f>IF(K18&lt;&gt;0,+G18-K18,0)</f>
        <v>0</v>
      </c>
      <c r="M18" s="518">
        <f>+H18</f>
        <v>3640059.7914396082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51">
        <v>24354079.113233667</v>
      </c>
      <c r="E19" s="656">
        <v>615050.24390243902</v>
      </c>
      <c r="F19" s="651">
        <v>23739028.869331229</v>
      </c>
      <c r="G19" s="650">
        <v>3671225.3557542209</v>
      </c>
      <c r="H19" s="657">
        <v>3671225.3557542209</v>
      </c>
      <c r="I19" s="511">
        <f t="shared" si="0"/>
        <v>0</v>
      </c>
      <c r="J19" s="511"/>
      <c r="K19" s="518">
        <f>+G19</f>
        <v>3671225.3557542209</v>
      </c>
      <c r="L19" s="519">
        <f>IF(K19&lt;&gt;0,+G19-K19,0)</f>
        <v>0</v>
      </c>
      <c r="M19" s="518">
        <f>+H19</f>
        <v>3671225.3557542209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2019</v>
      </c>
      <c r="D20" s="651">
        <v>23739028.869331229</v>
      </c>
      <c r="E20" s="656">
        <v>615050.24390243902</v>
      </c>
      <c r="F20" s="651">
        <v>23123978.625428792</v>
      </c>
      <c r="G20" s="650">
        <v>3593056.0992098348</v>
      </c>
      <c r="H20" s="657">
        <v>3593056.0992098348</v>
      </c>
      <c r="I20" s="511">
        <f t="shared" si="0"/>
        <v>0</v>
      </c>
      <c r="J20" s="511"/>
      <c r="K20" s="518">
        <f>+G20</f>
        <v>3593056.0992098348</v>
      </c>
      <c r="L20" s="519">
        <f>IF(K20&lt;&gt;0,+G20-K20,0)</f>
        <v>0</v>
      </c>
      <c r="M20" s="518">
        <f>+H20</f>
        <v>3593056.0992098348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4"/>
        <v/>
      </c>
      <c r="C21" s="507">
        <f>IF(D11="","-",+C20+1)</f>
        <v>2020</v>
      </c>
      <c r="D21" s="651">
        <v>23123978.625428792</v>
      </c>
      <c r="E21" s="656">
        <v>615050.24390243902</v>
      </c>
      <c r="F21" s="651">
        <v>22508928.381526355</v>
      </c>
      <c r="G21" s="650">
        <v>2949982.4012109563</v>
      </c>
      <c r="H21" s="657">
        <v>2949982.4012109563</v>
      </c>
      <c r="I21" s="511">
        <f t="shared" si="0"/>
        <v>0</v>
      </c>
      <c r="J21" s="511"/>
      <c r="K21" s="518">
        <f>+G21</f>
        <v>2949982.4012109563</v>
      </c>
      <c r="L21" s="519">
        <f>IF(K21&lt;&gt;0,+G21-K21,0)</f>
        <v>0</v>
      </c>
      <c r="M21" s="518">
        <f>+H21</f>
        <v>2949982.4012109563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4"/>
        <v>IU</v>
      </c>
      <c r="C22" s="507">
        <f>IF(D11="","-",+C21+1)</f>
        <v>2021</v>
      </c>
      <c r="D22" s="523">
        <f>IF(F21+SUM(E$17:E21)=D$10,F21,D$10-SUM(E$17:E21))</f>
        <v>22622797.381526347</v>
      </c>
      <c r="E22" s="522">
        <f>IF(+I14&lt;F21,I14,D22)</f>
        <v>603117.35714285716</v>
      </c>
      <c r="F22" s="523">
        <f t="shared" ref="F22:F72" si="5">+D22-E22</f>
        <v>22019680.024383489</v>
      </c>
      <c r="G22" s="524">
        <f t="shared" ref="G22:G49" si="6">+I$12*((D22+F22)/2)+E22</f>
        <v>2987426.8472169857</v>
      </c>
      <c r="H22" s="491">
        <f t="shared" ref="H22:H49" si="7">+I$13*((D22+F22)/2)+E22</f>
        <v>2987426.8472169857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4"/>
        <v/>
      </c>
      <c r="C23" s="507">
        <f>IF(D11="","-",+C22+1)</f>
        <v>2022</v>
      </c>
      <c r="D23" s="523">
        <f>IF(F22+SUM(E$17:E22)=D$10,F22,D$10-SUM(E$17:E22))</f>
        <v>22019680.024383489</v>
      </c>
      <c r="E23" s="522">
        <f>IF(+I14&lt;F22,I14,D23)</f>
        <v>603117.35714285716</v>
      </c>
      <c r="F23" s="523">
        <f t="shared" si="5"/>
        <v>21416562.667240631</v>
      </c>
      <c r="G23" s="524">
        <f t="shared" si="6"/>
        <v>2923003.0731871966</v>
      </c>
      <c r="H23" s="491">
        <f t="shared" si="7"/>
        <v>2923003.0731871966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4"/>
        <v/>
      </c>
      <c r="C24" s="507">
        <f>IF(D11="","-",+C23+1)</f>
        <v>2023</v>
      </c>
      <c r="D24" s="523">
        <f>IF(F23+SUM(E$17:E23)=D$10,F23,D$10-SUM(E$17:E23))</f>
        <v>21416562.667240631</v>
      </c>
      <c r="E24" s="522">
        <f>IF(+I14&lt;F23,I14,D24)</f>
        <v>603117.35714285716</v>
      </c>
      <c r="F24" s="523">
        <f t="shared" si="5"/>
        <v>20813445.310097773</v>
      </c>
      <c r="G24" s="524">
        <f t="shared" si="6"/>
        <v>2858579.2991574076</v>
      </c>
      <c r="H24" s="491">
        <f t="shared" si="7"/>
        <v>2858579.2991574076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4"/>
        <v/>
      </c>
      <c r="C25" s="507">
        <f>IF(D11="","-",+C24+1)</f>
        <v>2024</v>
      </c>
      <c r="D25" s="523">
        <f>IF(F24+SUM(E$17:E24)=D$10,F24,D$10-SUM(E$17:E24))</f>
        <v>20813445.310097773</v>
      </c>
      <c r="E25" s="522">
        <f>IF(+I14&lt;F24,I14,D25)</f>
        <v>603117.35714285716</v>
      </c>
      <c r="F25" s="523">
        <f t="shared" si="5"/>
        <v>20210327.952954914</v>
      </c>
      <c r="G25" s="524">
        <f t="shared" si="6"/>
        <v>2794155.525127619</v>
      </c>
      <c r="H25" s="491">
        <f t="shared" si="7"/>
        <v>2794155.525127619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4"/>
        <v/>
      </c>
      <c r="C26" s="507">
        <f>IF(D11="","-",+C25+1)</f>
        <v>2025</v>
      </c>
      <c r="D26" s="523">
        <f>IF(F25+SUM(E$17:E25)=D$10,F25,D$10-SUM(E$17:E25))</f>
        <v>20210327.952954914</v>
      </c>
      <c r="E26" s="522">
        <f>IF(+I14&lt;F25,I14,D26)</f>
        <v>603117.35714285716</v>
      </c>
      <c r="F26" s="523">
        <f t="shared" si="5"/>
        <v>19607210.595812056</v>
      </c>
      <c r="G26" s="524">
        <f t="shared" si="6"/>
        <v>2729731.75109783</v>
      </c>
      <c r="H26" s="491">
        <f t="shared" si="7"/>
        <v>2729731.75109783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4"/>
        <v/>
      </c>
      <c r="C27" s="507">
        <f>IF(D11="","-",+C26+1)</f>
        <v>2026</v>
      </c>
      <c r="D27" s="523">
        <f>IF(F26+SUM(E$17:E26)=D$10,F26,D$10-SUM(E$17:E26))</f>
        <v>19607210.595812056</v>
      </c>
      <c r="E27" s="522">
        <f>IF(+I14&lt;F26,I14,D27)</f>
        <v>603117.35714285716</v>
      </c>
      <c r="F27" s="523">
        <f t="shared" si="5"/>
        <v>19004093.238669198</v>
      </c>
      <c r="G27" s="524">
        <f t="shared" si="6"/>
        <v>2665307.9770680415</v>
      </c>
      <c r="H27" s="491">
        <f t="shared" si="7"/>
        <v>2665307.9770680415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4"/>
        <v/>
      </c>
      <c r="C28" s="507">
        <f>IF(D11="","-",+C27+1)</f>
        <v>2027</v>
      </c>
      <c r="D28" s="523">
        <f>IF(F27+SUM(E$17:E27)=D$10,F27,D$10-SUM(E$17:E27))</f>
        <v>19004093.238669198</v>
      </c>
      <c r="E28" s="522">
        <f>IF(+I14&lt;F27,I14,D28)</f>
        <v>603117.35714285716</v>
      </c>
      <c r="F28" s="523">
        <f t="shared" si="5"/>
        <v>18400975.88152634</v>
      </c>
      <c r="G28" s="524">
        <f t="shared" si="6"/>
        <v>2600884.2030382524</v>
      </c>
      <c r="H28" s="491">
        <f t="shared" si="7"/>
        <v>2600884.2030382524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4"/>
        <v/>
      </c>
      <c r="C29" s="507">
        <f>IF(D11="","-",+C28+1)</f>
        <v>2028</v>
      </c>
      <c r="D29" s="523">
        <f>IF(F28+SUM(E$17:E28)=D$10,F28,D$10-SUM(E$17:E28))</f>
        <v>18400975.88152634</v>
      </c>
      <c r="E29" s="522">
        <f>IF(+I14&lt;F28,I14,D29)</f>
        <v>603117.35714285716</v>
      </c>
      <c r="F29" s="523">
        <f t="shared" si="5"/>
        <v>17797858.524383482</v>
      </c>
      <c r="G29" s="524">
        <f t="shared" si="6"/>
        <v>2536460.4290084634</v>
      </c>
      <c r="H29" s="491">
        <f t="shared" si="7"/>
        <v>2536460.4290084634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4"/>
        <v/>
      </c>
      <c r="C30" s="507">
        <f>IF(D11="","-",+C29+1)</f>
        <v>2029</v>
      </c>
      <c r="D30" s="523">
        <f>IF(F29+SUM(E$17:E29)=D$10,F29,D$10-SUM(E$17:E29))</f>
        <v>17797858.524383482</v>
      </c>
      <c r="E30" s="522">
        <f>IF(+I14&lt;F29,I14,D30)</f>
        <v>603117.35714285716</v>
      </c>
      <c r="F30" s="523">
        <f t="shared" si="5"/>
        <v>17194741.167240623</v>
      </c>
      <c r="G30" s="524">
        <f t="shared" si="6"/>
        <v>2472036.6549786748</v>
      </c>
      <c r="H30" s="491">
        <f t="shared" si="7"/>
        <v>2472036.6549786748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4"/>
        <v/>
      </c>
      <c r="C31" s="507">
        <f>IF(D11="","-",+C30+1)</f>
        <v>2030</v>
      </c>
      <c r="D31" s="523">
        <f>IF(F30+SUM(E$17:E30)=D$10,F30,D$10-SUM(E$17:E30))</f>
        <v>17194741.167240623</v>
      </c>
      <c r="E31" s="522">
        <f>IF(+I14&lt;F30,I14,D31)</f>
        <v>603117.35714285716</v>
      </c>
      <c r="F31" s="523">
        <f t="shared" si="5"/>
        <v>16591623.810097767</v>
      </c>
      <c r="G31" s="524">
        <f t="shared" si="6"/>
        <v>2407612.8809488858</v>
      </c>
      <c r="H31" s="491">
        <f t="shared" si="7"/>
        <v>2407612.8809488858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4"/>
        <v/>
      </c>
      <c r="C32" s="507">
        <f>IF(D11="","-",+C31+1)</f>
        <v>2031</v>
      </c>
      <c r="D32" s="523">
        <f>IF(F31+SUM(E$17:E31)=D$10,F31,D$10-SUM(E$17:E31))</f>
        <v>16591623.810097767</v>
      </c>
      <c r="E32" s="522">
        <f>IF(+I14&lt;F31,I14,D32)</f>
        <v>603117.35714285716</v>
      </c>
      <c r="F32" s="523">
        <f t="shared" si="5"/>
        <v>15988506.452954911</v>
      </c>
      <c r="G32" s="524">
        <f t="shared" si="6"/>
        <v>2343189.1069190977</v>
      </c>
      <c r="H32" s="491">
        <f t="shared" si="7"/>
        <v>2343189.1069190977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4"/>
        <v/>
      </c>
      <c r="C33" s="507">
        <f>IF(D11="","-",+C32+1)</f>
        <v>2032</v>
      </c>
      <c r="D33" s="523">
        <f>IF(F32+SUM(E$17:E32)=D$10,F32,D$10-SUM(E$17:E32))</f>
        <v>15988506.452954911</v>
      </c>
      <c r="E33" s="522">
        <f>IF(+I14&lt;F32,I14,D33)</f>
        <v>603117.35714285716</v>
      </c>
      <c r="F33" s="523">
        <f t="shared" si="5"/>
        <v>15385389.095812054</v>
      </c>
      <c r="G33" s="524">
        <f t="shared" si="6"/>
        <v>2278765.3328893087</v>
      </c>
      <c r="H33" s="491">
        <f t="shared" si="7"/>
        <v>2278765.3328893087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4"/>
        <v/>
      </c>
      <c r="C34" s="507">
        <f>IF(D11="","-",+C33+1)</f>
        <v>2033</v>
      </c>
      <c r="D34" s="523">
        <f>IF(F33+SUM(E$17:E33)=D$10,F33,D$10-SUM(E$17:E33))</f>
        <v>15385389.095812054</v>
      </c>
      <c r="E34" s="522">
        <f>IF(+I14&lt;F33,I14,D34)</f>
        <v>603117.35714285716</v>
      </c>
      <c r="F34" s="523">
        <f t="shared" si="5"/>
        <v>14782271.738669198</v>
      </c>
      <c r="G34" s="524">
        <f t="shared" si="6"/>
        <v>2214341.5588595201</v>
      </c>
      <c r="H34" s="491">
        <f t="shared" si="7"/>
        <v>2214341.5588595201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4"/>
        <v/>
      </c>
      <c r="C35" s="507">
        <f>IF(D11="","-",+C34+1)</f>
        <v>2034</v>
      </c>
      <c r="D35" s="523">
        <f>IF(F34+SUM(E$17:E34)=D$10,F34,D$10-SUM(E$17:E34))</f>
        <v>14782271.738669198</v>
      </c>
      <c r="E35" s="522">
        <f>IF(+I14&lt;F34,I14,D35)</f>
        <v>603117.35714285716</v>
      </c>
      <c r="F35" s="523">
        <f t="shared" si="5"/>
        <v>14179154.381526342</v>
      </c>
      <c r="G35" s="524">
        <f t="shared" si="6"/>
        <v>2149917.7848297316</v>
      </c>
      <c r="H35" s="491">
        <f t="shared" si="7"/>
        <v>2149917.7848297316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4"/>
        <v/>
      </c>
      <c r="C36" s="507">
        <f>IF(D11="","-",+C35+1)</f>
        <v>2035</v>
      </c>
      <c r="D36" s="523">
        <f>IF(F35+SUM(E$17:E35)=D$10,F35,D$10-SUM(E$17:E35))</f>
        <v>14179154.381526342</v>
      </c>
      <c r="E36" s="522">
        <f>IF(+I14&lt;F35,I14,D36)</f>
        <v>603117.35714285716</v>
      </c>
      <c r="F36" s="523">
        <f t="shared" si="5"/>
        <v>13576037.024383485</v>
      </c>
      <c r="G36" s="524">
        <f t="shared" si="6"/>
        <v>2085494.010799943</v>
      </c>
      <c r="H36" s="491">
        <f t="shared" si="7"/>
        <v>2085494.010799943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4"/>
        <v/>
      </c>
      <c r="C37" s="507">
        <f>IF(D11="","-",+C36+1)</f>
        <v>2036</v>
      </c>
      <c r="D37" s="523">
        <f>IF(F36+SUM(E$17:E36)=D$10,F36,D$10-SUM(E$17:E36))</f>
        <v>13576037.024383485</v>
      </c>
      <c r="E37" s="522">
        <f>IF(+I14&lt;F36,I14,D37)</f>
        <v>603117.35714285716</v>
      </c>
      <c r="F37" s="523">
        <f t="shared" si="5"/>
        <v>12972919.667240629</v>
      </c>
      <c r="G37" s="524">
        <f t="shared" si="6"/>
        <v>2021070.2367701544</v>
      </c>
      <c r="H37" s="491">
        <f t="shared" si="7"/>
        <v>2021070.2367701544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4"/>
        <v/>
      </c>
      <c r="C38" s="507">
        <f>IF(D11="","-",+C37+1)</f>
        <v>2037</v>
      </c>
      <c r="D38" s="523">
        <f>IF(F37+SUM(E$17:E37)=D$10,F37,D$10-SUM(E$17:E37))</f>
        <v>12972919.667240629</v>
      </c>
      <c r="E38" s="522">
        <f>IF(+I14&lt;F37,I14,D38)</f>
        <v>603117.35714285716</v>
      </c>
      <c r="F38" s="523">
        <f t="shared" si="5"/>
        <v>12369802.310097773</v>
      </c>
      <c r="G38" s="524">
        <f t="shared" si="6"/>
        <v>1956646.4627403659</v>
      </c>
      <c r="H38" s="491">
        <f t="shared" si="7"/>
        <v>1956646.4627403659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4"/>
        <v/>
      </c>
      <c r="C39" s="507">
        <f>IF(D11="","-",+C38+1)</f>
        <v>2038</v>
      </c>
      <c r="D39" s="523">
        <f>IF(F38+SUM(E$17:E38)=D$10,F38,D$10-SUM(E$17:E38))</f>
        <v>12369802.310097773</v>
      </c>
      <c r="E39" s="522">
        <f>IF(+I14&lt;F38,I14,D39)</f>
        <v>603117.35714285716</v>
      </c>
      <c r="F39" s="523">
        <f t="shared" si="5"/>
        <v>11766684.952954916</v>
      </c>
      <c r="G39" s="524">
        <f t="shared" si="6"/>
        <v>1892222.6887105769</v>
      </c>
      <c r="H39" s="491">
        <f t="shared" si="7"/>
        <v>1892222.6887105769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4"/>
        <v/>
      </c>
      <c r="C40" s="507">
        <f>IF(D11="","-",+C39+1)</f>
        <v>2039</v>
      </c>
      <c r="D40" s="523">
        <f>IF(F39+SUM(E$17:E39)=D$10,F39,D$10-SUM(E$17:E39))</f>
        <v>11766684.952954916</v>
      </c>
      <c r="E40" s="522">
        <f>IF(+I14&lt;F39,I14,D40)</f>
        <v>603117.35714285716</v>
      </c>
      <c r="F40" s="523">
        <f t="shared" si="5"/>
        <v>11163567.59581206</v>
      </c>
      <c r="G40" s="524">
        <f t="shared" si="6"/>
        <v>1827798.9146807888</v>
      </c>
      <c r="H40" s="491">
        <f t="shared" si="7"/>
        <v>1827798.9146807888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4"/>
        <v/>
      </c>
      <c r="C41" s="507">
        <f>IF(D11="","-",+C40+1)</f>
        <v>2040</v>
      </c>
      <c r="D41" s="523">
        <f>IF(F40+SUM(E$17:E40)=D$10,F40,D$10-SUM(E$17:E40))</f>
        <v>11163567.59581206</v>
      </c>
      <c r="E41" s="522">
        <f>IF(+I14&lt;F40,I14,D41)</f>
        <v>603117.35714285716</v>
      </c>
      <c r="F41" s="523">
        <f t="shared" si="5"/>
        <v>10560450.238669204</v>
      </c>
      <c r="G41" s="524">
        <f t="shared" si="6"/>
        <v>1763375.1406509997</v>
      </c>
      <c r="H41" s="491">
        <f t="shared" si="7"/>
        <v>1763375.1406509997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4"/>
        <v/>
      </c>
      <c r="C42" s="507">
        <f>IF(D11="","-",+C41+1)</f>
        <v>2041</v>
      </c>
      <c r="D42" s="523">
        <f>IF(F41+SUM(E$17:E41)=D$10,F41,D$10-SUM(E$17:E41))</f>
        <v>10560450.238669204</v>
      </c>
      <c r="E42" s="522">
        <f>IF(+I14&lt;F41,I14,D42)</f>
        <v>603117.35714285716</v>
      </c>
      <c r="F42" s="523">
        <f t="shared" si="5"/>
        <v>9957332.8815263472</v>
      </c>
      <c r="G42" s="524">
        <f t="shared" si="6"/>
        <v>1698951.3666212112</v>
      </c>
      <c r="H42" s="491">
        <f t="shared" si="7"/>
        <v>1698951.3666212112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4"/>
        <v/>
      </c>
      <c r="C43" s="507">
        <f>IF(D11="","-",+C42+1)</f>
        <v>2042</v>
      </c>
      <c r="D43" s="523">
        <f>IF(F42+SUM(E$17:E42)=D$10,F42,D$10-SUM(E$17:E42))</f>
        <v>9957332.8815263472</v>
      </c>
      <c r="E43" s="522">
        <f>IF(+I14&lt;F42,I14,D43)</f>
        <v>603117.35714285716</v>
      </c>
      <c r="F43" s="523">
        <f t="shared" si="5"/>
        <v>9354215.5243834909</v>
      </c>
      <c r="G43" s="524">
        <f t="shared" si="6"/>
        <v>1634527.5925914226</v>
      </c>
      <c r="H43" s="491">
        <f t="shared" si="7"/>
        <v>1634527.5925914226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4"/>
        <v/>
      </c>
      <c r="C44" s="507">
        <f>IF(D11="","-",+C43+1)</f>
        <v>2043</v>
      </c>
      <c r="D44" s="523">
        <f>IF(F43+SUM(E$17:E43)=D$10,F43,D$10-SUM(E$17:E43))</f>
        <v>9354215.5243834909</v>
      </c>
      <c r="E44" s="522">
        <f>IF(+I14&lt;F43,I14,D44)</f>
        <v>603117.35714285716</v>
      </c>
      <c r="F44" s="523">
        <f t="shared" si="5"/>
        <v>8751098.1672406346</v>
      </c>
      <c r="G44" s="524">
        <f t="shared" si="6"/>
        <v>1570103.818561634</v>
      </c>
      <c r="H44" s="491">
        <f t="shared" si="7"/>
        <v>1570103.818561634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4"/>
        <v/>
      </c>
      <c r="C45" s="507">
        <f>IF(D11="","-",+C44+1)</f>
        <v>2044</v>
      </c>
      <c r="D45" s="523">
        <f>IF(F44+SUM(E$17:E44)=D$10,F44,D$10-SUM(E$17:E44))</f>
        <v>8751098.1672406346</v>
      </c>
      <c r="E45" s="522">
        <f>IF(+I14&lt;F44,I14,D45)</f>
        <v>603117.35714285716</v>
      </c>
      <c r="F45" s="523">
        <f t="shared" si="5"/>
        <v>8147980.8100977773</v>
      </c>
      <c r="G45" s="524">
        <f t="shared" si="6"/>
        <v>1505680.0445318453</v>
      </c>
      <c r="H45" s="491">
        <f t="shared" si="7"/>
        <v>1505680.0445318453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4"/>
        <v/>
      </c>
      <c r="C46" s="507">
        <f>IF(D11="","-",+C45+1)</f>
        <v>2045</v>
      </c>
      <c r="D46" s="523">
        <f>IF(F45+SUM(E$17:E45)=D$10,F45,D$10-SUM(E$17:E45))</f>
        <v>8147980.8100977773</v>
      </c>
      <c r="E46" s="522">
        <f>IF(+I14&lt;F45,I14,D46)</f>
        <v>603117.35714285716</v>
      </c>
      <c r="F46" s="523">
        <f t="shared" si="5"/>
        <v>7544863.45295492</v>
      </c>
      <c r="G46" s="524">
        <f t="shared" si="6"/>
        <v>1441256.2705020567</v>
      </c>
      <c r="H46" s="491">
        <f t="shared" si="7"/>
        <v>1441256.2705020567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4"/>
        <v/>
      </c>
      <c r="C47" s="507">
        <f>IF(D11="","-",+C46+1)</f>
        <v>2046</v>
      </c>
      <c r="D47" s="523">
        <f>IF(F46+SUM(E$17:E46)=D$10,F46,D$10-SUM(E$17:E46))</f>
        <v>7544863.45295492</v>
      </c>
      <c r="E47" s="522">
        <f>IF(+I14&lt;F46,I14,D47)</f>
        <v>603117.35714285716</v>
      </c>
      <c r="F47" s="523">
        <f t="shared" si="5"/>
        <v>6941746.0958120627</v>
      </c>
      <c r="G47" s="524">
        <f t="shared" si="6"/>
        <v>1376832.4964722679</v>
      </c>
      <c r="H47" s="491">
        <f t="shared" si="7"/>
        <v>1376832.4964722679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4"/>
        <v/>
      </c>
      <c r="C48" s="507">
        <f>IF(D11="","-",+C47+1)</f>
        <v>2047</v>
      </c>
      <c r="D48" s="523">
        <f>IF(F47+SUM(E$17:E47)=D$10,F47,D$10-SUM(E$17:E47))</f>
        <v>6941746.0958120627</v>
      </c>
      <c r="E48" s="522">
        <f>IF(+I14&lt;F47,I14,D48)</f>
        <v>603117.35714285716</v>
      </c>
      <c r="F48" s="523">
        <f t="shared" si="5"/>
        <v>6338628.7386692055</v>
      </c>
      <c r="G48" s="524">
        <f t="shared" si="6"/>
        <v>1312408.7224424793</v>
      </c>
      <c r="H48" s="491">
        <f t="shared" si="7"/>
        <v>1312408.7224424793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4"/>
        <v/>
      </c>
      <c r="C49" s="507">
        <f>IF(D11="","-",+C48+1)</f>
        <v>2048</v>
      </c>
      <c r="D49" s="523">
        <f>IF(F48+SUM(E$17:E48)=D$10,F48,D$10-SUM(E$17:E48))</f>
        <v>6338628.7386692055</v>
      </c>
      <c r="E49" s="522">
        <f>IF(+I14&lt;F48,I14,D49)</f>
        <v>603117.35714285716</v>
      </c>
      <c r="F49" s="523">
        <f t="shared" si="5"/>
        <v>5735511.3815263482</v>
      </c>
      <c r="G49" s="524">
        <f t="shared" si="6"/>
        <v>1247984.9484126903</v>
      </c>
      <c r="H49" s="491">
        <f t="shared" si="7"/>
        <v>1247984.9484126903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4"/>
        <v/>
      </c>
      <c r="C50" s="507">
        <f>IF(D11="","-",+C49+1)</f>
        <v>2049</v>
      </c>
      <c r="D50" s="523">
        <f>IF(F49+SUM(E$17:E49)=D$10,F49,D$10-SUM(E$17:E49))</f>
        <v>5735511.3815263482</v>
      </c>
      <c r="E50" s="522">
        <f>IF(+I14&lt;F49,I14,D50)</f>
        <v>603117.35714285716</v>
      </c>
      <c r="F50" s="523">
        <f t="shared" si="5"/>
        <v>5132394.0243834909</v>
      </c>
      <c r="G50" s="524">
        <f t="shared" ref="G50:G72" si="8">+I$12*((D50+F50)/2)+E50</f>
        <v>1183561.1743829018</v>
      </c>
      <c r="H50" s="491">
        <f t="shared" ref="H50:H72" si="9">+I$13*((D50+F50)/2)+E50</f>
        <v>1183561.1743829018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4"/>
        <v/>
      </c>
      <c r="C51" s="507">
        <f>IF(D11="","-",+C50+1)</f>
        <v>2050</v>
      </c>
      <c r="D51" s="523">
        <f>IF(F50+SUM(E$17:E50)=D$10,F50,D$10-SUM(E$17:E50))</f>
        <v>5132394.0243834909</v>
      </c>
      <c r="E51" s="522">
        <f>IF(+I14&lt;F50,I14,D51)</f>
        <v>603117.35714285716</v>
      </c>
      <c r="F51" s="523">
        <f t="shared" si="5"/>
        <v>4529276.6672406336</v>
      </c>
      <c r="G51" s="524">
        <f t="shared" si="8"/>
        <v>1119137.400353113</v>
      </c>
      <c r="H51" s="491">
        <f t="shared" si="9"/>
        <v>1119137.400353113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4"/>
        <v/>
      </c>
      <c r="C52" s="507">
        <f>IF(D11="","-",+C51+1)</f>
        <v>2051</v>
      </c>
      <c r="D52" s="523">
        <f>IF(F51+SUM(E$17:E51)=D$10,F51,D$10-SUM(E$17:E51))</f>
        <v>4529276.6672406336</v>
      </c>
      <c r="E52" s="522">
        <f>IF(+I14&lt;F51,I14,D52)</f>
        <v>603117.35714285716</v>
      </c>
      <c r="F52" s="523">
        <f t="shared" si="5"/>
        <v>3926159.3100977764</v>
      </c>
      <c r="G52" s="524">
        <f t="shared" si="8"/>
        <v>1054713.6263233244</v>
      </c>
      <c r="H52" s="491">
        <f t="shared" si="9"/>
        <v>1054713.6263233244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4"/>
        <v/>
      </c>
      <c r="C53" s="507">
        <f>IF(D11="","-",+C52+1)</f>
        <v>2052</v>
      </c>
      <c r="D53" s="523">
        <f>IF(F52+SUM(E$17:E52)=D$10,F52,D$10-SUM(E$17:E52))</f>
        <v>3926159.3100977764</v>
      </c>
      <c r="E53" s="522">
        <f>IF(+I14&lt;F52,I14,D53)</f>
        <v>603117.35714285716</v>
      </c>
      <c r="F53" s="523">
        <f t="shared" si="5"/>
        <v>3323041.9529549191</v>
      </c>
      <c r="G53" s="524">
        <f t="shared" si="8"/>
        <v>990289.8522935356</v>
      </c>
      <c r="H53" s="491">
        <f t="shared" si="9"/>
        <v>990289.8522935356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4"/>
        <v/>
      </c>
      <c r="C54" s="507">
        <f>IF(D11="","-",+C53+1)</f>
        <v>2053</v>
      </c>
      <c r="D54" s="523">
        <f>IF(F53+SUM(E$17:E53)=D$10,F53,D$10-SUM(E$17:E53))</f>
        <v>3323041.9529549191</v>
      </c>
      <c r="E54" s="522">
        <f>IF(+I14&lt;F53,I14,D54)</f>
        <v>603117.35714285716</v>
      </c>
      <c r="F54" s="523">
        <f t="shared" si="5"/>
        <v>2719924.5958120618</v>
      </c>
      <c r="G54" s="524">
        <f t="shared" si="8"/>
        <v>925866.07826374681</v>
      </c>
      <c r="H54" s="491">
        <f t="shared" si="9"/>
        <v>925866.07826374681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4"/>
        <v/>
      </c>
      <c r="C55" s="507">
        <f>IF(D11="","-",+C54+1)</f>
        <v>2054</v>
      </c>
      <c r="D55" s="523">
        <f>IF(F54+SUM(E$17:E54)=D$10,F54,D$10-SUM(E$17:E54))</f>
        <v>2719924.5958120618</v>
      </c>
      <c r="E55" s="522">
        <f>IF(+I14&lt;F54,I14,D55)</f>
        <v>603117.35714285716</v>
      </c>
      <c r="F55" s="523">
        <f t="shared" si="5"/>
        <v>2116807.2386692045</v>
      </c>
      <c r="G55" s="524">
        <f t="shared" si="8"/>
        <v>861442.30423395813</v>
      </c>
      <c r="H55" s="491">
        <f t="shared" si="9"/>
        <v>861442.30423395813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4"/>
        <v/>
      </c>
      <c r="C56" s="507">
        <f>IF(D11="","-",+C55+1)</f>
        <v>2055</v>
      </c>
      <c r="D56" s="523">
        <f>IF(F55+SUM(E$17:E55)=D$10,F55,D$10-SUM(E$17:E55))</f>
        <v>2116807.2386692045</v>
      </c>
      <c r="E56" s="522">
        <f>IF(+I14&lt;F55,I14,D56)</f>
        <v>603117.35714285716</v>
      </c>
      <c r="F56" s="523">
        <f t="shared" si="5"/>
        <v>1513689.8815263472</v>
      </c>
      <c r="G56" s="524">
        <f t="shared" si="8"/>
        <v>797018.53020416945</v>
      </c>
      <c r="H56" s="491">
        <f t="shared" si="9"/>
        <v>797018.53020416945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4"/>
        <v/>
      </c>
      <c r="C57" s="507">
        <f>IF(D11="","-",+C56+1)</f>
        <v>2056</v>
      </c>
      <c r="D57" s="523">
        <f>IF(F56+SUM(E$17:E56)=D$10,F56,D$10-SUM(E$17:E56))</f>
        <v>1513689.8815263472</v>
      </c>
      <c r="E57" s="522">
        <f>IF(+I14&lt;F56,I14,D57)</f>
        <v>603117.35714285716</v>
      </c>
      <c r="F57" s="523">
        <f t="shared" si="5"/>
        <v>910572.52438349009</v>
      </c>
      <c r="G57" s="524">
        <f t="shared" si="8"/>
        <v>732594.75617438077</v>
      </c>
      <c r="H57" s="491">
        <f t="shared" si="9"/>
        <v>732594.75617438077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4"/>
        <v/>
      </c>
      <c r="C58" s="507">
        <f>IF(D11="","-",+C57+1)</f>
        <v>2057</v>
      </c>
      <c r="D58" s="523">
        <f>IF(F57+SUM(E$17:E57)=D$10,F57,D$10-SUM(E$17:E57))</f>
        <v>910572.52438349009</v>
      </c>
      <c r="E58" s="522">
        <f>IF(+I14&lt;F57,I14,D58)</f>
        <v>603117.35714285716</v>
      </c>
      <c r="F58" s="523">
        <f t="shared" si="5"/>
        <v>307455.16724063293</v>
      </c>
      <c r="G58" s="524">
        <f t="shared" si="8"/>
        <v>668170.9821445921</v>
      </c>
      <c r="H58" s="491">
        <f t="shared" si="9"/>
        <v>668170.9821445921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4"/>
        <v/>
      </c>
      <c r="C59" s="507">
        <f>IF(D11="","-",+C58+1)</f>
        <v>2058</v>
      </c>
      <c r="D59" s="523">
        <f>IF(F58+SUM(E$17:E58)=D$10,F58,D$10-SUM(E$17:E58))</f>
        <v>307455.16724063293</v>
      </c>
      <c r="E59" s="522">
        <f>IF(+I14&lt;F58,I14,D59)</f>
        <v>307455.16724063293</v>
      </c>
      <c r="F59" s="523">
        <f t="shared" si="5"/>
        <v>0</v>
      </c>
      <c r="G59" s="524">
        <f t="shared" si="8"/>
        <v>323876.0362340532</v>
      </c>
      <c r="H59" s="491">
        <f t="shared" si="9"/>
        <v>323876.0362340532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4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5"/>
        <v>0</v>
      </c>
      <c r="G60" s="524">
        <f t="shared" si="8"/>
        <v>0</v>
      </c>
      <c r="H60" s="491">
        <f t="shared" si="9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4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5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4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5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4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5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4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5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4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5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4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5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4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5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4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5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4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5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4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5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4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5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5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25330929.000000004</v>
      </c>
      <c r="F73" s="375"/>
      <c r="G73" s="375">
        <f>SUM(G17:G72)</f>
        <v>85068973.832454592</v>
      </c>
      <c r="H73" s="375">
        <f>SUM(H17:H72)</f>
        <v>85068973.832454592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58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2949982.4012109563</v>
      </c>
      <c r="N87" s="546">
        <f>IF(J92&lt;D11,0,VLOOKUP(J92,C17:O72,11))</f>
        <v>2949982.4012109563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3087027.5131925805</v>
      </c>
      <c r="N88" s="550">
        <f>IF(J92&lt;D11,0,VLOOKUP(J92,C99:P154,7))</f>
        <v>3087027.5131925805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Rock Hill-Springridge Pan-Harr REC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137045.11198162427</v>
      </c>
      <c r="N89" s="555">
        <f>+N88-N87</f>
        <v>137045.11198162427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TP2010067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25330929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603117.35714285716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143761.97674418605</v>
      </c>
      <c r="F99" s="651">
        <v>24583298.023255814</v>
      </c>
      <c r="G99" s="652">
        <v>12291649.011627907</v>
      </c>
      <c r="H99" s="653">
        <v>1704186.6748150045</v>
      </c>
      <c r="I99" s="654">
        <v>1704186.6748150045</v>
      </c>
      <c r="J99" s="514">
        <f t="shared" ref="J99:J130" si="10">+I99-H99</f>
        <v>0</v>
      </c>
      <c r="K99" s="514"/>
      <c r="L99" s="512">
        <f>+H99</f>
        <v>1704186.6748150045</v>
      </c>
      <c r="M99" s="513">
        <f t="shared" ref="M99:M130" si="11">IF(L99&lt;&gt;0,+H99-L99,0)</f>
        <v>0</v>
      </c>
      <c r="N99" s="512">
        <f>+I99</f>
        <v>1704186.6748150045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25187167.023255814</v>
      </c>
      <c r="E100" s="630">
        <v>603117.35714285716</v>
      </c>
      <c r="F100" s="631">
        <v>24584049.666112956</v>
      </c>
      <c r="G100" s="631">
        <v>24885608.344684385</v>
      </c>
      <c r="H100" s="633">
        <v>3626008.4781243373</v>
      </c>
      <c r="I100" s="634">
        <v>3626008.4781243373</v>
      </c>
      <c r="J100" s="514">
        <f t="shared" si="10"/>
        <v>0</v>
      </c>
      <c r="K100" s="514"/>
      <c r="L100" s="655">
        <f>+H100</f>
        <v>3626008.4781243373</v>
      </c>
      <c r="M100" s="514">
        <f t="shared" si="11"/>
        <v>0</v>
      </c>
      <c r="N100" s="655">
        <f>+I100</f>
        <v>3626008.4781243373</v>
      </c>
      <c r="O100" s="514">
        <f t="shared" si="12"/>
        <v>0</v>
      </c>
      <c r="P100" s="514">
        <f t="shared" si="13"/>
        <v>0</v>
      </c>
    </row>
    <row r="101" spans="1:16" ht="12.5">
      <c r="B101" s="195" t="str">
        <f t="shared" ref="B101:B154" si="14">IF(D101=F100,"","IU")</f>
        <v/>
      </c>
      <c r="C101" s="507">
        <f>IF(D93="","-",+C100+1)</f>
        <v>2018</v>
      </c>
      <c r="D101" s="629">
        <v>24584049.666112956</v>
      </c>
      <c r="E101" s="630">
        <v>603117.35714285716</v>
      </c>
      <c r="F101" s="631">
        <v>23980932.308970097</v>
      </c>
      <c r="G101" s="631">
        <v>24282490.987541527</v>
      </c>
      <c r="H101" s="633">
        <v>3167459.760554947</v>
      </c>
      <c r="I101" s="634">
        <v>3167459.760554947</v>
      </c>
      <c r="J101" s="514">
        <f t="shared" si="10"/>
        <v>0</v>
      </c>
      <c r="K101" s="514"/>
      <c r="L101" s="655">
        <f>+H101</f>
        <v>3167459.760554947</v>
      </c>
      <c r="M101" s="514">
        <f t="shared" ref="M101" si="15">IF(L101&lt;&gt;0,+H101-L101,0)</f>
        <v>0</v>
      </c>
      <c r="N101" s="655">
        <f>+I101</f>
        <v>3167459.760554947</v>
      </c>
      <c r="O101" s="514">
        <f t="shared" si="12"/>
        <v>0</v>
      </c>
      <c r="P101" s="514">
        <f t="shared" si="13"/>
        <v>0</v>
      </c>
    </row>
    <row r="102" spans="1:16" ht="12.5">
      <c r="B102" s="195" t="str">
        <f t="shared" si="14"/>
        <v/>
      </c>
      <c r="C102" s="507">
        <f>IF(D93="","-",+C101+1)</f>
        <v>2019</v>
      </c>
      <c r="D102" s="629">
        <v>23980932.308970097</v>
      </c>
      <c r="E102" s="630">
        <v>589091.37209302327</v>
      </c>
      <c r="F102" s="631">
        <v>23391840.936877076</v>
      </c>
      <c r="G102" s="631">
        <v>23686386.622923587</v>
      </c>
      <c r="H102" s="633">
        <v>3124495.1418173425</v>
      </c>
      <c r="I102" s="634">
        <v>3124495.1418173425</v>
      </c>
      <c r="J102" s="514">
        <f t="shared" si="10"/>
        <v>0</v>
      </c>
      <c r="K102" s="514"/>
      <c r="L102" s="655">
        <f>+H102</f>
        <v>3124495.1418173425</v>
      </c>
      <c r="M102" s="514">
        <f t="shared" ref="M102" si="16">IF(L102&lt;&gt;0,+H102-L102,0)</f>
        <v>0</v>
      </c>
      <c r="N102" s="655">
        <f>+I102</f>
        <v>3124495.1418173425</v>
      </c>
      <c r="O102" s="514">
        <f t="shared" si="12"/>
        <v>0</v>
      </c>
      <c r="P102" s="514">
        <f t="shared" si="13"/>
        <v>0</v>
      </c>
    </row>
    <row r="103" spans="1:16" ht="12.5">
      <c r="B103" s="195" t="str">
        <f t="shared" si="14"/>
        <v/>
      </c>
      <c r="C103" s="507">
        <f>IF(D93="","-",+C102+1)</f>
        <v>2020</v>
      </c>
      <c r="D103" s="374">
        <f>IF(F102+SUM(E$99:E102)=D$92,F102,D$92-SUM(E$99:E102))</f>
        <v>23391840.936877076</v>
      </c>
      <c r="E103" s="522">
        <f>IF(+J96&lt;F102,J96,D103)</f>
        <v>603117.35714285716</v>
      </c>
      <c r="F103" s="523">
        <f t="shared" ref="F103:F130" si="17">+D103-E103</f>
        <v>22788723.579734217</v>
      </c>
      <c r="G103" s="523">
        <f t="shared" ref="G103:G130" si="18">+(F103+D103)/2</f>
        <v>23090282.258305646</v>
      </c>
      <c r="H103" s="526">
        <f t="shared" ref="H103:H154" si="19">+J$94*G103+E103</f>
        <v>3087027.5131925805</v>
      </c>
      <c r="I103" s="577">
        <f t="shared" ref="I103:I154" si="20">+J$95*G103+E103</f>
        <v>3087027.5131925805</v>
      </c>
      <c r="J103" s="514">
        <f t="shared" si="10"/>
        <v>0</v>
      </c>
      <c r="K103" s="514"/>
      <c r="L103" s="525"/>
      <c r="M103" s="514">
        <f t="shared" si="11"/>
        <v>0</v>
      </c>
      <c r="N103" s="525"/>
      <c r="O103" s="514">
        <f t="shared" si="12"/>
        <v>0</v>
      </c>
      <c r="P103" s="514">
        <f t="shared" si="13"/>
        <v>0</v>
      </c>
    </row>
    <row r="104" spans="1:16" ht="12.5">
      <c r="B104" s="195" t="str">
        <f t="shared" si="14"/>
        <v/>
      </c>
      <c r="C104" s="507">
        <f>IF(D93="","-",+C103+1)</f>
        <v>2021</v>
      </c>
      <c r="D104" s="374">
        <f>IF(F103+SUM(E$99:E103)=D$92,F103,D$92-SUM(E$99:E103))</f>
        <v>22788723.579734217</v>
      </c>
      <c r="E104" s="522">
        <f>IF(+J96&lt;F103,J96,D104)</f>
        <v>603117.35714285716</v>
      </c>
      <c r="F104" s="523">
        <f t="shared" si="17"/>
        <v>22185606.222591359</v>
      </c>
      <c r="G104" s="523">
        <f t="shared" si="18"/>
        <v>22487164.901162788</v>
      </c>
      <c r="H104" s="526">
        <f t="shared" si="19"/>
        <v>3022147.8676370075</v>
      </c>
      <c r="I104" s="577">
        <f t="shared" si="20"/>
        <v>3022147.8676370075</v>
      </c>
      <c r="J104" s="514">
        <f t="shared" si="10"/>
        <v>0</v>
      </c>
      <c r="K104" s="514"/>
      <c r="L104" s="525"/>
      <c r="M104" s="514">
        <f t="shared" si="11"/>
        <v>0</v>
      </c>
      <c r="N104" s="525"/>
      <c r="O104" s="514">
        <f t="shared" si="12"/>
        <v>0</v>
      </c>
      <c r="P104" s="514">
        <f t="shared" si="13"/>
        <v>0</v>
      </c>
    </row>
    <row r="105" spans="1:16" ht="12.5">
      <c r="B105" s="195" t="str">
        <f t="shared" si="14"/>
        <v/>
      </c>
      <c r="C105" s="507">
        <f>IF(D93="","-",+C104+1)</f>
        <v>2022</v>
      </c>
      <c r="D105" s="374">
        <f>IF(F104+SUM(E$99:E104)=D$92,F104,D$92-SUM(E$99:E104))</f>
        <v>22185606.222591359</v>
      </c>
      <c r="E105" s="522">
        <f>IF(+J96&lt;F104,J96,D105)</f>
        <v>603117.35714285716</v>
      </c>
      <c r="F105" s="523">
        <f t="shared" si="17"/>
        <v>21582488.865448501</v>
      </c>
      <c r="G105" s="523">
        <f t="shared" si="18"/>
        <v>21884047.54401993</v>
      </c>
      <c r="H105" s="526">
        <f t="shared" si="19"/>
        <v>2957268.222081434</v>
      </c>
      <c r="I105" s="577">
        <f t="shared" si="20"/>
        <v>2957268.222081434</v>
      </c>
      <c r="J105" s="514">
        <f t="shared" si="10"/>
        <v>0</v>
      </c>
      <c r="K105" s="514"/>
      <c r="L105" s="525"/>
      <c r="M105" s="514">
        <f t="shared" si="11"/>
        <v>0</v>
      </c>
      <c r="N105" s="525"/>
      <c r="O105" s="514">
        <f t="shared" si="12"/>
        <v>0</v>
      </c>
      <c r="P105" s="514">
        <f t="shared" si="13"/>
        <v>0</v>
      </c>
    </row>
    <row r="106" spans="1:16" ht="12.5">
      <c r="B106" s="195" t="str">
        <f t="shared" si="14"/>
        <v/>
      </c>
      <c r="C106" s="507">
        <f>IF(D93="","-",+C105+1)</f>
        <v>2023</v>
      </c>
      <c r="D106" s="374">
        <f>IF(F105+SUM(E$99:E105)=D$92,F105,D$92-SUM(E$99:E105))</f>
        <v>21582488.865448501</v>
      </c>
      <c r="E106" s="522">
        <f>IF(+J96&lt;F105,J96,D106)</f>
        <v>603117.35714285716</v>
      </c>
      <c r="F106" s="523">
        <f t="shared" si="17"/>
        <v>20979371.508305643</v>
      </c>
      <c r="G106" s="523">
        <f t="shared" si="18"/>
        <v>21280930.186877072</v>
      </c>
      <c r="H106" s="526">
        <f t="shared" si="19"/>
        <v>2892388.5765258609</v>
      </c>
      <c r="I106" s="577">
        <f t="shared" si="20"/>
        <v>2892388.5765258609</v>
      </c>
      <c r="J106" s="514">
        <f t="shared" si="10"/>
        <v>0</v>
      </c>
      <c r="K106" s="514"/>
      <c r="L106" s="525"/>
      <c r="M106" s="514">
        <f t="shared" si="11"/>
        <v>0</v>
      </c>
      <c r="N106" s="525"/>
      <c r="O106" s="514">
        <f t="shared" si="12"/>
        <v>0</v>
      </c>
      <c r="P106" s="514">
        <f t="shared" si="13"/>
        <v>0</v>
      </c>
    </row>
    <row r="107" spans="1:16" ht="12.5">
      <c r="B107" s="195" t="str">
        <f t="shared" si="14"/>
        <v/>
      </c>
      <c r="C107" s="507">
        <f>IF(D93="","-",+C106+1)</f>
        <v>2024</v>
      </c>
      <c r="D107" s="374">
        <f>IF(F106+SUM(E$99:E106)=D$92,F106,D$92-SUM(E$99:E106))</f>
        <v>20979371.508305643</v>
      </c>
      <c r="E107" s="522">
        <f>IF(+J96&lt;F106,J96,D107)</f>
        <v>603117.35714285716</v>
      </c>
      <c r="F107" s="523">
        <f t="shared" si="17"/>
        <v>20376254.151162785</v>
      </c>
      <c r="G107" s="523">
        <f t="shared" si="18"/>
        <v>20677812.829734214</v>
      </c>
      <c r="H107" s="526">
        <f t="shared" si="19"/>
        <v>2827508.9309702874</v>
      </c>
      <c r="I107" s="577">
        <f t="shared" si="20"/>
        <v>2827508.9309702874</v>
      </c>
      <c r="J107" s="514">
        <f t="shared" si="10"/>
        <v>0</v>
      </c>
      <c r="K107" s="514"/>
      <c r="L107" s="525"/>
      <c r="M107" s="514">
        <f t="shared" si="11"/>
        <v>0</v>
      </c>
      <c r="N107" s="525"/>
      <c r="O107" s="514">
        <f t="shared" si="12"/>
        <v>0</v>
      </c>
      <c r="P107" s="514">
        <f t="shared" si="13"/>
        <v>0</v>
      </c>
    </row>
    <row r="108" spans="1:16" ht="12.5">
      <c r="B108" s="195" t="str">
        <f t="shared" si="14"/>
        <v/>
      </c>
      <c r="C108" s="507">
        <f>IF(D93="","-",+C107+1)</f>
        <v>2025</v>
      </c>
      <c r="D108" s="374">
        <f>IF(F107+SUM(E$99:E107)=D$92,F107,D$92-SUM(E$99:E107))</f>
        <v>20376254.151162785</v>
      </c>
      <c r="E108" s="522">
        <f>IF(+J96&lt;F107,J96,D108)</f>
        <v>603117.35714285716</v>
      </c>
      <c r="F108" s="523">
        <f t="shared" si="17"/>
        <v>19773136.794019926</v>
      </c>
      <c r="G108" s="523">
        <f t="shared" si="18"/>
        <v>20074695.472591355</v>
      </c>
      <c r="H108" s="526">
        <f t="shared" si="19"/>
        <v>2762629.2854147139</v>
      </c>
      <c r="I108" s="577">
        <f t="shared" si="20"/>
        <v>2762629.2854147139</v>
      </c>
      <c r="J108" s="514">
        <f t="shared" si="10"/>
        <v>0</v>
      </c>
      <c r="K108" s="514"/>
      <c r="L108" s="525"/>
      <c r="M108" s="514">
        <f t="shared" si="11"/>
        <v>0</v>
      </c>
      <c r="N108" s="525"/>
      <c r="O108" s="514">
        <f t="shared" si="12"/>
        <v>0</v>
      </c>
      <c r="P108" s="514">
        <f t="shared" si="13"/>
        <v>0</v>
      </c>
    </row>
    <row r="109" spans="1:16" ht="12.5">
      <c r="B109" s="195" t="str">
        <f t="shared" si="14"/>
        <v/>
      </c>
      <c r="C109" s="507">
        <f>IF(D93="","-",+C108+1)</f>
        <v>2026</v>
      </c>
      <c r="D109" s="374">
        <f>IF(F108+SUM(E$99:E108)=D$92,F108,D$92-SUM(E$99:E108))</f>
        <v>19773136.794019926</v>
      </c>
      <c r="E109" s="522">
        <f>IF(+J96&lt;F108,J96,D109)</f>
        <v>603117.35714285716</v>
      </c>
      <c r="F109" s="523">
        <f t="shared" si="17"/>
        <v>19170019.436877068</v>
      </c>
      <c r="G109" s="523">
        <f t="shared" si="18"/>
        <v>19471578.115448497</v>
      </c>
      <c r="H109" s="526">
        <f t="shared" si="19"/>
        <v>2697749.6398591404</v>
      </c>
      <c r="I109" s="577">
        <f t="shared" si="20"/>
        <v>2697749.6398591404</v>
      </c>
      <c r="J109" s="514">
        <f t="shared" si="10"/>
        <v>0</v>
      </c>
      <c r="K109" s="514"/>
      <c r="L109" s="525"/>
      <c r="M109" s="514">
        <f t="shared" si="11"/>
        <v>0</v>
      </c>
      <c r="N109" s="525"/>
      <c r="O109" s="514">
        <f t="shared" si="12"/>
        <v>0</v>
      </c>
      <c r="P109" s="514">
        <f t="shared" si="13"/>
        <v>0</v>
      </c>
    </row>
    <row r="110" spans="1:16" ht="12.5">
      <c r="B110" s="195" t="str">
        <f t="shared" si="14"/>
        <v/>
      </c>
      <c r="C110" s="507">
        <f>IF(D93="","-",+C109+1)</f>
        <v>2027</v>
      </c>
      <c r="D110" s="374">
        <f>IF(F109+SUM(E$99:E109)=D$92,F109,D$92-SUM(E$99:E109))</f>
        <v>19170019.436877068</v>
      </c>
      <c r="E110" s="522">
        <f>IF(+J96&lt;F109,J96,D110)</f>
        <v>603117.35714285716</v>
      </c>
      <c r="F110" s="523">
        <f t="shared" si="17"/>
        <v>18566902.07973421</v>
      </c>
      <c r="G110" s="523">
        <f t="shared" si="18"/>
        <v>18868460.758305639</v>
      </c>
      <c r="H110" s="526">
        <f t="shared" si="19"/>
        <v>2632869.9943035673</v>
      </c>
      <c r="I110" s="577">
        <f t="shared" si="20"/>
        <v>2632869.9943035673</v>
      </c>
      <c r="J110" s="514">
        <f t="shared" si="10"/>
        <v>0</v>
      </c>
      <c r="K110" s="514"/>
      <c r="L110" s="525"/>
      <c r="M110" s="514">
        <f t="shared" si="11"/>
        <v>0</v>
      </c>
      <c r="N110" s="525"/>
      <c r="O110" s="514">
        <f t="shared" si="12"/>
        <v>0</v>
      </c>
      <c r="P110" s="514">
        <f t="shared" si="13"/>
        <v>0</v>
      </c>
    </row>
    <row r="111" spans="1:16" ht="12.5">
      <c r="B111" s="195" t="str">
        <f t="shared" si="14"/>
        <v/>
      </c>
      <c r="C111" s="507">
        <f>IF(D93="","-",+C110+1)</f>
        <v>2028</v>
      </c>
      <c r="D111" s="374">
        <f>IF(F110+SUM(E$99:E110)=D$92,F110,D$92-SUM(E$99:E110))</f>
        <v>18566902.07973421</v>
      </c>
      <c r="E111" s="522">
        <f>IF(+J96&lt;F110,J96,D111)</f>
        <v>603117.35714285716</v>
      </c>
      <c r="F111" s="523">
        <f t="shared" si="17"/>
        <v>17963784.722591352</v>
      </c>
      <c r="G111" s="523">
        <f t="shared" si="18"/>
        <v>18265343.401162781</v>
      </c>
      <c r="H111" s="526">
        <f t="shared" si="19"/>
        <v>2567990.3487479938</v>
      </c>
      <c r="I111" s="577">
        <f t="shared" si="20"/>
        <v>2567990.3487479938</v>
      </c>
      <c r="J111" s="514">
        <f t="shared" si="10"/>
        <v>0</v>
      </c>
      <c r="K111" s="514"/>
      <c r="L111" s="525"/>
      <c r="M111" s="514">
        <f t="shared" si="11"/>
        <v>0</v>
      </c>
      <c r="N111" s="525"/>
      <c r="O111" s="514">
        <f t="shared" si="12"/>
        <v>0</v>
      </c>
      <c r="P111" s="514">
        <f t="shared" si="13"/>
        <v>0</v>
      </c>
    </row>
    <row r="112" spans="1:16" ht="12.5">
      <c r="B112" s="195" t="str">
        <f t="shared" si="14"/>
        <v/>
      </c>
      <c r="C112" s="507">
        <f>IF(D93="","-",+C111+1)</f>
        <v>2029</v>
      </c>
      <c r="D112" s="374">
        <f>IF(F111+SUM(E$99:E111)=D$92,F111,D$92-SUM(E$99:E111))</f>
        <v>17963784.722591352</v>
      </c>
      <c r="E112" s="522">
        <f>IF(+J96&lt;F111,J96,D112)</f>
        <v>603117.35714285716</v>
      </c>
      <c r="F112" s="523">
        <f t="shared" si="17"/>
        <v>17360667.365448494</v>
      </c>
      <c r="G112" s="523">
        <f t="shared" si="18"/>
        <v>17662226.044019923</v>
      </c>
      <c r="H112" s="526">
        <f t="shared" si="19"/>
        <v>2503110.7031924208</v>
      </c>
      <c r="I112" s="577">
        <f t="shared" si="20"/>
        <v>2503110.7031924208</v>
      </c>
      <c r="J112" s="514">
        <f t="shared" si="10"/>
        <v>0</v>
      </c>
      <c r="K112" s="514"/>
      <c r="L112" s="525"/>
      <c r="M112" s="514">
        <f t="shared" si="11"/>
        <v>0</v>
      </c>
      <c r="N112" s="525"/>
      <c r="O112" s="514">
        <f t="shared" si="12"/>
        <v>0</v>
      </c>
      <c r="P112" s="514">
        <f t="shared" si="13"/>
        <v>0</v>
      </c>
    </row>
    <row r="113" spans="2:16" ht="12.5">
      <c r="B113" s="195" t="str">
        <f t="shared" si="14"/>
        <v/>
      </c>
      <c r="C113" s="507">
        <f>IF(D93="","-",+C112+1)</f>
        <v>2030</v>
      </c>
      <c r="D113" s="374">
        <f>IF(F112+SUM(E$99:E112)=D$92,F112,D$92-SUM(E$99:E112))</f>
        <v>17360667.365448494</v>
      </c>
      <c r="E113" s="522">
        <f>IF(+J96&lt;F112,J96,D113)</f>
        <v>603117.35714285716</v>
      </c>
      <c r="F113" s="523">
        <f t="shared" si="17"/>
        <v>16757550.008305637</v>
      </c>
      <c r="G113" s="523">
        <f t="shared" si="18"/>
        <v>17059108.686877064</v>
      </c>
      <c r="H113" s="526">
        <f t="shared" si="19"/>
        <v>2438231.0576368473</v>
      </c>
      <c r="I113" s="577">
        <f t="shared" si="20"/>
        <v>2438231.0576368473</v>
      </c>
      <c r="J113" s="514">
        <f t="shared" si="10"/>
        <v>0</v>
      </c>
      <c r="K113" s="514"/>
      <c r="L113" s="525"/>
      <c r="M113" s="514">
        <f t="shared" si="11"/>
        <v>0</v>
      </c>
      <c r="N113" s="525"/>
      <c r="O113" s="514">
        <f t="shared" si="12"/>
        <v>0</v>
      </c>
      <c r="P113" s="514">
        <f t="shared" si="13"/>
        <v>0</v>
      </c>
    </row>
    <row r="114" spans="2:16" ht="12.5">
      <c r="B114" s="195" t="str">
        <f t="shared" si="14"/>
        <v/>
      </c>
      <c r="C114" s="507">
        <f>IF(D93="","-",+C113+1)</f>
        <v>2031</v>
      </c>
      <c r="D114" s="374">
        <f>IF(F113+SUM(E$99:E113)=D$92,F113,D$92-SUM(E$99:E113))</f>
        <v>16757550.008305637</v>
      </c>
      <c r="E114" s="522">
        <f>IF(+J96&lt;F113,J96,D114)</f>
        <v>603117.35714285716</v>
      </c>
      <c r="F114" s="523">
        <f t="shared" si="17"/>
        <v>16154432.651162781</v>
      </c>
      <c r="G114" s="523">
        <f t="shared" si="18"/>
        <v>16455991.32973421</v>
      </c>
      <c r="H114" s="526">
        <f t="shared" si="19"/>
        <v>2373351.4120812742</v>
      </c>
      <c r="I114" s="577">
        <f t="shared" si="20"/>
        <v>2373351.4120812742</v>
      </c>
      <c r="J114" s="514">
        <f t="shared" si="10"/>
        <v>0</v>
      </c>
      <c r="K114" s="514"/>
      <c r="L114" s="525"/>
      <c r="M114" s="514">
        <f t="shared" si="11"/>
        <v>0</v>
      </c>
      <c r="N114" s="525"/>
      <c r="O114" s="514">
        <f t="shared" si="12"/>
        <v>0</v>
      </c>
      <c r="P114" s="514">
        <f t="shared" si="13"/>
        <v>0</v>
      </c>
    </row>
    <row r="115" spans="2:16" ht="12.5">
      <c r="B115" s="195" t="str">
        <f t="shared" si="14"/>
        <v/>
      </c>
      <c r="C115" s="507">
        <f>IF(D93="","-",+C114+1)</f>
        <v>2032</v>
      </c>
      <c r="D115" s="374">
        <f>IF(F114+SUM(E$99:E114)=D$92,F114,D$92-SUM(E$99:E114))</f>
        <v>16154432.651162781</v>
      </c>
      <c r="E115" s="522">
        <f>IF(+J96&lt;F114,J96,D115)</f>
        <v>603117.35714285716</v>
      </c>
      <c r="F115" s="523">
        <f t="shared" si="17"/>
        <v>15551315.294019924</v>
      </c>
      <c r="G115" s="523">
        <f t="shared" si="18"/>
        <v>15852873.972591352</v>
      </c>
      <c r="H115" s="526">
        <f t="shared" si="19"/>
        <v>2308471.7665257012</v>
      </c>
      <c r="I115" s="577">
        <f t="shared" si="20"/>
        <v>2308471.7665257012</v>
      </c>
      <c r="J115" s="514">
        <f t="shared" si="10"/>
        <v>0</v>
      </c>
      <c r="K115" s="514"/>
      <c r="L115" s="525"/>
      <c r="M115" s="514">
        <f t="shared" si="11"/>
        <v>0</v>
      </c>
      <c r="N115" s="525"/>
      <c r="O115" s="514">
        <f t="shared" si="12"/>
        <v>0</v>
      </c>
      <c r="P115" s="514">
        <f t="shared" si="13"/>
        <v>0</v>
      </c>
    </row>
    <row r="116" spans="2:16" ht="12.5">
      <c r="B116" s="195" t="str">
        <f t="shared" si="14"/>
        <v/>
      </c>
      <c r="C116" s="507">
        <f>IF(D93="","-",+C115+1)</f>
        <v>2033</v>
      </c>
      <c r="D116" s="374">
        <f>IF(F115+SUM(E$99:E115)=D$92,F115,D$92-SUM(E$99:E115))</f>
        <v>15551315.294019924</v>
      </c>
      <c r="E116" s="522">
        <f>IF(+J96&lt;F115,J96,D116)</f>
        <v>603117.35714285716</v>
      </c>
      <c r="F116" s="523">
        <f t="shared" si="17"/>
        <v>14948197.936877068</v>
      </c>
      <c r="G116" s="523">
        <f t="shared" si="18"/>
        <v>15249756.615448497</v>
      </c>
      <c r="H116" s="526">
        <f t="shared" si="19"/>
        <v>2243592.1209701281</v>
      </c>
      <c r="I116" s="577">
        <f t="shared" si="20"/>
        <v>2243592.1209701281</v>
      </c>
      <c r="J116" s="514">
        <f t="shared" si="10"/>
        <v>0</v>
      </c>
      <c r="K116" s="514"/>
      <c r="L116" s="525"/>
      <c r="M116" s="514">
        <f t="shared" si="11"/>
        <v>0</v>
      </c>
      <c r="N116" s="525"/>
      <c r="O116" s="514">
        <f t="shared" si="12"/>
        <v>0</v>
      </c>
      <c r="P116" s="514">
        <f t="shared" si="13"/>
        <v>0</v>
      </c>
    </row>
    <row r="117" spans="2:16" ht="12.5">
      <c r="B117" s="195" t="str">
        <f t="shared" si="14"/>
        <v/>
      </c>
      <c r="C117" s="507">
        <f>IF(D93="","-",+C116+1)</f>
        <v>2034</v>
      </c>
      <c r="D117" s="374">
        <f>IF(F116+SUM(E$99:E116)=D$92,F116,D$92-SUM(E$99:E116))</f>
        <v>14948197.936877068</v>
      </c>
      <c r="E117" s="522">
        <f>IF(+J96&lt;F116,J96,D117)</f>
        <v>603117.35714285716</v>
      </c>
      <c r="F117" s="523">
        <f t="shared" si="17"/>
        <v>14345080.579734212</v>
      </c>
      <c r="G117" s="523">
        <f t="shared" si="18"/>
        <v>14646639.258305639</v>
      </c>
      <c r="H117" s="526">
        <f t="shared" si="19"/>
        <v>2178712.4754145546</v>
      </c>
      <c r="I117" s="577">
        <f t="shared" si="20"/>
        <v>2178712.4754145546</v>
      </c>
      <c r="J117" s="514">
        <f t="shared" si="10"/>
        <v>0</v>
      </c>
      <c r="K117" s="514"/>
      <c r="L117" s="525"/>
      <c r="M117" s="514">
        <f t="shared" si="11"/>
        <v>0</v>
      </c>
      <c r="N117" s="525"/>
      <c r="O117" s="514">
        <f t="shared" si="12"/>
        <v>0</v>
      </c>
      <c r="P117" s="514">
        <f t="shared" si="13"/>
        <v>0</v>
      </c>
    </row>
    <row r="118" spans="2:16" ht="12.5">
      <c r="B118" s="195" t="str">
        <f t="shared" si="14"/>
        <v/>
      </c>
      <c r="C118" s="507">
        <f>IF(D93="","-",+C117+1)</f>
        <v>2035</v>
      </c>
      <c r="D118" s="374">
        <f>IF(F117+SUM(E$99:E117)=D$92,F117,D$92-SUM(E$99:E117))</f>
        <v>14345080.579734212</v>
      </c>
      <c r="E118" s="522">
        <f>IF(+J96&lt;F117,J96,D118)</f>
        <v>603117.35714285716</v>
      </c>
      <c r="F118" s="523">
        <f t="shared" si="17"/>
        <v>13741963.222591355</v>
      </c>
      <c r="G118" s="523">
        <f t="shared" si="18"/>
        <v>14043521.901162785</v>
      </c>
      <c r="H118" s="526">
        <f t="shared" si="19"/>
        <v>2113832.829858982</v>
      </c>
      <c r="I118" s="577">
        <f t="shared" si="20"/>
        <v>2113832.829858982</v>
      </c>
      <c r="J118" s="514">
        <f t="shared" si="10"/>
        <v>0</v>
      </c>
      <c r="K118" s="514"/>
      <c r="L118" s="525"/>
      <c r="M118" s="514">
        <f t="shared" si="11"/>
        <v>0</v>
      </c>
      <c r="N118" s="525"/>
      <c r="O118" s="514">
        <f t="shared" si="12"/>
        <v>0</v>
      </c>
      <c r="P118" s="514">
        <f t="shared" si="13"/>
        <v>0</v>
      </c>
    </row>
    <row r="119" spans="2:16" ht="12.5">
      <c r="B119" s="195" t="str">
        <f t="shared" si="14"/>
        <v/>
      </c>
      <c r="C119" s="507">
        <f>IF(D93="","-",+C118+1)</f>
        <v>2036</v>
      </c>
      <c r="D119" s="374">
        <f>IF(F118+SUM(E$99:E118)=D$92,F118,D$92-SUM(E$99:E118))</f>
        <v>13741963.222591355</v>
      </c>
      <c r="E119" s="522">
        <f>IF(+J96&lt;F118,J96,D119)</f>
        <v>603117.35714285716</v>
      </c>
      <c r="F119" s="523">
        <f t="shared" si="17"/>
        <v>13138845.865448499</v>
      </c>
      <c r="G119" s="523">
        <f t="shared" si="18"/>
        <v>13440404.544019926</v>
      </c>
      <c r="H119" s="526">
        <f t="shared" si="19"/>
        <v>2048953.1843034085</v>
      </c>
      <c r="I119" s="577">
        <f t="shared" si="20"/>
        <v>2048953.1843034085</v>
      </c>
      <c r="J119" s="514">
        <f t="shared" si="10"/>
        <v>0</v>
      </c>
      <c r="K119" s="514"/>
      <c r="L119" s="525"/>
      <c r="M119" s="514">
        <f t="shared" si="11"/>
        <v>0</v>
      </c>
      <c r="N119" s="525"/>
      <c r="O119" s="514">
        <f t="shared" si="12"/>
        <v>0</v>
      </c>
      <c r="P119" s="514">
        <f t="shared" si="13"/>
        <v>0</v>
      </c>
    </row>
    <row r="120" spans="2:16" ht="12.5">
      <c r="B120" s="195" t="str">
        <f t="shared" si="14"/>
        <v/>
      </c>
      <c r="C120" s="507">
        <f>IF(D93="","-",+C119+1)</f>
        <v>2037</v>
      </c>
      <c r="D120" s="374">
        <f>IF(F119+SUM(E$99:E119)=D$92,F119,D$92-SUM(E$99:E119))</f>
        <v>13138845.865448499</v>
      </c>
      <c r="E120" s="522">
        <f>IF(+J96&lt;F119,J96,D120)</f>
        <v>603117.35714285716</v>
      </c>
      <c r="F120" s="523">
        <f t="shared" si="17"/>
        <v>12535728.508305643</v>
      </c>
      <c r="G120" s="523">
        <f t="shared" si="18"/>
        <v>12837287.186877072</v>
      </c>
      <c r="H120" s="526">
        <f t="shared" si="19"/>
        <v>1984073.5387478354</v>
      </c>
      <c r="I120" s="577">
        <f t="shared" si="20"/>
        <v>1984073.5387478354</v>
      </c>
      <c r="J120" s="514">
        <f t="shared" si="10"/>
        <v>0</v>
      </c>
      <c r="K120" s="514"/>
      <c r="L120" s="525"/>
      <c r="M120" s="514">
        <f t="shared" si="11"/>
        <v>0</v>
      </c>
      <c r="N120" s="525"/>
      <c r="O120" s="514">
        <f t="shared" si="12"/>
        <v>0</v>
      </c>
      <c r="P120" s="514">
        <f t="shared" si="13"/>
        <v>0</v>
      </c>
    </row>
    <row r="121" spans="2:16" ht="12.5">
      <c r="B121" s="195" t="str">
        <f t="shared" si="14"/>
        <v/>
      </c>
      <c r="C121" s="507">
        <f>IF(D93="","-",+C120+1)</f>
        <v>2038</v>
      </c>
      <c r="D121" s="374">
        <f>IF(F120+SUM(E$99:E120)=D$92,F120,D$92-SUM(E$99:E120))</f>
        <v>12535728.508305643</v>
      </c>
      <c r="E121" s="522">
        <f>IF(+J96&lt;F120,J96,D121)</f>
        <v>603117.35714285716</v>
      </c>
      <c r="F121" s="523">
        <f t="shared" si="17"/>
        <v>11932611.151162786</v>
      </c>
      <c r="G121" s="523">
        <f t="shared" si="18"/>
        <v>12234169.829734214</v>
      </c>
      <c r="H121" s="526">
        <f t="shared" si="19"/>
        <v>1919193.8931922624</v>
      </c>
      <c r="I121" s="577">
        <f t="shared" si="20"/>
        <v>1919193.8931922624</v>
      </c>
      <c r="J121" s="514">
        <f t="shared" si="10"/>
        <v>0</v>
      </c>
      <c r="K121" s="514"/>
      <c r="L121" s="525"/>
      <c r="M121" s="514">
        <f t="shared" si="11"/>
        <v>0</v>
      </c>
      <c r="N121" s="525"/>
      <c r="O121" s="514">
        <f t="shared" si="12"/>
        <v>0</v>
      </c>
      <c r="P121" s="514">
        <f t="shared" si="13"/>
        <v>0</v>
      </c>
    </row>
    <row r="122" spans="2:16" ht="12.5">
      <c r="B122" s="195" t="str">
        <f t="shared" si="14"/>
        <v/>
      </c>
      <c r="C122" s="507">
        <f>IF(D93="","-",+C121+1)</f>
        <v>2039</v>
      </c>
      <c r="D122" s="374">
        <f>IF(F121+SUM(E$99:E121)=D$92,F121,D$92-SUM(E$99:E121))</f>
        <v>11932611.151162786</v>
      </c>
      <c r="E122" s="522">
        <f>IF(+J96&lt;F121,J96,D122)</f>
        <v>603117.35714285716</v>
      </c>
      <c r="F122" s="523">
        <f t="shared" si="17"/>
        <v>11329493.79401993</v>
      </c>
      <c r="G122" s="523">
        <f t="shared" si="18"/>
        <v>11631052.472591359</v>
      </c>
      <c r="H122" s="526">
        <f t="shared" si="19"/>
        <v>1854314.2476366893</v>
      </c>
      <c r="I122" s="577">
        <f t="shared" si="20"/>
        <v>1854314.2476366893</v>
      </c>
      <c r="J122" s="514">
        <f t="shared" si="10"/>
        <v>0</v>
      </c>
      <c r="K122" s="514"/>
      <c r="L122" s="525"/>
      <c r="M122" s="514">
        <f t="shared" si="11"/>
        <v>0</v>
      </c>
      <c r="N122" s="525"/>
      <c r="O122" s="514">
        <f t="shared" si="12"/>
        <v>0</v>
      </c>
      <c r="P122" s="514">
        <f t="shared" si="13"/>
        <v>0</v>
      </c>
    </row>
    <row r="123" spans="2:16" ht="12.5">
      <c r="B123" s="195" t="str">
        <f t="shared" si="14"/>
        <v/>
      </c>
      <c r="C123" s="507">
        <f>IF(D93="","-",+C122+1)</f>
        <v>2040</v>
      </c>
      <c r="D123" s="374">
        <f>IF(F122+SUM(E$99:E122)=D$92,F122,D$92-SUM(E$99:E122))</f>
        <v>11329493.79401993</v>
      </c>
      <c r="E123" s="522">
        <f>IF(+J96&lt;F122,J96,D123)</f>
        <v>603117.35714285716</v>
      </c>
      <c r="F123" s="523">
        <f t="shared" si="17"/>
        <v>10726376.436877074</v>
      </c>
      <c r="G123" s="523">
        <f t="shared" si="18"/>
        <v>11027935.115448501</v>
      </c>
      <c r="H123" s="526">
        <f t="shared" si="19"/>
        <v>1789434.6020811158</v>
      </c>
      <c r="I123" s="577">
        <f t="shared" si="20"/>
        <v>1789434.6020811158</v>
      </c>
      <c r="J123" s="514">
        <f t="shared" si="10"/>
        <v>0</v>
      </c>
      <c r="K123" s="514"/>
      <c r="L123" s="525"/>
      <c r="M123" s="514">
        <f t="shared" si="11"/>
        <v>0</v>
      </c>
      <c r="N123" s="525"/>
      <c r="O123" s="514">
        <f t="shared" si="12"/>
        <v>0</v>
      </c>
      <c r="P123" s="514">
        <f t="shared" si="13"/>
        <v>0</v>
      </c>
    </row>
    <row r="124" spans="2:16" ht="12.5">
      <c r="B124" s="195" t="str">
        <f t="shared" si="14"/>
        <v/>
      </c>
      <c r="C124" s="507">
        <f>IF(D93="","-",+C123+1)</f>
        <v>2041</v>
      </c>
      <c r="D124" s="374">
        <f>IF(F123+SUM(E$99:E123)=D$92,F123,D$92-SUM(E$99:E123))</f>
        <v>10726376.436877074</v>
      </c>
      <c r="E124" s="522">
        <f>IF(+J96&lt;F123,J96,D124)</f>
        <v>603117.35714285716</v>
      </c>
      <c r="F124" s="523">
        <f t="shared" si="17"/>
        <v>10123259.079734217</v>
      </c>
      <c r="G124" s="523">
        <f t="shared" si="18"/>
        <v>10424817.758305646</v>
      </c>
      <c r="H124" s="526">
        <f t="shared" si="19"/>
        <v>1724554.9565255432</v>
      </c>
      <c r="I124" s="577">
        <f t="shared" si="20"/>
        <v>1724554.9565255432</v>
      </c>
      <c r="J124" s="514">
        <f t="shared" si="10"/>
        <v>0</v>
      </c>
      <c r="K124" s="514"/>
      <c r="L124" s="525"/>
      <c r="M124" s="514">
        <f t="shared" si="11"/>
        <v>0</v>
      </c>
      <c r="N124" s="525"/>
      <c r="O124" s="514">
        <f t="shared" si="12"/>
        <v>0</v>
      </c>
      <c r="P124" s="514">
        <f t="shared" si="13"/>
        <v>0</v>
      </c>
    </row>
    <row r="125" spans="2:16" ht="12.5">
      <c r="B125" s="195" t="str">
        <f t="shared" si="14"/>
        <v/>
      </c>
      <c r="C125" s="507">
        <f>IF(D93="","-",+C124+1)</f>
        <v>2042</v>
      </c>
      <c r="D125" s="374">
        <f>IF(F124+SUM(E$99:E124)=D$92,F124,D$92-SUM(E$99:E124))</f>
        <v>10123259.079734217</v>
      </c>
      <c r="E125" s="522">
        <f>IF(+J96&lt;F124,J96,D125)</f>
        <v>603117.35714285716</v>
      </c>
      <c r="F125" s="523">
        <f t="shared" si="17"/>
        <v>9520141.722591361</v>
      </c>
      <c r="G125" s="523">
        <f t="shared" si="18"/>
        <v>9821700.4011627883</v>
      </c>
      <c r="H125" s="526">
        <f t="shared" si="19"/>
        <v>1659675.3109699697</v>
      </c>
      <c r="I125" s="577">
        <f t="shared" si="20"/>
        <v>1659675.3109699697</v>
      </c>
      <c r="J125" s="514">
        <f t="shared" si="10"/>
        <v>0</v>
      </c>
      <c r="K125" s="514"/>
      <c r="L125" s="525"/>
      <c r="M125" s="514">
        <f t="shared" si="11"/>
        <v>0</v>
      </c>
      <c r="N125" s="525"/>
      <c r="O125" s="514">
        <f t="shared" si="12"/>
        <v>0</v>
      </c>
      <c r="P125" s="514">
        <f t="shared" si="13"/>
        <v>0</v>
      </c>
    </row>
    <row r="126" spans="2:16" ht="12.5">
      <c r="B126" s="195" t="str">
        <f t="shared" si="14"/>
        <v/>
      </c>
      <c r="C126" s="507">
        <f>IF(D93="","-",+C125+1)</f>
        <v>2043</v>
      </c>
      <c r="D126" s="374">
        <f>IF(F125+SUM(E$99:E125)=D$92,F125,D$92-SUM(E$99:E125))</f>
        <v>9520141.722591361</v>
      </c>
      <c r="E126" s="522">
        <f>IF(+J96&lt;F125,J96,D126)</f>
        <v>603117.35714285716</v>
      </c>
      <c r="F126" s="523">
        <f t="shared" si="17"/>
        <v>8917024.3654485047</v>
      </c>
      <c r="G126" s="523">
        <f t="shared" si="18"/>
        <v>9218583.0440199338</v>
      </c>
      <c r="H126" s="526">
        <f t="shared" si="19"/>
        <v>1594795.6654143967</v>
      </c>
      <c r="I126" s="577">
        <f t="shared" si="20"/>
        <v>1594795.6654143967</v>
      </c>
      <c r="J126" s="514">
        <f t="shared" si="10"/>
        <v>0</v>
      </c>
      <c r="K126" s="514"/>
      <c r="L126" s="525"/>
      <c r="M126" s="514">
        <f t="shared" si="11"/>
        <v>0</v>
      </c>
      <c r="N126" s="525"/>
      <c r="O126" s="514">
        <f t="shared" si="12"/>
        <v>0</v>
      </c>
      <c r="P126" s="514">
        <f t="shared" si="13"/>
        <v>0</v>
      </c>
    </row>
    <row r="127" spans="2:16" ht="12.5">
      <c r="B127" s="195" t="str">
        <f t="shared" si="14"/>
        <v/>
      </c>
      <c r="C127" s="507">
        <f>IF(D93="","-",+C126+1)</f>
        <v>2044</v>
      </c>
      <c r="D127" s="374">
        <f>IF(F126+SUM(E$99:E126)=D$92,F126,D$92-SUM(E$99:E126))</f>
        <v>8917024.3654485047</v>
      </c>
      <c r="E127" s="522">
        <f>IF(+J96&lt;F126,J96,D127)</f>
        <v>603117.35714285716</v>
      </c>
      <c r="F127" s="523">
        <f t="shared" si="17"/>
        <v>8313907.0083056474</v>
      </c>
      <c r="G127" s="523">
        <f t="shared" si="18"/>
        <v>8615465.6868770756</v>
      </c>
      <c r="H127" s="526">
        <f t="shared" si="19"/>
        <v>1529916.0198588234</v>
      </c>
      <c r="I127" s="577">
        <f t="shared" si="20"/>
        <v>1529916.0198588234</v>
      </c>
      <c r="J127" s="514">
        <f t="shared" si="10"/>
        <v>0</v>
      </c>
      <c r="K127" s="514"/>
      <c r="L127" s="525"/>
      <c r="M127" s="514">
        <f t="shared" si="11"/>
        <v>0</v>
      </c>
      <c r="N127" s="525"/>
      <c r="O127" s="514">
        <f t="shared" si="12"/>
        <v>0</v>
      </c>
      <c r="P127" s="514">
        <f t="shared" si="13"/>
        <v>0</v>
      </c>
    </row>
    <row r="128" spans="2:16" ht="12.5">
      <c r="B128" s="195" t="str">
        <f t="shared" si="14"/>
        <v/>
      </c>
      <c r="C128" s="507">
        <f>IF(D93="","-",+C127+1)</f>
        <v>2045</v>
      </c>
      <c r="D128" s="374">
        <f>IF(F127+SUM(E$99:E127)=D$92,F127,D$92-SUM(E$99:E127))</f>
        <v>8313907.0083056474</v>
      </c>
      <c r="E128" s="522">
        <f>IF(+J96&lt;F127,J96,D128)</f>
        <v>603117.35714285716</v>
      </c>
      <c r="F128" s="523">
        <f t="shared" si="17"/>
        <v>7710789.6511627901</v>
      </c>
      <c r="G128" s="523">
        <f t="shared" si="18"/>
        <v>8012348.3297342192</v>
      </c>
      <c r="H128" s="526">
        <f t="shared" si="19"/>
        <v>1465036.3743032501</v>
      </c>
      <c r="I128" s="577">
        <f t="shared" si="20"/>
        <v>1465036.3743032501</v>
      </c>
      <c r="J128" s="514">
        <f t="shared" si="10"/>
        <v>0</v>
      </c>
      <c r="K128" s="514"/>
      <c r="L128" s="525"/>
      <c r="M128" s="514">
        <f t="shared" si="11"/>
        <v>0</v>
      </c>
      <c r="N128" s="525"/>
      <c r="O128" s="514">
        <f t="shared" si="12"/>
        <v>0</v>
      </c>
      <c r="P128" s="514">
        <f t="shared" si="13"/>
        <v>0</v>
      </c>
    </row>
    <row r="129" spans="2:16" ht="12.5">
      <c r="B129" s="195" t="str">
        <f t="shared" si="14"/>
        <v/>
      </c>
      <c r="C129" s="507">
        <f>IF(D93="","-",+C128+1)</f>
        <v>2046</v>
      </c>
      <c r="D129" s="374">
        <f>IF(F128+SUM(E$99:E128)=D$92,F128,D$92-SUM(E$99:E128))</f>
        <v>7710789.6511627901</v>
      </c>
      <c r="E129" s="522">
        <f>IF(+J96&lt;F128,J96,D129)</f>
        <v>603117.35714285716</v>
      </c>
      <c r="F129" s="523">
        <f t="shared" si="17"/>
        <v>7107672.2940199329</v>
      </c>
      <c r="G129" s="523">
        <f t="shared" si="18"/>
        <v>7409230.972591361</v>
      </c>
      <c r="H129" s="526">
        <f t="shared" si="19"/>
        <v>1400156.7287476771</v>
      </c>
      <c r="I129" s="577">
        <f t="shared" si="20"/>
        <v>1400156.7287476771</v>
      </c>
      <c r="J129" s="514">
        <f t="shared" si="10"/>
        <v>0</v>
      </c>
      <c r="K129" s="514"/>
      <c r="L129" s="525"/>
      <c r="M129" s="514">
        <f t="shared" si="11"/>
        <v>0</v>
      </c>
      <c r="N129" s="525"/>
      <c r="O129" s="514">
        <f t="shared" si="12"/>
        <v>0</v>
      </c>
      <c r="P129" s="514">
        <f t="shared" si="13"/>
        <v>0</v>
      </c>
    </row>
    <row r="130" spans="2:16" ht="12.5">
      <c r="B130" s="195" t="str">
        <f t="shared" si="14"/>
        <v/>
      </c>
      <c r="C130" s="507">
        <f>IF(D93="","-",+C129+1)</f>
        <v>2047</v>
      </c>
      <c r="D130" s="374">
        <f>IF(F129+SUM(E$99:E129)=D$92,F129,D$92-SUM(E$99:E129))</f>
        <v>7107672.2940199329</v>
      </c>
      <c r="E130" s="522">
        <f>IF(+J96&lt;F129,J96,D130)</f>
        <v>603117.35714285716</v>
      </c>
      <c r="F130" s="523">
        <f t="shared" si="17"/>
        <v>6504554.9368770756</v>
      </c>
      <c r="G130" s="523">
        <f t="shared" si="18"/>
        <v>6806113.6154485047</v>
      </c>
      <c r="H130" s="526">
        <f t="shared" si="19"/>
        <v>1335277.0831921038</v>
      </c>
      <c r="I130" s="577">
        <f t="shared" si="20"/>
        <v>1335277.0831921038</v>
      </c>
      <c r="J130" s="514">
        <f t="shared" si="10"/>
        <v>0</v>
      </c>
      <c r="K130" s="514"/>
      <c r="L130" s="525"/>
      <c r="M130" s="514">
        <f t="shared" si="11"/>
        <v>0</v>
      </c>
      <c r="N130" s="525"/>
      <c r="O130" s="514">
        <f t="shared" si="12"/>
        <v>0</v>
      </c>
      <c r="P130" s="514">
        <f t="shared" si="13"/>
        <v>0</v>
      </c>
    </row>
    <row r="131" spans="2:16" ht="12.5">
      <c r="B131" s="195" t="str">
        <f t="shared" si="14"/>
        <v/>
      </c>
      <c r="C131" s="507">
        <f>IF(D93="","-",+C130+1)</f>
        <v>2048</v>
      </c>
      <c r="D131" s="374">
        <f>IF(F130+SUM(E$99:E130)=D$92,F130,D$92-SUM(E$99:E130))</f>
        <v>6504554.9368770756</v>
      </c>
      <c r="E131" s="522">
        <f>IF(+J96&lt;F130,J96,D131)</f>
        <v>603117.35714285716</v>
      </c>
      <c r="F131" s="523">
        <f t="shared" ref="F131:F154" si="21">+D131-E131</f>
        <v>5901437.5797342183</v>
      </c>
      <c r="G131" s="523">
        <f t="shared" ref="G131:G154" si="22">+(F131+D131)/2</f>
        <v>6202996.2583056465</v>
      </c>
      <c r="H131" s="526">
        <f t="shared" si="19"/>
        <v>1270397.4376365305</v>
      </c>
      <c r="I131" s="577">
        <f t="shared" si="20"/>
        <v>1270397.4376365305</v>
      </c>
      <c r="J131" s="514">
        <f t="shared" ref="J131:J154" si="23">+I541-H541</f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 ht="12.5">
      <c r="B132" s="195" t="str">
        <f t="shared" si="14"/>
        <v/>
      </c>
      <c r="C132" s="507">
        <f>IF(D93="","-",+C131+1)</f>
        <v>2049</v>
      </c>
      <c r="D132" s="374">
        <f>IF(F131+SUM(E$99:E131)=D$92,F131,D$92-SUM(E$99:E131))</f>
        <v>5901437.5797342183</v>
      </c>
      <c r="E132" s="522">
        <f>IF(+J96&lt;F131,J96,D132)</f>
        <v>603117.35714285716</v>
      </c>
      <c r="F132" s="523">
        <f t="shared" si="21"/>
        <v>5298320.222591361</v>
      </c>
      <c r="G132" s="523">
        <f t="shared" si="22"/>
        <v>5599878.9011627901</v>
      </c>
      <c r="H132" s="526">
        <f t="shared" si="19"/>
        <v>1205517.7920809574</v>
      </c>
      <c r="I132" s="577">
        <f t="shared" si="20"/>
        <v>1205517.7920809574</v>
      </c>
      <c r="J132" s="514">
        <f t="shared" si="23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 ht="12.5">
      <c r="B133" s="195" t="str">
        <f t="shared" si="14"/>
        <v/>
      </c>
      <c r="C133" s="507">
        <f>IF(D93="","-",+C132+1)</f>
        <v>2050</v>
      </c>
      <c r="D133" s="374">
        <f>IF(F132+SUM(E$99:E132)=D$92,F132,D$92-SUM(E$99:E132))</f>
        <v>5298320.222591361</v>
      </c>
      <c r="E133" s="522">
        <f>IF(+J96&lt;F132,J96,D133)</f>
        <v>603117.35714285716</v>
      </c>
      <c r="F133" s="523">
        <f t="shared" si="21"/>
        <v>4695202.8654485038</v>
      </c>
      <c r="G133" s="523">
        <f t="shared" si="22"/>
        <v>4996761.5440199319</v>
      </c>
      <c r="H133" s="526">
        <f t="shared" si="19"/>
        <v>1140638.1465253839</v>
      </c>
      <c r="I133" s="577">
        <f t="shared" si="20"/>
        <v>1140638.1465253839</v>
      </c>
      <c r="J133" s="514">
        <f t="shared" si="23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 ht="12.5">
      <c r="B134" s="195" t="str">
        <f t="shared" si="14"/>
        <v/>
      </c>
      <c r="C134" s="507">
        <f>IF(D93="","-",+C133+1)</f>
        <v>2051</v>
      </c>
      <c r="D134" s="374">
        <f>IF(F133+SUM(E$99:E133)=D$92,F133,D$92-SUM(E$99:E133))</f>
        <v>4695202.8654485038</v>
      </c>
      <c r="E134" s="522">
        <f>IF(+J96&lt;F133,J96,D134)</f>
        <v>603117.35714285716</v>
      </c>
      <c r="F134" s="523">
        <f t="shared" si="21"/>
        <v>4092085.5083056465</v>
      </c>
      <c r="G134" s="523">
        <f t="shared" si="22"/>
        <v>4393644.1868770756</v>
      </c>
      <c r="H134" s="526">
        <f t="shared" si="19"/>
        <v>1075758.5009698109</v>
      </c>
      <c r="I134" s="577">
        <f t="shared" si="20"/>
        <v>1075758.5009698109</v>
      </c>
      <c r="J134" s="514">
        <f t="shared" si="23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 ht="12.5">
      <c r="B135" s="195" t="str">
        <f t="shared" si="14"/>
        <v/>
      </c>
      <c r="C135" s="507">
        <f>IF(D93="","-",+C134+1)</f>
        <v>2052</v>
      </c>
      <c r="D135" s="374">
        <f>IF(F134+SUM(E$99:E134)=D$92,F134,D$92-SUM(E$99:E134))</f>
        <v>4092085.5083056465</v>
      </c>
      <c r="E135" s="522">
        <f>IF(+J96&lt;F134,J96,D135)</f>
        <v>603117.35714285716</v>
      </c>
      <c r="F135" s="523">
        <f t="shared" si="21"/>
        <v>3488968.1511627892</v>
      </c>
      <c r="G135" s="523">
        <f t="shared" si="22"/>
        <v>3790526.8297342178</v>
      </c>
      <c r="H135" s="526">
        <f t="shared" si="19"/>
        <v>1010878.8554142376</v>
      </c>
      <c r="I135" s="577">
        <f t="shared" si="20"/>
        <v>1010878.8554142376</v>
      </c>
      <c r="J135" s="514">
        <f t="shared" si="23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 ht="12.5">
      <c r="B136" s="195" t="str">
        <f t="shared" si="14"/>
        <v/>
      </c>
      <c r="C136" s="507">
        <f>IF(D93="","-",+C135+1)</f>
        <v>2053</v>
      </c>
      <c r="D136" s="374">
        <f>IF(F135+SUM(E$99:E135)=D$92,F135,D$92-SUM(E$99:E135))</f>
        <v>3488968.1511627892</v>
      </c>
      <c r="E136" s="522">
        <f>IF(+J96&lt;F135,J96,D136)</f>
        <v>603117.35714285716</v>
      </c>
      <c r="F136" s="523">
        <f t="shared" si="21"/>
        <v>2885850.7940199319</v>
      </c>
      <c r="G136" s="523">
        <f t="shared" si="22"/>
        <v>3187409.4725913606</v>
      </c>
      <c r="H136" s="526">
        <f t="shared" si="19"/>
        <v>945999.20985866431</v>
      </c>
      <c r="I136" s="577">
        <f t="shared" si="20"/>
        <v>945999.20985866431</v>
      </c>
      <c r="J136" s="514">
        <f t="shared" si="23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 ht="12.5">
      <c r="B137" s="195" t="str">
        <f t="shared" si="14"/>
        <v/>
      </c>
      <c r="C137" s="507">
        <f>IF(D93="","-",+C136+1)</f>
        <v>2054</v>
      </c>
      <c r="D137" s="374">
        <f>IF(F136+SUM(E$99:E136)=D$92,F136,D$92-SUM(E$99:E136))</f>
        <v>2885850.7940199319</v>
      </c>
      <c r="E137" s="522">
        <f>IF(+J96&lt;F136,J96,D137)</f>
        <v>603117.35714285716</v>
      </c>
      <c r="F137" s="523">
        <f t="shared" si="21"/>
        <v>2282733.4368770747</v>
      </c>
      <c r="G137" s="523">
        <f t="shared" si="22"/>
        <v>2584292.1154485033</v>
      </c>
      <c r="H137" s="526">
        <f t="shared" si="19"/>
        <v>881119.56430309115</v>
      </c>
      <c r="I137" s="577">
        <f t="shared" si="20"/>
        <v>881119.56430309115</v>
      </c>
      <c r="J137" s="514">
        <f t="shared" si="23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 ht="12.5">
      <c r="B138" s="195" t="str">
        <f t="shared" si="14"/>
        <v/>
      </c>
      <c r="C138" s="507">
        <f>IF(D93="","-",+C137+1)</f>
        <v>2055</v>
      </c>
      <c r="D138" s="374">
        <f>IF(F137+SUM(E$99:E137)=D$92,F137,D$92-SUM(E$99:E137))</f>
        <v>2282733.4368770747</v>
      </c>
      <c r="E138" s="522">
        <f>IF(+J96&lt;F137,J96,D138)</f>
        <v>603117.35714285716</v>
      </c>
      <c r="F138" s="523">
        <f t="shared" si="21"/>
        <v>1679616.0797342174</v>
      </c>
      <c r="G138" s="523">
        <f t="shared" si="22"/>
        <v>1981174.758305646</v>
      </c>
      <c r="H138" s="526">
        <f t="shared" si="19"/>
        <v>816239.91874751798</v>
      </c>
      <c r="I138" s="577">
        <f t="shared" si="20"/>
        <v>816239.91874751798</v>
      </c>
      <c r="J138" s="514">
        <f t="shared" si="23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 ht="12.5">
      <c r="B139" s="195" t="str">
        <f t="shared" si="14"/>
        <v/>
      </c>
      <c r="C139" s="507">
        <f>IF(D93="","-",+C138+1)</f>
        <v>2056</v>
      </c>
      <c r="D139" s="374">
        <f>IF(F138+SUM(E$99:E138)=D$92,F138,D$92-SUM(E$99:E138))</f>
        <v>1679616.0797342174</v>
      </c>
      <c r="E139" s="522">
        <f>IF(+J96&lt;F138,J96,D139)</f>
        <v>603117.35714285716</v>
      </c>
      <c r="F139" s="523">
        <f t="shared" si="21"/>
        <v>1076498.7225913601</v>
      </c>
      <c r="G139" s="523">
        <f t="shared" si="22"/>
        <v>1378057.4011627887</v>
      </c>
      <c r="H139" s="526">
        <f t="shared" si="19"/>
        <v>751360.2731919447</v>
      </c>
      <c r="I139" s="577">
        <f t="shared" si="20"/>
        <v>751360.2731919447</v>
      </c>
      <c r="J139" s="514">
        <f t="shared" si="23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 ht="12.5">
      <c r="B140" s="195" t="str">
        <f t="shared" si="14"/>
        <v/>
      </c>
      <c r="C140" s="507">
        <f>IF(D93="","-",+C139+1)</f>
        <v>2057</v>
      </c>
      <c r="D140" s="374">
        <f>IF(F139+SUM(E$99:E139)=D$92,F139,D$92-SUM(E$99:E139))</f>
        <v>1076498.7225913601</v>
      </c>
      <c r="E140" s="522">
        <f>IF(+J96&lt;F139,J96,D140)</f>
        <v>603117.35714285716</v>
      </c>
      <c r="F140" s="523">
        <f t="shared" si="21"/>
        <v>473381.36544850294</v>
      </c>
      <c r="G140" s="523">
        <f t="shared" si="22"/>
        <v>774940.04401993146</v>
      </c>
      <c r="H140" s="526">
        <f t="shared" si="19"/>
        <v>686480.62763637141</v>
      </c>
      <c r="I140" s="577">
        <f t="shared" si="20"/>
        <v>686480.62763637141</v>
      </c>
      <c r="J140" s="514">
        <f t="shared" si="23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 ht="12.5">
      <c r="B141" s="195" t="str">
        <f t="shared" si="14"/>
        <v/>
      </c>
      <c r="C141" s="507">
        <f>IF(D93="","-",+C140+1)</f>
        <v>2058</v>
      </c>
      <c r="D141" s="374">
        <f>IF(F140+SUM(E$99:E140)=D$92,F140,D$92-SUM(E$99:E140))</f>
        <v>473381.36544850294</v>
      </c>
      <c r="E141" s="522">
        <f>IF(+J96&lt;F140,J96,D141)</f>
        <v>473381.36544850294</v>
      </c>
      <c r="F141" s="523">
        <f t="shared" si="21"/>
        <v>0</v>
      </c>
      <c r="G141" s="523">
        <f t="shared" si="22"/>
        <v>236690.68272425147</v>
      </c>
      <c r="H141" s="526">
        <f t="shared" si="19"/>
        <v>498843.0893063668</v>
      </c>
      <c r="I141" s="577">
        <f t="shared" si="20"/>
        <v>498843.0893063668</v>
      </c>
      <c r="J141" s="514">
        <f t="shared" si="23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 ht="12.5">
      <c r="B142" s="195" t="str">
        <f t="shared" si="14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1"/>
        <v>0</v>
      </c>
      <c r="G142" s="523">
        <f t="shared" si="22"/>
        <v>0</v>
      </c>
      <c r="H142" s="526">
        <f t="shared" si="19"/>
        <v>0</v>
      </c>
      <c r="I142" s="577">
        <f t="shared" si="20"/>
        <v>0</v>
      </c>
      <c r="J142" s="514">
        <f t="shared" si="23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 ht="12.5">
      <c r="B143" s="195" t="str">
        <f t="shared" si="14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1"/>
        <v>0</v>
      </c>
      <c r="G143" s="523">
        <f t="shared" si="22"/>
        <v>0</v>
      </c>
      <c r="H143" s="526">
        <f t="shared" si="19"/>
        <v>0</v>
      </c>
      <c r="I143" s="577">
        <f t="shared" si="20"/>
        <v>0</v>
      </c>
      <c r="J143" s="514">
        <f t="shared" si="23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 ht="12.5">
      <c r="B144" s="195" t="str">
        <f t="shared" si="14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1"/>
        <v>0</v>
      </c>
      <c r="G144" s="523">
        <f t="shared" si="22"/>
        <v>0</v>
      </c>
      <c r="H144" s="526">
        <f t="shared" si="19"/>
        <v>0</v>
      </c>
      <c r="I144" s="577">
        <f t="shared" si="20"/>
        <v>0</v>
      </c>
      <c r="J144" s="514">
        <f t="shared" si="23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 ht="12.5">
      <c r="B145" s="195" t="str">
        <f t="shared" si="14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1"/>
        <v>0</v>
      </c>
      <c r="G145" s="523">
        <f t="shared" si="22"/>
        <v>0</v>
      </c>
      <c r="H145" s="526">
        <f t="shared" si="19"/>
        <v>0</v>
      </c>
      <c r="I145" s="577">
        <f t="shared" si="20"/>
        <v>0</v>
      </c>
      <c r="J145" s="514">
        <f t="shared" si="23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 ht="12.5">
      <c r="B146" s="195" t="str">
        <f t="shared" si="14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1"/>
        <v>0</v>
      </c>
      <c r="G146" s="523">
        <f t="shared" si="22"/>
        <v>0</v>
      </c>
      <c r="H146" s="526">
        <f t="shared" si="19"/>
        <v>0</v>
      </c>
      <c r="I146" s="577">
        <f t="shared" si="20"/>
        <v>0</v>
      </c>
      <c r="J146" s="514">
        <f t="shared" si="23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 ht="12.5">
      <c r="B147" s="195" t="str">
        <f t="shared" si="14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1"/>
        <v>0</v>
      </c>
      <c r="G147" s="523">
        <f t="shared" si="22"/>
        <v>0</v>
      </c>
      <c r="H147" s="526">
        <f t="shared" si="19"/>
        <v>0</v>
      </c>
      <c r="I147" s="577">
        <f t="shared" si="20"/>
        <v>0</v>
      </c>
      <c r="J147" s="514">
        <f t="shared" si="23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 ht="12.5">
      <c r="B148" s="195" t="str">
        <f t="shared" si="14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1"/>
        <v>0</v>
      </c>
      <c r="G148" s="523">
        <f t="shared" si="22"/>
        <v>0</v>
      </c>
      <c r="H148" s="526">
        <f t="shared" si="19"/>
        <v>0</v>
      </c>
      <c r="I148" s="577">
        <f t="shared" si="20"/>
        <v>0</v>
      </c>
      <c r="J148" s="514">
        <f t="shared" si="23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 ht="12.5">
      <c r="B149" s="195" t="str">
        <f t="shared" si="14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1"/>
        <v>0</v>
      </c>
      <c r="G149" s="523">
        <f t="shared" si="22"/>
        <v>0</v>
      </c>
      <c r="H149" s="526">
        <f t="shared" si="19"/>
        <v>0</v>
      </c>
      <c r="I149" s="577">
        <f t="shared" si="20"/>
        <v>0</v>
      </c>
      <c r="J149" s="514">
        <f t="shared" si="23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 ht="12.5">
      <c r="B150" s="195" t="str">
        <f t="shared" si="14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1"/>
        <v>0</v>
      </c>
      <c r="G150" s="523">
        <f t="shared" si="22"/>
        <v>0</v>
      </c>
      <c r="H150" s="526">
        <f t="shared" si="19"/>
        <v>0</v>
      </c>
      <c r="I150" s="577">
        <f t="shared" si="20"/>
        <v>0</v>
      </c>
      <c r="J150" s="514">
        <f t="shared" si="23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 ht="12.5">
      <c r="B151" s="195" t="str">
        <f t="shared" si="14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1"/>
        <v>0</v>
      </c>
      <c r="G151" s="523">
        <f t="shared" si="22"/>
        <v>0</v>
      </c>
      <c r="H151" s="526">
        <f t="shared" si="19"/>
        <v>0</v>
      </c>
      <c r="I151" s="577">
        <f t="shared" si="20"/>
        <v>0</v>
      </c>
      <c r="J151" s="514">
        <f t="shared" si="23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 ht="12.5">
      <c r="B152" s="195" t="str">
        <f t="shared" si="14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1"/>
        <v>0</v>
      </c>
      <c r="G152" s="523">
        <f t="shared" si="22"/>
        <v>0</v>
      </c>
      <c r="H152" s="526">
        <f t="shared" si="19"/>
        <v>0</v>
      </c>
      <c r="I152" s="577">
        <f t="shared" si="20"/>
        <v>0</v>
      </c>
      <c r="J152" s="514">
        <f t="shared" si="23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 ht="12.5">
      <c r="B153" s="195" t="str">
        <f t="shared" si="14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1"/>
        <v>0</v>
      </c>
      <c r="G153" s="523">
        <f t="shared" si="22"/>
        <v>0</v>
      </c>
      <c r="H153" s="526">
        <f t="shared" si="19"/>
        <v>0</v>
      </c>
      <c r="I153" s="577">
        <f t="shared" si="20"/>
        <v>0</v>
      </c>
      <c r="J153" s="514">
        <f t="shared" si="23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" thickBot="1">
      <c r="B154" s="195" t="str">
        <f t="shared" si="14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1"/>
        <v>0</v>
      </c>
      <c r="G154" s="528">
        <f t="shared" si="22"/>
        <v>0</v>
      </c>
      <c r="H154" s="530">
        <f t="shared" si="19"/>
        <v>0</v>
      </c>
      <c r="I154" s="579">
        <f t="shared" si="20"/>
        <v>0</v>
      </c>
      <c r="J154" s="533">
        <f t="shared" si="23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 ht="12.5">
      <c r="C155" s="374" t="s">
        <v>78</v>
      </c>
      <c r="D155" s="375"/>
      <c r="E155" s="375">
        <f>SUM(E99:E154)</f>
        <v>25330929.000000004</v>
      </c>
      <c r="F155" s="375"/>
      <c r="G155" s="375"/>
      <c r="H155" s="375">
        <f>SUM(H99:H154)</f>
        <v>83817647.820368066</v>
      </c>
      <c r="I155" s="375">
        <f>SUM(I99:I154)</f>
        <v>83817647.820368066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3" priority="1" stopIfTrue="1" operator="equal">
      <formula>$I$10</formula>
    </cfRule>
  </conditionalFormatting>
  <conditionalFormatting sqref="C99:C154">
    <cfRule type="cellIs" dxfId="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8"/>
  <dimension ref="A1:P162"/>
  <sheetViews>
    <sheetView view="pageBreakPreview" zoomScale="80" zoomScaleNormal="100" zoomScaleSheetLayoutView="80" workbookViewId="0">
      <selection activeCell="D8" sqref="D8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59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2031210.1975052932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2031210.1975052932</v>
      </c>
      <c r="O6" s="269"/>
      <c r="P6" s="269"/>
    </row>
    <row r="7" spans="1:16" ht="13.5" thickBot="1">
      <c r="C7" s="467" t="s">
        <v>48</v>
      </c>
      <c r="D7" s="624" t="s">
        <v>366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410</v>
      </c>
      <c r="E9" s="637" t="s">
        <v>409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17132604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407919.14285714284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v>2016</v>
      </c>
      <c r="D17" s="631">
        <v>9636181</v>
      </c>
      <c r="E17" s="631">
        <f>IF(+I13&lt;F16,I13,D17)</f>
        <v>0.10681797376050146</v>
      </c>
      <c r="F17" s="631">
        <v>9636181</v>
      </c>
      <c r="G17" s="630">
        <v>1253474.1837577762</v>
      </c>
      <c r="H17" s="639">
        <v>1253474.1837577762</v>
      </c>
      <c r="I17" s="511">
        <f t="shared" ref="I17:I72" si="0">H17-G17</f>
        <v>0</v>
      </c>
      <c r="J17" s="511"/>
      <c r="K17" s="512">
        <f>+G17</f>
        <v>1253474.1837577762</v>
      </c>
      <c r="L17" s="513">
        <f t="shared" ref="L17:L72" si="1">IF(K17&lt;&gt;0,+G17-K17,0)</f>
        <v>0</v>
      </c>
      <c r="M17" s="512">
        <f>+H17</f>
        <v>1253474.1837577762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51">
        <v>16078411.876107465</v>
      </c>
      <c r="E18" s="656">
        <v>373916.5581395349</v>
      </c>
      <c r="F18" s="651">
        <v>15704495.317967931</v>
      </c>
      <c r="G18" s="650">
        <v>2342749.0071242256</v>
      </c>
      <c r="H18" s="657">
        <v>2342749.0071242256</v>
      </c>
      <c r="I18" s="511">
        <f t="shared" si="0"/>
        <v>0</v>
      </c>
      <c r="J18" s="511"/>
      <c r="K18" s="518">
        <f>+G18</f>
        <v>2342749.0071242256</v>
      </c>
      <c r="L18" s="519">
        <f>IF(K18&lt;&gt;0,+G18-K18,0)</f>
        <v>0</v>
      </c>
      <c r="M18" s="518">
        <f>+H18</f>
        <v>2342749.0071242256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2018</v>
      </c>
      <c r="D19" s="651">
        <v>15704495.441860465</v>
      </c>
      <c r="E19" s="656">
        <v>392156.39024390245</v>
      </c>
      <c r="F19" s="651">
        <v>15312339.051616563</v>
      </c>
      <c r="G19" s="650">
        <v>2363184.7060216111</v>
      </c>
      <c r="H19" s="657">
        <v>2363184.7060216111</v>
      </c>
      <c r="I19" s="511">
        <f t="shared" si="0"/>
        <v>0</v>
      </c>
      <c r="J19" s="511"/>
      <c r="K19" s="518">
        <f>+G19</f>
        <v>2363184.7060216111</v>
      </c>
      <c r="L19" s="519">
        <f>IF(K19&lt;&gt;0,+G19-K19,0)</f>
        <v>0</v>
      </c>
      <c r="M19" s="518">
        <f>+H19</f>
        <v>2363184.7060216111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>IU</v>
      </c>
      <c r="C20" s="507">
        <f>IF(D11="","-",+C19+1)</f>
        <v>2019</v>
      </c>
      <c r="D20" s="651">
        <v>15312338.924522463</v>
      </c>
      <c r="E20" s="656">
        <v>392156.39024390245</v>
      </c>
      <c r="F20" s="651">
        <v>14920182.53427856</v>
      </c>
      <c r="G20" s="650">
        <v>2313343.9268116932</v>
      </c>
      <c r="H20" s="657">
        <v>2313343.9268116932</v>
      </c>
      <c r="I20" s="511">
        <f t="shared" si="0"/>
        <v>0</v>
      </c>
      <c r="J20" s="511"/>
      <c r="K20" s="518">
        <f>+G20</f>
        <v>2313343.9268116932</v>
      </c>
      <c r="L20" s="519">
        <f>IF(K20&lt;&gt;0,+G20-K20,0)</f>
        <v>0</v>
      </c>
      <c r="M20" s="518">
        <f>+H20</f>
        <v>2313343.9268116932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4"/>
        <v>IU</v>
      </c>
      <c r="C21" s="507">
        <f>IF(D11="","-",+C20+1)</f>
        <v>2020</v>
      </c>
      <c r="D21" s="651">
        <v>15974201.53427856</v>
      </c>
      <c r="E21" s="656">
        <v>417864.1707317073</v>
      </c>
      <c r="F21" s="651">
        <v>15556337.363546854</v>
      </c>
      <c r="G21" s="650">
        <v>2031210.1975052932</v>
      </c>
      <c r="H21" s="657">
        <v>2031210.1975052932</v>
      </c>
      <c r="I21" s="511">
        <f t="shared" si="0"/>
        <v>0</v>
      </c>
      <c r="J21" s="511"/>
      <c r="K21" s="518">
        <f>+G21</f>
        <v>2031210.1975052932</v>
      </c>
      <c r="L21" s="519">
        <f>IF(K21&lt;&gt;0,+G21-K21,0)</f>
        <v>0</v>
      </c>
      <c r="M21" s="518">
        <f>+H21</f>
        <v>2031210.1975052932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4"/>
        <v>IU</v>
      </c>
      <c r="C22" s="507">
        <f>IF(D11="","-",+C21+1)</f>
        <v>2021</v>
      </c>
      <c r="D22" s="523">
        <f>IF(F21+SUM(E$17:E21)=D$10,F21,D$10-SUM(E$17:E21))</f>
        <v>15556510.383822979</v>
      </c>
      <c r="E22" s="522">
        <f>IF(+I14&lt;F21,I14,D22)</f>
        <v>407919.14285714284</v>
      </c>
      <c r="F22" s="523">
        <f t="shared" ref="F22:F72" si="5">+D22-E22</f>
        <v>15148591.240965836</v>
      </c>
      <c r="G22" s="524">
        <f t="shared" ref="G22:G49" si="6">+I$12*((D22+F22)/2)+E22</f>
        <v>2047847.512692254</v>
      </c>
      <c r="H22" s="491">
        <f t="shared" ref="H22:H49" si="7">+I$13*((D22+F22)/2)+E22</f>
        <v>2047847.512692254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4"/>
        <v/>
      </c>
      <c r="C23" s="507">
        <f>IF(D11="","-",+C22+1)</f>
        <v>2022</v>
      </c>
      <c r="D23" s="523">
        <f>IF(F22+SUM(E$17:E22)=D$10,F22,D$10-SUM(E$17:E22))</f>
        <v>15148591.240965836</v>
      </c>
      <c r="E23" s="522">
        <f>IF(+I14&lt;F22,I14,D23)</f>
        <v>407919.14285714284</v>
      </c>
      <c r="F23" s="523">
        <f t="shared" si="5"/>
        <v>14740672.098108692</v>
      </c>
      <c r="G23" s="524">
        <f t="shared" si="6"/>
        <v>2004274.4163941336</v>
      </c>
      <c r="H23" s="491">
        <f t="shared" si="7"/>
        <v>2004274.4163941336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4"/>
        <v/>
      </c>
      <c r="C24" s="507">
        <f>IF(D11="","-",+C23+1)</f>
        <v>2023</v>
      </c>
      <c r="D24" s="523">
        <f>IF(F23+SUM(E$17:E23)=D$10,F23,D$10-SUM(E$17:E23))</f>
        <v>14740672.098108692</v>
      </c>
      <c r="E24" s="522">
        <f>IF(+I14&lt;F23,I14,D24)</f>
        <v>407919.14285714284</v>
      </c>
      <c r="F24" s="523">
        <f t="shared" si="5"/>
        <v>14332752.955251548</v>
      </c>
      <c r="G24" s="524">
        <f t="shared" si="6"/>
        <v>1960701.3200960127</v>
      </c>
      <c r="H24" s="491">
        <f t="shared" si="7"/>
        <v>1960701.3200960127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4"/>
        <v/>
      </c>
      <c r="C25" s="507">
        <f>IF(D11="","-",+C24+1)</f>
        <v>2024</v>
      </c>
      <c r="D25" s="523">
        <f>IF(F24+SUM(E$17:E24)=D$10,F24,D$10-SUM(E$17:E24))</f>
        <v>14332752.955251548</v>
      </c>
      <c r="E25" s="522">
        <f>IF(+I14&lt;F24,I14,D25)</f>
        <v>407919.14285714284</v>
      </c>
      <c r="F25" s="523">
        <f t="shared" si="5"/>
        <v>13924833.812394405</v>
      </c>
      <c r="G25" s="524">
        <f t="shared" si="6"/>
        <v>1917128.2237978922</v>
      </c>
      <c r="H25" s="491">
        <f t="shared" si="7"/>
        <v>1917128.2237978922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4"/>
        <v/>
      </c>
      <c r="C26" s="507">
        <f>IF(D11="","-",+C25+1)</f>
        <v>2025</v>
      </c>
      <c r="D26" s="523">
        <f>IF(F25+SUM(E$17:E25)=D$10,F25,D$10-SUM(E$17:E25))</f>
        <v>13924833.812394405</v>
      </c>
      <c r="E26" s="522">
        <f>IF(+I14&lt;F25,I14,D26)</f>
        <v>407919.14285714284</v>
      </c>
      <c r="F26" s="523">
        <f t="shared" si="5"/>
        <v>13516914.669537261</v>
      </c>
      <c r="G26" s="524">
        <f t="shared" si="6"/>
        <v>1873555.1274997713</v>
      </c>
      <c r="H26" s="491">
        <f t="shared" si="7"/>
        <v>1873555.1274997713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4"/>
        <v/>
      </c>
      <c r="C27" s="507">
        <f>IF(D11="","-",+C26+1)</f>
        <v>2026</v>
      </c>
      <c r="D27" s="523">
        <f>IF(F26+SUM(E$17:E26)=D$10,F26,D$10-SUM(E$17:E26))</f>
        <v>13516914.669537261</v>
      </c>
      <c r="E27" s="522">
        <f>IF(+I14&lt;F26,I14,D27)</f>
        <v>407919.14285714284</v>
      </c>
      <c r="F27" s="523">
        <f t="shared" si="5"/>
        <v>13108995.526680117</v>
      </c>
      <c r="G27" s="524">
        <f t="shared" si="6"/>
        <v>1829982.0312016513</v>
      </c>
      <c r="H27" s="491">
        <f t="shared" si="7"/>
        <v>1829982.0312016513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4"/>
        <v/>
      </c>
      <c r="C28" s="507">
        <f>IF(D11="","-",+C27+1)</f>
        <v>2027</v>
      </c>
      <c r="D28" s="523">
        <f>IF(F27+SUM(E$17:E27)=D$10,F27,D$10-SUM(E$17:E27))</f>
        <v>13108995.526680117</v>
      </c>
      <c r="E28" s="522">
        <f>IF(+I14&lt;F27,I14,D28)</f>
        <v>407919.14285714284</v>
      </c>
      <c r="F28" s="523">
        <f t="shared" si="5"/>
        <v>12701076.383822974</v>
      </c>
      <c r="G28" s="524">
        <f t="shared" si="6"/>
        <v>1786408.9349035304</v>
      </c>
      <c r="H28" s="491">
        <f t="shared" si="7"/>
        <v>1786408.9349035304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4"/>
        <v/>
      </c>
      <c r="C29" s="507">
        <f>IF(D11="","-",+C28+1)</f>
        <v>2028</v>
      </c>
      <c r="D29" s="523">
        <f>IF(F28+SUM(E$17:E28)=D$10,F28,D$10-SUM(E$17:E28))</f>
        <v>12701076.383822974</v>
      </c>
      <c r="E29" s="522">
        <f>IF(+I14&lt;F28,I14,D29)</f>
        <v>407919.14285714284</v>
      </c>
      <c r="F29" s="523">
        <f t="shared" si="5"/>
        <v>12293157.24096583</v>
      </c>
      <c r="G29" s="524">
        <f t="shared" si="6"/>
        <v>1742835.83860541</v>
      </c>
      <c r="H29" s="491">
        <f t="shared" si="7"/>
        <v>1742835.83860541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4"/>
        <v/>
      </c>
      <c r="C30" s="507">
        <f>IF(D11="","-",+C29+1)</f>
        <v>2029</v>
      </c>
      <c r="D30" s="523">
        <f>IF(F29+SUM(E$17:E29)=D$10,F29,D$10-SUM(E$17:E29))</f>
        <v>12293157.24096583</v>
      </c>
      <c r="E30" s="522">
        <f>IF(+I14&lt;F29,I14,D30)</f>
        <v>407919.14285714284</v>
      </c>
      <c r="F30" s="523">
        <f t="shared" si="5"/>
        <v>11885238.098108687</v>
      </c>
      <c r="G30" s="524">
        <f t="shared" si="6"/>
        <v>1699262.742307289</v>
      </c>
      <c r="H30" s="491">
        <f t="shared" si="7"/>
        <v>1699262.742307289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4"/>
        <v/>
      </c>
      <c r="C31" s="507">
        <f>IF(D11="","-",+C30+1)</f>
        <v>2030</v>
      </c>
      <c r="D31" s="523">
        <f>IF(F30+SUM(E$17:E30)=D$10,F30,D$10-SUM(E$17:E30))</f>
        <v>11885238.098108687</v>
      </c>
      <c r="E31" s="522">
        <f>IF(+I14&lt;F30,I14,D31)</f>
        <v>407919.14285714284</v>
      </c>
      <c r="F31" s="523">
        <f t="shared" si="5"/>
        <v>11477318.955251543</v>
      </c>
      <c r="G31" s="524">
        <f t="shared" si="6"/>
        <v>1655689.6460091686</v>
      </c>
      <c r="H31" s="491">
        <f t="shared" si="7"/>
        <v>1655689.6460091686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4"/>
        <v/>
      </c>
      <c r="C32" s="507">
        <f>IF(D11="","-",+C31+1)</f>
        <v>2031</v>
      </c>
      <c r="D32" s="523">
        <f>IF(F31+SUM(E$17:E31)=D$10,F31,D$10-SUM(E$17:E31))</f>
        <v>11477318.955251543</v>
      </c>
      <c r="E32" s="522">
        <f>IF(+I14&lt;F31,I14,D32)</f>
        <v>407919.14285714284</v>
      </c>
      <c r="F32" s="523">
        <f t="shared" si="5"/>
        <v>11069399.812394399</v>
      </c>
      <c r="G32" s="524">
        <f t="shared" si="6"/>
        <v>1612116.5497110477</v>
      </c>
      <c r="H32" s="491">
        <f t="shared" si="7"/>
        <v>1612116.5497110477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4"/>
        <v/>
      </c>
      <c r="C33" s="507">
        <f>IF(D11="","-",+C32+1)</f>
        <v>2032</v>
      </c>
      <c r="D33" s="523">
        <f>IF(F32+SUM(E$17:E32)=D$10,F32,D$10-SUM(E$17:E32))</f>
        <v>11069399.812394399</v>
      </c>
      <c r="E33" s="522">
        <f>IF(+I14&lt;F32,I14,D33)</f>
        <v>407919.14285714284</v>
      </c>
      <c r="F33" s="523">
        <f t="shared" si="5"/>
        <v>10661480.669537256</v>
      </c>
      <c r="G33" s="524">
        <f t="shared" si="6"/>
        <v>1568543.4534129272</v>
      </c>
      <c r="H33" s="491">
        <f t="shared" si="7"/>
        <v>1568543.4534129272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4"/>
        <v/>
      </c>
      <c r="C34" s="507">
        <f>IF(D11="","-",+C33+1)</f>
        <v>2033</v>
      </c>
      <c r="D34" s="523">
        <f>IF(F33+SUM(E$17:E33)=D$10,F33,D$10-SUM(E$17:E33))</f>
        <v>10661480.669537256</v>
      </c>
      <c r="E34" s="522">
        <f>IF(+I14&lt;F33,I14,D34)</f>
        <v>407919.14285714284</v>
      </c>
      <c r="F34" s="523">
        <f t="shared" si="5"/>
        <v>10253561.526680112</v>
      </c>
      <c r="G34" s="524">
        <f t="shared" si="6"/>
        <v>1524970.3571148068</v>
      </c>
      <c r="H34" s="491">
        <f t="shared" si="7"/>
        <v>1524970.3571148068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4"/>
        <v/>
      </c>
      <c r="C35" s="507">
        <f>IF(D11="","-",+C34+1)</f>
        <v>2034</v>
      </c>
      <c r="D35" s="523">
        <f>IF(F34+SUM(E$17:E34)=D$10,F34,D$10-SUM(E$17:E34))</f>
        <v>10253561.526680112</v>
      </c>
      <c r="E35" s="522">
        <f>IF(+I14&lt;F34,I14,D35)</f>
        <v>407919.14285714284</v>
      </c>
      <c r="F35" s="523">
        <f t="shared" si="5"/>
        <v>9845642.3838229682</v>
      </c>
      <c r="G35" s="524">
        <f t="shared" si="6"/>
        <v>1481397.2608166863</v>
      </c>
      <c r="H35" s="491">
        <f t="shared" si="7"/>
        <v>1481397.2608166863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4"/>
        <v/>
      </c>
      <c r="C36" s="507">
        <f>IF(D11="","-",+C35+1)</f>
        <v>2035</v>
      </c>
      <c r="D36" s="523">
        <f>IF(F35+SUM(E$17:E35)=D$10,F35,D$10-SUM(E$17:E35))</f>
        <v>9845642.3838229682</v>
      </c>
      <c r="E36" s="522">
        <f>IF(+I14&lt;F35,I14,D36)</f>
        <v>407919.14285714284</v>
      </c>
      <c r="F36" s="523">
        <f t="shared" si="5"/>
        <v>9437723.2409658246</v>
      </c>
      <c r="G36" s="524">
        <f t="shared" si="6"/>
        <v>1437824.1645185654</v>
      </c>
      <c r="H36" s="491">
        <f t="shared" si="7"/>
        <v>1437824.1645185654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4"/>
        <v/>
      </c>
      <c r="C37" s="507">
        <f>IF(D11="","-",+C36+1)</f>
        <v>2036</v>
      </c>
      <c r="D37" s="523">
        <f>IF(F36+SUM(E$17:E36)=D$10,F36,D$10-SUM(E$17:E36))</f>
        <v>9437723.2409658246</v>
      </c>
      <c r="E37" s="522">
        <f>IF(+I14&lt;F36,I14,D37)</f>
        <v>407919.14285714284</v>
      </c>
      <c r="F37" s="523">
        <f t="shared" si="5"/>
        <v>9029804.0981086809</v>
      </c>
      <c r="G37" s="524">
        <f t="shared" si="6"/>
        <v>1394251.068220445</v>
      </c>
      <c r="H37" s="491">
        <f t="shared" si="7"/>
        <v>1394251.068220445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4"/>
        <v/>
      </c>
      <c r="C38" s="507">
        <f>IF(D11="","-",+C37+1)</f>
        <v>2037</v>
      </c>
      <c r="D38" s="523">
        <f>IF(F37+SUM(E$17:E37)=D$10,F37,D$10-SUM(E$17:E37))</f>
        <v>9029804.0981086809</v>
      </c>
      <c r="E38" s="522">
        <f>IF(+I14&lt;F37,I14,D38)</f>
        <v>407919.14285714284</v>
      </c>
      <c r="F38" s="523">
        <f t="shared" si="5"/>
        <v>8621884.9552515373</v>
      </c>
      <c r="G38" s="524">
        <f t="shared" si="6"/>
        <v>1350677.971922324</v>
      </c>
      <c r="H38" s="491">
        <f t="shared" si="7"/>
        <v>1350677.971922324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4"/>
        <v/>
      </c>
      <c r="C39" s="507">
        <f>IF(D11="","-",+C38+1)</f>
        <v>2038</v>
      </c>
      <c r="D39" s="523">
        <f>IF(F38+SUM(E$17:E38)=D$10,F38,D$10-SUM(E$17:E38))</f>
        <v>8621884.9552515373</v>
      </c>
      <c r="E39" s="522">
        <f>IF(+I14&lt;F38,I14,D39)</f>
        <v>407919.14285714284</v>
      </c>
      <c r="F39" s="523">
        <f t="shared" si="5"/>
        <v>8213965.8123943945</v>
      </c>
      <c r="G39" s="524">
        <f t="shared" si="6"/>
        <v>1307104.8756242036</v>
      </c>
      <c r="H39" s="491">
        <f t="shared" si="7"/>
        <v>1307104.8756242036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4"/>
        <v/>
      </c>
      <c r="C40" s="507">
        <f>IF(D11="","-",+C39+1)</f>
        <v>2039</v>
      </c>
      <c r="D40" s="523">
        <f>IF(F39+SUM(E$17:E39)=D$10,F39,D$10-SUM(E$17:E39))</f>
        <v>8213965.8123943945</v>
      </c>
      <c r="E40" s="522">
        <f>IF(+I14&lt;F39,I14,D40)</f>
        <v>407919.14285714284</v>
      </c>
      <c r="F40" s="523">
        <f t="shared" si="5"/>
        <v>7806046.6695372518</v>
      </c>
      <c r="G40" s="524">
        <f t="shared" si="6"/>
        <v>1263531.7793260831</v>
      </c>
      <c r="H40" s="491">
        <f t="shared" si="7"/>
        <v>1263531.7793260831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4"/>
        <v/>
      </c>
      <c r="C41" s="507">
        <f>IF(D11="","-",+C40+1)</f>
        <v>2040</v>
      </c>
      <c r="D41" s="523">
        <f>IF(F40+SUM(E$17:E40)=D$10,F40,D$10-SUM(E$17:E40))</f>
        <v>7806046.6695372518</v>
      </c>
      <c r="E41" s="522">
        <f>IF(+I14&lt;F40,I14,D41)</f>
        <v>407919.14285714284</v>
      </c>
      <c r="F41" s="523">
        <f t="shared" si="5"/>
        <v>7398127.5266801091</v>
      </c>
      <c r="G41" s="524">
        <f t="shared" si="6"/>
        <v>1219958.6830279627</v>
      </c>
      <c r="H41" s="491">
        <f t="shared" si="7"/>
        <v>1219958.6830279627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4"/>
        <v/>
      </c>
      <c r="C42" s="507">
        <f>IF(D11="","-",+C41+1)</f>
        <v>2041</v>
      </c>
      <c r="D42" s="523">
        <f>IF(F41+SUM(E$17:E41)=D$10,F41,D$10-SUM(E$17:E41))</f>
        <v>7398127.5266801091</v>
      </c>
      <c r="E42" s="522">
        <f>IF(+I14&lt;F41,I14,D42)</f>
        <v>407919.14285714284</v>
      </c>
      <c r="F42" s="523">
        <f t="shared" si="5"/>
        <v>6990208.3838229664</v>
      </c>
      <c r="G42" s="524">
        <f t="shared" si="6"/>
        <v>1176385.586729842</v>
      </c>
      <c r="H42" s="491">
        <f t="shared" si="7"/>
        <v>1176385.586729842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4"/>
        <v/>
      </c>
      <c r="C43" s="507">
        <f>IF(D11="","-",+C42+1)</f>
        <v>2042</v>
      </c>
      <c r="D43" s="523">
        <f>IF(F42+SUM(E$17:E42)=D$10,F42,D$10-SUM(E$17:E42))</f>
        <v>6990208.3838229664</v>
      </c>
      <c r="E43" s="522">
        <f>IF(+I14&lt;F42,I14,D43)</f>
        <v>407919.14285714284</v>
      </c>
      <c r="F43" s="523">
        <f t="shared" si="5"/>
        <v>6582289.2409658236</v>
      </c>
      <c r="G43" s="524">
        <f t="shared" si="6"/>
        <v>1132812.4904317216</v>
      </c>
      <c r="H43" s="491">
        <f t="shared" si="7"/>
        <v>1132812.4904317216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4"/>
        <v/>
      </c>
      <c r="C44" s="507">
        <f>IF(D11="","-",+C43+1)</f>
        <v>2043</v>
      </c>
      <c r="D44" s="523">
        <f>IF(F43+SUM(E$17:E43)=D$10,F43,D$10-SUM(E$17:E43))</f>
        <v>6582289.2409658236</v>
      </c>
      <c r="E44" s="522">
        <f>IF(+I14&lt;F43,I14,D44)</f>
        <v>407919.14285714284</v>
      </c>
      <c r="F44" s="523">
        <f t="shared" si="5"/>
        <v>6174370.0981086809</v>
      </c>
      <c r="G44" s="524">
        <f t="shared" si="6"/>
        <v>1089239.3941336009</v>
      </c>
      <c r="H44" s="491">
        <f t="shared" si="7"/>
        <v>1089239.3941336009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4"/>
        <v/>
      </c>
      <c r="C45" s="507">
        <f>IF(D11="","-",+C44+1)</f>
        <v>2044</v>
      </c>
      <c r="D45" s="523">
        <f>IF(F44+SUM(E$17:E44)=D$10,F44,D$10-SUM(E$17:E44))</f>
        <v>6174370.0981086809</v>
      </c>
      <c r="E45" s="522">
        <f>IF(+I14&lt;F44,I14,D45)</f>
        <v>407919.14285714284</v>
      </c>
      <c r="F45" s="523">
        <f t="shared" si="5"/>
        <v>5766450.9552515382</v>
      </c>
      <c r="G45" s="524">
        <f t="shared" si="6"/>
        <v>1045666.2978354805</v>
      </c>
      <c r="H45" s="491">
        <f t="shared" si="7"/>
        <v>1045666.2978354805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4"/>
        <v/>
      </c>
      <c r="C46" s="507">
        <f>IF(D11="","-",+C45+1)</f>
        <v>2045</v>
      </c>
      <c r="D46" s="523">
        <f>IF(F45+SUM(E$17:E45)=D$10,F45,D$10-SUM(E$17:E45))</f>
        <v>5766450.9552515382</v>
      </c>
      <c r="E46" s="522">
        <f>IF(+I14&lt;F45,I14,D46)</f>
        <v>407919.14285714284</v>
      </c>
      <c r="F46" s="523">
        <f t="shared" si="5"/>
        <v>5358531.8123943955</v>
      </c>
      <c r="G46" s="524">
        <f t="shared" si="6"/>
        <v>1002093.20153736</v>
      </c>
      <c r="H46" s="491">
        <f t="shared" si="7"/>
        <v>1002093.20153736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4"/>
        <v/>
      </c>
      <c r="C47" s="507">
        <f>IF(D11="","-",+C46+1)</f>
        <v>2046</v>
      </c>
      <c r="D47" s="523">
        <f>IF(F46+SUM(E$17:E46)=D$10,F46,D$10-SUM(E$17:E46))</f>
        <v>5358531.8123943955</v>
      </c>
      <c r="E47" s="522">
        <f>IF(+I14&lt;F46,I14,D47)</f>
        <v>407919.14285714284</v>
      </c>
      <c r="F47" s="523">
        <f t="shared" si="5"/>
        <v>4950612.6695372527</v>
      </c>
      <c r="G47" s="524">
        <f t="shared" si="6"/>
        <v>958520.10523923952</v>
      </c>
      <c r="H47" s="491">
        <f t="shared" si="7"/>
        <v>958520.10523923952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4"/>
        <v/>
      </c>
      <c r="C48" s="507">
        <f>IF(D11="","-",+C47+1)</f>
        <v>2047</v>
      </c>
      <c r="D48" s="523">
        <f>IF(F47+SUM(E$17:E47)=D$10,F47,D$10-SUM(E$17:E47))</f>
        <v>4950612.6695372527</v>
      </c>
      <c r="E48" s="522">
        <f>IF(+I14&lt;F47,I14,D48)</f>
        <v>407919.14285714284</v>
      </c>
      <c r="F48" s="523">
        <f t="shared" si="5"/>
        <v>4542693.52668011</v>
      </c>
      <c r="G48" s="524">
        <f t="shared" si="6"/>
        <v>914947.00894111884</v>
      </c>
      <c r="H48" s="491">
        <f t="shared" si="7"/>
        <v>914947.00894111884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4"/>
        <v/>
      </c>
      <c r="C49" s="507">
        <f>IF(D11="","-",+C48+1)</f>
        <v>2048</v>
      </c>
      <c r="D49" s="523">
        <f>IF(F48+SUM(E$17:E48)=D$10,F48,D$10-SUM(E$17:E48))</f>
        <v>4542693.52668011</v>
      </c>
      <c r="E49" s="522">
        <f>IF(+I14&lt;F48,I14,D49)</f>
        <v>407919.14285714284</v>
      </c>
      <c r="F49" s="523">
        <f t="shared" si="5"/>
        <v>4134774.3838229673</v>
      </c>
      <c r="G49" s="524">
        <f t="shared" si="6"/>
        <v>871373.9126429985</v>
      </c>
      <c r="H49" s="491">
        <f t="shared" si="7"/>
        <v>871373.9126429985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4"/>
        <v/>
      </c>
      <c r="C50" s="507">
        <f>IF(D11="","-",+C49+1)</f>
        <v>2049</v>
      </c>
      <c r="D50" s="523">
        <f>IF(F49+SUM(E$17:E49)=D$10,F49,D$10-SUM(E$17:E49))</f>
        <v>4134774.3838229673</v>
      </c>
      <c r="E50" s="522">
        <f>IF(+I14&lt;F49,I14,D50)</f>
        <v>407919.14285714284</v>
      </c>
      <c r="F50" s="523">
        <f t="shared" si="5"/>
        <v>3726855.2409658246</v>
      </c>
      <c r="G50" s="524">
        <f t="shared" ref="G50:G72" si="8">+I$12*((D50+F50)/2)+E50</f>
        <v>827800.81634487794</v>
      </c>
      <c r="H50" s="491">
        <f t="shared" ref="H50:H72" si="9">+I$13*((D50+F50)/2)+E50</f>
        <v>827800.81634487794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4"/>
        <v/>
      </c>
      <c r="C51" s="507">
        <f>IF(D11="","-",+C50+1)</f>
        <v>2050</v>
      </c>
      <c r="D51" s="523">
        <f>IF(F50+SUM(E$17:E50)=D$10,F50,D$10-SUM(E$17:E50))</f>
        <v>3726855.2409658246</v>
      </c>
      <c r="E51" s="522">
        <f>IF(+I14&lt;F50,I14,D51)</f>
        <v>407919.14285714284</v>
      </c>
      <c r="F51" s="523">
        <f t="shared" si="5"/>
        <v>3318936.0981086819</v>
      </c>
      <c r="G51" s="524">
        <f t="shared" si="8"/>
        <v>784227.72004675737</v>
      </c>
      <c r="H51" s="491">
        <f t="shared" si="9"/>
        <v>784227.72004675737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4"/>
        <v/>
      </c>
      <c r="C52" s="507">
        <f>IF(D11="","-",+C51+1)</f>
        <v>2051</v>
      </c>
      <c r="D52" s="523">
        <f>IF(F51+SUM(E$17:E51)=D$10,F51,D$10-SUM(E$17:E51))</f>
        <v>3318936.0981086819</v>
      </c>
      <c r="E52" s="522">
        <f>IF(+I14&lt;F51,I14,D52)</f>
        <v>407919.14285714284</v>
      </c>
      <c r="F52" s="523">
        <f t="shared" si="5"/>
        <v>2911016.9552515391</v>
      </c>
      <c r="G52" s="524">
        <f t="shared" si="8"/>
        <v>740654.6237486368</v>
      </c>
      <c r="H52" s="491">
        <f t="shared" si="9"/>
        <v>740654.6237486368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4"/>
        <v/>
      </c>
      <c r="C53" s="507">
        <f>IF(D11="","-",+C52+1)</f>
        <v>2052</v>
      </c>
      <c r="D53" s="523">
        <f>IF(F52+SUM(E$17:E52)=D$10,F52,D$10-SUM(E$17:E52))</f>
        <v>2911016.9552515391</v>
      </c>
      <c r="E53" s="522">
        <f>IF(+I14&lt;F52,I14,D53)</f>
        <v>407919.14285714284</v>
      </c>
      <c r="F53" s="523">
        <f t="shared" si="5"/>
        <v>2503097.8123943964</v>
      </c>
      <c r="G53" s="524">
        <f t="shared" si="8"/>
        <v>697081.52745051635</v>
      </c>
      <c r="H53" s="491">
        <f t="shared" si="9"/>
        <v>697081.52745051635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4"/>
        <v/>
      </c>
      <c r="C54" s="507">
        <f>IF(D11="","-",+C53+1)</f>
        <v>2053</v>
      </c>
      <c r="D54" s="523">
        <f>IF(F53+SUM(E$17:E53)=D$10,F53,D$10-SUM(E$17:E53))</f>
        <v>2503097.8123943964</v>
      </c>
      <c r="E54" s="522">
        <f>IF(+I14&lt;F53,I14,D54)</f>
        <v>407919.14285714284</v>
      </c>
      <c r="F54" s="523">
        <f t="shared" si="5"/>
        <v>2095178.6695372537</v>
      </c>
      <c r="G54" s="524">
        <f t="shared" si="8"/>
        <v>653508.4311523959</v>
      </c>
      <c r="H54" s="491">
        <f t="shared" si="9"/>
        <v>653508.4311523959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4"/>
        <v/>
      </c>
      <c r="C55" s="507">
        <f>IF(D11="","-",+C54+1)</f>
        <v>2054</v>
      </c>
      <c r="D55" s="523">
        <f>IF(F54+SUM(E$17:E54)=D$10,F54,D$10-SUM(E$17:E54))</f>
        <v>2095178.6695372537</v>
      </c>
      <c r="E55" s="522">
        <f>IF(+I14&lt;F54,I14,D55)</f>
        <v>407919.14285714284</v>
      </c>
      <c r="F55" s="523">
        <f t="shared" si="5"/>
        <v>1687259.526680111</v>
      </c>
      <c r="G55" s="524">
        <f t="shared" si="8"/>
        <v>609935.33485427534</v>
      </c>
      <c r="H55" s="491">
        <f t="shared" si="9"/>
        <v>609935.33485427534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4"/>
        <v/>
      </c>
      <c r="C56" s="507">
        <f>IF(D11="","-",+C55+1)</f>
        <v>2055</v>
      </c>
      <c r="D56" s="523">
        <f>IF(F55+SUM(E$17:E55)=D$10,F55,D$10-SUM(E$17:E55))</f>
        <v>1687259.526680111</v>
      </c>
      <c r="E56" s="522">
        <f>IF(+I14&lt;F55,I14,D56)</f>
        <v>407919.14285714284</v>
      </c>
      <c r="F56" s="523">
        <f t="shared" si="5"/>
        <v>1279340.3838229682</v>
      </c>
      <c r="G56" s="524">
        <f t="shared" si="8"/>
        <v>566362.23855615477</v>
      </c>
      <c r="H56" s="491">
        <f t="shared" si="9"/>
        <v>566362.23855615477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4"/>
        <v/>
      </c>
      <c r="C57" s="507">
        <f>IF(D11="","-",+C56+1)</f>
        <v>2056</v>
      </c>
      <c r="D57" s="523">
        <f>IF(F56+SUM(E$17:E56)=D$10,F56,D$10-SUM(E$17:E56))</f>
        <v>1279340.3838229682</v>
      </c>
      <c r="E57" s="522">
        <f>IF(+I14&lt;F56,I14,D57)</f>
        <v>407919.14285714284</v>
      </c>
      <c r="F57" s="523">
        <f t="shared" si="5"/>
        <v>871421.24096582539</v>
      </c>
      <c r="G57" s="524">
        <f t="shared" si="8"/>
        <v>522789.14225803426</v>
      </c>
      <c r="H57" s="491">
        <f t="shared" si="9"/>
        <v>522789.14225803426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4"/>
        <v/>
      </c>
      <c r="C58" s="507">
        <f>IF(D11="","-",+C57+1)</f>
        <v>2057</v>
      </c>
      <c r="D58" s="523">
        <f>IF(F57+SUM(E$17:E57)=D$10,F57,D$10-SUM(E$17:E57))</f>
        <v>871421.24096582539</v>
      </c>
      <c r="E58" s="522">
        <f>IF(+I14&lt;F57,I14,D58)</f>
        <v>407919.14285714284</v>
      </c>
      <c r="F58" s="523">
        <f t="shared" si="5"/>
        <v>463502.09810868255</v>
      </c>
      <c r="G58" s="524">
        <f t="shared" si="8"/>
        <v>479216.04595991375</v>
      </c>
      <c r="H58" s="491">
        <f t="shared" si="9"/>
        <v>479216.04595991375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4"/>
        <v/>
      </c>
      <c r="C59" s="507">
        <f>IF(D11="","-",+C58+1)</f>
        <v>2058</v>
      </c>
      <c r="D59" s="523">
        <f>IF(F58+SUM(E$17:E58)=D$10,F58,D$10-SUM(E$17:E58))</f>
        <v>463502.09810868255</v>
      </c>
      <c r="E59" s="522">
        <f>IF(+I14&lt;F58,I14,D59)</f>
        <v>407919.14285714284</v>
      </c>
      <c r="F59" s="523">
        <f t="shared" si="5"/>
        <v>55582.955251539708</v>
      </c>
      <c r="G59" s="524">
        <f t="shared" si="8"/>
        <v>435642.94966179319</v>
      </c>
      <c r="H59" s="491">
        <f t="shared" si="9"/>
        <v>435642.94966179319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4"/>
        <v/>
      </c>
      <c r="C60" s="507">
        <f>IF(D11="","-",+C59+1)</f>
        <v>2059</v>
      </c>
      <c r="D60" s="523">
        <f>IF(F59+SUM(E$17:E59)=D$10,F59,D$10-SUM(E$17:E59))</f>
        <v>55582.955251539708</v>
      </c>
      <c r="E60" s="522">
        <f>IF(+I14&lt;F59,I14,D60)</f>
        <v>55582.955251539708</v>
      </c>
      <c r="F60" s="523">
        <f t="shared" si="5"/>
        <v>0</v>
      </c>
      <c r="G60" s="524">
        <f t="shared" si="8"/>
        <v>58551.584579334754</v>
      </c>
      <c r="H60" s="491">
        <f t="shared" si="9"/>
        <v>58551.584579334754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4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5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4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5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4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5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4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5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4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5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4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5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4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5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4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5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4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5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4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5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4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5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5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17132604.000000004</v>
      </c>
      <c r="F73" s="375"/>
      <c r="G73" s="375">
        <f>SUM(G17:G72)</f>
        <v>57548832.390526816</v>
      </c>
      <c r="H73" s="375">
        <f>SUM(H17:H72)</f>
        <v>57548832.390526816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59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2031210.1975052932</v>
      </c>
      <c r="N87" s="546">
        <f>IF(J92&lt;D11,0,VLOOKUP(J92,C17:O72,11))</f>
        <v>2031210.1975052932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2109329.5627079071</v>
      </c>
      <c r="N88" s="550">
        <f>IF(J92&lt;D11,0,VLOOKUP(J92,C99:P154,7))</f>
        <v>2109329.5627079071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Brownlee-North Mrket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78119.365202613873</v>
      </c>
      <c r="N89" s="555">
        <f>+N88-N87</f>
        <v>78119.365202613873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TP2009104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17132604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407919.14285714284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306085.875</v>
      </c>
      <c r="F99" s="651">
        <v>16834723.125</v>
      </c>
      <c r="G99" s="652">
        <v>8417361.5625</v>
      </c>
      <c r="H99" s="653">
        <v>1328555.0538499958</v>
      </c>
      <c r="I99" s="654">
        <v>1328555.0538499958</v>
      </c>
      <c r="J99" s="514">
        <f t="shared" ref="J99:J130" si="10">+I99-H99</f>
        <v>0</v>
      </c>
      <c r="K99" s="514"/>
      <c r="L99" s="512">
        <f>+H99</f>
        <v>1328555.0538499958</v>
      </c>
      <c r="M99" s="513">
        <f t="shared" ref="M99:M130" si="11">IF(L99&lt;&gt;0,+H99-L99,0)</f>
        <v>0</v>
      </c>
      <c r="N99" s="512">
        <f>+I99</f>
        <v>1328555.0538499958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16826345.125</v>
      </c>
      <c r="E100" s="630">
        <v>407915.02380952379</v>
      </c>
      <c r="F100" s="631">
        <v>16418430.101190476</v>
      </c>
      <c r="G100" s="631">
        <v>16622387.613095239</v>
      </c>
      <c r="H100" s="633">
        <v>2163315.383026443</v>
      </c>
      <c r="I100" s="634">
        <v>2163315.383026443</v>
      </c>
      <c r="J100" s="514">
        <f t="shared" si="10"/>
        <v>0</v>
      </c>
      <c r="K100" s="514"/>
      <c r="L100" s="655">
        <f>+H100</f>
        <v>2163315.383026443</v>
      </c>
      <c r="M100" s="514">
        <f t="shared" si="11"/>
        <v>0</v>
      </c>
      <c r="N100" s="655">
        <f>+I100</f>
        <v>2163315.383026443</v>
      </c>
      <c r="O100" s="514">
        <f t="shared" si="12"/>
        <v>0</v>
      </c>
      <c r="P100" s="514">
        <f t="shared" si="13"/>
        <v>0</v>
      </c>
    </row>
    <row r="101" spans="1:16" ht="12.5">
      <c r="B101" s="195" t="str">
        <f t="shared" ref="B101:B154" si="14">IF(D101=F100,"","IU")</f>
        <v>IU</v>
      </c>
      <c r="C101" s="507">
        <f>IF(D93="","-",+C100+1)</f>
        <v>2019</v>
      </c>
      <c r="D101" s="629">
        <v>16418603.101190476</v>
      </c>
      <c r="E101" s="630">
        <v>398432.65116279072</v>
      </c>
      <c r="F101" s="631">
        <v>16020170.450027686</v>
      </c>
      <c r="G101" s="631">
        <v>16219386.77560908</v>
      </c>
      <c r="H101" s="633">
        <v>2134564.6762010739</v>
      </c>
      <c r="I101" s="634">
        <v>2134564.6762010739</v>
      </c>
      <c r="J101" s="514">
        <f t="shared" si="10"/>
        <v>0</v>
      </c>
      <c r="K101" s="514"/>
      <c r="L101" s="655">
        <f>+H101</f>
        <v>2134564.6762010739</v>
      </c>
      <c r="M101" s="514">
        <f t="shared" ref="M101" si="15">IF(L101&lt;&gt;0,+H101-L101,0)</f>
        <v>0</v>
      </c>
      <c r="N101" s="655">
        <f>+I101</f>
        <v>2134564.6762010739</v>
      </c>
      <c r="O101" s="514">
        <f t="shared" si="12"/>
        <v>0</v>
      </c>
      <c r="P101" s="514">
        <f t="shared" si="13"/>
        <v>0</v>
      </c>
    </row>
    <row r="102" spans="1:16" ht="12.5">
      <c r="B102" s="195" t="str">
        <f t="shared" si="14"/>
        <v/>
      </c>
      <c r="C102" s="507">
        <f>IF(D93="","-",+C101+1)</f>
        <v>2020</v>
      </c>
      <c r="D102" s="374">
        <f>IF(F101+SUM(E$99:E101)=D$92,F101,D$92-SUM(E$99:E101))</f>
        <v>16020170.450027686</v>
      </c>
      <c r="E102" s="522">
        <f>IF(+J96&lt;F101,J96,D102)</f>
        <v>407919.14285714284</v>
      </c>
      <c r="F102" s="523">
        <f t="shared" ref="F102:F154" si="16">+D102-E102</f>
        <v>15612251.307170542</v>
      </c>
      <c r="G102" s="523">
        <f t="shared" ref="G102:G154" si="17">+(F102+D102)/2</f>
        <v>15816210.878599115</v>
      </c>
      <c r="H102" s="526">
        <f t="shared" ref="H102:H154" si="18">+J$94*G102+E102</f>
        <v>2109329.5627079071</v>
      </c>
      <c r="I102" s="577">
        <f t="shared" ref="I102:I154" si="19">+J$95*G102+E102</f>
        <v>2109329.5627079071</v>
      </c>
      <c r="J102" s="514">
        <f t="shared" si="10"/>
        <v>0</v>
      </c>
      <c r="K102" s="514"/>
      <c r="L102" s="525"/>
      <c r="M102" s="514">
        <f t="shared" si="11"/>
        <v>0</v>
      </c>
      <c r="N102" s="525"/>
      <c r="O102" s="514">
        <f t="shared" si="12"/>
        <v>0</v>
      </c>
      <c r="P102" s="514">
        <f t="shared" si="13"/>
        <v>0</v>
      </c>
    </row>
    <row r="103" spans="1:16" ht="12.5">
      <c r="B103" s="195" t="str">
        <f t="shared" si="14"/>
        <v/>
      </c>
      <c r="C103" s="507">
        <f>IF(D93="","-",+C102+1)</f>
        <v>2021</v>
      </c>
      <c r="D103" s="374">
        <f>IF(F102+SUM(E$99:E102)=D$92,F102,D$92-SUM(E$99:E102))</f>
        <v>15612251.307170542</v>
      </c>
      <c r="E103" s="522">
        <f>IF(+J96&lt;F102,J96,D103)</f>
        <v>407919.14285714284</v>
      </c>
      <c r="F103" s="523">
        <f t="shared" si="16"/>
        <v>15204332.164313398</v>
      </c>
      <c r="G103" s="523">
        <f t="shared" si="17"/>
        <v>15408291.735741969</v>
      </c>
      <c r="H103" s="526">
        <f t="shared" si="18"/>
        <v>2065448.1371603478</v>
      </c>
      <c r="I103" s="577">
        <f t="shared" si="19"/>
        <v>2065448.1371603478</v>
      </c>
      <c r="J103" s="514">
        <f t="shared" si="10"/>
        <v>0</v>
      </c>
      <c r="K103" s="514"/>
      <c r="L103" s="525"/>
      <c r="M103" s="514">
        <f t="shared" si="11"/>
        <v>0</v>
      </c>
      <c r="N103" s="525"/>
      <c r="O103" s="514">
        <f t="shared" si="12"/>
        <v>0</v>
      </c>
      <c r="P103" s="514">
        <f t="shared" si="13"/>
        <v>0</v>
      </c>
    </row>
    <row r="104" spans="1:16" ht="12.5">
      <c r="B104" s="195" t="str">
        <f t="shared" si="14"/>
        <v/>
      </c>
      <c r="C104" s="507">
        <f>IF(D93="","-",+C103+1)</f>
        <v>2022</v>
      </c>
      <c r="D104" s="374">
        <f>IF(F103+SUM(E$99:E103)=D$92,F103,D$92-SUM(E$99:E103))</f>
        <v>15204332.164313398</v>
      </c>
      <c r="E104" s="522">
        <f>IF(+J96&lt;F103,J96,D104)</f>
        <v>407919.14285714284</v>
      </c>
      <c r="F104" s="523">
        <f t="shared" si="16"/>
        <v>14796413.021456255</v>
      </c>
      <c r="G104" s="523">
        <f t="shared" si="17"/>
        <v>15000372.592884827</v>
      </c>
      <c r="H104" s="526">
        <f t="shared" si="18"/>
        <v>2021566.7116127894</v>
      </c>
      <c r="I104" s="577">
        <f t="shared" si="19"/>
        <v>2021566.7116127894</v>
      </c>
      <c r="J104" s="514">
        <f t="shared" si="10"/>
        <v>0</v>
      </c>
      <c r="K104" s="514"/>
      <c r="L104" s="525"/>
      <c r="M104" s="514">
        <f t="shared" si="11"/>
        <v>0</v>
      </c>
      <c r="N104" s="525"/>
      <c r="O104" s="514">
        <f t="shared" si="12"/>
        <v>0</v>
      </c>
      <c r="P104" s="514">
        <f t="shared" si="13"/>
        <v>0</v>
      </c>
    </row>
    <row r="105" spans="1:16" ht="12.5">
      <c r="B105" s="195" t="str">
        <f t="shared" si="14"/>
        <v/>
      </c>
      <c r="C105" s="507">
        <f>IF(D93="","-",+C104+1)</f>
        <v>2023</v>
      </c>
      <c r="D105" s="374">
        <f>IF(F104+SUM(E$99:E104)=D$92,F104,D$92-SUM(E$99:E104))</f>
        <v>14796413.021456255</v>
      </c>
      <c r="E105" s="522">
        <f>IF(+J96&lt;F104,J96,D105)</f>
        <v>407919.14285714284</v>
      </c>
      <c r="F105" s="523">
        <f t="shared" si="16"/>
        <v>14388493.878599111</v>
      </c>
      <c r="G105" s="523">
        <f t="shared" si="17"/>
        <v>14592453.450027682</v>
      </c>
      <c r="H105" s="526">
        <f t="shared" si="18"/>
        <v>1977685.2860652301</v>
      </c>
      <c r="I105" s="577">
        <f t="shared" si="19"/>
        <v>1977685.2860652301</v>
      </c>
      <c r="J105" s="514">
        <f t="shared" si="10"/>
        <v>0</v>
      </c>
      <c r="K105" s="514"/>
      <c r="L105" s="525"/>
      <c r="M105" s="514">
        <f t="shared" si="11"/>
        <v>0</v>
      </c>
      <c r="N105" s="525"/>
      <c r="O105" s="514">
        <f t="shared" si="12"/>
        <v>0</v>
      </c>
      <c r="P105" s="514">
        <f t="shared" si="13"/>
        <v>0</v>
      </c>
    </row>
    <row r="106" spans="1:16" ht="12.5">
      <c r="B106" s="195" t="str">
        <f t="shared" si="14"/>
        <v/>
      </c>
      <c r="C106" s="507">
        <f>IF(D93="","-",+C105+1)</f>
        <v>2024</v>
      </c>
      <c r="D106" s="374">
        <f>IF(F105+SUM(E$99:E105)=D$92,F105,D$92-SUM(E$99:E105))</f>
        <v>14388493.878599111</v>
      </c>
      <c r="E106" s="522">
        <f>IF(+J96&lt;F105,J96,D106)</f>
        <v>407919.14285714284</v>
      </c>
      <c r="F106" s="523">
        <f t="shared" si="16"/>
        <v>13980574.735741967</v>
      </c>
      <c r="G106" s="523">
        <f t="shared" si="17"/>
        <v>14184534.30717054</v>
      </c>
      <c r="H106" s="526">
        <f t="shared" si="18"/>
        <v>1933803.8605176718</v>
      </c>
      <c r="I106" s="577">
        <f t="shared" si="19"/>
        <v>1933803.8605176718</v>
      </c>
      <c r="J106" s="514">
        <f t="shared" si="10"/>
        <v>0</v>
      </c>
      <c r="K106" s="514"/>
      <c r="L106" s="525"/>
      <c r="M106" s="514">
        <f t="shared" si="11"/>
        <v>0</v>
      </c>
      <c r="N106" s="525"/>
      <c r="O106" s="514">
        <f t="shared" si="12"/>
        <v>0</v>
      </c>
      <c r="P106" s="514">
        <f t="shared" si="13"/>
        <v>0</v>
      </c>
    </row>
    <row r="107" spans="1:16" ht="12.5">
      <c r="B107" s="195" t="str">
        <f t="shared" si="14"/>
        <v/>
      </c>
      <c r="C107" s="507">
        <f>IF(D93="","-",+C106+1)</f>
        <v>2025</v>
      </c>
      <c r="D107" s="374">
        <f>IF(F106+SUM(E$99:E106)=D$92,F106,D$92-SUM(E$99:E106))</f>
        <v>13980574.735741967</v>
      </c>
      <c r="E107" s="522">
        <f>IF(+J96&lt;F106,J96,D107)</f>
        <v>407919.14285714284</v>
      </c>
      <c r="F107" s="523">
        <f t="shared" si="16"/>
        <v>13572655.592884824</v>
      </c>
      <c r="G107" s="523">
        <f t="shared" si="17"/>
        <v>13776615.164313395</v>
      </c>
      <c r="H107" s="526">
        <f t="shared" si="18"/>
        <v>1889922.434970113</v>
      </c>
      <c r="I107" s="577">
        <f t="shared" si="19"/>
        <v>1889922.434970113</v>
      </c>
      <c r="J107" s="514">
        <f t="shared" si="10"/>
        <v>0</v>
      </c>
      <c r="K107" s="514"/>
      <c r="L107" s="525"/>
      <c r="M107" s="514">
        <f t="shared" si="11"/>
        <v>0</v>
      </c>
      <c r="N107" s="525"/>
      <c r="O107" s="514">
        <f t="shared" si="12"/>
        <v>0</v>
      </c>
      <c r="P107" s="514">
        <f t="shared" si="13"/>
        <v>0</v>
      </c>
    </row>
    <row r="108" spans="1:16" ht="12.5">
      <c r="B108" s="195" t="str">
        <f t="shared" si="14"/>
        <v/>
      </c>
      <c r="C108" s="507">
        <f>IF(D93="","-",+C107+1)</f>
        <v>2026</v>
      </c>
      <c r="D108" s="374">
        <f>IF(F107+SUM(E$99:E107)=D$92,F107,D$92-SUM(E$99:E107))</f>
        <v>13572655.592884824</v>
      </c>
      <c r="E108" s="522">
        <f>IF(+J96&lt;F107,J96,D108)</f>
        <v>407919.14285714284</v>
      </c>
      <c r="F108" s="523">
        <f t="shared" si="16"/>
        <v>13164736.45002768</v>
      </c>
      <c r="G108" s="523">
        <f t="shared" si="17"/>
        <v>13368696.021456253</v>
      </c>
      <c r="H108" s="526">
        <f t="shared" si="18"/>
        <v>1846041.0094225542</v>
      </c>
      <c r="I108" s="577">
        <f t="shared" si="19"/>
        <v>1846041.0094225542</v>
      </c>
      <c r="J108" s="514">
        <f t="shared" si="10"/>
        <v>0</v>
      </c>
      <c r="K108" s="514"/>
      <c r="L108" s="525"/>
      <c r="M108" s="514">
        <f t="shared" si="11"/>
        <v>0</v>
      </c>
      <c r="N108" s="525"/>
      <c r="O108" s="514">
        <f t="shared" si="12"/>
        <v>0</v>
      </c>
      <c r="P108" s="514">
        <f t="shared" si="13"/>
        <v>0</v>
      </c>
    </row>
    <row r="109" spans="1:16" ht="12.5">
      <c r="B109" s="195" t="str">
        <f t="shared" si="14"/>
        <v/>
      </c>
      <c r="C109" s="507">
        <f>IF(D93="","-",+C108+1)</f>
        <v>2027</v>
      </c>
      <c r="D109" s="374">
        <f>IF(F108+SUM(E$99:E108)=D$92,F108,D$92-SUM(E$99:E108))</f>
        <v>13164736.45002768</v>
      </c>
      <c r="E109" s="522">
        <f>IF(+J96&lt;F108,J96,D109)</f>
        <v>407919.14285714284</v>
      </c>
      <c r="F109" s="523">
        <f t="shared" si="16"/>
        <v>12756817.307170536</v>
      </c>
      <c r="G109" s="523">
        <f t="shared" si="17"/>
        <v>12960776.878599107</v>
      </c>
      <c r="H109" s="526">
        <f t="shared" si="18"/>
        <v>1802159.5838749954</v>
      </c>
      <c r="I109" s="577">
        <f t="shared" si="19"/>
        <v>1802159.5838749954</v>
      </c>
      <c r="J109" s="514">
        <f t="shared" si="10"/>
        <v>0</v>
      </c>
      <c r="K109" s="514"/>
      <c r="L109" s="525"/>
      <c r="M109" s="514">
        <f t="shared" si="11"/>
        <v>0</v>
      </c>
      <c r="N109" s="525"/>
      <c r="O109" s="514">
        <f t="shared" si="12"/>
        <v>0</v>
      </c>
      <c r="P109" s="514">
        <f t="shared" si="13"/>
        <v>0</v>
      </c>
    </row>
    <row r="110" spans="1:16" ht="12.5">
      <c r="B110" s="195" t="str">
        <f t="shared" si="14"/>
        <v/>
      </c>
      <c r="C110" s="507">
        <f>IF(D93="","-",+C109+1)</f>
        <v>2028</v>
      </c>
      <c r="D110" s="374">
        <f>IF(F109+SUM(E$99:E109)=D$92,F109,D$92-SUM(E$99:E109))</f>
        <v>12756817.307170536</v>
      </c>
      <c r="E110" s="522">
        <f>IF(+J96&lt;F109,J96,D110)</f>
        <v>407919.14285714284</v>
      </c>
      <c r="F110" s="523">
        <f t="shared" si="16"/>
        <v>12348898.164313393</v>
      </c>
      <c r="G110" s="523">
        <f t="shared" si="17"/>
        <v>12552857.735741965</v>
      </c>
      <c r="H110" s="526">
        <f t="shared" si="18"/>
        <v>1758278.1583274365</v>
      </c>
      <c r="I110" s="577">
        <f t="shared" si="19"/>
        <v>1758278.1583274365</v>
      </c>
      <c r="J110" s="514">
        <f t="shared" si="10"/>
        <v>0</v>
      </c>
      <c r="K110" s="514"/>
      <c r="L110" s="525"/>
      <c r="M110" s="514">
        <f t="shared" si="11"/>
        <v>0</v>
      </c>
      <c r="N110" s="525"/>
      <c r="O110" s="514">
        <f t="shared" si="12"/>
        <v>0</v>
      </c>
      <c r="P110" s="514">
        <f t="shared" si="13"/>
        <v>0</v>
      </c>
    </row>
    <row r="111" spans="1:16" ht="12.5">
      <c r="B111" s="195" t="str">
        <f t="shared" si="14"/>
        <v/>
      </c>
      <c r="C111" s="507">
        <f>IF(D93="","-",+C110+1)</f>
        <v>2029</v>
      </c>
      <c r="D111" s="374">
        <f>IF(F110+SUM(E$99:E110)=D$92,F110,D$92-SUM(E$99:E110))</f>
        <v>12348898.164313393</v>
      </c>
      <c r="E111" s="522">
        <f>IF(+J96&lt;F110,J96,D111)</f>
        <v>407919.14285714284</v>
      </c>
      <c r="F111" s="523">
        <f t="shared" si="16"/>
        <v>11940979.021456249</v>
      </c>
      <c r="G111" s="523">
        <f t="shared" si="17"/>
        <v>12144938.59288482</v>
      </c>
      <c r="H111" s="526">
        <f t="shared" si="18"/>
        <v>1714396.7327798777</v>
      </c>
      <c r="I111" s="577">
        <f t="shared" si="19"/>
        <v>1714396.7327798777</v>
      </c>
      <c r="J111" s="514">
        <f t="shared" si="10"/>
        <v>0</v>
      </c>
      <c r="K111" s="514"/>
      <c r="L111" s="525"/>
      <c r="M111" s="514">
        <f t="shared" si="11"/>
        <v>0</v>
      </c>
      <c r="N111" s="525"/>
      <c r="O111" s="514">
        <f t="shared" si="12"/>
        <v>0</v>
      </c>
      <c r="P111" s="514">
        <f t="shared" si="13"/>
        <v>0</v>
      </c>
    </row>
    <row r="112" spans="1:16" ht="12.5">
      <c r="B112" s="195" t="str">
        <f t="shared" si="14"/>
        <v/>
      </c>
      <c r="C112" s="507">
        <f>IF(D93="","-",+C111+1)</f>
        <v>2030</v>
      </c>
      <c r="D112" s="374">
        <f>IF(F111+SUM(E$99:E111)=D$92,F111,D$92-SUM(E$99:E111))</f>
        <v>11940979.021456249</v>
      </c>
      <c r="E112" s="522">
        <f>IF(+J96&lt;F111,J96,D112)</f>
        <v>407919.14285714284</v>
      </c>
      <c r="F112" s="523">
        <f t="shared" si="16"/>
        <v>11533059.878599105</v>
      </c>
      <c r="G112" s="523">
        <f t="shared" si="17"/>
        <v>11737019.450027678</v>
      </c>
      <c r="H112" s="526">
        <f t="shared" si="18"/>
        <v>1670515.3072323189</v>
      </c>
      <c r="I112" s="577">
        <f t="shared" si="19"/>
        <v>1670515.3072323189</v>
      </c>
      <c r="J112" s="514">
        <f t="shared" si="10"/>
        <v>0</v>
      </c>
      <c r="K112" s="514"/>
      <c r="L112" s="525"/>
      <c r="M112" s="514">
        <f t="shared" si="11"/>
        <v>0</v>
      </c>
      <c r="N112" s="525"/>
      <c r="O112" s="514">
        <f t="shared" si="12"/>
        <v>0</v>
      </c>
      <c r="P112" s="514">
        <f t="shared" si="13"/>
        <v>0</v>
      </c>
    </row>
    <row r="113" spans="2:16" ht="12.5">
      <c r="B113" s="195" t="str">
        <f t="shared" si="14"/>
        <v/>
      </c>
      <c r="C113" s="507">
        <f>IF(D93="","-",+C112+1)</f>
        <v>2031</v>
      </c>
      <c r="D113" s="374">
        <f>IF(F112+SUM(E$99:E112)=D$92,F112,D$92-SUM(E$99:E112))</f>
        <v>11533059.878599105</v>
      </c>
      <c r="E113" s="522">
        <f>IF(+J96&lt;F112,J96,D113)</f>
        <v>407919.14285714284</v>
      </c>
      <c r="F113" s="523">
        <f t="shared" si="16"/>
        <v>11125140.735741962</v>
      </c>
      <c r="G113" s="523">
        <f t="shared" si="17"/>
        <v>11329100.307170533</v>
      </c>
      <c r="H113" s="526">
        <f t="shared" si="18"/>
        <v>1626633.8816847601</v>
      </c>
      <c r="I113" s="577">
        <f t="shared" si="19"/>
        <v>1626633.8816847601</v>
      </c>
      <c r="J113" s="514">
        <f t="shared" si="10"/>
        <v>0</v>
      </c>
      <c r="K113" s="514"/>
      <c r="L113" s="525"/>
      <c r="M113" s="514">
        <f t="shared" si="11"/>
        <v>0</v>
      </c>
      <c r="N113" s="525"/>
      <c r="O113" s="514">
        <f t="shared" si="12"/>
        <v>0</v>
      </c>
      <c r="P113" s="514">
        <f t="shared" si="13"/>
        <v>0</v>
      </c>
    </row>
    <row r="114" spans="2:16" ht="12.5">
      <c r="B114" s="195" t="str">
        <f t="shared" si="14"/>
        <v/>
      </c>
      <c r="C114" s="507">
        <f>IF(D93="","-",+C113+1)</f>
        <v>2032</v>
      </c>
      <c r="D114" s="374">
        <f>IF(F113+SUM(E$99:E113)=D$92,F113,D$92-SUM(E$99:E113))</f>
        <v>11125140.735741962</v>
      </c>
      <c r="E114" s="522">
        <f>IF(+J96&lt;F113,J96,D114)</f>
        <v>407919.14285714284</v>
      </c>
      <c r="F114" s="523">
        <f t="shared" si="16"/>
        <v>10717221.592884818</v>
      </c>
      <c r="G114" s="523">
        <f t="shared" si="17"/>
        <v>10921181.164313391</v>
      </c>
      <c r="H114" s="526">
        <f t="shared" si="18"/>
        <v>1582752.4561372013</v>
      </c>
      <c r="I114" s="577">
        <f t="shared" si="19"/>
        <v>1582752.4561372013</v>
      </c>
      <c r="J114" s="514">
        <f t="shared" si="10"/>
        <v>0</v>
      </c>
      <c r="K114" s="514"/>
      <c r="L114" s="525"/>
      <c r="M114" s="514">
        <f t="shared" si="11"/>
        <v>0</v>
      </c>
      <c r="N114" s="525"/>
      <c r="O114" s="514">
        <f t="shared" si="12"/>
        <v>0</v>
      </c>
      <c r="P114" s="514">
        <f t="shared" si="13"/>
        <v>0</v>
      </c>
    </row>
    <row r="115" spans="2:16" ht="12.5">
      <c r="B115" s="195" t="str">
        <f t="shared" si="14"/>
        <v/>
      </c>
      <c r="C115" s="507">
        <f>IF(D93="","-",+C114+1)</f>
        <v>2033</v>
      </c>
      <c r="D115" s="374">
        <f>IF(F114+SUM(E$99:E114)=D$92,F114,D$92-SUM(E$99:E114))</f>
        <v>10717221.592884818</v>
      </c>
      <c r="E115" s="522">
        <f>IF(+J96&lt;F114,J96,D115)</f>
        <v>407919.14285714284</v>
      </c>
      <c r="F115" s="523">
        <f t="shared" si="16"/>
        <v>10309302.450027674</v>
      </c>
      <c r="G115" s="523">
        <f t="shared" si="17"/>
        <v>10513262.021456245</v>
      </c>
      <c r="H115" s="526">
        <f t="shared" si="18"/>
        <v>1538871.0305896425</v>
      </c>
      <c r="I115" s="577">
        <f t="shared" si="19"/>
        <v>1538871.0305896425</v>
      </c>
      <c r="J115" s="514">
        <f t="shared" si="10"/>
        <v>0</v>
      </c>
      <c r="K115" s="514"/>
      <c r="L115" s="525"/>
      <c r="M115" s="514">
        <f t="shared" si="11"/>
        <v>0</v>
      </c>
      <c r="N115" s="525"/>
      <c r="O115" s="514">
        <f t="shared" si="12"/>
        <v>0</v>
      </c>
      <c r="P115" s="514">
        <f t="shared" si="13"/>
        <v>0</v>
      </c>
    </row>
    <row r="116" spans="2:16" ht="12.5">
      <c r="B116" s="195" t="str">
        <f t="shared" si="14"/>
        <v/>
      </c>
      <c r="C116" s="507">
        <f>IF(D93="","-",+C115+1)</f>
        <v>2034</v>
      </c>
      <c r="D116" s="374">
        <f>IF(F115+SUM(E$99:E115)=D$92,F115,D$92-SUM(E$99:E115))</f>
        <v>10309302.450027674</v>
      </c>
      <c r="E116" s="522">
        <f>IF(+J96&lt;F115,J96,D116)</f>
        <v>407919.14285714284</v>
      </c>
      <c r="F116" s="523">
        <f t="shared" si="16"/>
        <v>9901383.3071705308</v>
      </c>
      <c r="G116" s="523">
        <f t="shared" si="17"/>
        <v>10105342.878599104</v>
      </c>
      <c r="H116" s="526">
        <f t="shared" si="18"/>
        <v>1494989.6050420837</v>
      </c>
      <c r="I116" s="577">
        <f t="shared" si="19"/>
        <v>1494989.6050420837</v>
      </c>
      <c r="J116" s="514">
        <f t="shared" si="10"/>
        <v>0</v>
      </c>
      <c r="K116" s="514"/>
      <c r="L116" s="525"/>
      <c r="M116" s="514">
        <f t="shared" si="11"/>
        <v>0</v>
      </c>
      <c r="N116" s="525"/>
      <c r="O116" s="514">
        <f t="shared" si="12"/>
        <v>0</v>
      </c>
      <c r="P116" s="514">
        <f t="shared" si="13"/>
        <v>0</v>
      </c>
    </row>
    <row r="117" spans="2:16" ht="12.5">
      <c r="B117" s="195" t="str">
        <f t="shared" si="14"/>
        <v/>
      </c>
      <c r="C117" s="507">
        <f>IF(D93="","-",+C116+1)</f>
        <v>2035</v>
      </c>
      <c r="D117" s="374">
        <f>IF(F116+SUM(E$99:E116)=D$92,F116,D$92-SUM(E$99:E116))</f>
        <v>9901383.3071705308</v>
      </c>
      <c r="E117" s="522">
        <f>IF(+J96&lt;F116,J96,D117)</f>
        <v>407919.14285714284</v>
      </c>
      <c r="F117" s="523">
        <f t="shared" si="16"/>
        <v>9493464.1643133871</v>
      </c>
      <c r="G117" s="523">
        <f t="shared" si="17"/>
        <v>9697423.735741958</v>
      </c>
      <c r="H117" s="526">
        <f t="shared" si="18"/>
        <v>1451108.1794945248</v>
      </c>
      <c r="I117" s="577">
        <f t="shared" si="19"/>
        <v>1451108.1794945248</v>
      </c>
      <c r="J117" s="514">
        <f t="shared" si="10"/>
        <v>0</v>
      </c>
      <c r="K117" s="514"/>
      <c r="L117" s="525"/>
      <c r="M117" s="514">
        <f t="shared" si="11"/>
        <v>0</v>
      </c>
      <c r="N117" s="525"/>
      <c r="O117" s="514">
        <f t="shared" si="12"/>
        <v>0</v>
      </c>
      <c r="P117" s="514">
        <f t="shared" si="13"/>
        <v>0</v>
      </c>
    </row>
    <row r="118" spans="2:16" ht="12.5">
      <c r="B118" s="195" t="str">
        <f t="shared" si="14"/>
        <v/>
      </c>
      <c r="C118" s="507">
        <f>IF(D93="","-",+C117+1)</f>
        <v>2036</v>
      </c>
      <c r="D118" s="374">
        <f>IF(F117+SUM(E$99:E117)=D$92,F117,D$92-SUM(E$99:E117))</f>
        <v>9493464.1643133871</v>
      </c>
      <c r="E118" s="522">
        <f>IF(+J96&lt;F117,J96,D118)</f>
        <v>407919.14285714284</v>
      </c>
      <c r="F118" s="523">
        <f t="shared" si="16"/>
        <v>9085545.0214562435</v>
      </c>
      <c r="G118" s="523">
        <f t="shared" si="17"/>
        <v>9289504.5928848162</v>
      </c>
      <c r="H118" s="526">
        <f t="shared" si="18"/>
        <v>1407226.753946966</v>
      </c>
      <c r="I118" s="577">
        <f t="shared" si="19"/>
        <v>1407226.753946966</v>
      </c>
      <c r="J118" s="514">
        <f t="shared" si="10"/>
        <v>0</v>
      </c>
      <c r="K118" s="514"/>
      <c r="L118" s="525"/>
      <c r="M118" s="514">
        <f t="shared" si="11"/>
        <v>0</v>
      </c>
      <c r="N118" s="525"/>
      <c r="O118" s="514">
        <f t="shared" si="12"/>
        <v>0</v>
      </c>
      <c r="P118" s="514">
        <f t="shared" si="13"/>
        <v>0</v>
      </c>
    </row>
    <row r="119" spans="2:16" ht="12.5">
      <c r="B119" s="195" t="str">
        <f t="shared" si="14"/>
        <v/>
      </c>
      <c r="C119" s="507">
        <f>IF(D93="","-",+C118+1)</f>
        <v>2037</v>
      </c>
      <c r="D119" s="374">
        <f>IF(F118+SUM(E$99:E118)=D$92,F118,D$92-SUM(E$99:E118))</f>
        <v>9085545.0214562435</v>
      </c>
      <c r="E119" s="522">
        <f>IF(+J96&lt;F118,J96,D119)</f>
        <v>407919.14285714284</v>
      </c>
      <c r="F119" s="523">
        <f t="shared" si="16"/>
        <v>8677625.8785990998</v>
      </c>
      <c r="G119" s="523">
        <f t="shared" si="17"/>
        <v>8881585.4500276707</v>
      </c>
      <c r="H119" s="526">
        <f t="shared" si="18"/>
        <v>1363345.3283994072</v>
      </c>
      <c r="I119" s="577">
        <f t="shared" si="19"/>
        <v>1363345.3283994072</v>
      </c>
      <c r="J119" s="514">
        <f t="shared" si="10"/>
        <v>0</v>
      </c>
      <c r="K119" s="514"/>
      <c r="L119" s="525"/>
      <c r="M119" s="514">
        <f t="shared" si="11"/>
        <v>0</v>
      </c>
      <c r="N119" s="525"/>
      <c r="O119" s="514">
        <f t="shared" si="12"/>
        <v>0</v>
      </c>
      <c r="P119" s="514">
        <f t="shared" si="13"/>
        <v>0</v>
      </c>
    </row>
    <row r="120" spans="2:16" ht="12.5">
      <c r="B120" s="195" t="str">
        <f t="shared" si="14"/>
        <v/>
      </c>
      <c r="C120" s="507">
        <f>IF(D93="","-",+C119+1)</f>
        <v>2038</v>
      </c>
      <c r="D120" s="374">
        <f>IF(F119+SUM(E$99:E119)=D$92,F119,D$92-SUM(E$99:E119))</f>
        <v>8677625.8785990998</v>
      </c>
      <c r="E120" s="522">
        <f>IF(+J96&lt;F119,J96,D120)</f>
        <v>407919.14285714284</v>
      </c>
      <c r="F120" s="523">
        <f t="shared" si="16"/>
        <v>8269706.7357419571</v>
      </c>
      <c r="G120" s="523">
        <f t="shared" si="17"/>
        <v>8473666.3071705289</v>
      </c>
      <c r="H120" s="526">
        <f t="shared" si="18"/>
        <v>1319463.9028518484</v>
      </c>
      <c r="I120" s="577">
        <f t="shared" si="19"/>
        <v>1319463.9028518484</v>
      </c>
      <c r="J120" s="514">
        <f t="shared" si="10"/>
        <v>0</v>
      </c>
      <c r="K120" s="514"/>
      <c r="L120" s="525"/>
      <c r="M120" s="514">
        <f t="shared" si="11"/>
        <v>0</v>
      </c>
      <c r="N120" s="525"/>
      <c r="O120" s="514">
        <f t="shared" si="12"/>
        <v>0</v>
      </c>
      <c r="P120" s="514">
        <f t="shared" si="13"/>
        <v>0</v>
      </c>
    </row>
    <row r="121" spans="2:16" ht="12.5">
      <c r="B121" s="195" t="str">
        <f t="shared" si="14"/>
        <v/>
      </c>
      <c r="C121" s="507">
        <f>IF(D93="","-",+C120+1)</f>
        <v>2039</v>
      </c>
      <c r="D121" s="374">
        <f>IF(F120+SUM(E$99:E120)=D$92,F120,D$92-SUM(E$99:E120))</f>
        <v>8269706.7357419571</v>
      </c>
      <c r="E121" s="522">
        <f>IF(+J96&lt;F120,J96,D121)</f>
        <v>407919.14285714284</v>
      </c>
      <c r="F121" s="523">
        <f t="shared" si="16"/>
        <v>7861787.5928848144</v>
      </c>
      <c r="G121" s="523">
        <f t="shared" si="17"/>
        <v>8065747.1643133853</v>
      </c>
      <c r="H121" s="526">
        <f t="shared" si="18"/>
        <v>1275582.4773042898</v>
      </c>
      <c r="I121" s="577">
        <f t="shared" si="19"/>
        <v>1275582.4773042898</v>
      </c>
      <c r="J121" s="514">
        <f t="shared" si="10"/>
        <v>0</v>
      </c>
      <c r="K121" s="514"/>
      <c r="L121" s="525"/>
      <c r="M121" s="514">
        <f t="shared" si="11"/>
        <v>0</v>
      </c>
      <c r="N121" s="525"/>
      <c r="O121" s="514">
        <f t="shared" si="12"/>
        <v>0</v>
      </c>
      <c r="P121" s="514">
        <f t="shared" si="13"/>
        <v>0</v>
      </c>
    </row>
    <row r="122" spans="2:16" ht="12.5">
      <c r="B122" s="195" t="str">
        <f t="shared" si="14"/>
        <v/>
      </c>
      <c r="C122" s="507">
        <f>IF(D93="","-",+C121+1)</f>
        <v>2040</v>
      </c>
      <c r="D122" s="374">
        <f>IF(F121+SUM(E$99:E121)=D$92,F121,D$92-SUM(E$99:E121))</f>
        <v>7861787.5928848144</v>
      </c>
      <c r="E122" s="522">
        <f>IF(+J96&lt;F121,J96,D122)</f>
        <v>407919.14285714284</v>
      </c>
      <c r="F122" s="523">
        <f t="shared" si="16"/>
        <v>7453868.4500276716</v>
      </c>
      <c r="G122" s="523">
        <f t="shared" si="17"/>
        <v>7657828.0214562435</v>
      </c>
      <c r="H122" s="526">
        <f t="shared" si="18"/>
        <v>1231701.0517567312</v>
      </c>
      <c r="I122" s="577">
        <f t="shared" si="19"/>
        <v>1231701.0517567312</v>
      </c>
      <c r="J122" s="514">
        <f t="shared" si="10"/>
        <v>0</v>
      </c>
      <c r="K122" s="514"/>
      <c r="L122" s="525"/>
      <c r="M122" s="514">
        <f t="shared" si="11"/>
        <v>0</v>
      </c>
      <c r="N122" s="525"/>
      <c r="O122" s="514">
        <f t="shared" si="12"/>
        <v>0</v>
      </c>
      <c r="P122" s="514">
        <f t="shared" si="13"/>
        <v>0</v>
      </c>
    </row>
    <row r="123" spans="2:16" ht="12.5">
      <c r="B123" s="195" t="str">
        <f t="shared" si="14"/>
        <v/>
      </c>
      <c r="C123" s="507">
        <f>IF(D93="","-",+C122+1)</f>
        <v>2041</v>
      </c>
      <c r="D123" s="374">
        <f>IF(F122+SUM(E$99:E122)=D$92,F122,D$92-SUM(E$99:E122))</f>
        <v>7453868.4500276716</v>
      </c>
      <c r="E123" s="522">
        <f>IF(+J96&lt;F122,J96,D123)</f>
        <v>407919.14285714284</v>
      </c>
      <c r="F123" s="523">
        <f t="shared" si="16"/>
        <v>7045949.3071705289</v>
      </c>
      <c r="G123" s="523">
        <f t="shared" si="17"/>
        <v>7249908.8785990998</v>
      </c>
      <c r="H123" s="526">
        <f t="shared" si="18"/>
        <v>1187819.6262091724</v>
      </c>
      <c r="I123" s="577">
        <f t="shared" si="19"/>
        <v>1187819.6262091724</v>
      </c>
      <c r="J123" s="514">
        <f t="shared" si="10"/>
        <v>0</v>
      </c>
      <c r="K123" s="514"/>
      <c r="L123" s="525"/>
      <c r="M123" s="514">
        <f t="shared" si="11"/>
        <v>0</v>
      </c>
      <c r="N123" s="525"/>
      <c r="O123" s="514">
        <f t="shared" si="12"/>
        <v>0</v>
      </c>
      <c r="P123" s="514">
        <f t="shared" si="13"/>
        <v>0</v>
      </c>
    </row>
    <row r="124" spans="2:16" ht="12.5">
      <c r="B124" s="195" t="str">
        <f t="shared" si="14"/>
        <v/>
      </c>
      <c r="C124" s="507">
        <f>IF(D93="","-",+C123+1)</f>
        <v>2042</v>
      </c>
      <c r="D124" s="374">
        <f>IF(F123+SUM(E$99:E123)=D$92,F123,D$92-SUM(E$99:E123))</f>
        <v>7045949.3071705289</v>
      </c>
      <c r="E124" s="522">
        <f>IF(+J96&lt;F123,J96,D124)</f>
        <v>407919.14285714284</v>
      </c>
      <c r="F124" s="523">
        <f t="shared" si="16"/>
        <v>6638030.1643133862</v>
      </c>
      <c r="G124" s="523">
        <f t="shared" si="17"/>
        <v>6841989.735741958</v>
      </c>
      <c r="H124" s="526">
        <f t="shared" si="18"/>
        <v>1143938.2006616136</v>
      </c>
      <c r="I124" s="577">
        <f t="shared" si="19"/>
        <v>1143938.2006616136</v>
      </c>
      <c r="J124" s="514">
        <f t="shared" si="10"/>
        <v>0</v>
      </c>
      <c r="K124" s="514"/>
      <c r="L124" s="525"/>
      <c r="M124" s="514">
        <f t="shared" si="11"/>
        <v>0</v>
      </c>
      <c r="N124" s="525"/>
      <c r="O124" s="514">
        <f t="shared" si="12"/>
        <v>0</v>
      </c>
      <c r="P124" s="514">
        <f t="shared" si="13"/>
        <v>0</v>
      </c>
    </row>
    <row r="125" spans="2:16" ht="12.5">
      <c r="B125" s="195" t="str">
        <f t="shared" si="14"/>
        <v/>
      </c>
      <c r="C125" s="507">
        <f>IF(D93="","-",+C124+1)</f>
        <v>2043</v>
      </c>
      <c r="D125" s="374">
        <f>IF(F124+SUM(E$99:E124)=D$92,F124,D$92-SUM(E$99:E124))</f>
        <v>6638030.1643133862</v>
      </c>
      <c r="E125" s="522">
        <f>IF(+J96&lt;F124,J96,D125)</f>
        <v>407919.14285714284</v>
      </c>
      <c r="F125" s="523">
        <f t="shared" si="16"/>
        <v>6230111.0214562435</v>
      </c>
      <c r="G125" s="523">
        <f t="shared" si="17"/>
        <v>6434070.5928848144</v>
      </c>
      <c r="H125" s="526">
        <f t="shared" si="18"/>
        <v>1100056.7751140548</v>
      </c>
      <c r="I125" s="577">
        <f t="shared" si="19"/>
        <v>1100056.7751140548</v>
      </c>
      <c r="J125" s="514">
        <f t="shared" si="10"/>
        <v>0</v>
      </c>
      <c r="K125" s="514"/>
      <c r="L125" s="525"/>
      <c r="M125" s="514">
        <f t="shared" si="11"/>
        <v>0</v>
      </c>
      <c r="N125" s="525"/>
      <c r="O125" s="514">
        <f t="shared" si="12"/>
        <v>0</v>
      </c>
      <c r="P125" s="514">
        <f t="shared" si="13"/>
        <v>0</v>
      </c>
    </row>
    <row r="126" spans="2:16" ht="12.5">
      <c r="B126" s="195" t="str">
        <f t="shared" si="14"/>
        <v/>
      </c>
      <c r="C126" s="507">
        <f>IF(D93="","-",+C125+1)</f>
        <v>2044</v>
      </c>
      <c r="D126" s="374">
        <f>IF(F125+SUM(E$99:E125)=D$92,F125,D$92-SUM(E$99:E125))</f>
        <v>6230111.0214562435</v>
      </c>
      <c r="E126" s="522">
        <f>IF(+J96&lt;F125,J96,D126)</f>
        <v>407919.14285714284</v>
      </c>
      <c r="F126" s="523">
        <f t="shared" si="16"/>
        <v>5822191.8785991007</v>
      </c>
      <c r="G126" s="523">
        <f t="shared" si="17"/>
        <v>6026151.4500276726</v>
      </c>
      <c r="H126" s="526">
        <f t="shared" si="18"/>
        <v>1056175.3495664964</v>
      </c>
      <c r="I126" s="577">
        <f t="shared" si="19"/>
        <v>1056175.3495664964</v>
      </c>
      <c r="J126" s="514">
        <f t="shared" si="10"/>
        <v>0</v>
      </c>
      <c r="K126" s="514"/>
      <c r="L126" s="525"/>
      <c r="M126" s="514">
        <f t="shared" si="11"/>
        <v>0</v>
      </c>
      <c r="N126" s="525"/>
      <c r="O126" s="514">
        <f t="shared" si="12"/>
        <v>0</v>
      </c>
      <c r="P126" s="514">
        <f t="shared" si="13"/>
        <v>0</v>
      </c>
    </row>
    <row r="127" spans="2:16" ht="12.5">
      <c r="B127" s="195" t="str">
        <f t="shared" si="14"/>
        <v/>
      </c>
      <c r="C127" s="507">
        <f>IF(D93="","-",+C126+1)</f>
        <v>2045</v>
      </c>
      <c r="D127" s="374">
        <f>IF(F126+SUM(E$99:E126)=D$92,F126,D$92-SUM(E$99:E126))</f>
        <v>5822191.8785991007</v>
      </c>
      <c r="E127" s="522">
        <f>IF(+J96&lt;F126,J96,D127)</f>
        <v>407919.14285714284</v>
      </c>
      <c r="F127" s="523">
        <f t="shared" si="16"/>
        <v>5414272.735741958</v>
      </c>
      <c r="G127" s="523">
        <f t="shared" si="17"/>
        <v>5618232.3071705289</v>
      </c>
      <c r="H127" s="526">
        <f t="shared" si="18"/>
        <v>1012293.9240189375</v>
      </c>
      <c r="I127" s="577">
        <f t="shared" si="19"/>
        <v>1012293.9240189375</v>
      </c>
      <c r="J127" s="514">
        <f t="shared" si="10"/>
        <v>0</v>
      </c>
      <c r="K127" s="514"/>
      <c r="L127" s="525"/>
      <c r="M127" s="514">
        <f t="shared" si="11"/>
        <v>0</v>
      </c>
      <c r="N127" s="525"/>
      <c r="O127" s="514">
        <f t="shared" si="12"/>
        <v>0</v>
      </c>
      <c r="P127" s="514">
        <f t="shared" si="13"/>
        <v>0</v>
      </c>
    </row>
    <row r="128" spans="2:16" ht="12.5">
      <c r="B128" s="195" t="str">
        <f t="shared" si="14"/>
        <v/>
      </c>
      <c r="C128" s="507">
        <f>IF(D93="","-",+C127+1)</f>
        <v>2046</v>
      </c>
      <c r="D128" s="374">
        <f>IF(F127+SUM(E$99:E127)=D$92,F127,D$92-SUM(E$99:E127))</f>
        <v>5414272.735741958</v>
      </c>
      <c r="E128" s="522">
        <f>IF(+J96&lt;F127,J96,D128)</f>
        <v>407919.14285714284</v>
      </c>
      <c r="F128" s="523">
        <f t="shared" si="16"/>
        <v>5006353.5928848153</v>
      </c>
      <c r="G128" s="523">
        <f t="shared" si="17"/>
        <v>5210313.1643133871</v>
      </c>
      <c r="H128" s="526">
        <f t="shared" si="18"/>
        <v>968412.49847137893</v>
      </c>
      <c r="I128" s="577">
        <f t="shared" si="19"/>
        <v>968412.49847137893</v>
      </c>
      <c r="J128" s="514">
        <f t="shared" si="10"/>
        <v>0</v>
      </c>
      <c r="K128" s="514"/>
      <c r="L128" s="525"/>
      <c r="M128" s="514">
        <f t="shared" si="11"/>
        <v>0</v>
      </c>
      <c r="N128" s="525"/>
      <c r="O128" s="514">
        <f t="shared" si="12"/>
        <v>0</v>
      </c>
      <c r="P128" s="514">
        <f t="shared" si="13"/>
        <v>0</v>
      </c>
    </row>
    <row r="129" spans="2:16" ht="12.5">
      <c r="B129" s="195" t="str">
        <f t="shared" si="14"/>
        <v/>
      </c>
      <c r="C129" s="507">
        <f>IF(D93="","-",+C128+1)</f>
        <v>2047</v>
      </c>
      <c r="D129" s="374">
        <f>IF(F128+SUM(E$99:E128)=D$92,F128,D$92-SUM(E$99:E128))</f>
        <v>5006353.5928848153</v>
      </c>
      <c r="E129" s="522">
        <f>IF(+J96&lt;F128,J96,D129)</f>
        <v>407919.14285714284</v>
      </c>
      <c r="F129" s="523">
        <f t="shared" si="16"/>
        <v>4598434.4500276726</v>
      </c>
      <c r="G129" s="523">
        <f t="shared" si="17"/>
        <v>4802394.0214562435</v>
      </c>
      <c r="H129" s="526">
        <f t="shared" si="18"/>
        <v>924531.07292382023</v>
      </c>
      <c r="I129" s="577">
        <f t="shared" si="19"/>
        <v>924531.07292382023</v>
      </c>
      <c r="J129" s="514">
        <f t="shared" si="10"/>
        <v>0</v>
      </c>
      <c r="K129" s="514"/>
      <c r="L129" s="525"/>
      <c r="M129" s="514">
        <f t="shared" si="11"/>
        <v>0</v>
      </c>
      <c r="N129" s="525"/>
      <c r="O129" s="514">
        <f t="shared" si="12"/>
        <v>0</v>
      </c>
      <c r="P129" s="514">
        <f t="shared" si="13"/>
        <v>0</v>
      </c>
    </row>
    <row r="130" spans="2:16" ht="12.5">
      <c r="B130" s="195" t="str">
        <f t="shared" si="14"/>
        <v/>
      </c>
      <c r="C130" s="507">
        <f>IF(D93="","-",+C129+1)</f>
        <v>2048</v>
      </c>
      <c r="D130" s="374">
        <f>IF(F129+SUM(E$99:E129)=D$92,F129,D$92-SUM(E$99:E129))</f>
        <v>4598434.4500276726</v>
      </c>
      <c r="E130" s="522">
        <f>IF(+J96&lt;F129,J96,D130)</f>
        <v>407919.14285714284</v>
      </c>
      <c r="F130" s="523">
        <f t="shared" si="16"/>
        <v>4190515.3071705298</v>
      </c>
      <c r="G130" s="523">
        <f t="shared" si="17"/>
        <v>4394474.8785991017</v>
      </c>
      <c r="H130" s="526">
        <f t="shared" si="18"/>
        <v>880649.64737626154</v>
      </c>
      <c r="I130" s="577">
        <f t="shared" si="19"/>
        <v>880649.64737626154</v>
      </c>
      <c r="J130" s="514">
        <f t="shared" si="10"/>
        <v>0</v>
      </c>
      <c r="K130" s="514"/>
      <c r="L130" s="525"/>
      <c r="M130" s="514">
        <f t="shared" si="11"/>
        <v>0</v>
      </c>
      <c r="N130" s="525"/>
      <c r="O130" s="514">
        <f t="shared" si="12"/>
        <v>0</v>
      </c>
      <c r="P130" s="514">
        <f t="shared" si="13"/>
        <v>0</v>
      </c>
    </row>
    <row r="131" spans="2:16" ht="12.5">
      <c r="B131" s="195" t="str">
        <f t="shared" si="14"/>
        <v/>
      </c>
      <c r="C131" s="507">
        <f>IF(D93="","-",+C130+1)</f>
        <v>2049</v>
      </c>
      <c r="D131" s="374">
        <f>IF(F130+SUM(E$99:E130)=D$92,F130,D$92-SUM(E$99:E130))</f>
        <v>4190515.3071705298</v>
      </c>
      <c r="E131" s="522">
        <f>IF(+J96&lt;F130,J96,D131)</f>
        <v>407919.14285714284</v>
      </c>
      <c r="F131" s="523">
        <f t="shared" si="16"/>
        <v>3782596.1643133871</v>
      </c>
      <c r="G131" s="523">
        <f t="shared" si="17"/>
        <v>3986555.7357419585</v>
      </c>
      <c r="H131" s="526">
        <f t="shared" si="18"/>
        <v>836768.22182870284</v>
      </c>
      <c r="I131" s="577">
        <f t="shared" si="19"/>
        <v>836768.22182870284</v>
      </c>
      <c r="J131" s="514">
        <f t="shared" ref="J131:J154" si="20">+I541-H541</f>
        <v>0</v>
      </c>
      <c r="K131" s="514"/>
      <c r="L131" s="525"/>
      <c r="M131" s="514">
        <f t="shared" ref="M131:M154" si="21">IF(L541&lt;&gt;0,+H541-L541,0)</f>
        <v>0</v>
      </c>
      <c r="N131" s="525"/>
      <c r="O131" s="514">
        <f t="shared" ref="O131:O154" si="22">IF(N541&lt;&gt;0,+I541-N541,0)</f>
        <v>0</v>
      </c>
      <c r="P131" s="514">
        <f t="shared" ref="P131:P154" si="23">+O541-M541</f>
        <v>0</v>
      </c>
    </row>
    <row r="132" spans="2:16" ht="12.5">
      <c r="B132" s="195" t="str">
        <f t="shared" si="14"/>
        <v/>
      </c>
      <c r="C132" s="507">
        <f>IF(D93="","-",+C131+1)</f>
        <v>2050</v>
      </c>
      <c r="D132" s="374">
        <f>IF(F131+SUM(E$99:E131)=D$92,F131,D$92-SUM(E$99:E131))</f>
        <v>3782596.1643133871</v>
      </c>
      <c r="E132" s="522">
        <f>IF(+J96&lt;F131,J96,D132)</f>
        <v>407919.14285714284</v>
      </c>
      <c r="F132" s="523">
        <f t="shared" si="16"/>
        <v>3374677.0214562444</v>
      </c>
      <c r="G132" s="523">
        <f t="shared" si="17"/>
        <v>3578636.5928848158</v>
      </c>
      <c r="H132" s="526">
        <f t="shared" si="18"/>
        <v>792886.79628114402</v>
      </c>
      <c r="I132" s="577">
        <f t="shared" si="19"/>
        <v>792886.79628114402</v>
      </c>
      <c r="J132" s="514">
        <f t="shared" si="20"/>
        <v>0</v>
      </c>
      <c r="K132" s="514"/>
      <c r="L132" s="525"/>
      <c r="M132" s="514">
        <f t="shared" si="21"/>
        <v>0</v>
      </c>
      <c r="N132" s="525"/>
      <c r="O132" s="514">
        <f t="shared" si="22"/>
        <v>0</v>
      </c>
      <c r="P132" s="514">
        <f t="shared" si="23"/>
        <v>0</v>
      </c>
    </row>
    <row r="133" spans="2:16" ht="12.5">
      <c r="B133" s="195" t="str">
        <f t="shared" si="14"/>
        <v/>
      </c>
      <c r="C133" s="507">
        <f>IF(D93="","-",+C132+1)</f>
        <v>2051</v>
      </c>
      <c r="D133" s="374">
        <f>IF(F132+SUM(E$99:E132)=D$92,F132,D$92-SUM(E$99:E132))</f>
        <v>3374677.0214562444</v>
      </c>
      <c r="E133" s="522">
        <f>IF(+J96&lt;F132,J96,D133)</f>
        <v>407919.14285714284</v>
      </c>
      <c r="F133" s="523">
        <f t="shared" si="16"/>
        <v>2966757.8785991017</v>
      </c>
      <c r="G133" s="523">
        <f t="shared" si="17"/>
        <v>3170717.450027673</v>
      </c>
      <c r="H133" s="526">
        <f t="shared" si="18"/>
        <v>749005.37073358544</v>
      </c>
      <c r="I133" s="577">
        <f t="shared" si="19"/>
        <v>749005.37073358544</v>
      </c>
      <c r="J133" s="514">
        <f t="shared" si="20"/>
        <v>0</v>
      </c>
      <c r="K133" s="514"/>
      <c r="L133" s="525"/>
      <c r="M133" s="514">
        <f t="shared" si="21"/>
        <v>0</v>
      </c>
      <c r="N133" s="525"/>
      <c r="O133" s="514">
        <f t="shared" si="22"/>
        <v>0</v>
      </c>
      <c r="P133" s="514">
        <f t="shared" si="23"/>
        <v>0</v>
      </c>
    </row>
    <row r="134" spans="2:16" ht="12.5">
      <c r="B134" s="195" t="str">
        <f t="shared" si="14"/>
        <v/>
      </c>
      <c r="C134" s="507">
        <f>IF(D93="","-",+C133+1)</f>
        <v>2052</v>
      </c>
      <c r="D134" s="374">
        <f>IF(F133+SUM(E$99:E133)=D$92,F133,D$92-SUM(E$99:E133))</f>
        <v>2966757.8785991017</v>
      </c>
      <c r="E134" s="522">
        <f>IF(+J96&lt;F133,J96,D134)</f>
        <v>407919.14285714284</v>
      </c>
      <c r="F134" s="523">
        <f t="shared" si="16"/>
        <v>2558838.735741959</v>
      </c>
      <c r="G134" s="523">
        <f t="shared" si="17"/>
        <v>2762798.3071705303</v>
      </c>
      <c r="H134" s="526">
        <f t="shared" si="18"/>
        <v>705123.94518602663</v>
      </c>
      <c r="I134" s="577">
        <f t="shared" si="19"/>
        <v>705123.94518602663</v>
      </c>
      <c r="J134" s="514">
        <f t="shared" si="20"/>
        <v>0</v>
      </c>
      <c r="K134" s="514"/>
      <c r="L134" s="525"/>
      <c r="M134" s="514">
        <f t="shared" si="21"/>
        <v>0</v>
      </c>
      <c r="N134" s="525"/>
      <c r="O134" s="514">
        <f t="shared" si="22"/>
        <v>0</v>
      </c>
      <c r="P134" s="514">
        <f t="shared" si="23"/>
        <v>0</v>
      </c>
    </row>
    <row r="135" spans="2:16" ht="12.5">
      <c r="B135" s="195" t="str">
        <f t="shared" si="14"/>
        <v/>
      </c>
      <c r="C135" s="507">
        <f>IF(D93="","-",+C134+1)</f>
        <v>2053</v>
      </c>
      <c r="D135" s="374">
        <f>IF(F134+SUM(E$99:E134)=D$92,F134,D$92-SUM(E$99:E134))</f>
        <v>2558838.735741959</v>
      </c>
      <c r="E135" s="522">
        <f>IF(+J96&lt;F134,J96,D135)</f>
        <v>407919.14285714284</v>
      </c>
      <c r="F135" s="523">
        <f t="shared" si="16"/>
        <v>2150919.5928848162</v>
      </c>
      <c r="G135" s="523">
        <f t="shared" si="17"/>
        <v>2354879.1643133876</v>
      </c>
      <c r="H135" s="526">
        <f t="shared" si="18"/>
        <v>661242.51963846805</v>
      </c>
      <c r="I135" s="577">
        <f t="shared" si="19"/>
        <v>661242.51963846805</v>
      </c>
      <c r="J135" s="514">
        <f t="shared" si="20"/>
        <v>0</v>
      </c>
      <c r="K135" s="514"/>
      <c r="L135" s="525"/>
      <c r="M135" s="514">
        <f t="shared" si="21"/>
        <v>0</v>
      </c>
      <c r="N135" s="525"/>
      <c r="O135" s="514">
        <f t="shared" si="22"/>
        <v>0</v>
      </c>
      <c r="P135" s="514">
        <f t="shared" si="23"/>
        <v>0</v>
      </c>
    </row>
    <row r="136" spans="2:16" ht="12.5">
      <c r="B136" s="195" t="str">
        <f t="shared" si="14"/>
        <v/>
      </c>
      <c r="C136" s="507">
        <f>IF(D93="","-",+C135+1)</f>
        <v>2054</v>
      </c>
      <c r="D136" s="374">
        <f>IF(F135+SUM(E$99:E135)=D$92,F135,D$92-SUM(E$99:E135))</f>
        <v>2150919.5928848162</v>
      </c>
      <c r="E136" s="522">
        <f>IF(+J96&lt;F135,J96,D136)</f>
        <v>407919.14285714284</v>
      </c>
      <c r="F136" s="523">
        <f t="shared" si="16"/>
        <v>1743000.4500276735</v>
      </c>
      <c r="G136" s="523">
        <f t="shared" si="17"/>
        <v>1946960.0214562449</v>
      </c>
      <c r="H136" s="526">
        <f t="shared" si="18"/>
        <v>617361.09409090923</v>
      </c>
      <c r="I136" s="577">
        <f t="shared" si="19"/>
        <v>617361.09409090923</v>
      </c>
      <c r="J136" s="514">
        <f t="shared" si="20"/>
        <v>0</v>
      </c>
      <c r="K136" s="514"/>
      <c r="L136" s="525"/>
      <c r="M136" s="514">
        <f t="shared" si="21"/>
        <v>0</v>
      </c>
      <c r="N136" s="525"/>
      <c r="O136" s="514">
        <f t="shared" si="22"/>
        <v>0</v>
      </c>
      <c r="P136" s="514">
        <f t="shared" si="23"/>
        <v>0</v>
      </c>
    </row>
    <row r="137" spans="2:16" ht="12.5">
      <c r="B137" s="195" t="str">
        <f t="shared" si="14"/>
        <v/>
      </c>
      <c r="C137" s="507">
        <f>IF(D93="","-",+C136+1)</f>
        <v>2055</v>
      </c>
      <c r="D137" s="374">
        <f>IF(F136+SUM(E$99:E136)=D$92,F136,D$92-SUM(E$99:E136))</f>
        <v>1743000.4500276735</v>
      </c>
      <c r="E137" s="522">
        <f>IF(+J96&lt;F136,J96,D137)</f>
        <v>407919.14285714284</v>
      </c>
      <c r="F137" s="523">
        <f t="shared" si="16"/>
        <v>1335081.3071705308</v>
      </c>
      <c r="G137" s="523">
        <f t="shared" si="17"/>
        <v>1539040.8785991021</v>
      </c>
      <c r="H137" s="526">
        <f t="shared" si="18"/>
        <v>573479.66854335065</v>
      </c>
      <c r="I137" s="577">
        <f t="shared" si="19"/>
        <v>573479.66854335065</v>
      </c>
      <c r="J137" s="514">
        <f t="shared" si="20"/>
        <v>0</v>
      </c>
      <c r="K137" s="514"/>
      <c r="L137" s="525"/>
      <c r="M137" s="514">
        <f t="shared" si="21"/>
        <v>0</v>
      </c>
      <c r="N137" s="525"/>
      <c r="O137" s="514">
        <f t="shared" si="22"/>
        <v>0</v>
      </c>
      <c r="P137" s="514">
        <f t="shared" si="23"/>
        <v>0</v>
      </c>
    </row>
    <row r="138" spans="2:16" ht="12.5">
      <c r="B138" s="195" t="str">
        <f t="shared" si="14"/>
        <v/>
      </c>
      <c r="C138" s="507">
        <f>IF(D93="","-",+C137+1)</f>
        <v>2056</v>
      </c>
      <c r="D138" s="374">
        <f>IF(F137+SUM(E$99:E137)=D$92,F137,D$92-SUM(E$99:E137))</f>
        <v>1335081.3071705308</v>
      </c>
      <c r="E138" s="522">
        <f>IF(+J96&lt;F137,J96,D138)</f>
        <v>407919.14285714284</v>
      </c>
      <c r="F138" s="523">
        <f t="shared" si="16"/>
        <v>927162.16431338794</v>
      </c>
      <c r="G138" s="523">
        <f t="shared" si="17"/>
        <v>1131121.7357419594</v>
      </c>
      <c r="H138" s="526">
        <f t="shared" si="18"/>
        <v>529598.24299579184</v>
      </c>
      <c r="I138" s="577">
        <f t="shared" si="19"/>
        <v>529598.24299579184</v>
      </c>
      <c r="J138" s="514">
        <f t="shared" si="20"/>
        <v>0</v>
      </c>
      <c r="K138" s="514"/>
      <c r="L138" s="525"/>
      <c r="M138" s="514">
        <f t="shared" si="21"/>
        <v>0</v>
      </c>
      <c r="N138" s="525"/>
      <c r="O138" s="514">
        <f t="shared" si="22"/>
        <v>0</v>
      </c>
      <c r="P138" s="514">
        <f t="shared" si="23"/>
        <v>0</v>
      </c>
    </row>
    <row r="139" spans="2:16" ht="12.5">
      <c r="B139" s="195" t="str">
        <f t="shared" si="14"/>
        <v/>
      </c>
      <c r="C139" s="507">
        <f>IF(D93="","-",+C138+1)</f>
        <v>2057</v>
      </c>
      <c r="D139" s="374">
        <f>IF(F138+SUM(E$99:E138)=D$92,F138,D$92-SUM(E$99:E138))</f>
        <v>927162.16431338794</v>
      </c>
      <c r="E139" s="522">
        <f>IF(+J96&lt;F138,J96,D139)</f>
        <v>407919.14285714284</v>
      </c>
      <c r="F139" s="523">
        <f t="shared" si="16"/>
        <v>519243.0214562451</v>
      </c>
      <c r="G139" s="523">
        <f t="shared" si="17"/>
        <v>723202.59288481646</v>
      </c>
      <c r="H139" s="526">
        <f t="shared" si="18"/>
        <v>485716.81744823314</v>
      </c>
      <c r="I139" s="577">
        <f t="shared" si="19"/>
        <v>485716.81744823314</v>
      </c>
      <c r="J139" s="514">
        <f t="shared" si="20"/>
        <v>0</v>
      </c>
      <c r="K139" s="514"/>
      <c r="L139" s="525"/>
      <c r="M139" s="514">
        <f t="shared" si="21"/>
        <v>0</v>
      </c>
      <c r="N139" s="525"/>
      <c r="O139" s="514">
        <f t="shared" si="22"/>
        <v>0</v>
      </c>
      <c r="P139" s="514">
        <f t="shared" si="23"/>
        <v>0</v>
      </c>
    </row>
    <row r="140" spans="2:16" ht="12.5">
      <c r="B140" s="195" t="str">
        <f t="shared" si="14"/>
        <v/>
      </c>
      <c r="C140" s="507">
        <f>IF(D93="","-",+C139+1)</f>
        <v>2058</v>
      </c>
      <c r="D140" s="374">
        <f>IF(F139+SUM(E$99:E139)=D$92,F139,D$92-SUM(E$99:E139))</f>
        <v>519243.0214562451</v>
      </c>
      <c r="E140" s="522">
        <f>IF(+J96&lt;F139,J96,D140)</f>
        <v>407919.14285714284</v>
      </c>
      <c r="F140" s="523">
        <f t="shared" si="16"/>
        <v>111323.87859910226</v>
      </c>
      <c r="G140" s="523">
        <f t="shared" si="17"/>
        <v>315283.45002767368</v>
      </c>
      <c r="H140" s="526">
        <f t="shared" si="18"/>
        <v>441835.39190067444</v>
      </c>
      <c r="I140" s="577">
        <f t="shared" si="19"/>
        <v>441835.39190067444</v>
      </c>
      <c r="J140" s="514">
        <f t="shared" si="20"/>
        <v>0</v>
      </c>
      <c r="K140" s="514"/>
      <c r="L140" s="525"/>
      <c r="M140" s="514">
        <f t="shared" si="21"/>
        <v>0</v>
      </c>
      <c r="N140" s="525"/>
      <c r="O140" s="514">
        <f t="shared" si="22"/>
        <v>0</v>
      </c>
      <c r="P140" s="514">
        <f t="shared" si="23"/>
        <v>0</v>
      </c>
    </row>
    <row r="141" spans="2:16" ht="12.5">
      <c r="B141" s="195" t="str">
        <f t="shared" si="14"/>
        <v/>
      </c>
      <c r="C141" s="507">
        <f>IF(D93="","-",+C140+1)</f>
        <v>2059</v>
      </c>
      <c r="D141" s="374">
        <f>IF(F140+SUM(E$99:E140)=D$92,F140,D$92-SUM(E$99:E140))</f>
        <v>111323.87859910226</v>
      </c>
      <c r="E141" s="522">
        <f>IF(+J96&lt;F140,J96,D141)</f>
        <v>111323.87859910226</v>
      </c>
      <c r="F141" s="523">
        <f t="shared" si="16"/>
        <v>0</v>
      </c>
      <c r="G141" s="523">
        <f t="shared" si="17"/>
        <v>55661.93929955113</v>
      </c>
      <c r="H141" s="526">
        <f t="shared" si="18"/>
        <v>117311.6467339784</v>
      </c>
      <c r="I141" s="577">
        <f t="shared" si="19"/>
        <v>117311.6467339784</v>
      </c>
      <c r="J141" s="514">
        <f t="shared" si="20"/>
        <v>0</v>
      </c>
      <c r="K141" s="514"/>
      <c r="L141" s="525"/>
      <c r="M141" s="514">
        <f t="shared" si="21"/>
        <v>0</v>
      </c>
      <c r="N141" s="525"/>
      <c r="O141" s="514">
        <f t="shared" si="22"/>
        <v>0</v>
      </c>
      <c r="P141" s="514">
        <f t="shared" si="23"/>
        <v>0</v>
      </c>
    </row>
    <row r="142" spans="2:16" ht="12.5">
      <c r="B142" s="195" t="str">
        <f t="shared" si="14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6"/>
        <v>0</v>
      </c>
      <c r="G142" s="523">
        <f t="shared" si="17"/>
        <v>0</v>
      </c>
      <c r="H142" s="526">
        <f t="shared" si="18"/>
        <v>0</v>
      </c>
      <c r="I142" s="577">
        <f t="shared" si="19"/>
        <v>0</v>
      </c>
      <c r="J142" s="514">
        <f t="shared" si="20"/>
        <v>0</v>
      </c>
      <c r="K142" s="514"/>
      <c r="L142" s="525"/>
      <c r="M142" s="514">
        <f t="shared" si="21"/>
        <v>0</v>
      </c>
      <c r="N142" s="525"/>
      <c r="O142" s="514">
        <f t="shared" si="22"/>
        <v>0</v>
      </c>
      <c r="P142" s="514">
        <f t="shared" si="23"/>
        <v>0</v>
      </c>
    </row>
    <row r="143" spans="2:16" ht="12.5">
      <c r="B143" s="195" t="str">
        <f t="shared" si="14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6"/>
        <v>0</v>
      </c>
      <c r="G143" s="523">
        <f t="shared" si="17"/>
        <v>0</v>
      </c>
      <c r="H143" s="526">
        <f t="shared" si="18"/>
        <v>0</v>
      </c>
      <c r="I143" s="577">
        <f t="shared" si="19"/>
        <v>0</v>
      </c>
      <c r="J143" s="514">
        <f t="shared" si="20"/>
        <v>0</v>
      </c>
      <c r="K143" s="514"/>
      <c r="L143" s="525"/>
      <c r="M143" s="514">
        <f t="shared" si="21"/>
        <v>0</v>
      </c>
      <c r="N143" s="525"/>
      <c r="O143" s="514">
        <f t="shared" si="22"/>
        <v>0</v>
      </c>
      <c r="P143" s="514">
        <f t="shared" si="23"/>
        <v>0</v>
      </c>
    </row>
    <row r="144" spans="2:16" ht="12.5">
      <c r="B144" s="195" t="str">
        <f t="shared" si="14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6"/>
        <v>0</v>
      </c>
      <c r="G144" s="523">
        <f t="shared" si="17"/>
        <v>0</v>
      </c>
      <c r="H144" s="526">
        <f t="shared" si="18"/>
        <v>0</v>
      </c>
      <c r="I144" s="577">
        <f t="shared" si="19"/>
        <v>0</v>
      </c>
      <c r="J144" s="514">
        <f t="shared" si="20"/>
        <v>0</v>
      </c>
      <c r="K144" s="514"/>
      <c r="L144" s="525"/>
      <c r="M144" s="514">
        <f t="shared" si="21"/>
        <v>0</v>
      </c>
      <c r="N144" s="525"/>
      <c r="O144" s="514">
        <f t="shared" si="22"/>
        <v>0</v>
      </c>
      <c r="P144" s="514">
        <f t="shared" si="23"/>
        <v>0</v>
      </c>
    </row>
    <row r="145" spans="2:16" ht="12.5">
      <c r="B145" s="195" t="str">
        <f t="shared" si="14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6"/>
        <v>0</v>
      </c>
      <c r="G145" s="523">
        <f t="shared" si="17"/>
        <v>0</v>
      </c>
      <c r="H145" s="526">
        <f t="shared" si="18"/>
        <v>0</v>
      </c>
      <c r="I145" s="577">
        <f t="shared" si="19"/>
        <v>0</v>
      </c>
      <c r="J145" s="514">
        <f t="shared" si="20"/>
        <v>0</v>
      </c>
      <c r="K145" s="514"/>
      <c r="L145" s="525"/>
      <c r="M145" s="514">
        <f t="shared" si="21"/>
        <v>0</v>
      </c>
      <c r="N145" s="525"/>
      <c r="O145" s="514">
        <f t="shared" si="22"/>
        <v>0</v>
      </c>
      <c r="P145" s="514">
        <f t="shared" si="23"/>
        <v>0</v>
      </c>
    </row>
    <row r="146" spans="2:16" ht="12.5">
      <c r="B146" s="195" t="str">
        <f t="shared" si="14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6"/>
        <v>0</v>
      </c>
      <c r="G146" s="523">
        <f t="shared" si="17"/>
        <v>0</v>
      </c>
      <c r="H146" s="526">
        <f t="shared" si="18"/>
        <v>0</v>
      </c>
      <c r="I146" s="577">
        <f t="shared" si="19"/>
        <v>0</v>
      </c>
      <c r="J146" s="514">
        <f t="shared" si="20"/>
        <v>0</v>
      </c>
      <c r="K146" s="514"/>
      <c r="L146" s="525"/>
      <c r="M146" s="514">
        <f t="shared" si="21"/>
        <v>0</v>
      </c>
      <c r="N146" s="525"/>
      <c r="O146" s="514">
        <f t="shared" si="22"/>
        <v>0</v>
      </c>
      <c r="P146" s="514">
        <f t="shared" si="23"/>
        <v>0</v>
      </c>
    </row>
    <row r="147" spans="2:16" ht="12.5">
      <c r="B147" s="195" t="str">
        <f t="shared" si="14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6"/>
        <v>0</v>
      </c>
      <c r="G147" s="523">
        <f t="shared" si="17"/>
        <v>0</v>
      </c>
      <c r="H147" s="526">
        <f t="shared" si="18"/>
        <v>0</v>
      </c>
      <c r="I147" s="577">
        <f t="shared" si="19"/>
        <v>0</v>
      </c>
      <c r="J147" s="514">
        <f t="shared" si="20"/>
        <v>0</v>
      </c>
      <c r="K147" s="514"/>
      <c r="L147" s="525"/>
      <c r="M147" s="514">
        <f t="shared" si="21"/>
        <v>0</v>
      </c>
      <c r="N147" s="525"/>
      <c r="O147" s="514">
        <f t="shared" si="22"/>
        <v>0</v>
      </c>
      <c r="P147" s="514">
        <f t="shared" si="23"/>
        <v>0</v>
      </c>
    </row>
    <row r="148" spans="2:16" ht="12.5">
      <c r="B148" s="195" t="str">
        <f t="shared" si="14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6"/>
        <v>0</v>
      </c>
      <c r="G148" s="523">
        <f t="shared" si="17"/>
        <v>0</v>
      </c>
      <c r="H148" s="526">
        <f t="shared" si="18"/>
        <v>0</v>
      </c>
      <c r="I148" s="577">
        <f t="shared" si="19"/>
        <v>0</v>
      </c>
      <c r="J148" s="514">
        <f t="shared" si="20"/>
        <v>0</v>
      </c>
      <c r="K148" s="514"/>
      <c r="L148" s="525"/>
      <c r="M148" s="514">
        <f t="shared" si="21"/>
        <v>0</v>
      </c>
      <c r="N148" s="525"/>
      <c r="O148" s="514">
        <f t="shared" si="22"/>
        <v>0</v>
      </c>
      <c r="P148" s="514">
        <f t="shared" si="23"/>
        <v>0</v>
      </c>
    </row>
    <row r="149" spans="2:16" ht="12.5">
      <c r="B149" s="195" t="str">
        <f t="shared" si="14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6"/>
        <v>0</v>
      </c>
      <c r="G149" s="523">
        <f t="shared" si="17"/>
        <v>0</v>
      </c>
      <c r="H149" s="526">
        <f t="shared" si="18"/>
        <v>0</v>
      </c>
      <c r="I149" s="577">
        <f t="shared" si="19"/>
        <v>0</v>
      </c>
      <c r="J149" s="514">
        <f t="shared" si="20"/>
        <v>0</v>
      </c>
      <c r="K149" s="514"/>
      <c r="L149" s="525"/>
      <c r="M149" s="514">
        <f t="shared" si="21"/>
        <v>0</v>
      </c>
      <c r="N149" s="525"/>
      <c r="O149" s="514">
        <f t="shared" si="22"/>
        <v>0</v>
      </c>
      <c r="P149" s="514">
        <f t="shared" si="23"/>
        <v>0</v>
      </c>
    </row>
    <row r="150" spans="2:16" ht="12.5">
      <c r="B150" s="195" t="str">
        <f t="shared" si="14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6"/>
        <v>0</v>
      </c>
      <c r="G150" s="523">
        <f t="shared" si="17"/>
        <v>0</v>
      </c>
      <c r="H150" s="526">
        <f t="shared" si="18"/>
        <v>0</v>
      </c>
      <c r="I150" s="577">
        <f t="shared" si="19"/>
        <v>0</v>
      </c>
      <c r="J150" s="514">
        <f t="shared" si="20"/>
        <v>0</v>
      </c>
      <c r="K150" s="514"/>
      <c r="L150" s="525"/>
      <c r="M150" s="514">
        <f t="shared" si="21"/>
        <v>0</v>
      </c>
      <c r="N150" s="525"/>
      <c r="O150" s="514">
        <f t="shared" si="22"/>
        <v>0</v>
      </c>
      <c r="P150" s="514">
        <f t="shared" si="23"/>
        <v>0</v>
      </c>
    </row>
    <row r="151" spans="2:16" ht="12.5">
      <c r="B151" s="195" t="str">
        <f t="shared" si="14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6"/>
        <v>0</v>
      </c>
      <c r="G151" s="523">
        <f t="shared" si="17"/>
        <v>0</v>
      </c>
      <c r="H151" s="526">
        <f t="shared" si="18"/>
        <v>0</v>
      </c>
      <c r="I151" s="577">
        <f t="shared" si="19"/>
        <v>0</v>
      </c>
      <c r="J151" s="514">
        <f t="shared" si="20"/>
        <v>0</v>
      </c>
      <c r="K151" s="514"/>
      <c r="L151" s="525"/>
      <c r="M151" s="514">
        <f t="shared" si="21"/>
        <v>0</v>
      </c>
      <c r="N151" s="525"/>
      <c r="O151" s="514">
        <f t="shared" si="22"/>
        <v>0</v>
      </c>
      <c r="P151" s="514">
        <f t="shared" si="23"/>
        <v>0</v>
      </c>
    </row>
    <row r="152" spans="2:16" ht="12.5">
      <c r="B152" s="195" t="str">
        <f t="shared" si="14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6"/>
        <v>0</v>
      </c>
      <c r="G152" s="523">
        <f t="shared" si="17"/>
        <v>0</v>
      </c>
      <c r="H152" s="526">
        <f t="shared" si="18"/>
        <v>0</v>
      </c>
      <c r="I152" s="577">
        <f t="shared" si="19"/>
        <v>0</v>
      </c>
      <c r="J152" s="514">
        <f t="shared" si="20"/>
        <v>0</v>
      </c>
      <c r="K152" s="514"/>
      <c r="L152" s="525"/>
      <c r="M152" s="514">
        <f t="shared" si="21"/>
        <v>0</v>
      </c>
      <c r="N152" s="525"/>
      <c r="O152" s="514">
        <f t="shared" si="22"/>
        <v>0</v>
      </c>
      <c r="P152" s="514">
        <f t="shared" si="23"/>
        <v>0</v>
      </c>
    </row>
    <row r="153" spans="2:16" ht="12.5">
      <c r="B153" s="195" t="str">
        <f t="shared" si="14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6"/>
        <v>0</v>
      </c>
      <c r="G153" s="523">
        <f t="shared" si="17"/>
        <v>0</v>
      </c>
      <c r="H153" s="526">
        <f t="shared" si="18"/>
        <v>0</v>
      </c>
      <c r="I153" s="577">
        <f t="shared" si="19"/>
        <v>0</v>
      </c>
      <c r="J153" s="514">
        <f t="shared" si="20"/>
        <v>0</v>
      </c>
      <c r="K153" s="514"/>
      <c r="L153" s="525"/>
      <c r="M153" s="514">
        <f t="shared" si="21"/>
        <v>0</v>
      </c>
      <c r="N153" s="525"/>
      <c r="O153" s="514">
        <f t="shared" si="22"/>
        <v>0</v>
      </c>
      <c r="P153" s="514">
        <f t="shared" si="23"/>
        <v>0</v>
      </c>
    </row>
    <row r="154" spans="2:16" ht="13" thickBot="1">
      <c r="B154" s="195" t="str">
        <f t="shared" si="14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6"/>
        <v>0</v>
      </c>
      <c r="G154" s="528">
        <f t="shared" si="17"/>
        <v>0</v>
      </c>
      <c r="H154" s="530">
        <f t="shared" si="18"/>
        <v>0</v>
      </c>
      <c r="I154" s="579">
        <f t="shared" si="19"/>
        <v>0</v>
      </c>
      <c r="J154" s="533">
        <f t="shared" si="20"/>
        <v>0</v>
      </c>
      <c r="K154" s="514"/>
      <c r="L154" s="532"/>
      <c r="M154" s="533">
        <f t="shared" si="21"/>
        <v>0</v>
      </c>
      <c r="N154" s="532"/>
      <c r="O154" s="533">
        <f t="shared" si="22"/>
        <v>0</v>
      </c>
      <c r="P154" s="533">
        <f t="shared" si="23"/>
        <v>0</v>
      </c>
    </row>
    <row r="155" spans="2:16" ht="12.5">
      <c r="C155" s="374" t="s">
        <v>78</v>
      </c>
      <c r="D155" s="375"/>
      <c r="E155" s="375">
        <f>SUM(E99:E154)</f>
        <v>17132604.000000004</v>
      </c>
      <c r="F155" s="375"/>
      <c r="G155" s="375"/>
      <c r="H155" s="375">
        <f>SUM(H99:H154)</f>
        <v>55491463.374678813</v>
      </c>
      <c r="I155" s="375">
        <f>SUM(I99:I154)</f>
        <v>55491463.374678813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1" priority="1" stopIfTrue="1" operator="equal">
      <formula>$I$10</formula>
    </cfRule>
  </conditionalFormatting>
  <conditionalFormatting sqref="C99:C154">
    <cfRule type="cellIs" dxfId="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9"/>
  <dimension ref="A1:P162"/>
  <sheetViews>
    <sheetView view="pageBreakPreview" zoomScale="80" zoomScaleNormal="100" zoomScaleSheetLayoutView="80" workbookViewId="0">
      <selection activeCell="D8" sqref="D8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60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11480767.373612601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11480767.373612601</v>
      </c>
      <c r="O6" s="269"/>
      <c r="P6" s="269"/>
    </row>
    <row r="7" spans="1:16" ht="13.5" thickBot="1">
      <c r="C7" s="467" t="s">
        <v>48</v>
      </c>
      <c r="D7" s="624" t="s">
        <v>383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263</v>
      </c>
      <c r="E9" s="478"/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97370354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2318341.7619047621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516">
        <v>0</v>
      </c>
      <c r="E17" s="516">
        <v>0</v>
      </c>
      <c r="F17" s="516">
        <v>99956721</v>
      </c>
      <c r="G17" s="516">
        <v>0</v>
      </c>
      <c r="H17" s="516">
        <v>0</v>
      </c>
      <c r="I17" s="516">
        <v>0</v>
      </c>
      <c r="J17" s="511"/>
      <c r="K17" s="512">
        <f>+G17</f>
        <v>0</v>
      </c>
      <c r="L17" s="513">
        <f t="shared" ref="L17:L72" si="0">IF(K17&lt;&gt;0,+G17-K17,0)</f>
        <v>0</v>
      </c>
      <c r="M17" s="512">
        <f>+H17</f>
        <v>0</v>
      </c>
      <c r="N17" s="513">
        <f t="shared" ref="N17:N72" si="1">IF(M17&lt;&gt;0,+H17-M17,0)</f>
        <v>0</v>
      </c>
      <c r="O17" s="514">
        <f t="shared" ref="O17:O72" si="2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2017</v>
      </c>
      <c r="D18" s="651">
        <v>99956721</v>
      </c>
      <c r="E18" s="656">
        <v>2324574.9069767441</v>
      </c>
      <c r="F18" s="651">
        <v>97632146.093023255</v>
      </c>
      <c r="G18" s="650">
        <v>14564467.586252602</v>
      </c>
      <c r="H18" s="657">
        <v>14564467.586252602</v>
      </c>
      <c r="I18" s="511">
        <f t="shared" ref="I18:I72" si="3">H18-G18</f>
        <v>0</v>
      </c>
      <c r="J18" s="511"/>
      <c r="K18" s="518">
        <f>+G18</f>
        <v>14564467.586252602</v>
      </c>
      <c r="L18" s="519">
        <f t="shared" si="0"/>
        <v>0</v>
      </c>
      <c r="M18" s="518">
        <f>+H18</f>
        <v>14564467.586252602</v>
      </c>
      <c r="N18" s="514">
        <f t="shared" si="1"/>
        <v>0</v>
      </c>
      <c r="O18" s="514">
        <f t="shared" si="2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51">
        <v>97632146.093023255</v>
      </c>
      <c r="E19" s="656">
        <v>2437968.8048780486</v>
      </c>
      <c r="F19" s="651">
        <v>95194177.288145214</v>
      </c>
      <c r="G19" s="650">
        <v>14691512.71476743</v>
      </c>
      <c r="H19" s="657">
        <v>14691512.71476743</v>
      </c>
      <c r="I19" s="511">
        <f t="shared" si="3"/>
        <v>0</v>
      </c>
      <c r="J19" s="511"/>
      <c r="K19" s="518">
        <f>+G19</f>
        <v>14691512.71476743</v>
      </c>
      <c r="L19" s="519">
        <f>IF(K19&lt;&gt;0,+G19-K19,0)</f>
        <v>0</v>
      </c>
      <c r="M19" s="518">
        <f>+H19</f>
        <v>14691512.71476743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2019</v>
      </c>
      <c r="D20" s="651">
        <v>95194177.288145214</v>
      </c>
      <c r="E20" s="656">
        <v>2437968.8048780486</v>
      </c>
      <c r="F20" s="651">
        <v>92756208.483267158</v>
      </c>
      <c r="G20" s="650">
        <v>14381661.266296247</v>
      </c>
      <c r="H20" s="657">
        <v>14381661.266296247</v>
      </c>
      <c r="I20" s="511">
        <f t="shared" si="3"/>
        <v>0</v>
      </c>
      <c r="J20" s="511"/>
      <c r="K20" s="518">
        <f>+G20</f>
        <v>14381661.266296247</v>
      </c>
      <c r="L20" s="519">
        <f>IF(K20&lt;&gt;0,+G20-K20,0)</f>
        <v>0</v>
      </c>
      <c r="M20" s="518">
        <f>+H20</f>
        <v>14381661.266296247</v>
      </c>
      <c r="N20" s="514">
        <f t="shared" si="1"/>
        <v>0</v>
      </c>
      <c r="O20" s="514">
        <f t="shared" si="2"/>
        <v>0</v>
      </c>
      <c r="P20" s="272"/>
    </row>
    <row r="21" spans="2:16" ht="12.5">
      <c r="B21" s="195" t="str">
        <f t="shared" si="4"/>
        <v>IU</v>
      </c>
      <c r="C21" s="507">
        <f>IF(D11="","-",+C20+1)</f>
        <v>2020</v>
      </c>
      <c r="D21" s="651">
        <v>90168458.483267158</v>
      </c>
      <c r="E21" s="656">
        <v>2374852.9512195121</v>
      </c>
      <c r="F21" s="651">
        <v>87793605.532047644</v>
      </c>
      <c r="G21" s="650">
        <v>11480767.373612601</v>
      </c>
      <c r="H21" s="657">
        <v>11480767.373612601</v>
      </c>
      <c r="I21" s="511">
        <f t="shared" si="3"/>
        <v>0</v>
      </c>
      <c r="J21" s="511"/>
      <c r="K21" s="518">
        <f>+G21</f>
        <v>11480767.373612601</v>
      </c>
      <c r="L21" s="519">
        <f>IF(K21&lt;&gt;0,+G21-K21,0)</f>
        <v>0</v>
      </c>
      <c r="M21" s="518">
        <f>+H21</f>
        <v>11480767.373612601</v>
      </c>
      <c r="N21" s="514">
        <f t="shared" si="1"/>
        <v>0</v>
      </c>
      <c r="O21" s="514">
        <f t="shared" si="2"/>
        <v>0</v>
      </c>
      <c r="P21" s="272"/>
    </row>
    <row r="22" spans="2:16" ht="12.5">
      <c r="B22" s="195" t="str">
        <f t="shared" si="4"/>
        <v>IU</v>
      </c>
      <c r="C22" s="507">
        <f>IF(D11="","-",+C21+1)</f>
        <v>2021</v>
      </c>
      <c r="D22" s="523">
        <f>IF(F21+SUM(E$17:E21)=D$10,F21,D$10-SUM(E$17:E21))</f>
        <v>87794988.532047644</v>
      </c>
      <c r="E22" s="522">
        <f>IF(+I14&lt;F21,I14,D22)</f>
        <v>2318341.7619047621</v>
      </c>
      <c r="F22" s="523">
        <f t="shared" ref="F22:F72" si="5">+D22-E22</f>
        <v>85476646.770142883</v>
      </c>
      <c r="G22" s="524">
        <f t="shared" ref="G22:G49" si="6">+I$12*((D22+F22)/2)+E22</f>
        <v>11572604.258479048</v>
      </c>
      <c r="H22" s="491">
        <f t="shared" ref="H22:H49" si="7">+I$13*((D22+F22)/2)+E22</f>
        <v>11572604.258479048</v>
      </c>
      <c r="I22" s="511">
        <f t="shared" si="3"/>
        <v>0</v>
      </c>
      <c r="J22" s="511"/>
      <c r="K22" s="525"/>
      <c r="L22" s="514">
        <f t="shared" si="0"/>
        <v>0</v>
      </c>
      <c r="M22" s="525"/>
      <c r="N22" s="514">
        <f t="shared" si="1"/>
        <v>0</v>
      </c>
      <c r="O22" s="514">
        <f t="shared" si="2"/>
        <v>0</v>
      </c>
      <c r="P22" s="272"/>
    </row>
    <row r="23" spans="2:16" ht="12.5">
      <c r="B23" s="195" t="str">
        <f t="shared" si="4"/>
        <v/>
      </c>
      <c r="C23" s="507">
        <f>IF(D11="","-",+C22+1)</f>
        <v>2022</v>
      </c>
      <c r="D23" s="523">
        <f>IF(F22+SUM(E$17:E22)=D$10,F22,D$10-SUM(E$17:E22))</f>
        <v>85476646.770142883</v>
      </c>
      <c r="E23" s="522">
        <f>IF(+I14&lt;F22,I14,D23)</f>
        <v>2318341.7619047621</v>
      </c>
      <c r="F23" s="523">
        <f t="shared" si="5"/>
        <v>83158305.008238122</v>
      </c>
      <c r="G23" s="524">
        <f t="shared" si="6"/>
        <v>11324963.688988026</v>
      </c>
      <c r="H23" s="491">
        <f t="shared" si="7"/>
        <v>11324963.688988026</v>
      </c>
      <c r="I23" s="511">
        <f t="shared" si="3"/>
        <v>0</v>
      </c>
      <c r="J23" s="511"/>
      <c r="K23" s="525"/>
      <c r="L23" s="514">
        <f t="shared" si="0"/>
        <v>0</v>
      </c>
      <c r="M23" s="525"/>
      <c r="N23" s="514">
        <f t="shared" si="1"/>
        <v>0</v>
      </c>
      <c r="O23" s="514">
        <f t="shared" si="2"/>
        <v>0</v>
      </c>
      <c r="P23" s="272"/>
    </row>
    <row r="24" spans="2:16" ht="12.5">
      <c r="B24" s="195" t="str">
        <f t="shared" si="4"/>
        <v/>
      </c>
      <c r="C24" s="507">
        <f>IF(D11="","-",+C23+1)</f>
        <v>2023</v>
      </c>
      <c r="D24" s="523">
        <f>IF(F23+SUM(E$17:E23)=D$10,F23,D$10-SUM(E$17:E23))</f>
        <v>83158305.008238122</v>
      </c>
      <c r="E24" s="522">
        <f>IF(+I14&lt;F23,I14,D24)</f>
        <v>2318341.7619047621</v>
      </c>
      <c r="F24" s="523">
        <f t="shared" si="5"/>
        <v>80839963.246333361</v>
      </c>
      <c r="G24" s="524">
        <f t="shared" si="6"/>
        <v>11077323.119497012</v>
      </c>
      <c r="H24" s="491">
        <f t="shared" si="7"/>
        <v>11077323.119497012</v>
      </c>
      <c r="I24" s="511">
        <f t="shared" si="3"/>
        <v>0</v>
      </c>
      <c r="J24" s="511"/>
      <c r="K24" s="525"/>
      <c r="L24" s="514">
        <f t="shared" si="0"/>
        <v>0</v>
      </c>
      <c r="M24" s="525"/>
      <c r="N24" s="514">
        <f t="shared" si="1"/>
        <v>0</v>
      </c>
      <c r="O24" s="514">
        <f t="shared" si="2"/>
        <v>0</v>
      </c>
      <c r="P24" s="272"/>
    </row>
    <row r="25" spans="2:16" ht="12.5">
      <c r="B25" s="195" t="str">
        <f t="shared" si="4"/>
        <v/>
      </c>
      <c r="C25" s="507">
        <f>IF(D11="","-",+C24+1)</f>
        <v>2024</v>
      </c>
      <c r="D25" s="523">
        <f>IF(F24+SUM(E$17:E24)=D$10,F24,D$10-SUM(E$17:E24))</f>
        <v>80839963.246333361</v>
      </c>
      <c r="E25" s="522">
        <f>IF(+I14&lt;F24,I14,D25)</f>
        <v>2318341.7619047621</v>
      </c>
      <c r="F25" s="523">
        <f t="shared" si="5"/>
        <v>78521621.484428599</v>
      </c>
      <c r="G25" s="524">
        <f t="shared" si="6"/>
        <v>10829682.550005991</v>
      </c>
      <c r="H25" s="491">
        <f t="shared" si="7"/>
        <v>10829682.550005991</v>
      </c>
      <c r="I25" s="511">
        <f t="shared" si="3"/>
        <v>0</v>
      </c>
      <c r="J25" s="511"/>
      <c r="K25" s="525"/>
      <c r="L25" s="514">
        <f t="shared" si="0"/>
        <v>0</v>
      </c>
      <c r="M25" s="525"/>
      <c r="N25" s="514">
        <f t="shared" si="1"/>
        <v>0</v>
      </c>
      <c r="O25" s="514">
        <f t="shared" si="2"/>
        <v>0</v>
      </c>
      <c r="P25" s="272"/>
    </row>
    <row r="26" spans="2:16" ht="12.5">
      <c r="B26" s="195" t="str">
        <f t="shared" si="4"/>
        <v/>
      </c>
      <c r="C26" s="507">
        <f>IF(D11="","-",+C25+1)</f>
        <v>2025</v>
      </c>
      <c r="D26" s="523">
        <f>IF(F25+SUM(E$17:E25)=D$10,F25,D$10-SUM(E$17:E25))</f>
        <v>78521621.484428599</v>
      </c>
      <c r="E26" s="522">
        <f>IF(+I14&lt;F25,I14,D26)</f>
        <v>2318341.7619047621</v>
      </c>
      <c r="F26" s="523">
        <f t="shared" si="5"/>
        <v>76203279.722523838</v>
      </c>
      <c r="G26" s="524">
        <f t="shared" si="6"/>
        <v>10582041.980514977</v>
      </c>
      <c r="H26" s="491">
        <f t="shared" si="7"/>
        <v>10582041.980514977</v>
      </c>
      <c r="I26" s="511">
        <f t="shared" si="3"/>
        <v>0</v>
      </c>
      <c r="J26" s="511"/>
      <c r="K26" s="525"/>
      <c r="L26" s="514">
        <f t="shared" si="0"/>
        <v>0</v>
      </c>
      <c r="M26" s="525"/>
      <c r="N26" s="514">
        <f t="shared" si="1"/>
        <v>0</v>
      </c>
      <c r="O26" s="514">
        <f t="shared" si="2"/>
        <v>0</v>
      </c>
      <c r="P26" s="272"/>
    </row>
    <row r="27" spans="2:16" ht="12.5">
      <c r="B27" s="195" t="str">
        <f t="shared" si="4"/>
        <v/>
      </c>
      <c r="C27" s="507">
        <f>IF(D11="","-",+C26+1)</f>
        <v>2026</v>
      </c>
      <c r="D27" s="523">
        <f>IF(F26+SUM(E$17:E26)=D$10,F26,D$10-SUM(E$17:E26))</f>
        <v>76203279.722523838</v>
      </c>
      <c r="E27" s="522">
        <f>IF(+I14&lt;F26,I14,D27)</f>
        <v>2318341.7619047621</v>
      </c>
      <c r="F27" s="523">
        <f t="shared" si="5"/>
        <v>73884937.960619077</v>
      </c>
      <c r="G27" s="524">
        <f t="shared" si="6"/>
        <v>10334401.411023958</v>
      </c>
      <c r="H27" s="491">
        <f t="shared" si="7"/>
        <v>10334401.411023958</v>
      </c>
      <c r="I27" s="511">
        <f t="shared" si="3"/>
        <v>0</v>
      </c>
      <c r="J27" s="511"/>
      <c r="K27" s="525"/>
      <c r="L27" s="514">
        <f t="shared" si="0"/>
        <v>0</v>
      </c>
      <c r="M27" s="525"/>
      <c r="N27" s="514">
        <f t="shared" si="1"/>
        <v>0</v>
      </c>
      <c r="O27" s="514">
        <f t="shared" si="2"/>
        <v>0</v>
      </c>
      <c r="P27" s="272"/>
    </row>
    <row r="28" spans="2:16" ht="12.5">
      <c r="B28" s="195" t="str">
        <f t="shared" si="4"/>
        <v/>
      </c>
      <c r="C28" s="507">
        <f>IF(D11="","-",+C27+1)</f>
        <v>2027</v>
      </c>
      <c r="D28" s="523">
        <f>IF(F27+SUM(E$17:E27)=D$10,F27,D$10-SUM(E$17:E27))</f>
        <v>73884937.960619077</v>
      </c>
      <c r="E28" s="522">
        <f>IF(+I14&lt;F27,I14,D28)</f>
        <v>2318341.7619047621</v>
      </c>
      <c r="F28" s="523">
        <f t="shared" si="5"/>
        <v>71566596.198714316</v>
      </c>
      <c r="G28" s="524">
        <f t="shared" si="6"/>
        <v>10086760.841532942</v>
      </c>
      <c r="H28" s="491">
        <f t="shared" si="7"/>
        <v>10086760.841532942</v>
      </c>
      <c r="I28" s="511">
        <f t="shared" si="3"/>
        <v>0</v>
      </c>
      <c r="J28" s="511"/>
      <c r="K28" s="525"/>
      <c r="L28" s="514">
        <f t="shared" si="0"/>
        <v>0</v>
      </c>
      <c r="M28" s="525"/>
      <c r="N28" s="514">
        <f t="shared" si="1"/>
        <v>0</v>
      </c>
      <c r="O28" s="514">
        <f t="shared" si="2"/>
        <v>0</v>
      </c>
      <c r="P28" s="272"/>
    </row>
    <row r="29" spans="2:16" ht="12.5">
      <c r="B29" s="195" t="str">
        <f t="shared" si="4"/>
        <v/>
      </c>
      <c r="C29" s="507">
        <f>IF(D11="","-",+C28+1)</f>
        <v>2028</v>
      </c>
      <c r="D29" s="523">
        <f>IF(F28+SUM(E$17:E28)=D$10,F28,D$10-SUM(E$17:E28))</f>
        <v>71566596.198714316</v>
      </c>
      <c r="E29" s="522">
        <f>IF(+I14&lt;F28,I14,D29)</f>
        <v>2318341.7619047621</v>
      </c>
      <c r="F29" s="523">
        <f t="shared" si="5"/>
        <v>69248254.436809555</v>
      </c>
      <c r="G29" s="524">
        <f t="shared" si="6"/>
        <v>9839120.2720419224</v>
      </c>
      <c r="H29" s="491">
        <f t="shared" si="7"/>
        <v>9839120.2720419224</v>
      </c>
      <c r="I29" s="511">
        <f t="shared" si="3"/>
        <v>0</v>
      </c>
      <c r="J29" s="511"/>
      <c r="K29" s="525"/>
      <c r="L29" s="514">
        <f t="shared" si="0"/>
        <v>0</v>
      </c>
      <c r="M29" s="525"/>
      <c r="N29" s="514">
        <f t="shared" si="1"/>
        <v>0</v>
      </c>
      <c r="O29" s="514">
        <f t="shared" si="2"/>
        <v>0</v>
      </c>
      <c r="P29" s="272"/>
    </row>
    <row r="30" spans="2:16" ht="12.5">
      <c r="B30" s="195" t="str">
        <f t="shared" si="4"/>
        <v/>
      </c>
      <c r="C30" s="507">
        <f>IF(D11="","-",+C29+1)</f>
        <v>2029</v>
      </c>
      <c r="D30" s="523">
        <f>IF(F29+SUM(E$17:E29)=D$10,F29,D$10-SUM(E$17:E29))</f>
        <v>69248254.436809555</v>
      </c>
      <c r="E30" s="522">
        <f>IF(+I14&lt;F29,I14,D30)</f>
        <v>2318341.7619047621</v>
      </c>
      <c r="F30" s="523">
        <f t="shared" si="5"/>
        <v>66929912.674904794</v>
      </c>
      <c r="G30" s="524">
        <f t="shared" si="6"/>
        <v>9591479.7025509067</v>
      </c>
      <c r="H30" s="491">
        <f t="shared" si="7"/>
        <v>9591479.7025509067</v>
      </c>
      <c r="I30" s="511">
        <f t="shared" si="3"/>
        <v>0</v>
      </c>
      <c r="J30" s="511"/>
      <c r="K30" s="525"/>
      <c r="L30" s="514">
        <f t="shared" si="0"/>
        <v>0</v>
      </c>
      <c r="M30" s="525"/>
      <c r="N30" s="514">
        <f t="shared" si="1"/>
        <v>0</v>
      </c>
      <c r="O30" s="514">
        <f t="shared" si="2"/>
        <v>0</v>
      </c>
      <c r="P30" s="272"/>
    </row>
    <row r="31" spans="2:16" ht="12.5">
      <c r="B31" s="195" t="str">
        <f t="shared" si="4"/>
        <v/>
      </c>
      <c r="C31" s="507">
        <f>IF(D11="","-",+C30+1)</f>
        <v>2030</v>
      </c>
      <c r="D31" s="523">
        <f>IF(F30+SUM(E$17:E30)=D$10,F30,D$10-SUM(E$17:E30))</f>
        <v>66929912.674904794</v>
      </c>
      <c r="E31" s="522">
        <f>IF(+I14&lt;F30,I14,D31)</f>
        <v>2318341.7619047621</v>
      </c>
      <c r="F31" s="523">
        <f t="shared" si="5"/>
        <v>64611570.913000032</v>
      </c>
      <c r="G31" s="524">
        <f t="shared" si="6"/>
        <v>9343839.1330598891</v>
      </c>
      <c r="H31" s="491">
        <f t="shared" si="7"/>
        <v>9343839.1330598891</v>
      </c>
      <c r="I31" s="511">
        <f t="shared" si="3"/>
        <v>0</v>
      </c>
      <c r="J31" s="511"/>
      <c r="K31" s="525"/>
      <c r="L31" s="514">
        <f t="shared" si="0"/>
        <v>0</v>
      </c>
      <c r="M31" s="525"/>
      <c r="N31" s="514">
        <f t="shared" si="1"/>
        <v>0</v>
      </c>
      <c r="O31" s="514">
        <f t="shared" si="2"/>
        <v>0</v>
      </c>
      <c r="P31" s="272"/>
    </row>
    <row r="32" spans="2:16" ht="12.5">
      <c r="B32" s="195" t="str">
        <f t="shared" si="4"/>
        <v/>
      </c>
      <c r="C32" s="507">
        <f>IF(D11="","-",+C31+1)</f>
        <v>2031</v>
      </c>
      <c r="D32" s="523">
        <f>IF(F31+SUM(E$17:E31)=D$10,F31,D$10-SUM(E$17:E31))</f>
        <v>64611570.913000032</v>
      </c>
      <c r="E32" s="522">
        <f>IF(+I14&lt;F31,I14,D32)</f>
        <v>2318341.7619047621</v>
      </c>
      <c r="F32" s="523">
        <f t="shared" si="5"/>
        <v>62293229.151095271</v>
      </c>
      <c r="G32" s="524">
        <f t="shared" si="6"/>
        <v>9096198.5635688715</v>
      </c>
      <c r="H32" s="491">
        <f t="shared" si="7"/>
        <v>9096198.5635688715</v>
      </c>
      <c r="I32" s="511">
        <f t="shared" si="3"/>
        <v>0</v>
      </c>
      <c r="J32" s="511"/>
      <c r="K32" s="525"/>
      <c r="L32" s="514">
        <f t="shared" si="0"/>
        <v>0</v>
      </c>
      <c r="M32" s="525"/>
      <c r="N32" s="514">
        <f t="shared" si="1"/>
        <v>0</v>
      </c>
      <c r="O32" s="514">
        <f t="shared" si="2"/>
        <v>0</v>
      </c>
      <c r="P32" s="272"/>
    </row>
    <row r="33" spans="2:16" ht="12.5">
      <c r="B33" s="195" t="str">
        <f t="shared" si="4"/>
        <v/>
      </c>
      <c r="C33" s="507">
        <f>IF(D11="","-",+C32+1)</f>
        <v>2032</v>
      </c>
      <c r="D33" s="523">
        <f>IF(F32+SUM(E$17:E32)=D$10,F32,D$10-SUM(E$17:E32))</f>
        <v>62293229.151095271</v>
      </c>
      <c r="E33" s="522">
        <f>IF(+I14&lt;F32,I14,D33)</f>
        <v>2318341.7619047621</v>
      </c>
      <c r="F33" s="523">
        <f t="shared" si="5"/>
        <v>59974887.38919051</v>
      </c>
      <c r="G33" s="524">
        <f t="shared" si="6"/>
        <v>8848557.9940778539</v>
      </c>
      <c r="H33" s="491">
        <f t="shared" si="7"/>
        <v>8848557.9940778539</v>
      </c>
      <c r="I33" s="511">
        <f t="shared" si="3"/>
        <v>0</v>
      </c>
      <c r="J33" s="511"/>
      <c r="K33" s="525"/>
      <c r="L33" s="514">
        <f t="shared" si="0"/>
        <v>0</v>
      </c>
      <c r="M33" s="525"/>
      <c r="N33" s="514">
        <f t="shared" si="1"/>
        <v>0</v>
      </c>
      <c r="O33" s="514">
        <f t="shared" si="2"/>
        <v>0</v>
      </c>
      <c r="P33" s="272"/>
    </row>
    <row r="34" spans="2:16" ht="12.5">
      <c r="B34" s="195" t="str">
        <f t="shared" si="4"/>
        <v/>
      </c>
      <c r="C34" s="507">
        <f>IF(D11="","-",+C33+1)</f>
        <v>2033</v>
      </c>
      <c r="D34" s="523">
        <f>IF(F33+SUM(E$17:E33)=D$10,F33,D$10-SUM(E$17:E33))</f>
        <v>59974887.38919051</v>
      </c>
      <c r="E34" s="522">
        <f>IF(+I14&lt;F33,I14,D34)</f>
        <v>2318341.7619047621</v>
      </c>
      <c r="F34" s="523">
        <f t="shared" si="5"/>
        <v>57656545.627285749</v>
      </c>
      <c r="G34" s="524">
        <f t="shared" si="6"/>
        <v>8600917.4245868362</v>
      </c>
      <c r="H34" s="491">
        <f t="shared" si="7"/>
        <v>8600917.4245868362</v>
      </c>
      <c r="I34" s="511">
        <f t="shared" si="3"/>
        <v>0</v>
      </c>
      <c r="J34" s="511"/>
      <c r="K34" s="525"/>
      <c r="L34" s="514">
        <f t="shared" si="0"/>
        <v>0</v>
      </c>
      <c r="M34" s="525"/>
      <c r="N34" s="514">
        <f t="shared" si="1"/>
        <v>0</v>
      </c>
      <c r="O34" s="514">
        <f t="shared" si="2"/>
        <v>0</v>
      </c>
      <c r="P34" s="272"/>
    </row>
    <row r="35" spans="2:16" ht="12.5">
      <c r="B35" s="195" t="str">
        <f t="shared" si="4"/>
        <v/>
      </c>
      <c r="C35" s="507">
        <f>IF(D11="","-",+C34+1)</f>
        <v>2034</v>
      </c>
      <c r="D35" s="523">
        <f>IF(F34+SUM(E$17:E34)=D$10,F34,D$10-SUM(E$17:E34))</f>
        <v>57656545.627285749</v>
      </c>
      <c r="E35" s="522">
        <f>IF(+I14&lt;F34,I14,D35)</f>
        <v>2318341.7619047621</v>
      </c>
      <c r="F35" s="523">
        <f t="shared" si="5"/>
        <v>55338203.865380988</v>
      </c>
      <c r="G35" s="524">
        <f t="shared" si="6"/>
        <v>8353276.8550958177</v>
      </c>
      <c r="H35" s="491">
        <f t="shared" si="7"/>
        <v>8353276.8550958177</v>
      </c>
      <c r="I35" s="511">
        <f t="shared" si="3"/>
        <v>0</v>
      </c>
      <c r="J35" s="511"/>
      <c r="K35" s="525"/>
      <c r="L35" s="514">
        <f t="shared" si="0"/>
        <v>0</v>
      </c>
      <c r="M35" s="525"/>
      <c r="N35" s="514">
        <f t="shared" si="1"/>
        <v>0</v>
      </c>
      <c r="O35" s="514">
        <f t="shared" si="2"/>
        <v>0</v>
      </c>
      <c r="P35" s="272"/>
    </row>
    <row r="36" spans="2:16" ht="12.5">
      <c r="B36" s="195" t="str">
        <f t="shared" si="4"/>
        <v/>
      </c>
      <c r="C36" s="507">
        <f>IF(D11="","-",+C35+1)</f>
        <v>2035</v>
      </c>
      <c r="D36" s="523">
        <f>IF(F35+SUM(E$17:E35)=D$10,F35,D$10-SUM(E$17:E35))</f>
        <v>55338203.865380988</v>
      </c>
      <c r="E36" s="522">
        <f>IF(+I14&lt;F35,I14,D36)</f>
        <v>2318341.7619047621</v>
      </c>
      <c r="F36" s="523">
        <f t="shared" si="5"/>
        <v>53019862.103476226</v>
      </c>
      <c r="G36" s="524">
        <f t="shared" si="6"/>
        <v>8105636.2856048001</v>
      </c>
      <c r="H36" s="491">
        <f t="shared" si="7"/>
        <v>8105636.2856048001</v>
      </c>
      <c r="I36" s="511">
        <f t="shared" si="3"/>
        <v>0</v>
      </c>
      <c r="J36" s="511"/>
      <c r="K36" s="525"/>
      <c r="L36" s="514">
        <f t="shared" si="0"/>
        <v>0</v>
      </c>
      <c r="M36" s="525"/>
      <c r="N36" s="514">
        <f t="shared" si="1"/>
        <v>0</v>
      </c>
      <c r="O36" s="514">
        <f t="shared" si="2"/>
        <v>0</v>
      </c>
      <c r="P36" s="272"/>
    </row>
    <row r="37" spans="2:16" ht="12.5">
      <c r="B37" s="195" t="str">
        <f t="shared" si="4"/>
        <v/>
      </c>
      <c r="C37" s="507">
        <f>IF(D11="","-",+C36+1)</f>
        <v>2036</v>
      </c>
      <c r="D37" s="523">
        <f>IF(F36+SUM(E$17:E36)=D$10,F36,D$10-SUM(E$17:E36))</f>
        <v>53019862.103476226</v>
      </c>
      <c r="E37" s="522">
        <f>IF(+I14&lt;F36,I14,D37)</f>
        <v>2318341.7619047621</v>
      </c>
      <c r="F37" s="523">
        <f t="shared" si="5"/>
        <v>50701520.341571465</v>
      </c>
      <c r="G37" s="524">
        <f t="shared" si="6"/>
        <v>7857995.7161137825</v>
      </c>
      <c r="H37" s="491">
        <f t="shared" si="7"/>
        <v>7857995.7161137825</v>
      </c>
      <c r="I37" s="511">
        <f t="shared" si="3"/>
        <v>0</v>
      </c>
      <c r="J37" s="511"/>
      <c r="K37" s="525"/>
      <c r="L37" s="514">
        <f t="shared" si="0"/>
        <v>0</v>
      </c>
      <c r="M37" s="525"/>
      <c r="N37" s="514">
        <f t="shared" si="1"/>
        <v>0</v>
      </c>
      <c r="O37" s="514">
        <f t="shared" si="2"/>
        <v>0</v>
      </c>
      <c r="P37" s="272"/>
    </row>
    <row r="38" spans="2:16" ht="12.5">
      <c r="B38" s="195" t="str">
        <f t="shared" si="4"/>
        <v/>
      </c>
      <c r="C38" s="507">
        <f>IF(D11="","-",+C37+1)</f>
        <v>2037</v>
      </c>
      <c r="D38" s="523">
        <f>IF(F37+SUM(E$17:E37)=D$10,F37,D$10-SUM(E$17:E37))</f>
        <v>50701520.341571465</v>
      </c>
      <c r="E38" s="522">
        <f>IF(+I14&lt;F37,I14,D38)</f>
        <v>2318341.7619047621</v>
      </c>
      <c r="F38" s="523">
        <f t="shared" si="5"/>
        <v>48383178.579666704</v>
      </c>
      <c r="G38" s="524">
        <f t="shared" si="6"/>
        <v>7610355.1466227658</v>
      </c>
      <c r="H38" s="491">
        <f t="shared" si="7"/>
        <v>7610355.1466227658</v>
      </c>
      <c r="I38" s="511">
        <f t="shared" si="3"/>
        <v>0</v>
      </c>
      <c r="J38" s="511"/>
      <c r="K38" s="525"/>
      <c r="L38" s="514">
        <f t="shared" si="0"/>
        <v>0</v>
      </c>
      <c r="M38" s="525"/>
      <c r="N38" s="514">
        <f t="shared" si="1"/>
        <v>0</v>
      </c>
      <c r="O38" s="514">
        <f t="shared" si="2"/>
        <v>0</v>
      </c>
      <c r="P38" s="272"/>
    </row>
    <row r="39" spans="2:16" ht="12.5">
      <c r="B39" s="195" t="str">
        <f t="shared" si="4"/>
        <v/>
      </c>
      <c r="C39" s="507">
        <f>IF(D11="","-",+C38+1)</f>
        <v>2038</v>
      </c>
      <c r="D39" s="523">
        <f>IF(F38+SUM(E$17:E38)=D$10,F38,D$10-SUM(E$17:E38))</f>
        <v>48383178.579666704</v>
      </c>
      <c r="E39" s="522">
        <f>IF(+I14&lt;F38,I14,D39)</f>
        <v>2318341.7619047621</v>
      </c>
      <c r="F39" s="523">
        <f t="shared" si="5"/>
        <v>46064836.817761943</v>
      </c>
      <c r="G39" s="524">
        <f t="shared" si="6"/>
        <v>7362714.5771317482</v>
      </c>
      <c r="H39" s="491">
        <f t="shared" si="7"/>
        <v>7362714.5771317482</v>
      </c>
      <c r="I39" s="511">
        <f t="shared" si="3"/>
        <v>0</v>
      </c>
      <c r="J39" s="511"/>
      <c r="K39" s="525"/>
      <c r="L39" s="514">
        <f t="shared" si="0"/>
        <v>0</v>
      </c>
      <c r="M39" s="525"/>
      <c r="N39" s="514">
        <f t="shared" si="1"/>
        <v>0</v>
      </c>
      <c r="O39" s="514">
        <f t="shared" si="2"/>
        <v>0</v>
      </c>
      <c r="P39" s="272"/>
    </row>
    <row r="40" spans="2:16" ht="12.5">
      <c r="B40" s="195" t="str">
        <f t="shared" si="4"/>
        <v/>
      </c>
      <c r="C40" s="507">
        <f>IF(D11="","-",+C39+1)</f>
        <v>2039</v>
      </c>
      <c r="D40" s="523">
        <f>IF(F39+SUM(E$17:E39)=D$10,F39,D$10-SUM(E$17:E39))</f>
        <v>46064836.817761943</v>
      </c>
      <c r="E40" s="522">
        <f>IF(+I14&lt;F39,I14,D40)</f>
        <v>2318341.7619047621</v>
      </c>
      <c r="F40" s="523">
        <f t="shared" si="5"/>
        <v>43746495.055857182</v>
      </c>
      <c r="G40" s="524">
        <f t="shared" si="6"/>
        <v>7115074.0076407306</v>
      </c>
      <c r="H40" s="491">
        <f t="shared" si="7"/>
        <v>7115074.0076407306</v>
      </c>
      <c r="I40" s="511">
        <f t="shared" si="3"/>
        <v>0</v>
      </c>
      <c r="J40" s="511"/>
      <c r="K40" s="525"/>
      <c r="L40" s="514">
        <f t="shared" si="0"/>
        <v>0</v>
      </c>
      <c r="M40" s="525"/>
      <c r="N40" s="514">
        <f t="shared" si="1"/>
        <v>0</v>
      </c>
      <c r="O40" s="514">
        <f t="shared" si="2"/>
        <v>0</v>
      </c>
      <c r="P40" s="272"/>
    </row>
    <row r="41" spans="2:16" ht="12.5">
      <c r="B41" s="195" t="str">
        <f t="shared" si="4"/>
        <v/>
      </c>
      <c r="C41" s="507">
        <f>IF(D11="","-",+C40+1)</f>
        <v>2040</v>
      </c>
      <c r="D41" s="523">
        <f>IF(F40+SUM(E$17:E40)=D$10,F40,D$10-SUM(E$17:E40))</f>
        <v>43746495.055857182</v>
      </c>
      <c r="E41" s="522">
        <f>IF(+I14&lt;F40,I14,D41)</f>
        <v>2318341.7619047621</v>
      </c>
      <c r="F41" s="523">
        <f t="shared" si="5"/>
        <v>41428153.29395242</v>
      </c>
      <c r="G41" s="524">
        <f t="shared" si="6"/>
        <v>6867433.438149713</v>
      </c>
      <c r="H41" s="491">
        <f t="shared" si="7"/>
        <v>6867433.438149713</v>
      </c>
      <c r="I41" s="511">
        <f t="shared" si="3"/>
        <v>0</v>
      </c>
      <c r="J41" s="511"/>
      <c r="K41" s="525"/>
      <c r="L41" s="514">
        <f t="shared" si="0"/>
        <v>0</v>
      </c>
      <c r="M41" s="525"/>
      <c r="N41" s="514">
        <f t="shared" si="1"/>
        <v>0</v>
      </c>
      <c r="O41" s="514">
        <f t="shared" si="2"/>
        <v>0</v>
      </c>
      <c r="P41" s="272"/>
    </row>
    <row r="42" spans="2:16" ht="12.5">
      <c r="B42" s="195" t="str">
        <f t="shared" si="4"/>
        <v/>
      </c>
      <c r="C42" s="507">
        <f>IF(D11="","-",+C41+1)</f>
        <v>2041</v>
      </c>
      <c r="D42" s="523">
        <f>IF(F41+SUM(E$17:E41)=D$10,F41,D$10-SUM(E$17:E41))</f>
        <v>41428153.29395242</v>
      </c>
      <c r="E42" s="522">
        <f>IF(+I14&lt;F41,I14,D42)</f>
        <v>2318341.7619047621</v>
      </c>
      <c r="F42" s="523">
        <f t="shared" si="5"/>
        <v>39109811.532047659</v>
      </c>
      <c r="G42" s="524">
        <f t="shared" si="6"/>
        <v>6619792.8686586954</v>
      </c>
      <c r="H42" s="491">
        <f t="shared" si="7"/>
        <v>6619792.8686586954</v>
      </c>
      <c r="I42" s="511">
        <f t="shared" si="3"/>
        <v>0</v>
      </c>
      <c r="J42" s="511"/>
      <c r="K42" s="525"/>
      <c r="L42" s="514">
        <f t="shared" si="0"/>
        <v>0</v>
      </c>
      <c r="M42" s="525"/>
      <c r="N42" s="514">
        <f t="shared" si="1"/>
        <v>0</v>
      </c>
      <c r="O42" s="514">
        <f t="shared" si="2"/>
        <v>0</v>
      </c>
      <c r="P42" s="272"/>
    </row>
    <row r="43" spans="2:16" ht="12.5">
      <c r="B43" s="195" t="str">
        <f t="shared" si="4"/>
        <v/>
      </c>
      <c r="C43" s="507">
        <f>IF(D11="","-",+C42+1)</f>
        <v>2042</v>
      </c>
      <c r="D43" s="523">
        <f>IF(F42+SUM(E$17:E42)=D$10,F42,D$10-SUM(E$17:E42))</f>
        <v>39109811.532047659</v>
      </c>
      <c r="E43" s="522">
        <f>IF(+I14&lt;F42,I14,D43)</f>
        <v>2318341.7619047621</v>
      </c>
      <c r="F43" s="523">
        <f t="shared" si="5"/>
        <v>36791469.770142898</v>
      </c>
      <c r="G43" s="524">
        <f t="shared" si="6"/>
        <v>6372152.2991676778</v>
      </c>
      <c r="H43" s="491">
        <f t="shared" si="7"/>
        <v>6372152.2991676778</v>
      </c>
      <c r="I43" s="511">
        <f t="shared" si="3"/>
        <v>0</v>
      </c>
      <c r="J43" s="511"/>
      <c r="K43" s="525"/>
      <c r="L43" s="514">
        <f t="shared" si="0"/>
        <v>0</v>
      </c>
      <c r="M43" s="525"/>
      <c r="N43" s="514">
        <f t="shared" si="1"/>
        <v>0</v>
      </c>
      <c r="O43" s="514">
        <f t="shared" si="2"/>
        <v>0</v>
      </c>
      <c r="P43" s="272"/>
    </row>
    <row r="44" spans="2:16" ht="12.5">
      <c r="B44" s="195" t="str">
        <f t="shared" si="4"/>
        <v/>
      </c>
      <c r="C44" s="507">
        <f>IF(D11="","-",+C43+1)</f>
        <v>2043</v>
      </c>
      <c r="D44" s="523">
        <f>IF(F43+SUM(E$17:E43)=D$10,F43,D$10-SUM(E$17:E43))</f>
        <v>36791469.770142898</v>
      </c>
      <c r="E44" s="522">
        <f>IF(+I14&lt;F43,I14,D44)</f>
        <v>2318341.7619047621</v>
      </c>
      <c r="F44" s="523">
        <f t="shared" si="5"/>
        <v>34473128.008238137</v>
      </c>
      <c r="G44" s="524">
        <f t="shared" si="6"/>
        <v>6124511.7296766602</v>
      </c>
      <c r="H44" s="491">
        <f t="shared" si="7"/>
        <v>6124511.7296766602</v>
      </c>
      <c r="I44" s="511">
        <f t="shared" si="3"/>
        <v>0</v>
      </c>
      <c r="J44" s="511"/>
      <c r="K44" s="525"/>
      <c r="L44" s="514">
        <f t="shared" si="0"/>
        <v>0</v>
      </c>
      <c r="M44" s="525"/>
      <c r="N44" s="514">
        <f t="shared" si="1"/>
        <v>0</v>
      </c>
      <c r="O44" s="514">
        <f t="shared" si="2"/>
        <v>0</v>
      </c>
      <c r="P44" s="272"/>
    </row>
    <row r="45" spans="2:16" ht="12.5">
      <c r="B45" s="195" t="str">
        <f t="shared" si="4"/>
        <v/>
      </c>
      <c r="C45" s="507">
        <f>IF(D11="","-",+C44+1)</f>
        <v>2044</v>
      </c>
      <c r="D45" s="523">
        <f>IF(F44+SUM(E$17:E44)=D$10,F44,D$10-SUM(E$17:E44))</f>
        <v>34473128.008238137</v>
      </c>
      <c r="E45" s="522">
        <f>IF(+I14&lt;F44,I14,D45)</f>
        <v>2318341.7619047621</v>
      </c>
      <c r="F45" s="523">
        <f t="shared" si="5"/>
        <v>32154786.246333376</v>
      </c>
      <c r="G45" s="524">
        <f t="shared" si="6"/>
        <v>5876871.1601856425</v>
      </c>
      <c r="H45" s="491">
        <f t="shared" si="7"/>
        <v>5876871.1601856425</v>
      </c>
      <c r="I45" s="511">
        <f t="shared" si="3"/>
        <v>0</v>
      </c>
      <c r="J45" s="511"/>
      <c r="K45" s="525"/>
      <c r="L45" s="514">
        <f t="shared" si="0"/>
        <v>0</v>
      </c>
      <c r="M45" s="525"/>
      <c r="N45" s="514">
        <f t="shared" si="1"/>
        <v>0</v>
      </c>
      <c r="O45" s="514">
        <f t="shared" si="2"/>
        <v>0</v>
      </c>
      <c r="P45" s="272"/>
    </row>
    <row r="46" spans="2:16" ht="12.5">
      <c r="B46" s="195" t="str">
        <f t="shared" si="4"/>
        <v/>
      </c>
      <c r="C46" s="507">
        <f>IF(D11="","-",+C45+1)</f>
        <v>2045</v>
      </c>
      <c r="D46" s="523">
        <f>IF(F45+SUM(E$17:E45)=D$10,F45,D$10-SUM(E$17:E45))</f>
        <v>32154786.246333376</v>
      </c>
      <c r="E46" s="522">
        <f>IF(+I14&lt;F45,I14,D46)</f>
        <v>2318341.7619047621</v>
      </c>
      <c r="F46" s="523">
        <f t="shared" si="5"/>
        <v>29836444.484428614</v>
      </c>
      <c r="G46" s="524">
        <f t="shared" si="6"/>
        <v>5629230.5906946249</v>
      </c>
      <c r="H46" s="491">
        <f t="shared" si="7"/>
        <v>5629230.5906946249</v>
      </c>
      <c r="I46" s="511">
        <f t="shared" si="3"/>
        <v>0</v>
      </c>
      <c r="J46" s="511"/>
      <c r="K46" s="525"/>
      <c r="L46" s="514">
        <f t="shared" si="0"/>
        <v>0</v>
      </c>
      <c r="M46" s="525"/>
      <c r="N46" s="514">
        <f t="shared" si="1"/>
        <v>0</v>
      </c>
      <c r="O46" s="514">
        <f t="shared" si="2"/>
        <v>0</v>
      </c>
      <c r="P46" s="272"/>
    </row>
    <row r="47" spans="2:16" ht="12.5">
      <c r="B47" s="195" t="str">
        <f t="shared" si="4"/>
        <v/>
      </c>
      <c r="C47" s="507">
        <f>IF(D11="","-",+C46+1)</f>
        <v>2046</v>
      </c>
      <c r="D47" s="523">
        <f>IF(F46+SUM(E$17:E46)=D$10,F46,D$10-SUM(E$17:E46))</f>
        <v>29836444.484428614</v>
      </c>
      <c r="E47" s="522">
        <f>IF(+I14&lt;F46,I14,D47)</f>
        <v>2318341.7619047621</v>
      </c>
      <c r="F47" s="523">
        <f t="shared" si="5"/>
        <v>27518102.722523853</v>
      </c>
      <c r="G47" s="524">
        <f t="shared" si="6"/>
        <v>5381590.0212036073</v>
      </c>
      <c r="H47" s="491">
        <f t="shared" si="7"/>
        <v>5381590.0212036073</v>
      </c>
      <c r="I47" s="511">
        <f t="shared" si="3"/>
        <v>0</v>
      </c>
      <c r="J47" s="511"/>
      <c r="K47" s="525"/>
      <c r="L47" s="514">
        <f t="shared" si="0"/>
        <v>0</v>
      </c>
      <c r="M47" s="525"/>
      <c r="N47" s="514">
        <f t="shared" si="1"/>
        <v>0</v>
      </c>
      <c r="O47" s="514">
        <f t="shared" si="2"/>
        <v>0</v>
      </c>
      <c r="P47" s="272"/>
    </row>
    <row r="48" spans="2:16" ht="12.5">
      <c r="B48" s="195" t="str">
        <f t="shared" si="4"/>
        <v/>
      </c>
      <c r="C48" s="507">
        <f>IF(D11="","-",+C47+1)</f>
        <v>2047</v>
      </c>
      <c r="D48" s="523">
        <f>IF(F47+SUM(E$17:E47)=D$10,F47,D$10-SUM(E$17:E47))</f>
        <v>27518102.722523853</v>
      </c>
      <c r="E48" s="522">
        <f>IF(+I14&lt;F47,I14,D48)</f>
        <v>2318341.7619047621</v>
      </c>
      <c r="F48" s="523">
        <f t="shared" si="5"/>
        <v>25199760.960619092</v>
      </c>
      <c r="G48" s="524">
        <f t="shared" si="6"/>
        <v>5133949.4517125897</v>
      </c>
      <c r="H48" s="491">
        <f t="shared" si="7"/>
        <v>5133949.4517125897</v>
      </c>
      <c r="I48" s="511">
        <f t="shared" si="3"/>
        <v>0</v>
      </c>
      <c r="J48" s="511"/>
      <c r="K48" s="525"/>
      <c r="L48" s="514">
        <f t="shared" si="0"/>
        <v>0</v>
      </c>
      <c r="M48" s="525"/>
      <c r="N48" s="514">
        <f t="shared" si="1"/>
        <v>0</v>
      </c>
      <c r="O48" s="514">
        <f t="shared" si="2"/>
        <v>0</v>
      </c>
      <c r="P48" s="272"/>
    </row>
    <row r="49" spans="2:16" ht="12.5">
      <c r="B49" s="195" t="str">
        <f t="shared" si="4"/>
        <v/>
      </c>
      <c r="C49" s="507">
        <f>IF(D11="","-",+C48+1)</f>
        <v>2048</v>
      </c>
      <c r="D49" s="523">
        <f>IF(F48+SUM(E$17:E48)=D$10,F48,D$10-SUM(E$17:E48))</f>
        <v>25199760.960619092</v>
      </c>
      <c r="E49" s="522">
        <f>IF(+I14&lt;F48,I14,D49)</f>
        <v>2318341.7619047621</v>
      </c>
      <c r="F49" s="523">
        <f t="shared" si="5"/>
        <v>22881419.198714331</v>
      </c>
      <c r="G49" s="524">
        <f t="shared" si="6"/>
        <v>4886308.8822215721</v>
      </c>
      <c r="H49" s="491">
        <f t="shared" si="7"/>
        <v>4886308.8822215721</v>
      </c>
      <c r="I49" s="511">
        <f t="shared" si="3"/>
        <v>0</v>
      </c>
      <c r="J49" s="511"/>
      <c r="K49" s="525"/>
      <c r="L49" s="514">
        <f t="shared" si="0"/>
        <v>0</v>
      </c>
      <c r="M49" s="525"/>
      <c r="N49" s="514">
        <f t="shared" si="1"/>
        <v>0</v>
      </c>
      <c r="O49" s="514">
        <f t="shared" si="2"/>
        <v>0</v>
      </c>
      <c r="P49" s="272"/>
    </row>
    <row r="50" spans="2:16" ht="12.5">
      <c r="B50" s="195" t="str">
        <f t="shared" si="4"/>
        <v/>
      </c>
      <c r="C50" s="507">
        <f>IF(D11="","-",+C49+1)</f>
        <v>2049</v>
      </c>
      <c r="D50" s="523">
        <f>IF(F49+SUM(E$17:E49)=D$10,F49,D$10-SUM(E$17:E49))</f>
        <v>22881419.198714331</v>
      </c>
      <c r="E50" s="522">
        <f>IF(+I14&lt;F49,I14,D50)</f>
        <v>2318341.7619047621</v>
      </c>
      <c r="F50" s="523">
        <f t="shared" si="5"/>
        <v>20563077.43680957</v>
      </c>
      <c r="G50" s="524">
        <f t="shared" ref="G50:G72" si="8">+I$12*((D50+F50)/2)+E50</f>
        <v>4638668.3127305545</v>
      </c>
      <c r="H50" s="491">
        <f t="shared" ref="H50:H72" si="9">+I$13*((D50+F50)/2)+E50</f>
        <v>4638668.3127305545</v>
      </c>
      <c r="I50" s="511">
        <f t="shared" si="3"/>
        <v>0</v>
      </c>
      <c r="J50" s="511"/>
      <c r="K50" s="525"/>
      <c r="L50" s="514">
        <f t="shared" si="0"/>
        <v>0</v>
      </c>
      <c r="M50" s="525"/>
      <c r="N50" s="514">
        <f t="shared" si="1"/>
        <v>0</v>
      </c>
      <c r="O50" s="514">
        <f t="shared" si="2"/>
        <v>0</v>
      </c>
      <c r="P50" s="272"/>
    </row>
    <row r="51" spans="2:16" ht="12.5">
      <c r="B51" s="195" t="str">
        <f t="shared" si="4"/>
        <v/>
      </c>
      <c r="C51" s="507">
        <f>IF(D11="","-",+C50+1)</f>
        <v>2050</v>
      </c>
      <c r="D51" s="523">
        <f>IF(F50+SUM(E$17:E50)=D$10,F50,D$10-SUM(E$17:E50))</f>
        <v>20563077.43680957</v>
      </c>
      <c r="E51" s="522">
        <f>IF(+I14&lt;F50,I14,D51)</f>
        <v>2318341.7619047621</v>
      </c>
      <c r="F51" s="523">
        <f t="shared" si="5"/>
        <v>18244735.674904808</v>
      </c>
      <c r="G51" s="524">
        <f t="shared" si="8"/>
        <v>4391027.7432395378</v>
      </c>
      <c r="H51" s="491">
        <f t="shared" si="9"/>
        <v>4391027.7432395378</v>
      </c>
      <c r="I51" s="511">
        <f t="shared" si="3"/>
        <v>0</v>
      </c>
      <c r="J51" s="511"/>
      <c r="K51" s="525"/>
      <c r="L51" s="514">
        <f t="shared" si="0"/>
        <v>0</v>
      </c>
      <c r="M51" s="525"/>
      <c r="N51" s="514">
        <f t="shared" si="1"/>
        <v>0</v>
      </c>
      <c r="O51" s="514">
        <f t="shared" si="2"/>
        <v>0</v>
      </c>
      <c r="P51" s="272"/>
    </row>
    <row r="52" spans="2:16" ht="12.5">
      <c r="B52" s="195" t="str">
        <f t="shared" si="4"/>
        <v/>
      </c>
      <c r="C52" s="507">
        <f>IF(D11="","-",+C51+1)</f>
        <v>2051</v>
      </c>
      <c r="D52" s="523">
        <f>IF(F51+SUM(E$17:E51)=D$10,F51,D$10-SUM(E$17:E51))</f>
        <v>18244735.674904808</v>
      </c>
      <c r="E52" s="522">
        <f>IF(+I14&lt;F51,I14,D52)</f>
        <v>2318341.7619047621</v>
      </c>
      <c r="F52" s="523">
        <f t="shared" si="5"/>
        <v>15926393.913000047</v>
      </c>
      <c r="G52" s="524">
        <f t="shared" si="8"/>
        <v>4143387.1737485202</v>
      </c>
      <c r="H52" s="491">
        <f t="shared" si="9"/>
        <v>4143387.1737485202</v>
      </c>
      <c r="I52" s="511">
        <f t="shared" si="3"/>
        <v>0</v>
      </c>
      <c r="J52" s="511"/>
      <c r="K52" s="525"/>
      <c r="L52" s="514">
        <f t="shared" si="0"/>
        <v>0</v>
      </c>
      <c r="M52" s="525"/>
      <c r="N52" s="514">
        <f t="shared" si="1"/>
        <v>0</v>
      </c>
      <c r="O52" s="514">
        <f t="shared" si="2"/>
        <v>0</v>
      </c>
      <c r="P52" s="272"/>
    </row>
    <row r="53" spans="2:16" ht="12.5">
      <c r="B53" s="195" t="str">
        <f t="shared" si="4"/>
        <v/>
      </c>
      <c r="C53" s="507">
        <f>IF(D11="","-",+C52+1)</f>
        <v>2052</v>
      </c>
      <c r="D53" s="523">
        <f>IF(F52+SUM(E$17:E52)=D$10,F52,D$10-SUM(E$17:E52))</f>
        <v>15926393.913000047</v>
      </c>
      <c r="E53" s="522">
        <f>IF(+I14&lt;F52,I14,D53)</f>
        <v>2318341.7619047621</v>
      </c>
      <c r="F53" s="523">
        <f t="shared" si="5"/>
        <v>13608052.151095286</v>
      </c>
      <c r="G53" s="524">
        <f t="shared" si="8"/>
        <v>3895746.6042575026</v>
      </c>
      <c r="H53" s="491">
        <f t="shared" si="9"/>
        <v>3895746.6042575026</v>
      </c>
      <c r="I53" s="511">
        <f t="shared" si="3"/>
        <v>0</v>
      </c>
      <c r="J53" s="511"/>
      <c r="K53" s="525"/>
      <c r="L53" s="514">
        <f t="shared" si="0"/>
        <v>0</v>
      </c>
      <c r="M53" s="525"/>
      <c r="N53" s="514">
        <f t="shared" si="1"/>
        <v>0</v>
      </c>
      <c r="O53" s="514">
        <f t="shared" si="2"/>
        <v>0</v>
      </c>
      <c r="P53" s="272"/>
    </row>
    <row r="54" spans="2:16" ht="12.5">
      <c r="B54" s="195" t="str">
        <f t="shared" si="4"/>
        <v/>
      </c>
      <c r="C54" s="507">
        <f>IF(D11="","-",+C53+1)</f>
        <v>2053</v>
      </c>
      <c r="D54" s="523">
        <f>IF(F53+SUM(E$17:E53)=D$10,F53,D$10-SUM(E$17:E53))</f>
        <v>13608052.151095286</v>
      </c>
      <c r="E54" s="522">
        <f>IF(+I14&lt;F53,I14,D54)</f>
        <v>2318341.7619047621</v>
      </c>
      <c r="F54" s="523">
        <f t="shared" si="5"/>
        <v>11289710.389190525</v>
      </c>
      <c r="G54" s="524">
        <f t="shared" si="8"/>
        <v>3648106.034766485</v>
      </c>
      <c r="H54" s="491">
        <f t="shared" si="9"/>
        <v>3648106.034766485</v>
      </c>
      <c r="I54" s="511">
        <f t="shared" si="3"/>
        <v>0</v>
      </c>
      <c r="J54" s="511"/>
      <c r="K54" s="525"/>
      <c r="L54" s="514">
        <f t="shared" si="0"/>
        <v>0</v>
      </c>
      <c r="M54" s="525"/>
      <c r="N54" s="514">
        <f t="shared" si="1"/>
        <v>0</v>
      </c>
      <c r="O54" s="514">
        <f t="shared" si="2"/>
        <v>0</v>
      </c>
      <c r="P54" s="272"/>
    </row>
    <row r="55" spans="2:16" ht="12.5">
      <c r="B55" s="195" t="str">
        <f t="shared" si="4"/>
        <v/>
      </c>
      <c r="C55" s="507">
        <f>IF(D11="","-",+C54+1)</f>
        <v>2054</v>
      </c>
      <c r="D55" s="523">
        <f>IF(F54+SUM(E$17:E54)=D$10,F54,D$10-SUM(E$17:E54))</f>
        <v>11289710.389190525</v>
      </c>
      <c r="E55" s="522">
        <f>IF(+I14&lt;F54,I14,D55)</f>
        <v>2318341.7619047621</v>
      </c>
      <c r="F55" s="523">
        <f t="shared" si="5"/>
        <v>8971368.6272857636</v>
      </c>
      <c r="G55" s="524">
        <f t="shared" si="8"/>
        <v>3400465.4652754674</v>
      </c>
      <c r="H55" s="491">
        <f t="shared" si="9"/>
        <v>3400465.4652754674</v>
      </c>
      <c r="I55" s="511">
        <f t="shared" si="3"/>
        <v>0</v>
      </c>
      <c r="J55" s="511"/>
      <c r="K55" s="525"/>
      <c r="L55" s="514">
        <f t="shared" si="0"/>
        <v>0</v>
      </c>
      <c r="M55" s="525"/>
      <c r="N55" s="514">
        <f t="shared" si="1"/>
        <v>0</v>
      </c>
      <c r="O55" s="514">
        <f t="shared" si="2"/>
        <v>0</v>
      </c>
      <c r="P55" s="272"/>
    </row>
    <row r="56" spans="2:16" ht="12.5">
      <c r="B56" s="195" t="str">
        <f t="shared" si="4"/>
        <v/>
      </c>
      <c r="C56" s="507">
        <f>IF(D11="","-",+C55+1)</f>
        <v>2055</v>
      </c>
      <c r="D56" s="523">
        <f>IF(F55+SUM(E$17:E55)=D$10,F55,D$10-SUM(E$17:E55))</f>
        <v>8971368.6272857636</v>
      </c>
      <c r="E56" s="522">
        <f>IF(+I14&lt;F55,I14,D56)</f>
        <v>2318341.7619047621</v>
      </c>
      <c r="F56" s="523">
        <f t="shared" si="5"/>
        <v>6653026.8653810015</v>
      </c>
      <c r="G56" s="524">
        <f t="shared" si="8"/>
        <v>3152824.8957844502</v>
      </c>
      <c r="H56" s="491">
        <f t="shared" si="9"/>
        <v>3152824.8957844502</v>
      </c>
      <c r="I56" s="511">
        <f t="shared" si="3"/>
        <v>0</v>
      </c>
      <c r="J56" s="511"/>
      <c r="K56" s="525"/>
      <c r="L56" s="514">
        <f t="shared" si="0"/>
        <v>0</v>
      </c>
      <c r="M56" s="525"/>
      <c r="N56" s="514">
        <f t="shared" si="1"/>
        <v>0</v>
      </c>
      <c r="O56" s="514">
        <f t="shared" si="2"/>
        <v>0</v>
      </c>
      <c r="P56" s="272"/>
    </row>
    <row r="57" spans="2:16" ht="12.5">
      <c r="B57" s="195" t="str">
        <f t="shared" si="4"/>
        <v/>
      </c>
      <c r="C57" s="507">
        <f>IF(D11="","-",+C56+1)</f>
        <v>2056</v>
      </c>
      <c r="D57" s="523">
        <f>IF(F56+SUM(E$17:E56)=D$10,F56,D$10-SUM(E$17:E56))</f>
        <v>6653026.8653810015</v>
      </c>
      <c r="E57" s="522">
        <f>IF(+I14&lt;F56,I14,D57)</f>
        <v>2318341.7619047621</v>
      </c>
      <c r="F57" s="523">
        <f t="shared" si="5"/>
        <v>4334685.1034762394</v>
      </c>
      <c r="G57" s="524">
        <f t="shared" si="8"/>
        <v>2905184.3262934322</v>
      </c>
      <c r="H57" s="491">
        <f t="shared" si="9"/>
        <v>2905184.3262934322</v>
      </c>
      <c r="I57" s="511">
        <f t="shared" si="3"/>
        <v>0</v>
      </c>
      <c r="J57" s="511"/>
      <c r="K57" s="525"/>
      <c r="L57" s="514">
        <f t="shared" si="0"/>
        <v>0</v>
      </c>
      <c r="M57" s="525"/>
      <c r="N57" s="514">
        <f t="shared" si="1"/>
        <v>0</v>
      </c>
      <c r="O57" s="514">
        <f t="shared" si="2"/>
        <v>0</v>
      </c>
      <c r="P57" s="272"/>
    </row>
    <row r="58" spans="2:16" ht="12.5">
      <c r="B58" s="195" t="str">
        <f t="shared" si="4"/>
        <v/>
      </c>
      <c r="C58" s="507">
        <f>IF(D11="","-",+C57+1)</f>
        <v>2057</v>
      </c>
      <c r="D58" s="523">
        <f>IF(F57+SUM(E$17:E57)=D$10,F57,D$10-SUM(E$17:E57))</f>
        <v>4334685.1034762394</v>
      </c>
      <c r="E58" s="522">
        <f>IF(+I14&lt;F57,I14,D58)</f>
        <v>2318341.7619047621</v>
      </c>
      <c r="F58" s="523">
        <f t="shared" si="5"/>
        <v>2016343.3415714772</v>
      </c>
      <c r="G58" s="524">
        <f t="shared" si="8"/>
        <v>2657543.756802415</v>
      </c>
      <c r="H58" s="491">
        <f t="shared" si="9"/>
        <v>2657543.756802415</v>
      </c>
      <c r="I58" s="511">
        <f t="shared" si="3"/>
        <v>0</v>
      </c>
      <c r="J58" s="511"/>
      <c r="K58" s="525"/>
      <c r="L58" s="514">
        <f t="shared" si="0"/>
        <v>0</v>
      </c>
      <c r="M58" s="525"/>
      <c r="N58" s="514">
        <f t="shared" si="1"/>
        <v>0</v>
      </c>
      <c r="O58" s="514">
        <f t="shared" si="2"/>
        <v>0</v>
      </c>
      <c r="P58" s="272"/>
    </row>
    <row r="59" spans="2:16" ht="12.5">
      <c r="B59" s="195" t="str">
        <f t="shared" si="4"/>
        <v/>
      </c>
      <c r="C59" s="507">
        <f>IF(D11="","-",+C58+1)</f>
        <v>2058</v>
      </c>
      <c r="D59" s="523">
        <f>IF(F58+SUM(E$17:E58)=D$10,F58,D$10-SUM(E$17:E58))</f>
        <v>2016343.3415714772</v>
      </c>
      <c r="E59" s="522">
        <f>IF(+I14&lt;F58,I14,D59)</f>
        <v>2016343.3415714772</v>
      </c>
      <c r="F59" s="523">
        <f t="shared" si="5"/>
        <v>0</v>
      </c>
      <c r="G59" s="524">
        <f t="shared" si="8"/>
        <v>2124034.196647549</v>
      </c>
      <c r="H59" s="491">
        <f t="shared" si="9"/>
        <v>2124034.196647549</v>
      </c>
      <c r="I59" s="511">
        <f t="shared" si="3"/>
        <v>0</v>
      </c>
      <c r="J59" s="511"/>
      <c r="K59" s="525"/>
      <c r="L59" s="514">
        <f t="shared" si="0"/>
        <v>0</v>
      </c>
      <c r="M59" s="525"/>
      <c r="N59" s="514">
        <f t="shared" si="1"/>
        <v>0</v>
      </c>
      <c r="O59" s="514">
        <f t="shared" si="2"/>
        <v>0</v>
      </c>
      <c r="P59" s="272"/>
    </row>
    <row r="60" spans="2:16" ht="12.5">
      <c r="B60" s="195" t="str">
        <f t="shared" si="4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5"/>
        <v>0</v>
      </c>
      <c r="G60" s="524">
        <f t="shared" si="8"/>
        <v>0</v>
      </c>
      <c r="H60" s="491">
        <f t="shared" si="9"/>
        <v>0</v>
      </c>
      <c r="I60" s="511">
        <f t="shared" si="3"/>
        <v>0</v>
      </c>
      <c r="J60" s="511"/>
      <c r="K60" s="525"/>
      <c r="L60" s="514">
        <f t="shared" si="0"/>
        <v>0</v>
      </c>
      <c r="M60" s="525"/>
      <c r="N60" s="514">
        <f t="shared" si="1"/>
        <v>0</v>
      </c>
      <c r="O60" s="514">
        <f t="shared" si="2"/>
        <v>0</v>
      </c>
      <c r="P60" s="272"/>
    </row>
    <row r="61" spans="2:16" ht="12.5">
      <c r="B61" s="195" t="str">
        <f t="shared" si="4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5"/>
        <v>0</v>
      </c>
      <c r="G61" s="526">
        <f t="shared" si="8"/>
        <v>0</v>
      </c>
      <c r="H61" s="491">
        <f t="shared" si="9"/>
        <v>0</v>
      </c>
      <c r="I61" s="511">
        <f t="shared" si="3"/>
        <v>0</v>
      </c>
      <c r="J61" s="511"/>
      <c r="K61" s="525"/>
      <c r="L61" s="514">
        <f t="shared" si="0"/>
        <v>0</v>
      </c>
      <c r="M61" s="525"/>
      <c r="N61" s="514">
        <f t="shared" si="1"/>
        <v>0</v>
      </c>
      <c r="O61" s="514">
        <f t="shared" si="2"/>
        <v>0</v>
      </c>
      <c r="P61" s="272"/>
    </row>
    <row r="62" spans="2:16" ht="12.5">
      <c r="B62" s="195" t="str">
        <f t="shared" si="4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5"/>
        <v>0</v>
      </c>
      <c r="G62" s="526">
        <f t="shared" si="8"/>
        <v>0</v>
      </c>
      <c r="H62" s="491">
        <f t="shared" si="9"/>
        <v>0</v>
      </c>
      <c r="I62" s="511">
        <f t="shared" si="3"/>
        <v>0</v>
      </c>
      <c r="J62" s="511"/>
      <c r="K62" s="525"/>
      <c r="L62" s="514">
        <f t="shared" si="0"/>
        <v>0</v>
      </c>
      <c r="M62" s="525"/>
      <c r="N62" s="514">
        <f t="shared" si="1"/>
        <v>0</v>
      </c>
      <c r="O62" s="514">
        <f t="shared" si="2"/>
        <v>0</v>
      </c>
      <c r="P62" s="272"/>
    </row>
    <row r="63" spans="2:16" ht="12.5">
      <c r="B63" s="195" t="str">
        <f t="shared" si="4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5"/>
        <v>0</v>
      </c>
      <c r="G63" s="526">
        <f t="shared" si="8"/>
        <v>0</v>
      </c>
      <c r="H63" s="491">
        <f t="shared" si="9"/>
        <v>0</v>
      </c>
      <c r="I63" s="511">
        <f t="shared" si="3"/>
        <v>0</v>
      </c>
      <c r="J63" s="511"/>
      <c r="K63" s="525"/>
      <c r="L63" s="514">
        <f t="shared" si="0"/>
        <v>0</v>
      </c>
      <c r="M63" s="525"/>
      <c r="N63" s="514">
        <f t="shared" si="1"/>
        <v>0</v>
      </c>
      <c r="O63" s="514">
        <f t="shared" si="2"/>
        <v>0</v>
      </c>
      <c r="P63" s="272"/>
    </row>
    <row r="64" spans="2:16" ht="12.5">
      <c r="B64" s="195" t="str">
        <f t="shared" si="4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5"/>
        <v>0</v>
      </c>
      <c r="G64" s="526">
        <f t="shared" si="8"/>
        <v>0</v>
      </c>
      <c r="H64" s="491">
        <f t="shared" si="9"/>
        <v>0</v>
      </c>
      <c r="I64" s="511">
        <f t="shared" si="3"/>
        <v>0</v>
      </c>
      <c r="J64" s="511"/>
      <c r="K64" s="525"/>
      <c r="L64" s="514">
        <f t="shared" si="0"/>
        <v>0</v>
      </c>
      <c r="M64" s="525"/>
      <c r="N64" s="514">
        <f t="shared" si="1"/>
        <v>0</v>
      </c>
      <c r="O64" s="514">
        <f t="shared" si="2"/>
        <v>0</v>
      </c>
      <c r="P64" s="272"/>
    </row>
    <row r="65" spans="2:16" ht="12.5">
      <c r="B65" s="195" t="str">
        <f t="shared" si="4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5"/>
        <v>0</v>
      </c>
      <c r="G65" s="526">
        <f t="shared" si="8"/>
        <v>0</v>
      </c>
      <c r="H65" s="491">
        <f t="shared" si="9"/>
        <v>0</v>
      </c>
      <c r="I65" s="511">
        <f t="shared" si="3"/>
        <v>0</v>
      </c>
      <c r="J65" s="511"/>
      <c r="K65" s="525"/>
      <c r="L65" s="514">
        <f t="shared" si="0"/>
        <v>0</v>
      </c>
      <c r="M65" s="525"/>
      <c r="N65" s="514">
        <f t="shared" si="1"/>
        <v>0</v>
      </c>
      <c r="O65" s="514">
        <f t="shared" si="2"/>
        <v>0</v>
      </c>
      <c r="P65" s="272"/>
    </row>
    <row r="66" spans="2:16" ht="12.5">
      <c r="B66" s="195" t="str">
        <f t="shared" si="4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5"/>
        <v>0</v>
      </c>
      <c r="G66" s="526">
        <f t="shared" si="8"/>
        <v>0</v>
      </c>
      <c r="H66" s="491">
        <f t="shared" si="9"/>
        <v>0</v>
      </c>
      <c r="I66" s="511">
        <f t="shared" si="3"/>
        <v>0</v>
      </c>
      <c r="J66" s="511"/>
      <c r="K66" s="525"/>
      <c r="L66" s="514">
        <f t="shared" si="0"/>
        <v>0</v>
      </c>
      <c r="M66" s="525"/>
      <c r="N66" s="514">
        <f t="shared" si="1"/>
        <v>0</v>
      </c>
      <c r="O66" s="514">
        <f t="shared" si="2"/>
        <v>0</v>
      </c>
      <c r="P66" s="272"/>
    </row>
    <row r="67" spans="2:16" ht="12.5">
      <c r="B67" s="195" t="str">
        <f t="shared" si="4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5"/>
        <v>0</v>
      </c>
      <c r="G67" s="526">
        <f t="shared" si="8"/>
        <v>0</v>
      </c>
      <c r="H67" s="491">
        <f t="shared" si="9"/>
        <v>0</v>
      </c>
      <c r="I67" s="511">
        <f t="shared" si="3"/>
        <v>0</v>
      </c>
      <c r="J67" s="511"/>
      <c r="K67" s="525"/>
      <c r="L67" s="514">
        <f t="shared" si="0"/>
        <v>0</v>
      </c>
      <c r="M67" s="525"/>
      <c r="N67" s="514">
        <f t="shared" si="1"/>
        <v>0</v>
      </c>
      <c r="O67" s="514">
        <f t="shared" si="2"/>
        <v>0</v>
      </c>
      <c r="P67" s="272"/>
    </row>
    <row r="68" spans="2:16" ht="12.5">
      <c r="B68" s="195" t="str">
        <f t="shared" si="4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5"/>
        <v>0</v>
      </c>
      <c r="G68" s="526">
        <f t="shared" si="8"/>
        <v>0</v>
      </c>
      <c r="H68" s="491">
        <f t="shared" si="9"/>
        <v>0</v>
      </c>
      <c r="I68" s="511">
        <f t="shared" si="3"/>
        <v>0</v>
      </c>
      <c r="J68" s="511"/>
      <c r="K68" s="525"/>
      <c r="L68" s="514">
        <f t="shared" si="0"/>
        <v>0</v>
      </c>
      <c r="M68" s="525"/>
      <c r="N68" s="514">
        <f t="shared" si="1"/>
        <v>0</v>
      </c>
      <c r="O68" s="514">
        <f t="shared" si="2"/>
        <v>0</v>
      </c>
      <c r="P68" s="272"/>
    </row>
    <row r="69" spans="2:16" ht="12.5">
      <c r="B69" s="195" t="str">
        <f t="shared" si="4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5"/>
        <v>0</v>
      </c>
      <c r="G69" s="526">
        <f t="shared" si="8"/>
        <v>0</v>
      </c>
      <c r="H69" s="491">
        <f t="shared" si="9"/>
        <v>0</v>
      </c>
      <c r="I69" s="511">
        <f t="shared" si="3"/>
        <v>0</v>
      </c>
      <c r="J69" s="511"/>
      <c r="K69" s="525"/>
      <c r="L69" s="514">
        <f t="shared" si="0"/>
        <v>0</v>
      </c>
      <c r="M69" s="525"/>
      <c r="N69" s="514">
        <f t="shared" si="1"/>
        <v>0</v>
      </c>
      <c r="O69" s="514">
        <f t="shared" si="2"/>
        <v>0</v>
      </c>
      <c r="P69" s="272"/>
    </row>
    <row r="70" spans="2:16" ht="12.5">
      <c r="B70" s="195" t="str">
        <f t="shared" si="4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5"/>
        <v>0</v>
      </c>
      <c r="G70" s="526">
        <f t="shared" si="8"/>
        <v>0</v>
      </c>
      <c r="H70" s="491">
        <f t="shared" si="9"/>
        <v>0</v>
      </c>
      <c r="I70" s="511">
        <f t="shared" si="3"/>
        <v>0</v>
      </c>
      <c r="J70" s="511"/>
      <c r="K70" s="525"/>
      <c r="L70" s="514">
        <f t="shared" si="0"/>
        <v>0</v>
      </c>
      <c r="M70" s="525"/>
      <c r="N70" s="514">
        <f t="shared" si="1"/>
        <v>0</v>
      </c>
      <c r="O70" s="514">
        <f t="shared" si="2"/>
        <v>0</v>
      </c>
      <c r="P70" s="272"/>
    </row>
    <row r="71" spans="2:16" ht="12.5">
      <c r="B71" s="195" t="str">
        <f t="shared" si="4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5"/>
        <v>0</v>
      </c>
      <c r="G71" s="526">
        <f t="shared" si="8"/>
        <v>0</v>
      </c>
      <c r="H71" s="491">
        <f t="shared" si="9"/>
        <v>0</v>
      </c>
      <c r="I71" s="511">
        <f t="shared" si="3"/>
        <v>0</v>
      </c>
      <c r="J71" s="511"/>
      <c r="K71" s="525"/>
      <c r="L71" s="514">
        <f t="shared" si="0"/>
        <v>0</v>
      </c>
      <c r="M71" s="525"/>
      <c r="N71" s="514">
        <f t="shared" si="1"/>
        <v>0</v>
      </c>
      <c r="O71" s="514">
        <f t="shared" si="2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5"/>
        <v>0</v>
      </c>
      <c r="G72" s="530">
        <f t="shared" si="8"/>
        <v>0</v>
      </c>
      <c r="H72" s="471">
        <f t="shared" si="9"/>
        <v>0</v>
      </c>
      <c r="I72" s="531">
        <f t="shared" si="3"/>
        <v>0</v>
      </c>
      <c r="J72" s="511"/>
      <c r="K72" s="532"/>
      <c r="L72" s="533">
        <f t="shared" si="0"/>
        <v>0</v>
      </c>
      <c r="M72" s="532"/>
      <c r="N72" s="533">
        <f t="shared" si="1"/>
        <v>0</v>
      </c>
      <c r="O72" s="533">
        <f t="shared" si="2"/>
        <v>0</v>
      </c>
      <c r="P72" s="272"/>
    </row>
    <row r="73" spans="2:16" ht="12.5">
      <c r="C73" s="374" t="s">
        <v>78</v>
      </c>
      <c r="D73" s="375"/>
      <c r="E73" s="375">
        <f>SUM(E17:E72)</f>
        <v>97370354</v>
      </c>
      <c r="F73" s="375"/>
      <c r="G73" s="375">
        <f>SUM(G17:G72)</f>
        <v>320500181.42028338</v>
      </c>
      <c r="H73" s="375">
        <f>SUM(H17:H72)</f>
        <v>320500181.42028338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60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11480767.373612601</v>
      </c>
      <c r="N87" s="546">
        <f>IF(J92&lt;D11,0,VLOOKUP(J92,C17:O72,11))</f>
        <v>11480767.373612601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11926094.57446631</v>
      </c>
      <c r="N88" s="550">
        <f>IF(J92&lt;D11,0,VLOOKUP(J92,C99:P154,7))</f>
        <v>11926094.57446631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Valliant-NW Texarkana 345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445327.20085370913</v>
      </c>
      <c r="N89" s="555">
        <f>+N88-N87</f>
        <v>445327.20085370913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TP______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97370354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0.10757383250073754</v>
      </c>
      <c r="K94" s="425">
        <f>+I12-J94</f>
        <v>-7.5585874023607891E-4</v>
      </c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75">
        <f>+K94*G101</f>
        <v>-70970.95763599292</v>
      </c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2318341.7619047621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0</v>
      </c>
      <c r="F99" s="651">
        <v>94208721</v>
      </c>
      <c r="G99" s="652">
        <v>47104360.5</v>
      </c>
      <c r="H99" s="653">
        <v>5979898.0138057787</v>
      </c>
      <c r="I99" s="654">
        <v>5979898.0138057787</v>
      </c>
      <c r="J99" s="514">
        <f t="shared" ref="J99:J130" si="10">+I99-H99</f>
        <v>0</v>
      </c>
      <c r="K99" s="514"/>
      <c r="L99" s="512">
        <f>+H99</f>
        <v>5979898.0138057787</v>
      </c>
      <c r="M99" s="513">
        <f t="shared" ref="M99:M130" si="11">IF(L99&lt;&gt;0,+H99-L99,0)</f>
        <v>0</v>
      </c>
      <c r="N99" s="512">
        <f>+I99</f>
        <v>5979898.0138057787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97244455</v>
      </c>
      <c r="E100" s="630">
        <v>2315344.1666666665</v>
      </c>
      <c r="F100" s="631">
        <v>94929110.833333328</v>
      </c>
      <c r="G100" s="631">
        <v>96086782.916666657</v>
      </c>
      <c r="H100" s="633">
        <v>13987145.75171851</v>
      </c>
      <c r="I100" s="634">
        <v>13987145.75171851</v>
      </c>
      <c r="J100" s="514">
        <f t="shared" si="10"/>
        <v>0</v>
      </c>
      <c r="K100" s="514"/>
      <c r="L100" s="655">
        <f>+H100</f>
        <v>13987145.75171851</v>
      </c>
      <c r="M100" s="514">
        <f t="shared" si="11"/>
        <v>0</v>
      </c>
      <c r="N100" s="655">
        <f>+I100</f>
        <v>13987145.75171851</v>
      </c>
      <c r="O100" s="514">
        <f t="shared" si="12"/>
        <v>0</v>
      </c>
      <c r="P100" s="514">
        <f t="shared" si="13"/>
        <v>0</v>
      </c>
    </row>
    <row r="101" spans="1:16" ht="12.5">
      <c r="B101" s="195" t="str">
        <f t="shared" ref="B101:B154" si="14">IF(D101=F100,"","IU")</f>
        <v>IU</v>
      </c>
      <c r="C101" s="507">
        <f>IF(D93="","-",+C100+1)</f>
        <v>2018</v>
      </c>
      <c r="D101" s="629">
        <v>95053626.833333328</v>
      </c>
      <c r="E101" s="630">
        <v>2318308.8333333335</v>
      </c>
      <c r="F101" s="631">
        <v>92735318</v>
      </c>
      <c r="G101" s="631">
        <v>93894472.416666657</v>
      </c>
      <c r="H101" s="633">
        <v>12233995.703663049</v>
      </c>
      <c r="I101" s="634">
        <v>12233995.703663049</v>
      </c>
      <c r="J101" s="514">
        <f t="shared" si="10"/>
        <v>0</v>
      </c>
      <c r="K101" s="514"/>
      <c r="L101" s="655">
        <f>+H101</f>
        <v>12233995.703663049</v>
      </c>
      <c r="M101" s="514">
        <f t="shared" ref="M101" si="15">IF(L101&lt;&gt;0,+H101-L101,0)</f>
        <v>0</v>
      </c>
      <c r="N101" s="655">
        <f>+I101</f>
        <v>12233995.703663049</v>
      </c>
      <c r="O101" s="514">
        <f t="shared" si="12"/>
        <v>0</v>
      </c>
      <c r="P101" s="514">
        <f t="shared" si="13"/>
        <v>0</v>
      </c>
    </row>
    <row r="102" spans="1:16" ht="12.5">
      <c r="B102" s="195" t="str">
        <f t="shared" si="14"/>
        <v>IU</v>
      </c>
      <c r="C102" s="507">
        <f>IF(D93="","-",+C101+1)</f>
        <v>2019</v>
      </c>
      <c r="D102" s="629">
        <v>92736701</v>
      </c>
      <c r="E102" s="630">
        <v>2264426.8372093025</v>
      </c>
      <c r="F102" s="631">
        <v>90472274.162790701</v>
      </c>
      <c r="G102" s="631">
        <v>91604487.581395358</v>
      </c>
      <c r="H102" s="633">
        <v>12069821.253627364</v>
      </c>
      <c r="I102" s="634">
        <v>12069821.253627364</v>
      </c>
      <c r="J102" s="514">
        <f t="shared" si="10"/>
        <v>0</v>
      </c>
      <c r="K102" s="514"/>
      <c r="L102" s="655">
        <f>+H102</f>
        <v>12069821.253627364</v>
      </c>
      <c r="M102" s="514">
        <f t="shared" ref="M102" si="16">IF(L102&lt;&gt;0,+H102-L102,0)</f>
        <v>0</v>
      </c>
      <c r="N102" s="655">
        <f>+I102</f>
        <v>12069821.253627364</v>
      </c>
      <c r="O102" s="514">
        <f t="shared" si="12"/>
        <v>0</v>
      </c>
      <c r="P102" s="514">
        <f t="shared" si="13"/>
        <v>0</v>
      </c>
    </row>
    <row r="103" spans="1:16" ht="12.5">
      <c r="B103" s="195" t="str">
        <f t="shared" si="14"/>
        <v/>
      </c>
      <c r="C103" s="507">
        <f>IF(D93="","-",+C102+1)</f>
        <v>2020</v>
      </c>
      <c r="D103" s="374">
        <f>IF(F102+SUM(E$99:E102)=D$92,F102,D$92-SUM(E$99:E102))</f>
        <v>90472274.162790701</v>
      </c>
      <c r="E103" s="522">
        <f>IF(+J96&lt;F102,J96,D103)</f>
        <v>2318341.7619047621</v>
      </c>
      <c r="F103" s="523">
        <f t="shared" ref="F103:F130" si="17">+D103-E103</f>
        <v>88153932.40088594</v>
      </c>
      <c r="G103" s="523">
        <f t="shared" ref="G103:G130" si="18">+(F103+D103)/2</f>
        <v>89313103.281838328</v>
      </c>
      <c r="H103" s="526">
        <f t="shared" ref="H103:H154" si="19">+J$94*G103+E103</f>
        <v>11926094.57446631</v>
      </c>
      <c r="I103" s="577">
        <f t="shared" ref="I103:I154" si="20">+J$95*G103+E103</f>
        <v>11926094.57446631</v>
      </c>
      <c r="J103" s="514">
        <f t="shared" si="10"/>
        <v>0</v>
      </c>
      <c r="K103" s="514"/>
      <c r="L103" s="525"/>
      <c r="M103" s="514">
        <f t="shared" si="11"/>
        <v>0</v>
      </c>
      <c r="N103" s="525"/>
      <c r="O103" s="514">
        <f t="shared" si="12"/>
        <v>0</v>
      </c>
      <c r="P103" s="514">
        <f t="shared" si="13"/>
        <v>0</v>
      </c>
    </row>
    <row r="104" spans="1:16" ht="12.5">
      <c r="B104" s="195" t="str">
        <f t="shared" si="14"/>
        <v/>
      </c>
      <c r="C104" s="507">
        <f>IF(D93="","-",+C103+1)</f>
        <v>2021</v>
      </c>
      <c r="D104" s="374">
        <f>IF(F103+SUM(E$99:E103)=D$92,F103,D$92-SUM(E$99:E103))</f>
        <v>88153932.40088594</v>
      </c>
      <c r="E104" s="522">
        <f>IF(+J96&lt;F103,J96,D104)</f>
        <v>2318341.7619047621</v>
      </c>
      <c r="F104" s="523">
        <f t="shared" si="17"/>
        <v>85835590.638981178</v>
      </c>
      <c r="G104" s="523">
        <f t="shared" si="18"/>
        <v>86994761.519933552</v>
      </c>
      <c r="H104" s="526">
        <f t="shared" si="19"/>
        <v>11676701.666091703</v>
      </c>
      <c r="I104" s="577">
        <f t="shared" si="20"/>
        <v>11676701.666091703</v>
      </c>
      <c r="J104" s="514">
        <f t="shared" si="10"/>
        <v>0</v>
      </c>
      <c r="K104" s="514"/>
      <c r="L104" s="525"/>
      <c r="M104" s="514">
        <f t="shared" si="11"/>
        <v>0</v>
      </c>
      <c r="N104" s="525"/>
      <c r="O104" s="514">
        <f t="shared" si="12"/>
        <v>0</v>
      </c>
      <c r="P104" s="514">
        <f t="shared" si="13"/>
        <v>0</v>
      </c>
    </row>
    <row r="105" spans="1:16" ht="12.5">
      <c r="B105" s="195" t="str">
        <f t="shared" si="14"/>
        <v/>
      </c>
      <c r="C105" s="507">
        <f>IF(D93="","-",+C104+1)</f>
        <v>2022</v>
      </c>
      <c r="D105" s="374">
        <f>IF(F104+SUM(E$99:E104)=D$92,F104,D$92-SUM(E$99:E104))</f>
        <v>85835590.638981178</v>
      </c>
      <c r="E105" s="522">
        <f>IF(+J96&lt;F104,J96,D105)</f>
        <v>2318341.7619047621</v>
      </c>
      <c r="F105" s="523">
        <f t="shared" si="17"/>
        <v>83517248.877076417</v>
      </c>
      <c r="G105" s="523">
        <f t="shared" si="18"/>
        <v>84676419.758028805</v>
      </c>
      <c r="H105" s="526">
        <f t="shared" si="19"/>
        <v>11427308.757717095</v>
      </c>
      <c r="I105" s="577">
        <f t="shared" si="20"/>
        <v>11427308.757717095</v>
      </c>
      <c r="J105" s="514">
        <f t="shared" si="10"/>
        <v>0</v>
      </c>
      <c r="K105" s="514"/>
      <c r="L105" s="525"/>
      <c r="M105" s="514">
        <f t="shared" si="11"/>
        <v>0</v>
      </c>
      <c r="N105" s="525"/>
      <c r="O105" s="514">
        <f t="shared" si="12"/>
        <v>0</v>
      </c>
      <c r="P105" s="514">
        <f t="shared" si="13"/>
        <v>0</v>
      </c>
    </row>
    <row r="106" spans="1:16" ht="12.5">
      <c r="B106" s="195" t="str">
        <f t="shared" si="14"/>
        <v/>
      </c>
      <c r="C106" s="507">
        <f>IF(D93="","-",+C105+1)</f>
        <v>2023</v>
      </c>
      <c r="D106" s="374">
        <f>IF(F105+SUM(E$99:E105)=D$92,F105,D$92-SUM(E$99:E105))</f>
        <v>83517248.877076417</v>
      </c>
      <c r="E106" s="522">
        <f>IF(+J96&lt;F105,J96,D106)</f>
        <v>2318341.7619047621</v>
      </c>
      <c r="F106" s="523">
        <f t="shared" si="17"/>
        <v>81198907.115171656</v>
      </c>
      <c r="G106" s="523">
        <f t="shared" si="18"/>
        <v>82358077.996124029</v>
      </c>
      <c r="H106" s="526">
        <f t="shared" si="19"/>
        <v>11177915.849342488</v>
      </c>
      <c r="I106" s="577">
        <f t="shared" si="20"/>
        <v>11177915.849342488</v>
      </c>
      <c r="J106" s="514">
        <f t="shared" si="10"/>
        <v>0</v>
      </c>
      <c r="K106" s="514"/>
      <c r="L106" s="525"/>
      <c r="M106" s="514">
        <f t="shared" si="11"/>
        <v>0</v>
      </c>
      <c r="N106" s="525"/>
      <c r="O106" s="514">
        <f t="shared" si="12"/>
        <v>0</v>
      </c>
      <c r="P106" s="514">
        <f t="shared" si="13"/>
        <v>0</v>
      </c>
    </row>
    <row r="107" spans="1:16" ht="12.5">
      <c r="B107" s="195" t="str">
        <f t="shared" si="14"/>
        <v/>
      </c>
      <c r="C107" s="507">
        <f>IF(D93="","-",+C106+1)</f>
        <v>2024</v>
      </c>
      <c r="D107" s="374">
        <f>IF(F106+SUM(E$99:E106)=D$92,F106,D$92-SUM(E$99:E106))</f>
        <v>81198907.115171656</v>
      </c>
      <c r="E107" s="522">
        <f>IF(+J96&lt;F106,J96,D107)</f>
        <v>2318341.7619047621</v>
      </c>
      <c r="F107" s="523">
        <f t="shared" si="17"/>
        <v>78880565.353266895</v>
      </c>
      <c r="G107" s="523">
        <f t="shared" si="18"/>
        <v>80039736.234219283</v>
      </c>
      <c r="H107" s="526">
        <f t="shared" si="19"/>
        <v>10928522.94096788</v>
      </c>
      <c r="I107" s="577">
        <f t="shared" si="20"/>
        <v>10928522.94096788</v>
      </c>
      <c r="J107" s="514">
        <f t="shared" si="10"/>
        <v>0</v>
      </c>
      <c r="K107" s="514"/>
      <c r="L107" s="525"/>
      <c r="M107" s="514">
        <f t="shared" si="11"/>
        <v>0</v>
      </c>
      <c r="N107" s="525"/>
      <c r="O107" s="514">
        <f t="shared" si="12"/>
        <v>0</v>
      </c>
      <c r="P107" s="514">
        <f t="shared" si="13"/>
        <v>0</v>
      </c>
    </row>
    <row r="108" spans="1:16" ht="12.5">
      <c r="B108" s="195" t="str">
        <f t="shared" si="14"/>
        <v/>
      </c>
      <c r="C108" s="507">
        <f>IF(D93="","-",+C107+1)</f>
        <v>2025</v>
      </c>
      <c r="D108" s="374">
        <f>IF(F107+SUM(E$99:E107)=D$92,F107,D$92-SUM(E$99:E107))</f>
        <v>78880565.353266895</v>
      </c>
      <c r="E108" s="522">
        <f>IF(+J96&lt;F107,J96,D108)</f>
        <v>2318341.7619047621</v>
      </c>
      <c r="F108" s="523">
        <f t="shared" si="17"/>
        <v>76562223.591362134</v>
      </c>
      <c r="G108" s="523">
        <f t="shared" si="18"/>
        <v>77721394.472314507</v>
      </c>
      <c r="H108" s="526">
        <f t="shared" si="19"/>
        <v>10679130.032593273</v>
      </c>
      <c r="I108" s="577">
        <f t="shared" si="20"/>
        <v>10679130.032593273</v>
      </c>
      <c r="J108" s="514">
        <f t="shared" si="10"/>
        <v>0</v>
      </c>
      <c r="K108" s="514"/>
      <c r="L108" s="525"/>
      <c r="M108" s="514">
        <f t="shared" si="11"/>
        <v>0</v>
      </c>
      <c r="N108" s="525"/>
      <c r="O108" s="514">
        <f t="shared" si="12"/>
        <v>0</v>
      </c>
      <c r="P108" s="514">
        <f t="shared" si="13"/>
        <v>0</v>
      </c>
    </row>
    <row r="109" spans="1:16" ht="12.5">
      <c r="B109" s="195" t="str">
        <f t="shared" si="14"/>
        <v/>
      </c>
      <c r="C109" s="507">
        <f>IF(D93="","-",+C108+1)</f>
        <v>2026</v>
      </c>
      <c r="D109" s="374">
        <f>IF(F108+SUM(E$99:E108)=D$92,F108,D$92-SUM(E$99:E108))</f>
        <v>76562223.591362134</v>
      </c>
      <c r="E109" s="522">
        <f>IF(+J96&lt;F108,J96,D109)</f>
        <v>2318341.7619047621</v>
      </c>
      <c r="F109" s="523">
        <f t="shared" si="17"/>
        <v>74243881.829457372</v>
      </c>
      <c r="G109" s="523">
        <f t="shared" si="18"/>
        <v>75403052.71040976</v>
      </c>
      <c r="H109" s="526">
        <f t="shared" si="19"/>
        <v>10429737.124218665</v>
      </c>
      <c r="I109" s="577">
        <f t="shared" si="20"/>
        <v>10429737.124218665</v>
      </c>
      <c r="J109" s="514">
        <f t="shared" si="10"/>
        <v>0</v>
      </c>
      <c r="K109" s="514"/>
      <c r="L109" s="525"/>
      <c r="M109" s="514">
        <f t="shared" si="11"/>
        <v>0</v>
      </c>
      <c r="N109" s="525"/>
      <c r="O109" s="514">
        <f t="shared" si="12"/>
        <v>0</v>
      </c>
      <c r="P109" s="514">
        <f t="shared" si="13"/>
        <v>0</v>
      </c>
    </row>
    <row r="110" spans="1:16" ht="12.5">
      <c r="B110" s="195" t="str">
        <f t="shared" si="14"/>
        <v/>
      </c>
      <c r="C110" s="507">
        <f>IF(D93="","-",+C109+1)</f>
        <v>2027</v>
      </c>
      <c r="D110" s="374">
        <f>IF(F109+SUM(E$99:E109)=D$92,F109,D$92-SUM(E$99:E109))</f>
        <v>74243881.829457372</v>
      </c>
      <c r="E110" s="522">
        <f>IF(+J96&lt;F109,J96,D110)</f>
        <v>2318341.7619047621</v>
      </c>
      <c r="F110" s="523">
        <f t="shared" si="17"/>
        <v>71925540.067552611</v>
      </c>
      <c r="G110" s="523">
        <f t="shared" si="18"/>
        <v>73084710.948504984</v>
      </c>
      <c r="H110" s="526">
        <f t="shared" si="19"/>
        <v>10180344.215844058</v>
      </c>
      <c r="I110" s="577">
        <f t="shared" si="20"/>
        <v>10180344.215844058</v>
      </c>
      <c r="J110" s="514">
        <f t="shared" si="10"/>
        <v>0</v>
      </c>
      <c r="K110" s="514"/>
      <c r="L110" s="525"/>
      <c r="M110" s="514">
        <f t="shared" si="11"/>
        <v>0</v>
      </c>
      <c r="N110" s="525"/>
      <c r="O110" s="514">
        <f t="shared" si="12"/>
        <v>0</v>
      </c>
      <c r="P110" s="514">
        <f t="shared" si="13"/>
        <v>0</v>
      </c>
    </row>
    <row r="111" spans="1:16" ht="12.5">
      <c r="B111" s="195" t="str">
        <f t="shared" si="14"/>
        <v/>
      </c>
      <c r="C111" s="507">
        <f>IF(D93="","-",+C110+1)</f>
        <v>2028</v>
      </c>
      <c r="D111" s="374">
        <f>IF(F110+SUM(E$99:E110)=D$92,F110,D$92-SUM(E$99:E110))</f>
        <v>71925540.067552611</v>
      </c>
      <c r="E111" s="522">
        <f>IF(+J96&lt;F110,J96,D111)</f>
        <v>2318341.7619047621</v>
      </c>
      <c r="F111" s="523">
        <f t="shared" si="17"/>
        <v>69607198.30564785</v>
      </c>
      <c r="G111" s="523">
        <f t="shared" si="18"/>
        <v>70766369.186600238</v>
      </c>
      <c r="H111" s="526">
        <f t="shared" si="19"/>
        <v>9930951.3074694499</v>
      </c>
      <c r="I111" s="577">
        <f t="shared" si="20"/>
        <v>9930951.3074694499</v>
      </c>
      <c r="J111" s="514">
        <f t="shared" si="10"/>
        <v>0</v>
      </c>
      <c r="K111" s="514"/>
      <c r="L111" s="525"/>
      <c r="M111" s="514">
        <f t="shared" si="11"/>
        <v>0</v>
      </c>
      <c r="N111" s="525"/>
      <c r="O111" s="514">
        <f t="shared" si="12"/>
        <v>0</v>
      </c>
      <c r="P111" s="514">
        <f t="shared" si="13"/>
        <v>0</v>
      </c>
    </row>
    <row r="112" spans="1:16" ht="12.5">
      <c r="B112" s="195" t="str">
        <f t="shared" si="14"/>
        <v/>
      </c>
      <c r="C112" s="507">
        <f>IF(D93="","-",+C111+1)</f>
        <v>2029</v>
      </c>
      <c r="D112" s="374">
        <f>IF(F111+SUM(E$99:E111)=D$92,F111,D$92-SUM(E$99:E111))</f>
        <v>69607198.30564785</v>
      </c>
      <c r="E112" s="522">
        <f>IF(+J96&lt;F111,J96,D112)</f>
        <v>2318341.7619047621</v>
      </c>
      <c r="F112" s="523">
        <f t="shared" si="17"/>
        <v>67288856.543743089</v>
      </c>
      <c r="G112" s="523">
        <f t="shared" si="18"/>
        <v>68448027.424695462</v>
      </c>
      <c r="H112" s="526">
        <f t="shared" si="19"/>
        <v>9681558.3990948424</v>
      </c>
      <c r="I112" s="577">
        <f t="shared" si="20"/>
        <v>9681558.3990948424</v>
      </c>
      <c r="J112" s="514">
        <f t="shared" si="10"/>
        <v>0</v>
      </c>
      <c r="K112" s="514"/>
      <c r="L112" s="525"/>
      <c r="M112" s="514">
        <f t="shared" si="11"/>
        <v>0</v>
      </c>
      <c r="N112" s="525"/>
      <c r="O112" s="514">
        <f t="shared" si="12"/>
        <v>0</v>
      </c>
      <c r="P112" s="514">
        <f t="shared" si="13"/>
        <v>0</v>
      </c>
    </row>
    <row r="113" spans="2:16" ht="12.5">
      <c r="B113" s="195" t="str">
        <f t="shared" si="14"/>
        <v/>
      </c>
      <c r="C113" s="507">
        <f>IF(D93="","-",+C112+1)</f>
        <v>2030</v>
      </c>
      <c r="D113" s="374">
        <f>IF(F112+SUM(E$99:E112)=D$92,F112,D$92-SUM(E$99:E112))</f>
        <v>67288856.543743089</v>
      </c>
      <c r="E113" s="522">
        <f>IF(+J96&lt;F112,J96,D113)</f>
        <v>2318341.7619047621</v>
      </c>
      <c r="F113" s="523">
        <f t="shared" si="17"/>
        <v>64970514.781838328</v>
      </c>
      <c r="G113" s="523">
        <f t="shared" si="18"/>
        <v>66129685.662790708</v>
      </c>
      <c r="H113" s="526">
        <f t="shared" si="19"/>
        <v>9432165.4907202348</v>
      </c>
      <c r="I113" s="577">
        <f t="shared" si="20"/>
        <v>9432165.4907202348</v>
      </c>
      <c r="J113" s="514">
        <f t="shared" si="10"/>
        <v>0</v>
      </c>
      <c r="K113" s="514"/>
      <c r="L113" s="525"/>
      <c r="M113" s="514">
        <f t="shared" si="11"/>
        <v>0</v>
      </c>
      <c r="N113" s="525"/>
      <c r="O113" s="514">
        <f t="shared" si="12"/>
        <v>0</v>
      </c>
      <c r="P113" s="514">
        <f t="shared" si="13"/>
        <v>0</v>
      </c>
    </row>
    <row r="114" spans="2:16" ht="12.5">
      <c r="B114" s="195" t="str">
        <f t="shared" si="14"/>
        <v/>
      </c>
      <c r="C114" s="507">
        <f>IF(D93="","-",+C113+1)</f>
        <v>2031</v>
      </c>
      <c r="D114" s="374">
        <f>IF(F113+SUM(E$99:E113)=D$92,F113,D$92-SUM(E$99:E113))</f>
        <v>64970514.781838328</v>
      </c>
      <c r="E114" s="522">
        <f>IF(+J96&lt;F113,J96,D114)</f>
        <v>2318341.7619047621</v>
      </c>
      <c r="F114" s="523">
        <f t="shared" si="17"/>
        <v>62652173.019933566</v>
      </c>
      <c r="G114" s="523">
        <f t="shared" si="18"/>
        <v>63811343.900885947</v>
      </c>
      <c r="H114" s="526">
        <f t="shared" si="19"/>
        <v>9182772.5823456272</v>
      </c>
      <c r="I114" s="577">
        <f t="shared" si="20"/>
        <v>9182772.5823456272</v>
      </c>
      <c r="J114" s="514">
        <f t="shared" si="10"/>
        <v>0</v>
      </c>
      <c r="K114" s="514"/>
      <c r="L114" s="525"/>
      <c r="M114" s="514">
        <f t="shared" si="11"/>
        <v>0</v>
      </c>
      <c r="N114" s="525"/>
      <c r="O114" s="514">
        <f t="shared" si="12"/>
        <v>0</v>
      </c>
      <c r="P114" s="514">
        <f t="shared" si="13"/>
        <v>0</v>
      </c>
    </row>
    <row r="115" spans="2:16" ht="12.5">
      <c r="B115" s="195" t="str">
        <f t="shared" si="14"/>
        <v/>
      </c>
      <c r="C115" s="507">
        <f>IF(D93="","-",+C114+1)</f>
        <v>2032</v>
      </c>
      <c r="D115" s="374">
        <f>IF(F114+SUM(E$99:E114)=D$92,F114,D$92-SUM(E$99:E114))</f>
        <v>62652173.019933566</v>
      </c>
      <c r="E115" s="522">
        <f>IF(+J96&lt;F114,J96,D115)</f>
        <v>2318341.7619047621</v>
      </c>
      <c r="F115" s="523">
        <f t="shared" si="17"/>
        <v>60333831.258028805</v>
      </c>
      <c r="G115" s="523">
        <f t="shared" si="18"/>
        <v>61493002.138981186</v>
      </c>
      <c r="H115" s="526">
        <f t="shared" si="19"/>
        <v>8933379.6739710197</v>
      </c>
      <c r="I115" s="577">
        <f t="shared" si="20"/>
        <v>8933379.6739710197</v>
      </c>
      <c r="J115" s="514">
        <f t="shared" si="10"/>
        <v>0</v>
      </c>
      <c r="K115" s="514"/>
      <c r="L115" s="525"/>
      <c r="M115" s="514">
        <f t="shared" si="11"/>
        <v>0</v>
      </c>
      <c r="N115" s="525"/>
      <c r="O115" s="514">
        <f t="shared" si="12"/>
        <v>0</v>
      </c>
      <c r="P115" s="514">
        <f t="shared" si="13"/>
        <v>0</v>
      </c>
    </row>
    <row r="116" spans="2:16" ht="12.5">
      <c r="B116" s="195" t="str">
        <f t="shared" si="14"/>
        <v/>
      </c>
      <c r="C116" s="507">
        <f>IF(D93="","-",+C115+1)</f>
        <v>2033</v>
      </c>
      <c r="D116" s="374">
        <f>IF(F115+SUM(E$99:E115)=D$92,F115,D$92-SUM(E$99:E115))</f>
        <v>60333831.258028805</v>
      </c>
      <c r="E116" s="522">
        <f>IF(+J96&lt;F115,J96,D116)</f>
        <v>2318341.7619047621</v>
      </c>
      <c r="F116" s="523">
        <f t="shared" si="17"/>
        <v>58015489.496124044</v>
      </c>
      <c r="G116" s="523">
        <f t="shared" si="18"/>
        <v>59174660.377076425</v>
      </c>
      <c r="H116" s="526">
        <f t="shared" si="19"/>
        <v>8683986.7655964121</v>
      </c>
      <c r="I116" s="577">
        <f t="shared" si="20"/>
        <v>8683986.7655964121</v>
      </c>
      <c r="J116" s="514">
        <f t="shared" si="10"/>
        <v>0</v>
      </c>
      <c r="K116" s="514"/>
      <c r="L116" s="525"/>
      <c r="M116" s="514">
        <f t="shared" si="11"/>
        <v>0</v>
      </c>
      <c r="N116" s="525"/>
      <c r="O116" s="514">
        <f t="shared" si="12"/>
        <v>0</v>
      </c>
      <c r="P116" s="514">
        <f t="shared" si="13"/>
        <v>0</v>
      </c>
    </row>
    <row r="117" spans="2:16" ht="12.5">
      <c r="B117" s="195" t="str">
        <f t="shared" si="14"/>
        <v/>
      </c>
      <c r="C117" s="507">
        <f>IF(D93="","-",+C116+1)</f>
        <v>2034</v>
      </c>
      <c r="D117" s="374">
        <f>IF(F116+SUM(E$99:E116)=D$92,F116,D$92-SUM(E$99:E116))</f>
        <v>58015489.496124044</v>
      </c>
      <c r="E117" s="522">
        <f>IF(+J96&lt;F116,J96,D117)</f>
        <v>2318341.7619047621</v>
      </c>
      <c r="F117" s="523">
        <f t="shared" si="17"/>
        <v>55697147.734219283</v>
      </c>
      <c r="G117" s="523">
        <f t="shared" si="18"/>
        <v>56856318.615171663</v>
      </c>
      <c r="H117" s="526">
        <f t="shared" si="19"/>
        <v>8434593.8572218046</v>
      </c>
      <c r="I117" s="577">
        <f t="shared" si="20"/>
        <v>8434593.8572218046</v>
      </c>
      <c r="J117" s="514">
        <f t="shared" si="10"/>
        <v>0</v>
      </c>
      <c r="K117" s="514"/>
      <c r="L117" s="525"/>
      <c r="M117" s="514">
        <f t="shared" si="11"/>
        <v>0</v>
      </c>
      <c r="N117" s="525"/>
      <c r="O117" s="514">
        <f t="shared" si="12"/>
        <v>0</v>
      </c>
      <c r="P117" s="514">
        <f t="shared" si="13"/>
        <v>0</v>
      </c>
    </row>
    <row r="118" spans="2:16" ht="12.5">
      <c r="B118" s="195" t="str">
        <f t="shared" si="14"/>
        <v/>
      </c>
      <c r="C118" s="507">
        <f>IF(D93="","-",+C117+1)</f>
        <v>2035</v>
      </c>
      <c r="D118" s="374">
        <f>IF(F117+SUM(E$99:E117)=D$92,F117,D$92-SUM(E$99:E117))</f>
        <v>55697147.734219283</v>
      </c>
      <c r="E118" s="522">
        <f>IF(+J96&lt;F117,J96,D118)</f>
        <v>2318341.7619047621</v>
      </c>
      <c r="F118" s="523">
        <f t="shared" si="17"/>
        <v>53378805.972314522</v>
      </c>
      <c r="G118" s="523">
        <f t="shared" si="18"/>
        <v>54537976.853266902</v>
      </c>
      <c r="H118" s="526">
        <f t="shared" si="19"/>
        <v>8185200.948847197</v>
      </c>
      <c r="I118" s="577">
        <f t="shared" si="20"/>
        <v>8185200.948847197</v>
      </c>
      <c r="J118" s="514">
        <f t="shared" si="10"/>
        <v>0</v>
      </c>
      <c r="K118" s="514"/>
      <c r="L118" s="525"/>
      <c r="M118" s="514">
        <f t="shared" si="11"/>
        <v>0</v>
      </c>
      <c r="N118" s="525"/>
      <c r="O118" s="514">
        <f t="shared" si="12"/>
        <v>0</v>
      </c>
      <c r="P118" s="514">
        <f t="shared" si="13"/>
        <v>0</v>
      </c>
    </row>
    <row r="119" spans="2:16" ht="12.5">
      <c r="B119" s="195" t="str">
        <f t="shared" si="14"/>
        <v/>
      </c>
      <c r="C119" s="507">
        <f>IF(D93="","-",+C118+1)</f>
        <v>2036</v>
      </c>
      <c r="D119" s="374">
        <f>IF(F118+SUM(E$99:E118)=D$92,F118,D$92-SUM(E$99:E118))</f>
        <v>53378805.972314522</v>
      </c>
      <c r="E119" s="522">
        <f>IF(+J96&lt;F118,J96,D119)</f>
        <v>2318341.7619047621</v>
      </c>
      <c r="F119" s="523">
        <f t="shared" si="17"/>
        <v>51060464.21040976</v>
      </c>
      <c r="G119" s="523">
        <f t="shared" si="18"/>
        <v>52219635.091362141</v>
      </c>
      <c r="H119" s="526">
        <f t="shared" si="19"/>
        <v>7935808.0404725894</v>
      </c>
      <c r="I119" s="577">
        <f t="shared" si="20"/>
        <v>7935808.0404725894</v>
      </c>
      <c r="J119" s="514">
        <f t="shared" si="10"/>
        <v>0</v>
      </c>
      <c r="K119" s="514"/>
      <c r="L119" s="525"/>
      <c r="M119" s="514">
        <f t="shared" si="11"/>
        <v>0</v>
      </c>
      <c r="N119" s="525"/>
      <c r="O119" s="514">
        <f t="shared" si="12"/>
        <v>0</v>
      </c>
      <c r="P119" s="514">
        <f t="shared" si="13"/>
        <v>0</v>
      </c>
    </row>
    <row r="120" spans="2:16" ht="12.5">
      <c r="B120" s="195" t="str">
        <f t="shared" si="14"/>
        <v/>
      </c>
      <c r="C120" s="507">
        <f>IF(D93="","-",+C119+1)</f>
        <v>2037</v>
      </c>
      <c r="D120" s="374">
        <f>IF(F119+SUM(E$99:E119)=D$92,F119,D$92-SUM(E$99:E119))</f>
        <v>51060464.21040976</v>
      </c>
      <c r="E120" s="522">
        <f>IF(+J96&lt;F119,J96,D120)</f>
        <v>2318341.7619047621</v>
      </c>
      <c r="F120" s="523">
        <f t="shared" si="17"/>
        <v>48742122.448504999</v>
      </c>
      <c r="G120" s="523">
        <f t="shared" si="18"/>
        <v>49901293.32945738</v>
      </c>
      <c r="H120" s="526">
        <f t="shared" si="19"/>
        <v>7686415.1320979819</v>
      </c>
      <c r="I120" s="577">
        <f t="shared" si="20"/>
        <v>7686415.1320979819</v>
      </c>
      <c r="J120" s="514">
        <f t="shared" si="10"/>
        <v>0</v>
      </c>
      <c r="K120" s="514"/>
      <c r="L120" s="525"/>
      <c r="M120" s="514">
        <f t="shared" si="11"/>
        <v>0</v>
      </c>
      <c r="N120" s="525"/>
      <c r="O120" s="514">
        <f t="shared" si="12"/>
        <v>0</v>
      </c>
      <c r="P120" s="514">
        <f t="shared" si="13"/>
        <v>0</v>
      </c>
    </row>
    <row r="121" spans="2:16" ht="12.5">
      <c r="B121" s="195" t="str">
        <f t="shared" si="14"/>
        <v/>
      </c>
      <c r="C121" s="507">
        <f>IF(D93="","-",+C120+1)</f>
        <v>2038</v>
      </c>
      <c r="D121" s="374">
        <f>IF(F120+SUM(E$99:E120)=D$92,F120,D$92-SUM(E$99:E120))</f>
        <v>48742122.448504999</v>
      </c>
      <c r="E121" s="522">
        <f>IF(+J96&lt;F120,J96,D121)</f>
        <v>2318341.7619047621</v>
      </c>
      <c r="F121" s="523">
        <f t="shared" si="17"/>
        <v>46423780.686600238</v>
      </c>
      <c r="G121" s="523">
        <f t="shared" si="18"/>
        <v>47582951.567552619</v>
      </c>
      <c r="H121" s="526">
        <f t="shared" si="19"/>
        <v>7437022.2237233743</v>
      </c>
      <c r="I121" s="577">
        <f t="shared" si="20"/>
        <v>7437022.2237233743</v>
      </c>
      <c r="J121" s="514">
        <f t="shared" si="10"/>
        <v>0</v>
      </c>
      <c r="K121" s="514"/>
      <c r="L121" s="525"/>
      <c r="M121" s="514">
        <f t="shared" si="11"/>
        <v>0</v>
      </c>
      <c r="N121" s="525"/>
      <c r="O121" s="514">
        <f t="shared" si="12"/>
        <v>0</v>
      </c>
      <c r="P121" s="514">
        <f t="shared" si="13"/>
        <v>0</v>
      </c>
    </row>
    <row r="122" spans="2:16" ht="12.5">
      <c r="B122" s="195" t="str">
        <f t="shared" si="14"/>
        <v/>
      </c>
      <c r="C122" s="507">
        <f>IF(D93="","-",+C121+1)</f>
        <v>2039</v>
      </c>
      <c r="D122" s="374">
        <f>IF(F121+SUM(E$99:E121)=D$92,F121,D$92-SUM(E$99:E121))</f>
        <v>46423780.686600238</v>
      </c>
      <c r="E122" s="522">
        <f>IF(+J96&lt;F121,J96,D122)</f>
        <v>2318341.7619047621</v>
      </c>
      <c r="F122" s="523">
        <f t="shared" si="17"/>
        <v>44105438.924695477</v>
      </c>
      <c r="G122" s="523">
        <f t="shared" si="18"/>
        <v>45264609.805647857</v>
      </c>
      <c r="H122" s="526">
        <f t="shared" si="19"/>
        <v>7187629.3153487667</v>
      </c>
      <c r="I122" s="577">
        <f t="shared" si="20"/>
        <v>7187629.3153487667</v>
      </c>
      <c r="J122" s="514">
        <f t="shared" si="10"/>
        <v>0</v>
      </c>
      <c r="K122" s="514"/>
      <c r="L122" s="525"/>
      <c r="M122" s="514">
        <f t="shared" si="11"/>
        <v>0</v>
      </c>
      <c r="N122" s="525"/>
      <c r="O122" s="514">
        <f t="shared" si="12"/>
        <v>0</v>
      </c>
      <c r="P122" s="514">
        <f t="shared" si="13"/>
        <v>0</v>
      </c>
    </row>
    <row r="123" spans="2:16" ht="12.5">
      <c r="B123" s="195" t="str">
        <f t="shared" si="14"/>
        <v/>
      </c>
      <c r="C123" s="507">
        <f>IF(D93="","-",+C122+1)</f>
        <v>2040</v>
      </c>
      <c r="D123" s="374">
        <f>IF(F122+SUM(E$99:E122)=D$92,F122,D$92-SUM(E$99:E122))</f>
        <v>44105438.924695477</v>
      </c>
      <c r="E123" s="522">
        <f>IF(+J96&lt;F122,J96,D123)</f>
        <v>2318341.7619047621</v>
      </c>
      <c r="F123" s="523">
        <f t="shared" si="17"/>
        <v>41787097.162790716</v>
      </c>
      <c r="G123" s="523">
        <f t="shared" si="18"/>
        <v>42946268.043743096</v>
      </c>
      <c r="H123" s="526">
        <f t="shared" si="19"/>
        <v>6938236.4069741592</v>
      </c>
      <c r="I123" s="577">
        <f t="shared" si="20"/>
        <v>6938236.4069741592</v>
      </c>
      <c r="J123" s="514">
        <f t="shared" si="10"/>
        <v>0</v>
      </c>
      <c r="K123" s="514"/>
      <c r="L123" s="525"/>
      <c r="M123" s="514">
        <f t="shared" si="11"/>
        <v>0</v>
      </c>
      <c r="N123" s="525"/>
      <c r="O123" s="514">
        <f t="shared" si="12"/>
        <v>0</v>
      </c>
      <c r="P123" s="514">
        <f t="shared" si="13"/>
        <v>0</v>
      </c>
    </row>
    <row r="124" spans="2:16" ht="12.5">
      <c r="B124" s="195" t="str">
        <f t="shared" si="14"/>
        <v/>
      </c>
      <c r="C124" s="507">
        <f>IF(D93="","-",+C123+1)</f>
        <v>2041</v>
      </c>
      <c r="D124" s="374">
        <f>IF(F123+SUM(E$99:E123)=D$92,F123,D$92-SUM(E$99:E123))</f>
        <v>41787097.162790716</v>
      </c>
      <c r="E124" s="522">
        <f>IF(+J96&lt;F123,J96,D124)</f>
        <v>2318341.7619047621</v>
      </c>
      <c r="F124" s="523">
        <f t="shared" si="17"/>
        <v>39468755.400885954</v>
      </c>
      <c r="G124" s="523">
        <f t="shared" si="18"/>
        <v>40627926.281838335</v>
      </c>
      <c r="H124" s="526">
        <f t="shared" si="19"/>
        <v>6688843.4985995516</v>
      </c>
      <c r="I124" s="577">
        <f t="shared" si="20"/>
        <v>6688843.4985995516</v>
      </c>
      <c r="J124" s="514">
        <f t="shared" si="10"/>
        <v>0</v>
      </c>
      <c r="K124" s="514"/>
      <c r="L124" s="525"/>
      <c r="M124" s="514">
        <f t="shared" si="11"/>
        <v>0</v>
      </c>
      <c r="N124" s="525"/>
      <c r="O124" s="514">
        <f t="shared" si="12"/>
        <v>0</v>
      </c>
      <c r="P124" s="514">
        <f t="shared" si="13"/>
        <v>0</v>
      </c>
    </row>
    <row r="125" spans="2:16" ht="12.5">
      <c r="B125" s="195" t="str">
        <f t="shared" si="14"/>
        <v/>
      </c>
      <c r="C125" s="507">
        <f>IF(D93="","-",+C124+1)</f>
        <v>2042</v>
      </c>
      <c r="D125" s="374">
        <f>IF(F124+SUM(E$99:E124)=D$92,F124,D$92-SUM(E$99:E124))</f>
        <v>39468755.400885954</v>
      </c>
      <c r="E125" s="522">
        <f>IF(+J96&lt;F124,J96,D125)</f>
        <v>2318341.7619047621</v>
      </c>
      <c r="F125" s="523">
        <f t="shared" si="17"/>
        <v>37150413.638981193</v>
      </c>
      <c r="G125" s="523">
        <f t="shared" si="18"/>
        <v>38309584.519933574</v>
      </c>
      <c r="H125" s="526">
        <f t="shared" si="19"/>
        <v>6439450.5902249441</v>
      </c>
      <c r="I125" s="577">
        <f t="shared" si="20"/>
        <v>6439450.5902249441</v>
      </c>
      <c r="J125" s="514">
        <f t="shared" si="10"/>
        <v>0</v>
      </c>
      <c r="K125" s="514"/>
      <c r="L125" s="525"/>
      <c r="M125" s="514">
        <f t="shared" si="11"/>
        <v>0</v>
      </c>
      <c r="N125" s="525"/>
      <c r="O125" s="514">
        <f t="shared" si="12"/>
        <v>0</v>
      </c>
      <c r="P125" s="514">
        <f t="shared" si="13"/>
        <v>0</v>
      </c>
    </row>
    <row r="126" spans="2:16" ht="12.5">
      <c r="B126" s="195" t="str">
        <f t="shared" si="14"/>
        <v/>
      </c>
      <c r="C126" s="507">
        <f>IF(D93="","-",+C125+1)</f>
        <v>2043</v>
      </c>
      <c r="D126" s="374">
        <f>IF(F125+SUM(E$99:E125)=D$92,F125,D$92-SUM(E$99:E125))</f>
        <v>37150413.638981193</v>
      </c>
      <c r="E126" s="522">
        <f>IF(+J96&lt;F125,J96,D126)</f>
        <v>2318341.7619047621</v>
      </c>
      <c r="F126" s="523">
        <f t="shared" si="17"/>
        <v>34832071.877076432</v>
      </c>
      <c r="G126" s="523">
        <f t="shared" si="18"/>
        <v>35991242.758028813</v>
      </c>
      <c r="H126" s="526">
        <f t="shared" si="19"/>
        <v>6190057.6818503365</v>
      </c>
      <c r="I126" s="577">
        <f t="shared" si="20"/>
        <v>6190057.6818503365</v>
      </c>
      <c r="J126" s="514">
        <f t="shared" si="10"/>
        <v>0</v>
      </c>
      <c r="K126" s="514"/>
      <c r="L126" s="525"/>
      <c r="M126" s="514">
        <f t="shared" si="11"/>
        <v>0</v>
      </c>
      <c r="N126" s="525"/>
      <c r="O126" s="514">
        <f t="shared" si="12"/>
        <v>0</v>
      </c>
      <c r="P126" s="514">
        <f t="shared" si="13"/>
        <v>0</v>
      </c>
    </row>
    <row r="127" spans="2:16" ht="12.5">
      <c r="B127" s="195" t="str">
        <f t="shared" si="14"/>
        <v/>
      </c>
      <c r="C127" s="507">
        <f>IF(D93="","-",+C126+1)</f>
        <v>2044</v>
      </c>
      <c r="D127" s="374">
        <f>IF(F126+SUM(E$99:E126)=D$92,F126,D$92-SUM(E$99:E126))</f>
        <v>34832071.877076432</v>
      </c>
      <c r="E127" s="522">
        <f>IF(+J96&lt;F126,J96,D127)</f>
        <v>2318341.7619047621</v>
      </c>
      <c r="F127" s="523">
        <f t="shared" si="17"/>
        <v>32513730.115171671</v>
      </c>
      <c r="G127" s="523">
        <f t="shared" si="18"/>
        <v>33672900.996124052</v>
      </c>
      <c r="H127" s="526">
        <f t="shared" si="19"/>
        <v>5940664.7734757289</v>
      </c>
      <c r="I127" s="577">
        <f t="shared" si="20"/>
        <v>5940664.7734757289</v>
      </c>
      <c r="J127" s="514">
        <f t="shared" si="10"/>
        <v>0</v>
      </c>
      <c r="K127" s="514"/>
      <c r="L127" s="525"/>
      <c r="M127" s="514">
        <f t="shared" si="11"/>
        <v>0</v>
      </c>
      <c r="N127" s="525"/>
      <c r="O127" s="514">
        <f t="shared" si="12"/>
        <v>0</v>
      </c>
      <c r="P127" s="514">
        <f t="shared" si="13"/>
        <v>0</v>
      </c>
    </row>
    <row r="128" spans="2:16" ht="12.5">
      <c r="B128" s="195" t="str">
        <f t="shared" si="14"/>
        <v/>
      </c>
      <c r="C128" s="507">
        <f>IF(D93="","-",+C127+1)</f>
        <v>2045</v>
      </c>
      <c r="D128" s="374">
        <f>IF(F127+SUM(E$99:E127)=D$92,F127,D$92-SUM(E$99:E127))</f>
        <v>32513730.115171671</v>
      </c>
      <c r="E128" s="522">
        <f>IF(+J96&lt;F127,J96,D128)</f>
        <v>2318341.7619047621</v>
      </c>
      <c r="F128" s="523">
        <f t="shared" si="17"/>
        <v>30195388.35326691</v>
      </c>
      <c r="G128" s="523">
        <f t="shared" si="18"/>
        <v>31354559.23421929</v>
      </c>
      <c r="H128" s="526">
        <f t="shared" si="19"/>
        <v>5691271.8651011214</v>
      </c>
      <c r="I128" s="577">
        <f t="shared" si="20"/>
        <v>5691271.8651011214</v>
      </c>
      <c r="J128" s="514">
        <f t="shared" si="10"/>
        <v>0</v>
      </c>
      <c r="K128" s="514"/>
      <c r="L128" s="525"/>
      <c r="M128" s="514">
        <f t="shared" si="11"/>
        <v>0</v>
      </c>
      <c r="N128" s="525"/>
      <c r="O128" s="514">
        <f t="shared" si="12"/>
        <v>0</v>
      </c>
      <c r="P128" s="514">
        <f t="shared" si="13"/>
        <v>0</v>
      </c>
    </row>
    <row r="129" spans="2:16" ht="12.5">
      <c r="B129" s="195" t="str">
        <f t="shared" si="14"/>
        <v/>
      </c>
      <c r="C129" s="507">
        <f>IF(D93="","-",+C128+1)</f>
        <v>2046</v>
      </c>
      <c r="D129" s="374">
        <f>IF(F128+SUM(E$99:E128)=D$92,F128,D$92-SUM(E$99:E128))</f>
        <v>30195388.35326691</v>
      </c>
      <c r="E129" s="522">
        <f>IF(+J96&lt;F128,J96,D129)</f>
        <v>2318341.7619047621</v>
      </c>
      <c r="F129" s="523">
        <f t="shared" si="17"/>
        <v>27877046.591362149</v>
      </c>
      <c r="G129" s="523">
        <f t="shared" si="18"/>
        <v>29036217.472314529</v>
      </c>
      <c r="H129" s="526">
        <f t="shared" si="19"/>
        <v>5441878.9567265138</v>
      </c>
      <c r="I129" s="577">
        <f t="shared" si="20"/>
        <v>5441878.9567265138</v>
      </c>
      <c r="J129" s="514">
        <f t="shared" si="10"/>
        <v>0</v>
      </c>
      <c r="K129" s="514"/>
      <c r="L129" s="525"/>
      <c r="M129" s="514">
        <f t="shared" si="11"/>
        <v>0</v>
      </c>
      <c r="N129" s="525"/>
      <c r="O129" s="514">
        <f t="shared" si="12"/>
        <v>0</v>
      </c>
      <c r="P129" s="514">
        <f t="shared" si="13"/>
        <v>0</v>
      </c>
    </row>
    <row r="130" spans="2:16" ht="12.5">
      <c r="B130" s="195" t="str">
        <f t="shared" si="14"/>
        <v/>
      </c>
      <c r="C130" s="507">
        <f>IF(D93="","-",+C129+1)</f>
        <v>2047</v>
      </c>
      <c r="D130" s="374">
        <f>IF(F129+SUM(E$99:E129)=D$92,F129,D$92-SUM(E$99:E129))</f>
        <v>27877046.591362149</v>
      </c>
      <c r="E130" s="522">
        <f>IF(+J96&lt;F129,J96,D130)</f>
        <v>2318341.7619047621</v>
      </c>
      <c r="F130" s="523">
        <f t="shared" si="17"/>
        <v>25558704.829457387</v>
      </c>
      <c r="G130" s="523">
        <f t="shared" si="18"/>
        <v>26717875.710409768</v>
      </c>
      <c r="H130" s="526">
        <f t="shared" si="19"/>
        <v>5192486.0483519062</v>
      </c>
      <c r="I130" s="577">
        <f t="shared" si="20"/>
        <v>5192486.0483519062</v>
      </c>
      <c r="J130" s="514">
        <f t="shared" si="10"/>
        <v>0</v>
      </c>
      <c r="K130" s="514"/>
      <c r="L130" s="525"/>
      <c r="M130" s="514">
        <f t="shared" si="11"/>
        <v>0</v>
      </c>
      <c r="N130" s="525"/>
      <c r="O130" s="514">
        <f t="shared" si="12"/>
        <v>0</v>
      </c>
      <c r="P130" s="514">
        <f t="shared" si="13"/>
        <v>0</v>
      </c>
    </row>
    <row r="131" spans="2:16" ht="12.5">
      <c r="B131" s="195" t="str">
        <f t="shared" si="14"/>
        <v/>
      </c>
      <c r="C131" s="507">
        <f>IF(D93="","-",+C130+1)</f>
        <v>2048</v>
      </c>
      <c r="D131" s="374">
        <f>IF(F130+SUM(E$99:E130)=D$92,F130,D$92-SUM(E$99:E130))</f>
        <v>25558704.829457387</v>
      </c>
      <c r="E131" s="522">
        <f>IF(+J96&lt;F130,J96,D131)</f>
        <v>2318341.7619047621</v>
      </c>
      <c r="F131" s="523">
        <f t="shared" ref="F131:F154" si="21">+D131-E131</f>
        <v>23240363.067552626</v>
      </c>
      <c r="G131" s="523">
        <f t="shared" ref="G131:G154" si="22">+(F131+D131)/2</f>
        <v>24399533.948505007</v>
      </c>
      <c r="H131" s="526">
        <f t="shared" si="19"/>
        <v>4943093.1399772987</v>
      </c>
      <c r="I131" s="577">
        <f t="shared" si="20"/>
        <v>4943093.1399772987</v>
      </c>
      <c r="J131" s="514">
        <f t="shared" ref="J131:J154" si="23">+I541-H541</f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 ht="12.5">
      <c r="B132" s="195" t="str">
        <f t="shared" si="14"/>
        <v/>
      </c>
      <c r="C132" s="507">
        <f>IF(D93="","-",+C131+1)</f>
        <v>2049</v>
      </c>
      <c r="D132" s="374">
        <f>IF(F131+SUM(E$99:E131)=D$92,F131,D$92-SUM(E$99:E131))</f>
        <v>23240363.067552626</v>
      </c>
      <c r="E132" s="522">
        <f>IF(+J96&lt;F131,J96,D132)</f>
        <v>2318341.7619047621</v>
      </c>
      <c r="F132" s="523">
        <f t="shared" si="21"/>
        <v>20922021.305647865</v>
      </c>
      <c r="G132" s="523">
        <f t="shared" si="22"/>
        <v>22081192.186600246</v>
      </c>
      <c r="H132" s="526">
        <f t="shared" si="19"/>
        <v>4693700.2316026911</v>
      </c>
      <c r="I132" s="577">
        <f t="shared" si="20"/>
        <v>4693700.2316026911</v>
      </c>
      <c r="J132" s="514">
        <f t="shared" si="23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 ht="12.5">
      <c r="B133" s="195" t="str">
        <f t="shared" si="14"/>
        <v/>
      </c>
      <c r="C133" s="507">
        <f>IF(D93="","-",+C132+1)</f>
        <v>2050</v>
      </c>
      <c r="D133" s="374">
        <f>IF(F132+SUM(E$99:E132)=D$92,F132,D$92-SUM(E$99:E132))</f>
        <v>20922021.305647865</v>
      </c>
      <c r="E133" s="522">
        <f>IF(+J96&lt;F132,J96,D133)</f>
        <v>2318341.7619047621</v>
      </c>
      <c r="F133" s="523">
        <f t="shared" si="21"/>
        <v>18603679.543743104</v>
      </c>
      <c r="G133" s="523">
        <f t="shared" si="22"/>
        <v>19762850.424695484</v>
      </c>
      <c r="H133" s="526">
        <f t="shared" si="19"/>
        <v>4444307.3232280836</v>
      </c>
      <c r="I133" s="577">
        <f t="shared" si="20"/>
        <v>4444307.3232280836</v>
      </c>
      <c r="J133" s="514">
        <f t="shared" si="23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 ht="12.5">
      <c r="B134" s="195" t="str">
        <f t="shared" si="14"/>
        <v/>
      </c>
      <c r="C134" s="507">
        <f>IF(D93="","-",+C133+1)</f>
        <v>2051</v>
      </c>
      <c r="D134" s="374">
        <f>IF(F133+SUM(E$99:E133)=D$92,F133,D$92-SUM(E$99:E133))</f>
        <v>18603679.543743104</v>
      </c>
      <c r="E134" s="522">
        <f>IF(+J96&lt;F133,J96,D134)</f>
        <v>2318341.7619047621</v>
      </c>
      <c r="F134" s="523">
        <f t="shared" si="21"/>
        <v>16285337.781838343</v>
      </c>
      <c r="G134" s="523">
        <f t="shared" si="22"/>
        <v>17444508.662790723</v>
      </c>
      <c r="H134" s="526">
        <f t="shared" si="19"/>
        <v>4194914.414853476</v>
      </c>
      <c r="I134" s="577">
        <f t="shared" si="20"/>
        <v>4194914.414853476</v>
      </c>
      <c r="J134" s="514">
        <f t="shared" si="23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 ht="12.5">
      <c r="B135" s="195" t="str">
        <f t="shared" si="14"/>
        <v/>
      </c>
      <c r="C135" s="507">
        <f>IF(D93="","-",+C134+1)</f>
        <v>2052</v>
      </c>
      <c r="D135" s="374">
        <f>IF(F134+SUM(E$99:E134)=D$92,F134,D$92-SUM(E$99:E134))</f>
        <v>16285337.781838343</v>
      </c>
      <c r="E135" s="522">
        <f>IF(+J96&lt;F134,J96,D135)</f>
        <v>2318341.7619047621</v>
      </c>
      <c r="F135" s="523">
        <f t="shared" si="21"/>
        <v>13966996.019933581</v>
      </c>
      <c r="G135" s="523">
        <f t="shared" si="22"/>
        <v>15126166.900885962</v>
      </c>
      <c r="H135" s="526">
        <f t="shared" si="19"/>
        <v>3945521.5064788689</v>
      </c>
      <c r="I135" s="577">
        <f t="shared" si="20"/>
        <v>3945521.5064788689</v>
      </c>
      <c r="J135" s="514">
        <f t="shared" si="23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 ht="12.5">
      <c r="B136" s="195" t="str">
        <f t="shared" si="14"/>
        <v/>
      </c>
      <c r="C136" s="507">
        <f>IF(D93="","-",+C135+1)</f>
        <v>2053</v>
      </c>
      <c r="D136" s="374">
        <f>IF(F135+SUM(E$99:E135)=D$92,F135,D$92-SUM(E$99:E135))</f>
        <v>13966996.019933581</v>
      </c>
      <c r="E136" s="522">
        <f>IF(+J96&lt;F135,J96,D136)</f>
        <v>2318341.7619047621</v>
      </c>
      <c r="F136" s="523">
        <f t="shared" si="21"/>
        <v>11648654.25802882</v>
      </c>
      <c r="G136" s="523">
        <f t="shared" si="22"/>
        <v>12807825.138981201</v>
      </c>
      <c r="H136" s="526">
        <f t="shared" si="19"/>
        <v>3696128.5981042613</v>
      </c>
      <c r="I136" s="577">
        <f t="shared" si="20"/>
        <v>3696128.5981042613</v>
      </c>
      <c r="J136" s="514">
        <f t="shared" si="23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 ht="12.5">
      <c r="B137" s="195" t="str">
        <f t="shared" si="14"/>
        <v/>
      </c>
      <c r="C137" s="507">
        <f>IF(D93="","-",+C136+1)</f>
        <v>2054</v>
      </c>
      <c r="D137" s="374">
        <f>IF(F136+SUM(E$99:E136)=D$92,F136,D$92-SUM(E$99:E136))</f>
        <v>11648654.25802882</v>
      </c>
      <c r="E137" s="522">
        <f>IF(+J96&lt;F136,J96,D137)</f>
        <v>2318341.7619047621</v>
      </c>
      <c r="F137" s="523">
        <f t="shared" si="21"/>
        <v>9330312.496124059</v>
      </c>
      <c r="G137" s="523">
        <f t="shared" si="22"/>
        <v>10489483.37707644</v>
      </c>
      <c r="H137" s="526">
        <f t="shared" si="19"/>
        <v>3446735.6897296538</v>
      </c>
      <c r="I137" s="577">
        <f t="shared" si="20"/>
        <v>3446735.6897296538</v>
      </c>
      <c r="J137" s="514">
        <f t="shared" si="23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 ht="12.5">
      <c r="B138" s="195" t="str">
        <f t="shared" si="14"/>
        <v/>
      </c>
      <c r="C138" s="507">
        <f>IF(D93="","-",+C137+1)</f>
        <v>2055</v>
      </c>
      <c r="D138" s="374">
        <f>IF(F137+SUM(E$99:E137)=D$92,F137,D$92-SUM(E$99:E137))</f>
        <v>9330312.496124059</v>
      </c>
      <c r="E138" s="522">
        <f>IF(+J96&lt;F137,J96,D138)</f>
        <v>2318341.7619047621</v>
      </c>
      <c r="F138" s="523">
        <f t="shared" si="21"/>
        <v>7011970.7342192968</v>
      </c>
      <c r="G138" s="523">
        <f t="shared" si="22"/>
        <v>8171141.6151716784</v>
      </c>
      <c r="H138" s="526">
        <f t="shared" si="19"/>
        <v>3197342.7813550462</v>
      </c>
      <c r="I138" s="577">
        <f t="shared" si="20"/>
        <v>3197342.7813550462</v>
      </c>
      <c r="J138" s="514">
        <f t="shared" si="23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 ht="12.5">
      <c r="B139" s="195" t="str">
        <f t="shared" si="14"/>
        <v/>
      </c>
      <c r="C139" s="507">
        <f>IF(D93="","-",+C138+1)</f>
        <v>2056</v>
      </c>
      <c r="D139" s="374">
        <f>IF(F138+SUM(E$99:E138)=D$92,F138,D$92-SUM(E$99:E138))</f>
        <v>7011970.7342192968</v>
      </c>
      <c r="E139" s="522">
        <f>IF(+J96&lt;F138,J96,D139)</f>
        <v>2318341.7619047621</v>
      </c>
      <c r="F139" s="523">
        <f t="shared" si="21"/>
        <v>4693628.9723145347</v>
      </c>
      <c r="G139" s="523">
        <f t="shared" si="22"/>
        <v>5852799.8532669153</v>
      </c>
      <c r="H139" s="526">
        <f t="shared" si="19"/>
        <v>2947949.8729804386</v>
      </c>
      <c r="I139" s="577">
        <f t="shared" si="20"/>
        <v>2947949.8729804386</v>
      </c>
      <c r="J139" s="514">
        <f t="shared" si="23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 ht="12.5">
      <c r="B140" s="195" t="str">
        <f t="shared" si="14"/>
        <v/>
      </c>
      <c r="C140" s="507">
        <f>IF(D93="","-",+C139+1)</f>
        <v>2057</v>
      </c>
      <c r="D140" s="374">
        <f>IF(F139+SUM(E$99:E139)=D$92,F139,D$92-SUM(E$99:E139))</f>
        <v>4693628.9723145347</v>
      </c>
      <c r="E140" s="522">
        <f>IF(+J96&lt;F139,J96,D140)</f>
        <v>2318341.7619047621</v>
      </c>
      <c r="F140" s="523">
        <f t="shared" si="21"/>
        <v>2375287.2104097726</v>
      </c>
      <c r="G140" s="523">
        <f t="shared" si="22"/>
        <v>3534458.0913621536</v>
      </c>
      <c r="H140" s="526">
        <f t="shared" si="19"/>
        <v>2698556.9646058311</v>
      </c>
      <c r="I140" s="577">
        <f t="shared" si="20"/>
        <v>2698556.9646058311</v>
      </c>
      <c r="J140" s="514">
        <f t="shared" si="23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 ht="12.5">
      <c r="B141" s="195" t="str">
        <f t="shared" si="14"/>
        <v/>
      </c>
      <c r="C141" s="507">
        <f>IF(D93="","-",+C140+1)</f>
        <v>2058</v>
      </c>
      <c r="D141" s="374">
        <f>IF(F140+SUM(E$99:E140)=D$92,F140,D$92-SUM(E$99:E140))</f>
        <v>2375287.2104097726</v>
      </c>
      <c r="E141" s="522">
        <f>IF(+J96&lt;F140,J96,D141)</f>
        <v>2318341.7619047621</v>
      </c>
      <c r="F141" s="523">
        <f t="shared" si="21"/>
        <v>56945.448505010456</v>
      </c>
      <c r="G141" s="523">
        <f t="shared" si="22"/>
        <v>1216116.3294573915</v>
      </c>
      <c r="H141" s="526">
        <f t="shared" si="19"/>
        <v>2449164.0562312235</v>
      </c>
      <c r="I141" s="577">
        <f t="shared" si="20"/>
        <v>2449164.0562312235</v>
      </c>
      <c r="J141" s="514">
        <f t="shared" si="23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 ht="12.5">
      <c r="B142" s="195" t="str">
        <f t="shared" si="14"/>
        <v/>
      </c>
      <c r="C142" s="507">
        <f>IF(D93="","-",+C141+1)</f>
        <v>2059</v>
      </c>
      <c r="D142" s="374">
        <f>IF(F141+SUM(E$99:E141)=D$92,F141,D$92-SUM(E$99:E141))</f>
        <v>56945.448505010456</v>
      </c>
      <c r="E142" s="522">
        <f>IF(+J96&lt;F141,J96,D142)</f>
        <v>56945.448505010456</v>
      </c>
      <c r="F142" s="523">
        <f t="shared" si="21"/>
        <v>0</v>
      </c>
      <c r="G142" s="523">
        <f t="shared" si="22"/>
        <v>28472.724252505228</v>
      </c>
      <c r="H142" s="526">
        <f t="shared" si="19"/>
        <v>60008.368574589142</v>
      </c>
      <c r="I142" s="577">
        <f t="shared" si="20"/>
        <v>60008.368574589142</v>
      </c>
      <c r="J142" s="514">
        <f t="shared" si="23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 ht="12.5">
      <c r="B143" s="195" t="str">
        <f t="shared" si="14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1"/>
        <v>0</v>
      </c>
      <c r="G143" s="523">
        <f t="shared" si="22"/>
        <v>0</v>
      </c>
      <c r="H143" s="526">
        <f t="shared" si="19"/>
        <v>0</v>
      </c>
      <c r="I143" s="577">
        <f t="shared" si="20"/>
        <v>0</v>
      </c>
      <c r="J143" s="514">
        <f t="shared" si="23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 ht="12.5">
      <c r="B144" s="195" t="str">
        <f t="shared" si="14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1"/>
        <v>0</v>
      </c>
      <c r="G144" s="523">
        <f t="shared" si="22"/>
        <v>0</v>
      </c>
      <c r="H144" s="526">
        <f t="shared" si="19"/>
        <v>0</v>
      </c>
      <c r="I144" s="577">
        <f t="shared" si="20"/>
        <v>0</v>
      </c>
      <c r="J144" s="514">
        <f t="shared" si="23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 ht="12.5">
      <c r="B145" s="195" t="str">
        <f t="shared" si="14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1"/>
        <v>0</v>
      </c>
      <c r="G145" s="523">
        <f t="shared" si="22"/>
        <v>0</v>
      </c>
      <c r="H145" s="526">
        <f t="shared" si="19"/>
        <v>0</v>
      </c>
      <c r="I145" s="577">
        <f t="shared" si="20"/>
        <v>0</v>
      </c>
      <c r="J145" s="514">
        <f t="shared" si="23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 ht="12.5">
      <c r="B146" s="195" t="str">
        <f t="shared" si="14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1"/>
        <v>0</v>
      </c>
      <c r="G146" s="523">
        <f t="shared" si="22"/>
        <v>0</v>
      </c>
      <c r="H146" s="526">
        <f t="shared" si="19"/>
        <v>0</v>
      </c>
      <c r="I146" s="577">
        <f t="shared" si="20"/>
        <v>0</v>
      </c>
      <c r="J146" s="514">
        <f t="shared" si="23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 ht="12.5">
      <c r="B147" s="195" t="str">
        <f t="shared" si="14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1"/>
        <v>0</v>
      </c>
      <c r="G147" s="523">
        <f t="shared" si="22"/>
        <v>0</v>
      </c>
      <c r="H147" s="526">
        <f t="shared" si="19"/>
        <v>0</v>
      </c>
      <c r="I147" s="577">
        <f t="shared" si="20"/>
        <v>0</v>
      </c>
      <c r="J147" s="514">
        <f t="shared" si="23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 ht="12.5">
      <c r="B148" s="195" t="str">
        <f t="shared" si="14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1"/>
        <v>0</v>
      </c>
      <c r="G148" s="523">
        <f t="shared" si="22"/>
        <v>0</v>
      </c>
      <c r="H148" s="526">
        <f t="shared" si="19"/>
        <v>0</v>
      </c>
      <c r="I148" s="577">
        <f t="shared" si="20"/>
        <v>0</v>
      </c>
      <c r="J148" s="514">
        <f t="shared" si="23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 ht="12.5">
      <c r="B149" s="195" t="str">
        <f t="shared" si="14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1"/>
        <v>0</v>
      </c>
      <c r="G149" s="523">
        <f t="shared" si="22"/>
        <v>0</v>
      </c>
      <c r="H149" s="526">
        <f t="shared" si="19"/>
        <v>0</v>
      </c>
      <c r="I149" s="577">
        <f t="shared" si="20"/>
        <v>0</v>
      </c>
      <c r="J149" s="514">
        <f t="shared" si="23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 ht="12.5">
      <c r="B150" s="195" t="str">
        <f t="shared" si="14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1"/>
        <v>0</v>
      </c>
      <c r="G150" s="523">
        <f t="shared" si="22"/>
        <v>0</v>
      </c>
      <c r="H150" s="526">
        <f t="shared" si="19"/>
        <v>0</v>
      </c>
      <c r="I150" s="577">
        <f t="shared" si="20"/>
        <v>0</v>
      </c>
      <c r="J150" s="514">
        <f t="shared" si="23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 ht="12.5">
      <c r="B151" s="195" t="str">
        <f t="shared" si="14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1"/>
        <v>0</v>
      </c>
      <c r="G151" s="523">
        <f t="shared" si="22"/>
        <v>0</v>
      </c>
      <c r="H151" s="526">
        <f t="shared" si="19"/>
        <v>0</v>
      </c>
      <c r="I151" s="577">
        <f t="shared" si="20"/>
        <v>0</v>
      </c>
      <c r="J151" s="514">
        <f t="shared" si="23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 ht="12.5">
      <c r="B152" s="195" t="str">
        <f t="shared" si="14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1"/>
        <v>0</v>
      </c>
      <c r="G152" s="523">
        <f t="shared" si="22"/>
        <v>0</v>
      </c>
      <c r="H152" s="526">
        <f t="shared" si="19"/>
        <v>0</v>
      </c>
      <c r="I152" s="577">
        <f t="shared" si="20"/>
        <v>0</v>
      </c>
      <c r="J152" s="514">
        <f t="shared" si="23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 ht="12.5">
      <c r="B153" s="195" t="str">
        <f t="shared" si="14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1"/>
        <v>0</v>
      </c>
      <c r="G153" s="523">
        <f t="shared" si="22"/>
        <v>0</v>
      </c>
      <c r="H153" s="526">
        <f t="shared" si="19"/>
        <v>0</v>
      </c>
      <c r="I153" s="577">
        <f t="shared" si="20"/>
        <v>0</v>
      </c>
      <c r="J153" s="514">
        <f t="shared" si="23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" thickBot="1">
      <c r="B154" s="195" t="str">
        <f t="shared" si="14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1"/>
        <v>0</v>
      </c>
      <c r="G154" s="528">
        <f t="shared" si="22"/>
        <v>0</v>
      </c>
      <c r="H154" s="530">
        <f t="shared" si="19"/>
        <v>0</v>
      </c>
      <c r="I154" s="579">
        <f t="shared" si="20"/>
        <v>0</v>
      </c>
      <c r="J154" s="533">
        <f t="shared" si="23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 ht="12.5">
      <c r="C155" s="374" t="s">
        <v>78</v>
      </c>
      <c r="D155" s="375"/>
      <c r="E155" s="375">
        <f>SUM(E99:E154)</f>
        <v>97370354.000000015</v>
      </c>
      <c r="F155" s="375"/>
      <c r="G155" s="375"/>
      <c r="H155" s="375">
        <f>SUM(H99:H154)</f>
        <v>324648412.38999104</v>
      </c>
      <c r="I155" s="375">
        <f>SUM(I99:I154)</f>
        <v>324648412.38999104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9" priority="2" stopIfTrue="1" operator="equal">
      <formula>$I$10</formula>
    </cfRule>
  </conditionalFormatting>
  <conditionalFormatting sqref="C99:C154">
    <cfRule type="cellIs" dxfId="38" priority="3" stopIfTrue="1" operator="equal">
      <formula>$J$92</formula>
    </cfRule>
  </conditionalFormatting>
  <conditionalFormatting sqref="C17">
    <cfRule type="cellIs" dxfId="37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P162"/>
  <sheetViews>
    <sheetView view="pageBreakPreview" zoomScale="80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61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6818880.8355437173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6818880.8355437173</v>
      </c>
      <c r="O6" s="269"/>
      <c r="P6" s="269"/>
    </row>
    <row r="7" spans="1:16" ht="13.5" thickBot="1">
      <c r="C7" s="467" t="s">
        <v>48</v>
      </c>
      <c r="D7" s="624" t="s">
        <v>384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385</v>
      </c>
      <c r="E9" s="478"/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58649881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1396425.7380952381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49">
        <v>0</v>
      </c>
      <c r="E17" s="658">
        <v>923012.13953488367</v>
      </c>
      <c r="F17" s="651">
        <v>58611270.860465117</v>
      </c>
      <c r="G17" s="659">
        <v>4553761.5622253697</v>
      </c>
      <c r="H17" s="657">
        <v>4553761.5622253697</v>
      </c>
      <c r="I17" s="511">
        <f t="shared" ref="I17:I72" si="0">H17-G17</f>
        <v>0</v>
      </c>
      <c r="J17" s="511"/>
      <c r="K17" s="512">
        <f>+G17</f>
        <v>4553761.5622253697</v>
      </c>
      <c r="L17" s="513">
        <f t="shared" ref="L17:L72" si="1">IF(K17&lt;&gt;0,+G17-K17,0)</f>
        <v>0</v>
      </c>
      <c r="M17" s="512">
        <f>+H17</f>
        <v>4553761.5622253697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2017</v>
      </c>
      <c r="D18" s="631">
        <v>58611270.860465117</v>
      </c>
      <c r="E18" s="630">
        <v>1452055.6829268292</v>
      </c>
      <c r="F18" s="631">
        <v>57159215.177538291</v>
      </c>
      <c r="G18" s="630">
        <v>7928500.3710052036</v>
      </c>
      <c r="H18" s="639">
        <v>7928500.3710052036</v>
      </c>
      <c r="I18" s="511">
        <f t="shared" si="0"/>
        <v>0</v>
      </c>
      <c r="J18" s="511"/>
      <c r="K18" s="655">
        <f>+G18</f>
        <v>7928500.3710052036</v>
      </c>
      <c r="L18" s="514">
        <f t="shared" si="1"/>
        <v>0</v>
      </c>
      <c r="M18" s="655">
        <f>+H18</f>
        <v>7928500.3710052036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2018</v>
      </c>
      <c r="D19" s="631">
        <v>58611270.860465117</v>
      </c>
      <c r="E19" s="630">
        <v>1452055.6829268292</v>
      </c>
      <c r="F19" s="631">
        <v>57159215.177538291</v>
      </c>
      <c r="G19" s="630">
        <v>8808928.485670168</v>
      </c>
      <c r="H19" s="639">
        <v>8808928.485670168</v>
      </c>
      <c r="I19" s="511">
        <f t="shared" si="0"/>
        <v>0</v>
      </c>
      <c r="J19" s="511"/>
      <c r="K19" s="655">
        <f>+G19</f>
        <v>8808928.485670168</v>
      </c>
      <c r="L19" s="514">
        <f t="shared" ref="L19" si="4">IF(K19&lt;&gt;0,+G19-K19,0)</f>
        <v>0</v>
      </c>
      <c r="M19" s="655">
        <f>+H19</f>
        <v>8808928.485670168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2019</v>
      </c>
      <c r="D20" s="631">
        <v>57159215.177538291</v>
      </c>
      <c r="E20" s="630">
        <v>1452055.6829268292</v>
      </c>
      <c r="F20" s="631">
        <v>55707159.494611464</v>
      </c>
      <c r="G20" s="630">
        <v>8624380.7770549227</v>
      </c>
      <c r="H20" s="639">
        <v>8624380.7770549227</v>
      </c>
      <c r="I20" s="511">
        <f t="shared" si="0"/>
        <v>0</v>
      </c>
      <c r="J20" s="511"/>
      <c r="K20" s="655">
        <f>+G20</f>
        <v>8624380.7770549227</v>
      </c>
      <c r="L20" s="514">
        <f t="shared" ref="L20" si="6">IF(K20&lt;&gt;0,+G20-K20,0)</f>
        <v>0</v>
      </c>
      <c r="M20" s="655">
        <f>+H20</f>
        <v>8624380.7770549227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>IU</v>
      </c>
      <c r="C21" s="507">
        <f>IF(D11="","-",+C20+1)</f>
        <v>2020</v>
      </c>
      <c r="D21" s="631">
        <v>53369709.811684631</v>
      </c>
      <c r="E21" s="630">
        <v>1430460.7073170731</v>
      </c>
      <c r="F21" s="631">
        <v>51939249.104367554</v>
      </c>
      <c r="G21" s="630">
        <v>6818880.8355437173</v>
      </c>
      <c r="H21" s="639">
        <v>6818880.8355437173</v>
      </c>
      <c r="I21" s="511">
        <f t="shared" si="0"/>
        <v>0</v>
      </c>
      <c r="J21" s="511"/>
      <c r="K21" s="655">
        <f>+G21</f>
        <v>6818880.8355437173</v>
      </c>
      <c r="L21" s="514">
        <f t="shared" ref="L21" si="7">IF(K21&lt;&gt;0,+G21-K21,0)</f>
        <v>0</v>
      </c>
      <c r="M21" s="655">
        <f>+H21</f>
        <v>6818880.8355437173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2021</v>
      </c>
      <c r="D22" s="523">
        <f>IF(F21+SUM(E$17:E21)=D$10,F21,D$10-SUM(E$17:E21))</f>
        <v>51940241.104367554</v>
      </c>
      <c r="E22" s="522">
        <f>IF(+I14&lt;F21,I14,D22)</f>
        <v>1396425.7380952381</v>
      </c>
      <c r="F22" s="523">
        <f t="shared" ref="F22:F72" si="8">+D22-E22</f>
        <v>50543815.366272315</v>
      </c>
      <c r="G22" s="524">
        <f t="shared" ref="G22:G48" si="9">+I$12*((D22+F22)/2)+E22</f>
        <v>6869995.3655705182</v>
      </c>
      <c r="H22" s="491">
        <f t="shared" ref="H22:H48" si="10">+I$13*((D22+F22)/2)+E22</f>
        <v>6869995.3655705182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2022</v>
      </c>
      <c r="D23" s="523">
        <f>IF(F22+SUM(E$17:E22)=D$10,F22,D$10-SUM(E$17:E22))</f>
        <v>50543815.366272315</v>
      </c>
      <c r="E23" s="522">
        <f>IF(+I14&lt;F22,I14,D23)</f>
        <v>1396425.7380952381</v>
      </c>
      <c r="F23" s="523">
        <f t="shared" si="8"/>
        <v>49147389.628177077</v>
      </c>
      <c r="G23" s="524">
        <f t="shared" si="9"/>
        <v>6720831.9977201717</v>
      </c>
      <c r="H23" s="491">
        <f t="shared" si="10"/>
        <v>6720831.9977201717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2023</v>
      </c>
      <c r="D24" s="523">
        <f>IF(F23+SUM(E$17:E23)=D$10,F23,D$10-SUM(E$17:E23))</f>
        <v>49147389.628177077</v>
      </c>
      <c r="E24" s="522">
        <f>IF(+I14&lt;F23,I14,D24)</f>
        <v>1396425.7380952381</v>
      </c>
      <c r="F24" s="523">
        <f t="shared" si="8"/>
        <v>47750963.890081838</v>
      </c>
      <c r="G24" s="524">
        <f t="shared" si="9"/>
        <v>6571668.6298698252</v>
      </c>
      <c r="H24" s="491">
        <f t="shared" si="10"/>
        <v>6571668.6298698252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2024</v>
      </c>
      <c r="D25" s="523">
        <f>IF(F24+SUM(E$17:E24)=D$10,F24,D$10-SUM(E$17:E24))</f>
        <v>47750963.890081838</v>
      </c>
      <c r="E25" s="522">
        <f>IF(+I14&lt;F24,I14,D25)</f>
        <v>1396425.7380952381</v>
      </c>
      <c r="F25" s="523">
        <f t="shared" si="8"/>
        <v>46354538.151986599</v>
      </c>
      <c r="G25" s="524">
        <f t="shared" si="9"/>
        <v>6422505.2620194796</v>
      </c>
      <c r="H25" s="491">
        <f t="shared" si="10"/>
        <v>6422505.2620194796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2025</v>
      </c>
      <c r="D26" s="523">
        <f>IF(F25+SUM(E$17:E25)=D$10,F25,D$10-SUM(E$17:E25))</f>
        <v>46354538.151986599</v>
      </c>
      <c r="E26" s="522">
        <f>IF(+I14&lt;F25,I14,D26)</f>
        <v>1396425.7380952381</v>
      </c>
      <c r="F26" s="523">
        <f t="shared" si="8"/>
        <v>44958112.41389136</v>
      </c>
      <c r="G26" s="524">
        <f t="shared" si="9"/>
        <v>6273341.8941691332</v>
      </c>
      <c r="H26" s="491">
        <f t="shared" si="10"/>
        <v>6273341.8941691332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2026</v>
      </c>
      <c r="D27" s="523">
        <f>IF(F26+SUM(E$17:E26)=D$10,F26,D$10-SUM(E$17:E26))</f>
        <v>44958112.41389136</v>
      </c>
      <c r="E27" s="522">
        <f>IF(+I14&lt;F26,I14,D27)</f>
        <v>1396425.7380952381</v>
      </c>
      <c r="F27" s="523">
        <f t="shared" si="8"/>
        <v>43561686.675796121</v>
      </c>
      <c r="G27" s="524">
        <f t="shared" si="9"/>
        <v>6124178.5263187876</v>
      </c>
      <c r="H27" s="491">
        <f t="shared" si="10"/>
        <v>6124178.5263187876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2027</v>
      </c>
      <c r="D28" s="523">
        <f>IF(F27+SUM(E$17:E27)=D$10,F27,D$10-SUM(E$17:E27))</f>
        <v>43561686.675796121</v>
      </c>
      <c r="E28" s="522">
        <f>IF(+I14&lt;F27,I14,D28)</f>
        <v>1396425.7380952381</v>
      </c>
      <c r="F28" s="523">
        <f t="shared" si="8"/>
        <v>42165260.937700883</v>
      </c>
      <c r="G28" s="524">
        <f t="shared" si="9"/>
        <v>5975015.1584684411</v>
      </c>
      <c r="H28" s="491">
        <f t="shared" si="10"/>
        <v>5975015.1584684411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2028</v>
      </c>
      <c r="D29" s="523">
        <f>IF(F28+SUM(E$17:E28)=D$10,F28,D$10-SUM(E$17:E28))</f>
        <v>42165260.937700883</v>
      </c>
      <c r="E29" s="522">
        <f>IF(+I14&lt;F28,I14,D29)</f>
        <v>1396425.7380952381</v>
      </c>
      <c r="F29" s="523">
        <f t="shared" si="8"/>
        <v>40768835.199605644</v>
      </c>
      <c r="G29" s="524">
        <f t="shared" si="9"/>
        <v>5825851.7906180946</v>
      </c>
      <c r="H29" s="491">
        <f t="shared" si="10"/>
        <v>5825851.7906180946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2029</v>
      </c>
      <c r="D30" s="523">
        <f>IF(F29+SUM(E$17:E29)=D$10,F29,D$10-SUM(E$17:E29))</f>
        <v>40768835.199605644</v>
      </c>
      <c r="E30" s="522">
        <f>IF(+I14&lt;F29,I14,D30)</f>
        <v>1396425.7380952381</v>
      </c>
      <c r="F30" s="523">
        <f t="shared" si="8"/>
        <v>39372409.461510405</v>
      </c>
      <c r="G30" s="524">
        <f t="shared" si="9"/>
        <v>5676688.4227677491</v>
      </c>
      <c r="H30" s="491">
        <f t="shared" si="10"/>
        <v>5676688.4227677491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2030</v>
      </c>
      <c r="D31" s="523">
        <f>IF(F30+SUM(E$17:E30)=D$10,F30,D$10-SUM(E$17:E30))</f>
        <v>39372409.461510405</v>
      </c>
      <c r="E31" s="522">
        <f>IF(+I14&lt;F30,I14,D31)</f>
        <v>1396425.7380952381</v>
      </c>
      <c r="F31" s="523">
        <f t="shared" si="8"/>
        <v>37975983.723415166</v>
      </c>
      <c r="G31" s="524">
        <f t="shared" si="9"/>
        <v>5527525.0549174035</v>
      </c>
      <c r="H31" s="491">
        <f t="shared" si="10"/>
        <v>5527525.0549174035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2031</v>
      </c>
      <c r="D32" s="523">
        <f>IF(F31+SUM(E$17:E31)=D$10,F31,D$10-SUM(E$17:E31))</f>
        <v>37975983.723415166</v>
      </c>
      <c r="E32" s="522">
        <f>IF(+I14&lt;F31,I14,D32)</f>
        <v>1396425.7380952381</v>
      </c>
      <c r="F32" s="523">
        <f t="shared" si="8"/>
        <v>36579557.985319927</v>
      </c>
      <c r="G32" s="524">
        <f t="shared" si="9"/>
        <v>5378361.687067057</v>
      </c>
      <c r="H32" s="491">
        <f t="shared" si="10"/>
        <v>5378361.687067057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2032</v>
      </c>
      <c r="D33" s="523">
        <f>IF(F32+SUM(E$17:E32)=D$10,F32,D$10-SUM(E$17:E32))</f>
        <v>36579557.985319927</v>
      </c>
      <c r="E33" s="522">
        <f>IF(+I14&lt;F32,I14,D33)</f>
        <v>1396425.7380952381</v>
      </c>
      <c r="F33" s="523">
        <f t="shared" si="8"/>
        <v>35183132.247224689</v>
      </c>
      <c r="G33" s="524">
        <f t="shared" si="9"/>
        <v>5229198.3192167105</v>
      </c>
      <c r="H33" s="491">
        <f t="shared" si="10"/>
        <v>5229198.3192167105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2033</v>
      </c>
      <c r="D34" s="523">
        <f>IF(F33+SUM(E$17:E33)=D$10,F33,D$10-SUM(E$17:E33))</f>
        <v>35183132.247224689</v>
      </c>
      <c r="E34" s="522">
        <f>IF(+I14&lt;F33,I14,D34)</f>
        <v>1396425.7380952381</v>
      </c>
      <c r="F34" s="523">
        <f t="shared" si="8"/>
        <v>33786706.50912945</v>
      </c>
      <c r="G34" s="524">
        <f t="shared" si="9"/>
        <v>5080034.951366365</v>
      </c>
      <c r="H34" s="491">
        <f t="shared" si="10"/>
        <v>5080034.951366365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2034</v>
      </c>
      <c r="D35" s="523">
        <f>IF(F34+SUM(E$17:E34)=D$10,F34,D$10-SUM(E$17:E34))</f>
        <v>33786706.50912945</v>
      </c>
      <c r="E35" s="522">
        <f>IF(+I14&lt;F34,I14,D35)</f>
        <v>1396425.7380952381</v>
      </c>
      <c r="F35" s="523">
        <f t="shared" si="8"/>
        <v>32390280.771034211</v>
      </c>
      <c r="G35" s="524">
        <f t="shared" si="9"/>
        <v>4930871.5835160185</v>
      </c>
      <c r="H35" s="491">
        <f t="shared" si="10"/>
        <v>4930871.5835160185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2035</v>
      </c>
      <c r="D36" s="523">
        <f>IF(F35+SUM(E$17:E35)=D$10,F35,D$10-SUM(E$17:E35))</f>
        <v>32390280.771034211</v>
      </c>
      <c r="E36" s="522">
        <f>IF(+I14&lt;F35,I14,D36)</f>
        <v>1396425.7380952381</v>
      </c>
      <c r="F36" s="523">
        <f t="shared" si="8"/>
        <v>30993855.032938972</v>
      </c>
      <c r="G36" s="524">
        <f t="shared" si="9"/>
        <v>4781708.2156656729</v>
      </c>
      <c r="H36" s="491">
        <f t="shared" si="10"/>
        <v>4781708.2156656729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2036</v>
      </c>
      <c r="D37" s="523">
        <f>IF(F36+SUM(E$17:E36)=D$10,F36,D$10-SUM(E$17:E36))</f>
        <v>30993855.032938972</v>
      </c>
      <c r="E37" s="522">
        <f>IF(+I14&lt;F36,I14,D37)</f>
        <v>1396425.7380952381</v>
      </c>
      <c r="F37" s="523">
        <f t="shared" si="8"/>
        <v>29597429.294843733</v>
      </c>
      <c r="G37" s="524">
        <f t="shared" si="9"/>
        <v>4632544.8478153264</v>
      </c>
      <c r="H37" s="491">
        <f t="shared" si="10"/>
        <v>4632544.8478153264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2037</v>
      </c>
      <c r="D38" s="523">
        <f>IF(F37+SUM(E$17:E37)=D$10,F37,D$10-SUM(E$17:E37))</f>
        <v>29597429.294843733</v>
      </c>
      <c r="E38" s="522">
        <f>IF(+I14&lt;F37,I14,D38)</f>
        <v>1396425.7380952381</v>
      </c>
      <c r="F38" s="523">
        <f t="shared" si="8"/>
        <v>28201003.556748495</v>
      </c>
      <c r="G38" s="524">
        <f t="shared" si="9"/>
        <v>4483381.4799649799</v>
      </c>
      <c r="H38" s="491">
        <f t="shared" si="10"/>
        <v>4483381.4799649799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2038</v>
      </c>
      <c r="D39" s="523">
        <f>IF(F38+SUM(E$17:E38)=D$10,F38,D$10-SUM(E$17:E38))</f>
        <v>28201003.556748495</v>
      </c>
      <c r="E39" s="522">
        <f>IF(+I14&lt;F38,I14,D39)</f>
        <v>1396425.7380952381</v>
      </c>
      <c r="F39" s="523">
        <f t="shared" si="8"/>
        <v>26804577.818653256</v>
      </c>
      <c r="G39" s="524">
        <f t="shared" si="9"/>
        <v>4334218.1121146344</v>
      </c>
      <c r="H39" s="491">
        <f t="shared" si="10"/>
        <v>4334218.1121146344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2039</v>
      </c>
      <c r="D40" s="523">
        <f>IF(F39+SUM(E$17:E39)=D$10,F39,D$10-SUM(E$17:E39))</f>
        <v>26804577.818653256</v>
      </c>
      <c r="E40" s="522">
        <f>IF(+I14&lt;F39,I14,D40)</f>
        <v>1396425.7380952381</v>
      </c>
      <c r="F40" s="523">
        <f t="shared" si="8"/>
        <v>25408152.080558017</v>
      </c>
      <c r="G40" s="524">
        <f t="shared" si="9"/>
        <v>4185054.7442642879</v>
      </c>
      <c r="H40" s="491">
        <f t="shared" si="10"/>
        <v>4185054.7442642879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2040</v>
      </c>
      <c r="D41" s="523">
        <f>IF(F40+SUM(E$17:E40)=D$10,F40,D$10-SUM(E$17:E40))</f>
        <v>25408152.080558017</v>
      </c>
      <c r="E41" s="522">
        <f>IF(+I14&lt;F40,I14,D41)</f>
        <v>1396425.7380952381</v>
      </c>
      <c r="F41" s="523">
        <f t="shared" si="8"/>
        <v>24011726.342462778</v>
      </c>
      <c r="G41" s="524">
        <f t="shared" si="9"/>
        <v>4035891.3764139423</v>
      </c>
      <c r="H41" s="491">
        <f t="shared" si="10"/>
        <v>4035891.3764139423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2041</v>
      </c>
      <c r="D42" s="523">
        <f>IF(F41+SUM(E$17:E41)=D$10,F41,D$10-SUM(E$17:E41))</f>
        <v>24011726.342462778</v>
      </c>
      <c r="E42" s="522">
        <f>IF(+I14&lt;F41,I14,D42)</f>
        <v>1396425.7380952381</v>
      </c>
      <c r="F42" s="523">
        <f t="shared" si="8"/>
        <v>22615300.604367539</v>
      </c>
      <c r="G42" s="524">
        <f t="shared" si="9"/>
        <v>3886728.0085635958</v>
      </c>
      <c r="H42" s="491">
        <f t="shared" si="10"/>
        <v>3886728.0085635958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2042</v>
      </c>
      <c r="D43" s="523">
        <f>IF(F42+SUM(E$17:E42)=D$10,F42,D$10-SUM(E$17:E42))</f>
        <v>22615300.604367539</v>
      </c>
      <c r="E43" s="522">
        <f>IF(+I14&lt;F42,I14,D43)</f>
        <v>1396425.7380952381</v>
      </c>
      <c r="F43" s="523">
        <f t="shared" si="8"/>
        <v>21218874.8662723</v>
      </c>
      <c r="G43" s="524">
        <f t="shared" si="9"/>
        <v>3737564.6407132493</v>
      </c>
      <c r="H43" s="491">
        <f t="shared" si="10"/>
        <v>3737564.6407132493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2043</v>
      </c>
      <c r="D44" s="523">
        <f>IF(F43+SUM(E$17:E43)=D$10,F43,D$10-SUM(E$17:E43))</f>
        <v>21218874.8662723</v>
      </c>
      <c r="E44" s="522">
        <f>IF(+I14&lt;F43,I14,D44)</f>
        <v>1396425.7380952381</v>
      </c>
      <c r="F44" s="523">
        <f t="shared" si="8"/>
        <v>19822449.128177062</v>
      </c>
      <c r="G44" s="524">
        <f t="shared" si="9"/>
        <v>3588401.2728629038</v>
      </c>
      <c r="H44" s="491">
        <f t="shared" si="10"/>
        <v>3588401.2728629038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2044</v>
      </c>
      <c r="D45" s="523">
        <f>IF(F44+SUM(E$17:E44)=D$10,F44,D$10-SUM(E$17:E44))</f>
        <v>19822449.128177062</v>
      </c>
      <c r="E45" s="522">
        <f>IF(+I14&lt;F44,I14,D45)</f>
        <v>1396425.7380952381</v>
      </c>
      <c r="F45" s="523">
        <f t="shared" si="8"/>
        <v>18426023.390081823</v>
      </c>
      <c r="G45" s="524">
        <f t="shared" si="9"/>
        <v>3439237.9050125573</v>
      </c>
      <c r="H45" s="491">
        <f t="shared" si="10"/>
        <v>3439237.9050125573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2045</v>
      </c>
      <c r="D46" s="523">
        <f>IF(F45+SUM(E$17:E45)=D$10,F45,D$10-SUM(E$17:E45))</f>
        <v>18426023.390081823</v>
      </c>
      <c r="E46" s="522">
        <f>IF(+I14&lt;F45,I14,D46)</f>
        <v>1396425.7380952381</v>
      </c>
      <c r="F46" s="523">
        <f t="shared" si="8"/>
        <v>17029597.651986584</v>
      </c>
      <c r="G46" s="524">
        <f t="shared" si="9"/>
        <v>3290074.5371622117</v>
      </c>
      <c r="H46" s="491">
        <f t="shared" si="10"/>
        <v>3290074.5371622117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2046</v>
      </c>
      <c r="D47" s="523">
        <f>IF(F46+SUM(E$17:E46)=D$10,F46,D$10-SUM(E$17:E46))</f>
        <v>17029597.651986584</v>
      </c>
      <c r="E47" s="522">
        <f>IF(+I14&lt;F46,I14,D47)</f>
        <v>1396425.7380952381</v>
      </c>
      <c r="F47" s="523">
        <f t="shared" si="8"/>
        <v>15633171.913891345</v>
      </c>
      <c r="G47" s="524">
        <f t="shared" si="9"/>
        <v>3140911.1693118652</v>
      </c>
      <c r="H47" s="491">
        <f t="shared" si="10"/>
        <v>3140911.1693118652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2047</v>
      </c>
      <c r="D48" s="523">
        <f>IF(F47+SUM(E$17:E47)=D$10,F47,D$10-SUM(E$17:E47))</f>
        <v>15633171.913891345</v>
      </c>
      <c r="E48" s="522">
        <f>IF(+I14&lt;F47,I14,D48)</f>
        <v>1396425.7380952381</v>
      </c>
      <c r="F48" s="523">
        <f t="shared" si="8"/>
        <v>14236746.175796106</v>
      </c>
      <c r="G48" s="524">
        <f t="shared" si="9"/>
        <v>2991747.8014615192</v>
      </c>
      <c r="H48" s="491">
        <f t="shared" si="10"/>
        <v>2991747.8014615192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2048</v>
      </c>
      <c r="D49" s="523">
        <f>IF(F48+SUM(E$17:E48)=D$10,F48,D$10-SUM(E$17:E48))</f>
        <v>14236746.175796106</v>
      </c>
      <c r="E49" s="522">
        <f>IF(+I14&lt;F48,I14,D49)</f>
        <v>1396425.7380952381</v>
      </c>
      <c r="F49" s="523">
        <f t="shared" si="8"/>
        <v>12840320.437700868</v>
      </c>
      <c r="G49" s="524">
        <f t="shared" ref="G49:G72" si="11">+I$12*((D49+F49)/2)+E49</f>
        <v>2842584.4336111732</v>
      </c>
      <c r="H49" s="491">
        <f t="shared" ref="H49:H72" si="12">+I$13*((D49+F49)/2)+E49</f>
        <v>2842584.4336111732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2049</v>
      </c>
      <c r="D50" s="523">
        <f>IF(F49+SUM(E$17:E49)=D$10,F49,D$10-SUM(E$17:E49))</f>
        <v>12840320.437700868</v>
      </c>
      <c r="E50" s="522">
        <f>IF(+I14&lt;F49,I14,D50)</f>
        <v>1396425.7380952381</v>
      </c>
      <c r="F50" s="523">
        <f t="shared" si="8"/>
        <v>11443894.699605629</v>
      </c>
      <c r="G50" s="524">
        <f t="shared" si="11"/>
        <v>2693421.0657608267</v>
      </c>
      <c r="H50" s="491">
        <f t="shared" si="12"/>
        <v>2693421.0657608267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2050</v>
      </c>
      <c r="D51" s="523">
        <f>IF(F50+SUM(E$17:E50)=D$10,F50,D$10-SUM(E$17:E50))</f>
        <v>11443894.699605629</v>
      </c>
      <c r="E51" s="522">
        <f>IF(+I14&lt;F50,I14,D51)</f>
        <v>1396425.7380952381</v>
      </c>
      <c r="F51" s="523">
        <f t="shared" si="8"/>
        <v>10047468.96151039</v>
      </c>
      <c r="G51" s="524">
        <f t="shared" si="11"/>
        <v>2544257.6979104811</v>
      </c>
      <c r="H51" s="491">
        <f t="shared" si="12"/>
        <v>2544257.6979104811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2051</v>
      </c>
      <c r="D52" s="523">
        <f>IF(F51+SUM(E$17:E51)=D$10,F51,D$10-SUM(E$17:E51))</f>
        <v>10047468.96151039</v>
      </c>
      <c r="E52" s="522">
        <f>IF(+I14&lt;F51,I14,D52)</f>
        <v>1396425.7380952381</v>
      </c>
      <c r="F52" s="523">
        <f t="shared" si="8"/>
        <v>8651043.2234151512</v>
      </c>
      <c r="G52" s="524">
        <f t="shared" si="11"/>
        <v>2395094.3300601346</v>
      </c>
      <c r="H52" s="491">
        <f t="shared" si="12"/>
        <v>2395094.3300601346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2052</v>
      </c>
      <c r="D53" s="523">
        <f>IF(F52+SUM(E$17:E52)=D$10,F52,D$10-SUM(E$17:E52))</f>
        <v>8651043.2234151512</v>
      </c>
      <c r="E53" s="522">
        <f>IF(+I14&lt;F52,I14,D53)</f>
        <v>1396425.7380952381</v>
      </c>
      <c r="F53" s="523">
        <f t="shared" si="8"/>
        <v>7254617.4853199134</v>
      </c>
      <c r="G53" s="524">
        <f t="shared" si="11"/>
        <v>2245930.9622097886</v>
      </c>
      <c r="H53" s="491">
        <f t="shared" si="12"/>
        <v>2245930.9622097886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2053</v>
      </c>
      <c r="D54" s="523">
        <f>IF(F53+SUM(E$17:E53)=D$10,F53,D$10-SUM(E$17:E53))</f>
        <v>7254617.4853199134</v>
      </c>
      <c r="E54" s="522">
        <f>IF(+I14&lt;F53,I14,D54)</f>
        <v>1396425.7380952381</v>
      </c>
      <c r="F54" s="523">
        <f t="shared" si="8"/>
        <v>5858191.7472246755</v>
      </c>
      <c r="G54" s="524">
        <f t="shared" si="11"/>
        <v>2096767.5943594428</v>
      </c>
      <c r="H54" s="491">
        <f t="shared" si="12"/>
        <v>2096767.5943594428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2054</v>
      </c>
      <c r="D55" s="523">
        <f>IF(F54+SUM(E$17:E54)=D$10,F54,D$10-SUM(E$17:E54))</f>
        <v>5858191.7472246755</v>
      </c>
      <c r="E55" s="522">
        <f>IF(+I14&lt;F54,I14,D55)</f>
        <v>1396425.7380952381</v>
      </c>
      <c r="F55" s="523">
        <f t="shared" si="8"/>
        <v>4461766.0091294376</v>
      </c>
      <c r="G55" s="524">
        <f t="shared" si="11"/>
        <v>1947604.2265090966</v>
      </c>
      <c r="H55" s="491">
        <f t="shared" si="12"/>
        <v>1947604.2265090966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2055</v>
      </c>
      <c r="D56" s="523">
        <f>IF(F55+SUM(E$17:E55)=D$10,F55,D$10-SUM(E$17:E55))</f>
        <v>4461766.0091294376</v>
      </c>
      <c r="E56" s="522">
        <f>IF(+I14&lt;F55,I14,D56)</f>
        <v>1396425.7380952381</v>
      </c>
      <c r="F56" s="523">
        <f t="shared" si="8"/>
        <v>3065340.2710341997</v>
      </c>
      <c r="G56" s="524">
        <f t="shared" si="11"/>
        <v>1798440.8586587508</v>
      </c>
      <c r="H56" s="491">
        <f t="shared" si="12"/>
        <v>1798440.8586587508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2056</v>
      </c>
      <c r="D57" s="523">
        <f>IF(F56+SUM(E$17:E56)=D$10,F56,D$10-SUM(E$17:E56))</f>
        <v>3065340.2710341997</v>
      </c>
      <c r="E57" s="522">
        <f>IF(+I14&lt;F56,I14,D57)</f>
        <v>1396425.7380952381</v>
      </c>
      <c r="F57" s="523">
        <f t="shared" si="8"/>
        <v>1668914.5329389616</v>
      </c>
      <c r="G57" s="524">
        <f t="shared" si="11"/>
        <v>1649277.4908084047</v>
      </c>
      <c r="H57" s="491">
        <f t="shared" si="12"/>
        <v>1649277.4908084047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2057</v>
      </c>
      <c r="D58" s="523">
        <f>IF(F57+SUM(E$17:E57)=D$10,F57,D$10-SUM(E$17:E57))</f>
        <v>1668914.5329389616</v>
      </c>
      <c r="E58" s="522">
        <f>IF(+I14&lt;F57,I14,D58)</f>
        <v>1396425.7380952381</v>
      </c>
      <c r="F58" s="523">
        <f t="shared" si="8"/>
        <v>272488.79484372353</v>
      </c>
      <c r="G58" s="524">
        <f t="shared" si="11"/>
        <v>1500114.1229580587</v>
      </c>
      <c r="H58" s="491">
        <f t="shared" si="12"/>
        <v>1500114.1229580587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2058</v>
      </c>
      <c r="D59" s="523">
        <f>IF(F58+SUM(E$17:E58)=D$10,F58,D$10-SUM(E$17:E58))</f>
        <v>272488.79484372353</v>
      </c>
      <c r="E59" s="522">
        <f>IF(+I14&lt;F58,I14,D59)</f>
        <v>272488.79484372353</v>
      </c>
      <c r="F59" s="523">
        <f t="shared" si="8"/>
        <v>0</v>
      </c>
      <c r="G59" s="524">
        <f t="shared" si="11"/>
        <v>287042.14531254728</v>
      </c>
      <c r="H59" s="491">
        <f t="shared" si="12"/>
        <v>287042.14531254728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8"/>
        <v>0</v>
      </c>
      <c r="G60" s="524">
        <f t="shared" si="11"/>
        <v>0</v>
      </c>
      <c r="H60" s="491">
        <f t="shared" si="12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11"/>
        <v>0</v>
      </c>
      <c r="H61" s="491">
        <f t="shared" si="12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11"/>
        <v>0</v>
      </c>
      <c r="H62" s="491">
        <f t="shared" si="12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11"/>
        <v>0</v>
      </c>
      <c r="H63" s="491">
        <f t="shared" si="12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11"/>
        <v>0</v>
      </c>
      <c r="H64" s="491">
        <f t="shared" si="12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11"/>
        <v>0</v>
      </c>
      <c r="H65" s="491">
        <f t="shared" si="12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11"/>
        <v>0</v>
      </c>
      <c r="H66" s="491">
        <f t="shared" si="12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11"/>
        <v>0</v>
      </c>
      <c r="H67" s="491">
        <f t="shared" si="12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11"/>
        <v>0</v>
      </c>
      <c r="H68" s="491">
        <f t="shared" si="12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11"/>
        <v>0</v>
      </c>
      <c r="H69" s="491">
        <f t="shared" si="12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11"/>
        <v>0</v>
      </c>
      <c r="H70" s="491">
        <f t="shared" si="12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11"/>
        <v>0</v>
      </c>
      <c r="H71" s="491">
        <f t="shared" si="12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11"/>
        <v>0</v>
      </c>
      <c r="H72" s="471">
        <f t="shared" si="12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58649881</v>
      </c>
      <c r="F73" s="375"/>
      <c r="G73" s="375">
        <f>SUM(G17:G72)</f>
        <v>191868519.71459058</v>
      </c>
      <c r="H73" s="375">
        <f>SUM(H17:H72)</f>
        <v>191868519.71459058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61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6818880.8355437173</v>
      </c>
      <c r="N87" s="546">
        <f>IF(J92&lt;D11,0,VLOOKUP(J92,C17:O72,11))</f>
        <v>6818880.8355437173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7085436.6426010244</v>
      </c>
      <c r="N88" s="550">
        <f>IF(J92&lt;D11,0,VLOOKUP(J92,C99:P154,7))</f>
        <v>7085436.6426010244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Messick 500/230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266555.8070573071</v>
      </c>
      <c r="N89" s="555">
        <f>+N88-N87</f>
        <v>266555.8070573071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TP2011033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58649881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487"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483">
        <v>4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1396425.7380952381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942654.85714285716</v>
      </c>
      <c r="F99" s="651">
        <v>58444601.142857142</v>
      </c>
      <c r="G99" s="652">
        <v>29222300.571428571</v>
      </c>
      <c r="H99" s="653">
        <v>4492330.3044337472</v>
      </c>
      <c r="I99" s="654">
        <v>4492330.3044337472</v>
      </c>
      <c r="J99" s="514">
        <f t="shared" ref="J99:J130" si="13">+I99-H99</f>
        <v>0</v>
      </c>
      <c r="K99" s="514"/>
      <c r="L99" s="512">
        <f>+H99</f>
        <v>4492330.3044337472</v>
      </c>
      <c r="M99" s="513">
        <f t="shared" ref="M99:M130" si="14">IF(L99&lt;&gt;0,+H99-L99,0)</f>
        <v>0</v>
      </c>
      <c r="N99" s="512">
        <f>+I99</f>
        <v>4492330.3044337472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57706234.142857142</v>
      </c>
      <c r="E100" s="630">
        <v>1396402.1190476189</v>
      </c>
      <c r="F100" s="631">
        <v>56309832.023809522</v>
      </c>
      <c r="G100" s="631">
        <v>57008033.083333328</v>
      </c>
      <c r="H100" s="633">
        <v>7416711.841213882</v>
      </c>
      <c r="I100" s="634">
        <v>7416711.841213882</v>
      </c>
      <c r="J100" s="514">
        <f t="shared" si="13"/>
        <v>0</v>
      </c>
      <c r="K100" s="514"/>
      <c r="L100" s="655">
        <f>+H100</f>
        <v>7416711.841213882</v>
      </c>
      <c r="M100" s="514">
        <f t="shared" si="14"/>
        <v>0</v>
      </c>
      <c r="N100" s="655">
        <f>+I100</f>
        <v>7416711.841213882</v>
      </c>
      <c r="O100" s="514">
        <f t="shared" si="15"/>
        <v>0</v>
      </c>
      <c r="P100" s="514">
        <f t="shared" si="16"/>
        <v>0</v>
      </c>
    </row>
    <row r="101" spans="1:16" ht="12.5">
      <c r="B101" s="195" t="str">
        <f t="shared" ref="B101:B154" si="17">IF(D101=F100,"","IU")</f>
        <v>IU</v>
      </c>
      <c r="C101" s="507">
        <f>IF(D93="","-",+C100+1)</f>
        <v>2018</v>
      </c>
      <c r="D101" s="629">
        <v>56310824.023809522</v>
      </c>
      <c r="E101" s="630">
        <v>1363950.7209302327</v>
      </c>
      <c r="F101" s="631">
        <v>54946873.302879289</v>
      </c>
      <c r="G101" s="631">
        <v>55628848.663344406</v>
      </c>
      <c r="H101" s="633">
        <v>7318493.0853602551</v>
      </c>
      <c r="I101" s="634">
        <v>7318493.0853602551</v>
      </c>
      <c r="J101" s="514">
        <f t="shared" si="13"/>
        <v>0</v>
      </c>
      <c r="K101" s="514"/>
      <c r="L101" s="655">
        <f>+H101</f>
        <v>7318493.0853602551</v>
      </c>
      <c r="M101" s="514">
        <f t="shared" ref="M101" si="18">IF(L101&lt;&gt;0,+H101-L101,0)</f>
        <v>0</v>
      </c>
      <c r="N101" s="655">
        <f>+I101</f>
        <v>7318493.0853602551</v>
      </c>
      <c r="O101" s="514">
        <f t="shared" si="15"/>
        <v>0</v>
      </c>
      <c r="P101" s="514">
        <f t="shared" si="16"/>
        <v>0</v>
      </c>
    </row>
    <row r="102" spans="1:16" ht="12.5">
      <c r="B102" s="195" t="str">
        <f t="shared" si="17"/>
        <v/>
      </c>
      <c r="C102" s="507">
        <f>IF(D93="","-",+C101+1)</f>
        <v>2019</v>
      </c>
      <c r="D102" s="629">
        <v>54946873.302879289</v>
      </c>
      <c r="E102" s="630">
        <v>1363950.7209302327</v>
      </c>
      <c r="F102" s="631">
        <v>53582922.581949055</v>
      </c>
      <c r="G102" s="631">
        <v>54264897.942414172</v>
      </c>
      <c r="H102" s="633">
        <v>7172495.0547354436</v>
      </c>
      <c r="I102" s="634">
        <v>7172495.0547354436</v>
      </c>
      <c r="J102" s="514">
        <f t="shared" si="13"/>
        <v>0</v>
      </c>
      <c r="K102" s="514"/>
      <c r="L102" s="655">
        <f>+H102</f>
        <v>7172495.0547354436</v>
      </c>
      <c r="M102" s="514">
        <f t="shared" ref="M102" si="19">IF(L102&lt;&gt;0,+H102-L102,0)</f>
        <v>0</v>
      </c>
      <c r="N102" s="655">
        <f>+I102</f>
        <v>7172495.0547354436</v>
      </c>
      <c r="O102" s="514">
        <f t="shared" si="15"/>
        <v>0</v>
      </c>
      <c r="P102" s="514">
        <f t="shared" si="16"/>
        <v>0</v>
      </c>
    </row>
    <row r="103" spans="1:16" ht="12.5">
      <c r="B103" s="195" t="str">
        <f t="shared" si="17"/>
        <v/>
      </c>
      <c r="C103" s="507">
        <f>IF(D93="","-",+C102+1)</f>
        <v>2020</v>
      </c>
      <c r="D103" s="374">
        <f>IF(F102+SUM(E$99:E102)=D$92,F102,D$92-SUM(E$99:E102))</f>
        <v>53582922.581949055</v>
      </c>
      <c r="E103" s="522">
        <f>IF(+J96&lt;F102,J96,D103)</f>
        <v>1396425.7380952381</v>
      </c>
      <c r="F103" s="523">
        <f t="shared" ref="F103:F130" si="20">+D103-E103</f>
        <v>52186496.843853816</v>
      </c>
      <c r="G103" s="523">
        <f t="shared" ref="G103:G130" si="21">+(F103+D103)/2</f>
        <v>52884709.712901436</v>
      </c>
      <c r="H103" s="526">
        <f t="shared" ref="H103:H154" si="22">+J$94*G103+E103</f>
        <v>7085436.6426010244</v>
      </c>
      <c r="I103" s="577">
        <f t="shared" ref="I103:I154" si="23">+J$95*G103+E103</f>
        <v>7085436.6426010244</v>
      </c>
      <c r="J103" s="514">
        <f t="shared" si="13"/>
        <v>0</v>
      </c>
      <c r="K103" s="514"/>
      <c r="L103" s="525"/>
      <c r="M103" s="514">
        <f t="shared" si="14"/>
        <v>0</v>
      </c>
      <c r="N103" s="525"/>
      <c r="O103" s="514">
        <f t="shared" si="15"/>
        <v>0</v>
      </c>
      <c r="P103" s="514">
        <f t="shared" si="16"/>
        <v>0</v>
      </c>
    </row>
    <row r="104" spans="1:16" ht="12.5">
      <c r="B104" s="195" t="str">
        <f t="shared" si="17"/>
        <v/>
      </c>
      <c r="C104" s="507">
        <f>IF(D93="","-",+C103+1)</f>
        <v>2021</v>
      </c>
      <c r="D104" s="374">
        <f>IF(F103+SUM(E$99:E103)=D$92,F103,D$92-SUM(E$99:E103))</f>
        <v>52186496.843853816</v>
      </c>
      <c r="E104" s="522">
        <f>IF(+J96&lt;F103,J96,D104)</f>
        <v>1396425.7380952381</v>
      </c>
      <c r="F104" s="523">
        <f t="shared" si="20"/>
        <v>50790071.105758578</v>
      </c>
      <c r="G104" s="523">
        <f t="shared" si="21"/>
        <v>51488283.974806197</v>
      </c>
      <c r="H104" s="526">
        <f t="shared" si="22"/>
        <v>6935217.7741514491</v>
      </c>
      <c r="I104" s="577">
        <f t="shared" si="23"/>
        <v>6935217.7741514491</v>
      </c>
      <c r="J104" s="514">
        <f t="shared" si="13"/>
        <v>0</v>
      </c>
      <c r="K104" s="514"/>
      <c r="L104" s="525"/>
      <c r="M104" s="514">
        <f t="shared" si="14"/>
        <v>0</v>
      </c>
      <c r="N104" s="525"/>
      <c r="O104" s="514">
        <f t="shared" si="15"/>
        <v>0</v>
      </c>
      <c r="P104" s="514">
        <f t="shared" si="16"/>
        <v>0</v>
      </c>
    </row>
    <row r="105" spans="1:16" ht="12.5">
      <c r="B105" s="195" t="str">
        <f t="shared" si="17"/>
        <v/>
      </c>
      <c r="C105" s="507">
        <f>IF(D93="","-",+C104+1)</f>
        <v>2022</v>
      </c>
      <c r="D105" s="374">
        <f>IF(F104+SUM(E$99:E104)=D$92,F104,D$92-SUM(E$99:E104))</f>
        <v>50790071.105758578</v>
      </c>
      <c r="E105" s="522">
        <f>IF(+J96&lt;F104,J96,D105)</f>
        <v>1396425.7380952381</v>
      </c>
      <c r="F105" s="523">
        <f t="shared" si="20"/>
        <v>49393645.367663339</v>
      </c>
      <c r="G105" s="523">
        <f t="shared" si="21"/>
        <v>50091858.236710958</v>
      </c>
      <c r="H105" s="526">
        <f t="shared" si="22"/>
        <v>6784998.9057018729</v>
      </c>
      <c r="I105" s="577">
        <f t="shared" si="23"/>
        <v>6784998.9057018729</v>
      </c>
      <c r="J105" s="514">
        <f t="shared" si="13"/>
        <v>0</v>
      </c>
      <c r="K105" s="514"/>
      <c r="L105" s="525"/>
      <c r="M105" s="514">
        <f t="shared" si="14"/>
        <v>0</v>
      </c>
      <c r="N105" s="525"/>
      <c r="O105" s="514">
        <f t="shared" si="15"/>
        <v>0</v>
      </c>
      <c r="P105" s="514">
        <f t="shared" si="16"/>
        <v>0</v>
      </c>
    </row>
    <row r="106" spans="1:16" ht="12.5">
      <c r="B106" s="195" t="str">
        <f t="shared" si="17"/>
        <v/>
      </c>
      <c r="C106" s="507">
        <f>IF(D93="","-",+C105+1)</f>
        <v>2023</v>
      </c>
      <c r="D106" s="374">
        <f>IF(F105+SUM(E$99:E105)=D$92,F105,D$92-SUM(E$99:E105))</f>
        <v>49393645.367663339</v>
      </c>
      <c r="E106" s="522">
        <f>IF(+J96&lt;F105,J96,D106)</f>
        <v>1396425.7380952381</v>
      </c>
      <c r="F106" s="523">
        <f t="shared" si="20"/>
        <v>47997219.6295681</v>
      </c>
      <c r="G106" s="523">
        <f t="shared" si="21"/>
        <v>48695432.498615719</v>
      </c>
      <c r="H106" s="526">
        <f t="shared" si="22"/>
        <v>6634780.0372522967</v>
      </c>
      <c r="I106" s="577">
        <f t="shared" si="23"/>
        <v>6634780.0372522967</v>
      </c>
      <c r="J106" s="514">
        <f t="shared" si="13"/>
        <v>0</v>
      </c>
      <c r="K106" s="514"/>
      <c r="L106" s="525"/>
      <c r="M106" s="514">
        <f t="shared" si="14"/>
        <v>0</v>
      </c>
      <c r="N106" s="525"/>
      <c r="O106" s="514">
        <f t="shared" si="15"/>
        <v>0</v>
      </c>
      <c r="P106" s="514">
        <f t="shared" si="16"/>
        <v>0</v>
      </c>
    </row>
    <row r="107" spans="1:16" ht="12.5">
      <c r="B107" s="195" t="str">
        <f t="shared" si="17"/>
        <v/>
      </c>
      <c r="C107" s="507">
        <f>IF(D93="","-",+C106+1)</f>
        <v>2024</v>
      </c>
      <c r="D107" s="374">
        <f>IF(F106+SUM(E$99:E106)=D$92,F106,D$92-SUM(E$99:E106))</f>
        <v>47997219.6295681</v>
      </c>
      <c r="E107" s="522">
        <f>IF(+J96&lt;F106,J96,D107)</f>
        <v>1396425.7380952381</v>
      </c>
      <c r="F107" s="523">
        <f t="shared" si="20"/>
        <v>46600793.891472861</v>
      </c>
      <c r="G107" s="523">
        <f t="shared" si="21"/>
        <v>47299006.760520481</v>
      </c>
      <c r="H107" s="526">
        <f t="shared" si="22"/>
        <v>6484561.1688027205</v>
      </c>
      <c r="I107" s="577">
        <f t="shared" si="23"/>
        <v>6484561.1688027205</v>
      </c>
      <c r="J107" s="514">
        <f t="shared" si="13"/>
        <v>0</v>
      </c>
      <c r="K107" s="514"/>
      <c r="L107" s="525"/>
      <c r="M107" s="514">
        <f t="shared" si="14"/>
        <v>0</v>
      </c>
      <c r="N107" s="525"/>
      <c r="O107" s="514">
        <f t="shared" si="15"/>
        <v>0</v>
      </c>
      <c r="P107" s="514">
        <f t="shared" si="16"/>
        <v>0</v>
      </c>
    </row>
    <row r="108" spans="1:16" ht="12.5">
      <c r="B108" s="195" t="str">
        <f t="shared" si="17"/>
        <v/>
      </c>
      <c r="C108" s="507">
        <f>IF(D93="","-",+C107+1)</f>
        <v>2025</v>
      </c>
      <c r="D108" s="374">
        <f>IF(F107+SUM(E$99:E107)=D$92,F107,D$92-SUM(E$99:E107))</f>
        <v>46600793.891472861</v>
      </c>
      <c r="E108" s="522">
        <f>IF(+J96&lt;F107,J96,D108)</f>
        <v>1396425.7380952381</v>
      </c>
      <c r="F108" s="523">
        <f t="shared" si="20"/>
        <v>45204368.153377622</v>
      </c>
      <c r="G108" s="523">
        <f t="shared" si="21"/>
        <v>45902581.022425242</v>
      </c>
      <c r="H108" s="526">
        <f t="shared" si="22"/>
        <v>6334342.3003531443</v>
      </c>
      <c r="I108" s="577">
        <f t="shared" si="23"/>
        <v>6334342.3003531443</v>
      </c>
      <c r="J108" s="514">
        <f t="shared" si="13"/>
        <v>0</v>
      </c>
      <c r="K108" s="514"/>
      <c r="L108" s="525"/>
      <c r="M108" s="514">
        <f t="shared" si="14"/>
        <v>0</v>
      </c>
      <c r="N108" s="525"/>
      <c r="O108" s="514">
        <f t="shared" si="15"/>
        <v>0</v>
      </c>
      <c r="P108" s="514">
        <f t="shared" si="16"/>
        <v>0</v>
      </c>
    </row>
    <row r="109" spans="1:16" ht="12.5">
      <c r="B109" s="195" t="str">
        <f t="shared" si="17"/>
        <v/>
      </c>
      <c r="C109" s="507">
        <f>IF(D93="","-",+C108+1)</f>
        <v>2026</v>
      </c>
      <c r="D109" s="374">
        <f>IF(F108+SUM(E$99:E108)=D$92,F108,D$92-SUM(E$99:E108))</f>
        <v>45204368.153377622</v>
      </c>
      <c r="E109" s="522">
        <f>IF(+J96&lt;F108,J96,D109)</f>
        <v>1396425.7380952381</v>
      </c>
      <c r="F109" s="523">
        <f t="shared" si="20"/>
        <v>43807942.415282384</v>
      </c>
      <c r="G109" s="523">
        <f t="shared" si="21"/>
        <v>44506155.284330003</v>
      </c>
      <c r="H109" s="526">
        <f t="shared" si="22"/>
        <v>6184123.431903569</v>
      </c>
      <c r="I109" s="577">
        <f t="shared" si="23"/>
        <v>6184123.431903569</v>
      </c>
      <c r="J109" s="514">
        <f t="shared" si="13"/>
        <v>0</v>
      </c>
      <c r="K109" s="514"/>
      <c r="L109" s="525"/>
      <c r="M109" s="514">
        <f t="shared" si="14"/>
        <v>0</v>
      </c>
      <c r="N109" s="525"/>
      <c r="O109" s="514">
        <f t="shared" si="15"/>
        <v>0</v>
      </c>
      <c r="P109" s="514">
        <f t="shared" si="16"/>
        <v>0</v>
      </c>
    </row>
    <row r="110" spans="1:16" ht="12.5">
      <c r="B110" s="195" t="str">
        <f t="shared" si="17"/>
        <v/>
      </c>
      <c r="C110" s="507">
        <f>IF(D93="","-",+C109+1)</f>
        <v>2027</v>
      </c>
      <c r="D110" s="374">
        <f>IF(F109+SUM(E$99:E109)=D$92,F109,D$92-SUM(E$99:E109))</f>
        <v>43807942.415282384</v>
      </c>
      <c r="E110" s="522">
        <f>IF(+J96&lt;F109,J96,D110)</f>
        <v>1396425.7380952381</v>
      </c>
      <c r="F110" s="523">
        <f t="shared" si="20"/>
        <v>42411516.677187145</v>
      </c>
      <c r="G110" s="523">
        <f t="shared" si="21"/>
        <v>43109729.546234764</v>
      </c>
      <c r="H110" s="526">
        <f t="shared" si="22"/>
        <v>6033904.5634539928</v>
      </c>
      <c r="I110" s="577">
        <f t="shared" si="23"/>
        <v>6033904.5634539928</v>
      </c>
      <c r="J110" s="514">
        <f t="shared" si="13"/>
        <v>0</v>
      </c>
      <c r="K110" s="514"/>
      <c r="L110" s="525"/>
      <c r="M110" s="514">
        <f t="shared" si="14"/>
        <v>0</v>
      </c>
      <c r="N110" s="525"/>
      <c r="O110" s="514">
        <f t="shared" si="15"/>
        <v>0</v>
      </c>
      <c r="P110" s="514">
        <f t="shared" si="16"/>
        <v>0</v>
      </c>
    </row>
    <row r="111" spans="1:16" ht="12.5">
      <c r="B111" s="195" t="str">
        <f t="shared" si="17"/>
        <v/>
      </c>
      <c r="C111" s="507">
        <f>IF(D93="","-",+C110+1)</f>
        <v>2028</v>
      </c>
      <c r="D111" s="374">
        <f>IF(F110+SUM(E$99:E110)=D$92,F110,D$92-SUM(E$99:E110))</f>
        <v>42411516.677187145</v>
      </c>
      <c r="E111" s="522">
        <f>IF(+J96&lt;F110,J96,D111)</f>
        <v>1396425.7380952381</v>
      </c>
      <c r="F111" s="523">
        <f t="shared" si="20"/>
        <v>41015090.939091906</v>
      </c>
      <c r="G111" s="523">
        <f t="shared" si="21"/>
        <v>41713303.808139525</v>
      </c>
      <c r="H111" s="526">
        <f t="shared" si="22"/>
        <v>5883685.6950044166</v>
      </c>
      <c r="I111" s="577">
        <f t="shared" si="23"/>
        <v>5883685.6950044166</v>
      </c>
      <c r="J111" s="514">
        <f t="shared" si="13"/>
        <v>0</v>
      </c>
      <c r="K111" s="514"/>
      <c r="L111" s="525"/>
      <c r="M111" s="514">
        <f t="shared" si="14"/>
        <v>0</v>
      </c>
      <c r="N111" s="525"/>
      <c r="O111" s="514">
        <f t="shared" si="15"/>
        <v>0</v>
      </c>
      <c r="P111" s="514">
        <f t="shared" si="16"/>
        <v>0</v>
      </c>
    </row>
    <row r="112" spans="1:16" ht="12.5">
      <c r="B112" s="195" t="str">
        <f t="shared" si="17"/>
        <v/>
      </c>
      <c r="C112" s="507">
        <f>IF(D93="","-",+C111+1)</f>
        <v>2029</v>
      </c>
      <c r="D112" s="374">
        <f>IF(F111+SUM(E$99:E111)=D$92,F111,D$92-SUM(E$99:E111))</f>
        <v>41015090.939091906</v>
      </c>
      <c r="E112" s="522">
        <f>IF(+J96&lt;F111,J96,D112)</f>
        <v>1396425.7380952381</v>
      </c>
      <c r="F112" s="523">
        <f t="shared" si="20"/>
        <v>39618665.200996667</v>
      </c>
      <c r="G112" s="523">
        <f t="shared" si="21"/>
        <v>40316878.070044287</v>
      </c>
      <c r="H112" s="526">
        <f t="shared" si="22"/>
        <v>5733466.8265548404</v>
      </c>
      <c r="I112" s="577">
        <f t="shared" si="23"/>
        <v>5733466.8265548404</v>
      </c>
      <c r="J112" s="514">
        <f t="shared" si="13"/>
        <v>0</v>
      </c>
      <c r="K112" s="514"/>
      <c r="L112" s="525"/>
      <c r="M112" s="514">
        <f t="shared" si="14"/>
        <v>0</v>
      </c>
      <c r="N112" s="525"/>
      <c r="O112" s="514">
        <f t="shared" si="15"/>
        <v>0</v>
      </c>
      <c r="P112" s="514">
        <f t="shared" si="16"/>
        <v>0</v>
      </c>
    </row>
    <row r="113" spans="2:16" ht="12.5">
      <c r="B113" s="195" t="str">
        <f t="shared" si="17"/>
        <v/>
      </c>
      <c r="C113" s="507">
        <f>IF(D93="","-",+C112+1)</f>
        <v>2030</v>
      </c>
      <c r="D113" s="374">
        <f>IF(F112+SUM(E$99:E112)=D$92,F112,D$92-SUM(E$99:E112))</f>
        <v>39618665.200996667</v>
      </c>
      <c r="E113" s="522">
        <f>IF(+J96&lt;F112,J96,D113)</f>
        <v>1396425.7380952381</v>
      </c>
      <c r="F113" s="523">
        <f t="shared" si="20"/>
        <v>38222239.462901428</v>
      </c>
      <c r="G113" s="523">
        <f t="shared" si="21"/>
        <v>38920452.331949048</v>
      </c>
      <c r="H113" s="526">
        <f t="shared" si="22"/>
        <v>5583247.9581052652</v>
      </c>
      <c r="I113" s="577">
        <f t="shared" si="23"/>
        <v>5583247.9581052652</v>
      </c>
      <c r="J113" s="514">
        <f t="shared" si="13"/>
        <v>0</v>
      </c>
      <c r="K113" s="514"/>
      <c r="L113" s="525"/>
      <c r="M113" s="514">
        <f t="shared" si="14"/>
        <v>0</v>
      </c>
      <c r="N113" s="525"/>
      <c r="O113" s="514">
        <f t="shared" si="15"/>
        <v>0</v>
      </c>
      <c r="P113" s="514">
        <f t="shared" si="16"/>
        <v>0</v>
      </c>
    </row>
    <row r="114" spans="2:16" ht="12.5">
      <c r="B114" s="195" t="str">
        <f t="shared" si="17"/>
        <v/>
      </c>
      <c r="C114" s="507">
        <f>IF(D93="","-",+C113+1)</f>
        <v>2031</v>
      </c>
      <c r="D114" s="374">
        <f>IF(F113+SUM(E$99:E113)=D$92,F113,D$92-SUM(E$99:E113))</f>
        <v>38222239.462901428</v>
      </c>
      <c r="E114" s="522">
        <f>IF(+J96&lt;F113,J96,D114)</f>
        <v>1396425.7380952381</v>
      </c>
      <c r="F114" s="523">
        <f t="shared" si="20"/>
        <v>36825813.72480619</v>
      </c>
      <c r="G114" s="523">
        <f t="shared" si="21"/>
        <v>37524026.593853809</v>
      </c>
      <c r="H114" s="526">
        <f t="shared" si="22"/>
        <v>5433029.089655689</v>
      </c>
      <c r="I114" s="577">
        <f t="shared" si="23"/>
        <v>5433029.089655689</v>
      </c>
      <c r="J114" s="514">
        <f t="shared" si="13"/>
        <v>0</v>
      </c>
      <c r="K114" s="514"/>
      <c r="L114" s="525"/>
      <c r="M114" s="514">
        <f t="shared" si="14"/>
        <v>0</v>
      </c>
      <c r="N114" s="525"/>
      <c r="O114" s="514">
        <f t="shared" si="15"/>
        <v>0</v>
      </c>
      <c r="P114" s="514">
        <f t="shared" si="16"/>
        <v>0</v>
      </c>
    </row>
    <row r="115" spans="2:16" ht="12.5">
      <c r="B115" s="195" t="str">
        <f t="shared" si="17"/>
        <v/>
      </c>
      <c r="C115" s="507">
        <f>IF(D93="","-",+C114+1)</f>
        <v>2032</v>
      </c>
      <c r="D115" s="374">
        <f>IF(F114+SUM(E$99:E114)=D$92,F114,D$92-SUM(E$99:E114))</f>
        <v>36825813.72480619</v>
      </c>
      <c r="E115" s="522">
        <f>IF(+J96&lt;F114,J96,D115)</f>
        <v>1396425.7380952381</v>
      </c>
      <c r="F115" s="523">
        <f t="shared" si="20"/>
        <v>35429387.986710951</v>
      </c>
      <c r="G115" s="523">
        <f t="shared" si="21"/>
        <v>36127600.85575857</v>
      </c>
      <c r="H115" s="526">
        <f t="shared" si="22"/>
        <v>5282810.2212061128</v>
      </c>
      <c r="I115" s="577">
        <f t="shared" si="23"/>
        <v>5282810.2212061128</v>
      </c>
      <c r="J115" s="514">
        <f t="shared" si="13"/>
        <v>0</v>
      </c>
      <c r="K115" s="514"/>
      <c r="L115" s="525"/>
      <c r="M115" s="514">
        <f t="shared" si="14"/>
        <v>0</v>
      </c>
      <c r="N115" s="525"/>
      <c r="O115" s="514">
        <f t="shared" si="15"/>
        <v>0</v>
      </c>
      <c r="P115" s="514">
        <f t="shared" si="16"/>
        <v>0</v>
      </c>
    </row>
    <row r="116" spans="2:16" ht="12.5">
      <c r="B116" s="195" t="str">
        <f t="shared" si="17"/>
        <v/>
      </c>
      <c r="C116" s="507">
        <f>IF(D93="","-",+C115+1)</f>
        <v>2033</v>
      </c>
      <c r="D116" s="374">
        <f>IF(F115+SUM(E$99:E115)=D$92,F115,D$92-SUM(E$99:E115))</f>
        <v>35429387.986710951</v>
      </c>
      <c r="E116" s="522">
        <f>IF(+J96&lt;F115,J96,D116)</f>
        <v>1396425.7380952381</v>
      </c>
      <c r="F116" s="523">
        <f t="shared" si="20"/>
        <v>34032962.248615712</v>
      </c>
      <c r="G116" s="523">
        <f t="shared" si="21"/>
        <v>34731175.117663331</v>
      </c>
      <c r="H116" s="526">
        <f t="shared" si="22"/>
        <v>5132591.3527565366</v>
      </c>
      <c r="I116" s="577">
        <f t="shared" si="23"/>
        <v>5132591.3527565366</v>
      </c>
      <c r="J116" s="514">
        <f t="shared" si="13"/>
        <v>0</v>
      </c>
      <c r="K116" s="514"/>
      <c r="L116" s="525"/>
      <c r="M116" s="514">
        <f t="shared" si="14"/>
        <v>0</v>
      </c>
      <c r="N116" s="525"/>
      <c r="O116" s="514">
        <f t="shared" si="15"/>
        <v>0</v>
      </c>
      <c r="P116" s="514">
        <f t="shared" si="16"/>
        <v>0</v>
      </c>
    </row>
    <row r="117" spans="2:16" ht="12.5">
      <c r="B117" s="195" t="str">
        <f t="shared" si="17"/>
        <v/>
      </c>
      <c r="C117" s="507">
        <f>IF(D93="","-",+C116+1)</f>
        <v>2034</v>
      </c>
      <c r="D117" s="374">
        <f>IF(F116+SUM(E$99:E116)=D$92,F116,D$92-SUM(E$99:E116))</f>
        <v>34032962.248615712</v>
      </c>
      <c r="E117" s="522">
        <f>IF(+J96&lt;F116,J96,D117)</f>
        <v>1396425.7380952381</v>
      </c>
      <c r="F117" s="523">
        <f t="shared" si="20"/>
        <v>32636536.510520473</v>
      </c>
      <c r="G117" s="523">
        <f t="shared" si="21"/>
        <v>33334749.379568093</v>
      </c>
      <c r="H117" s="526">
        <f t="shared" si="22"/>
        <v>4982372.4843069604</v>
      </c>
      <c r="I117" s="577">
        <f t="shared" si="23"/>
        <v>4982372.4843069604</v>
      </c>
      <c r="J117" s="514">
        <f t="shared" si="13"/>
        <v>0</v>
      </c>
      <c r="K117" s="514"/>
      <c r="L117" s="525"/>
      <c r="M117" s="514">
        <f t="shared" si="14"/>
        <v>0</v>
      </c>
      <c r="N117" s="525"/>
      <c r="O117" s="514">
        <f t="shared" si="15"/>
        <v>0</v>
      </c>
      <c r="P117" s="514">
        <f t="shared" si="16"/>
        <v>0</v>
      </c>
    </row>
    <row r="118" spans="2:16" ht="12.5">
      <c r="B118" s="195" t="str">
        <f t="shared" si="17"/>
        <v/>
      </c>
      <c r="C118" s="507">
        <f>IF(D93="","-",+C117+1)</f>
        <v>2035</v>
      </c>
      <c r="D118" s="374">
        <f>IF(F117+SUM(E$99:E117)=D$92,F117,D$92-SUM(E$99:E117))</f>
        <v>32636536.510520473</v>
      </c>
      <c r="E118" s="522">
        <f>IF(+J96&lt;F117,J96,D118)</f>
        <v>1396425.7380952381</v>
      </c>
      <c r="F118" s="523">
        <f t="shared" si="20"/>
        <v>31240110.772425234</v>
      </c>
      <c r="G118" s="523">
        <f t="shared" si="21"/>
        <v>31938323.641472854</v>
      </c>
      <c r="H118" s="526">
        <f t="shared" si="22"/>
        <v>4832153.6158573851</v>
      </c>
      <c r="I118" s="577">
        <f t="shared" si="23"/>
        <v>4832153.6158573851</v>
      </c>
      <c r="J118" s="514">
        <f t="shared" si="13"/>
        <v>0</v>
      </c>
      <c r="K118" s="514"/>
      <c r="L118" s="525"/>
      <c r="M118" s="514">
        <f t="shared" si="14"/>
        <v>0</v>
      </c>
      <c r="N118" s="525"/>
      <c r="O118" s="514">
        <f t="shared" si="15"/>
        <v>0</v>
      </c>
      <c r="P118" s="514">
        <f t="shared" si="16"/>
        <v>0</v>
      </c>
    </row>
    <row r="119" spans="2:16" ht="12.5">
      <c r="B119" s="195" t="str">
        <f t="shared" si="17"/>
        <v/>
      </c>
      <c r="C119" s="507">
        <f>IF(D93="","-",+C118+1)</f>
        <v>2036</v>
      </c>
      <c r="D119" s="374">
        <f>IF(F118+SUM(E$99:E118)=D$92,F118,D$92-SUM(E$99:E118))</f>
        <v>31240110.772425234</v>
      </c>
      <c r="E119" s="522">
        <f>IF(+J96&lt;F118,J96,D119)</f>
        <v>1396425.7380952381</v>
      </c>
      <c r="F119" s="523">
        <f t="shared" si="20"/>
        <v>29843685.034329996</v>
      </c>
      <c r="G119" s="523">
        <f t="shared" si="21"/>
        <v>30541897.903377615</v>
      </c>
      <c r="H119" s="526">
        <f t="shared" si="22"/>
        <v>4681934.7474078089</v>
      </c>
      <c r="I119" s="577">
        <f t="shared" si="23"/>
        <v>4681934.7474078089</v>
      </c>
      <c r="J119" s="514">
        <f t="shared" si="13"/>
        <v>0</v>
      </c>
      <c r="K119" s="514"/>
      <c r="L119" s="525"/>
      <c r="M119" s="514">
        <f t="shared" si="14"/>
        <v>0</v>
      </c>
      <c r="N119" s="525"/>
      <c r="O119" s="514">
        <f t="shared" si="15"/>
        <v>0</v>
      </c>
      <c r="P119" s="514">
        <f t="shared" si="16"/>
        <v>0</v>
      </c>
    </row>
    <row r="120" spans="2:16" ht="12.5">
      <c r="B120" s="195" t="str">
        <f t="shared" si="17"/>
        <v/>
      </c>
      <c r="C120" s="507">
        <f>IF(D93="","-",+C119+1)</f>
        <v>2037</v>
      </c>
      <c r="D120" s="374">
        <f>IF(F119+SUM(E$99:E119)=D$92,F119,D$92-SUM(E$99:E119))</f>
        <v>29843685.034329996</v>
      </c>
      <c r="E120" s="522">
        <f>IF(+J96&lt;F119,J96,D120)</f>
        <v>1396425.7380952381</v>
      </c>
      <c r="F120" s="523">
        <f t="shared" si="20"/>
        <v>28447259.296234757</v>
      </c>
      <c r="G120" s="523">
        <f t="shared" si="21"/>
        <v>29145472.165282376</v>
      </c>
      <c r="H120" s="526">
        <f t="shared" si="22"/>
        <v>4531715.8789582327</v>
      </c>
      <c r="I120" s="577">
        <f t="shared" si="23"/>
        <v>4531715.8789582327</v>
      </c>
      <c r="J120" s="514">
        <f t="shared" si="13"/>
        <v>0</v>
      </c>
      <c r="K120" s="514"/>
      <c r="L120" s="525"/>
      <c r="M120" s="514">
        <f t="shared" si="14"/>
        <v>0</v>
      </c>
      <c r="N120" s="525"/>
      <c r="O120" s="514">
        <f t="shared" si="15"/>
        <v>0</v>
      </c>
      <c r="P120" s="514">
        <f t="shared" si="16"/>
        <v>0</v>
      </c>
    </row>
    <row r="121" spans="2:16" ht="12.5">
      <c r="B121" s="195" t="str">
        <f t="shared" si="17"/>
        <v/>
      </c>
      <c r="C121" s="507">
        <f>IF(D93="","-",+C120+1)</f>
        <v>2038</v>
      </c>
      <c r="D121" s="374">
        <f>IF(F120+SUM(E$99:E120)=D$92,F120,D$92-SUM(E$99:E120))</f>
        <v>28447259.296234757</v>
      </c>
      <c r="E121" s="522">
        <f>IF(+J96&lt;F120,J96,D121)</f>
        <v>1396425.7380952381</v>
      </c>
      <c r="F121" s="523">
        <f t="shared" si="20"/>
        <v>27050833.558139518</v>
      </c>
      <c r="G121" s="523">
        <f t="shared" si="21"/>
        <v>27749046.427187137</v>
      </c>
      <c r="H121" s="526">
        <f t="shared" si="22"/>
        <v>4381497.0105086565</v>
      </c>
      <c r="I121" s="577">
        <f t="shared" si="23"/>
        <v>4381497.0105086565</v>
      </c>
      <c r="J121" s="514">
        <f t="shared" si="13"/>
        <v>0</v>
      </c>
      <c r="K121" s="514"/>
      <c r="L121" s="525"/>
      <c r="M121" s="514">
        <f t="shared" si="14"/>
        <v>0</v>
      </c>
      <c r="N121" s="525"/>
      <c r="O121" s="514">
        <f t="shared" si="15"/>
        <v>0</v>
      </c>
      <c r="P121" s="514">
        <f t="shared" si="16"/>
        <v>0</v>
      </c>
    </row>
    <row r="122" spans="2:16" ht="12.5">
      <c r="B122" s="195" t="str">
        <f t="shared" si="17"/>
        <v/>
      </c>
      <c r="C122" s="507">
        <f>IF(D93="","-",+C121+1)</f>
        <v>2039</v>
      </c>
      <c r="D122" s="374">
        <f>IF(F121+SUM(E$99:E121)=D$92,F121,D$92-SUM(E$99:E121))</f>
        <v>27050833.558139518</v>
      </c>
      <c r="E122" s="522">
        <f>IF(+J96&lt;F121,J96,D122)</f>
        <v>1396425.7380952381</v>
      </c>
      <c r="F122" s="523">
        <f t="shared" si="20"/>
        <v>25654407.820044279</v>
      </c>
      <c r="G122" s="523">
        <f t="shared" si="21"/>
        <v>26352620.689091899</v>
      </c>
      <c r="H122" s="526">
        <f t="shared" si="22"/>
        <v>4231278.1420590803</v>
      </c>
      <c r="I122" s="577">
        <f t="shared" si="23"/>
        <v>4231278.1420590803</v>
      </c>
      <c r="J122" s="514">
        <f t="shared" si="13"/>
        <v>0</v>
      </c>
      <c r="K122" s="514"/>
      <c r="L122" s="525"/>
      <c r="M122" s="514">
        <f t="shared" si="14"/>
        <v>0</v>
      </c>
      <c r="N122" s="525"/>
      <c r="O122" s="514">
        <f t="shared" si="15"/>
        <v>0</v>
      </c>
      <c r="P122" s="514">
        <f t="shared" si="16"/>
        <v>0</v>
      </c>
    </row>
    <row r="123" spans="2:16" ht="12.5">
      <c r="B123" s="195" t="str">
        <f t="shared" si="17"/>
        <v/>
      </c>
      <c r="C123" s="507">
        <f>IF(D93="","-",+C122+1)</f>
        <v>2040</v>
      </c>
      <c r="D123" s="374">
        <f>IF(F122+SUM(E$99:E122)=D$92,F122,D$92-SUM(E$99:E122))</f>
        <v>25654407.820044279</v>
      </c>
      <c r="E123" s="522">
        <f>IF(+J96&lt;F122,J96,D123)</f>
        <v>1396425.7380952381</v>
      </c>
      <c r="F123" s="523">
        <f t="shared" si="20"/>
        <v>24257982.08194904</v>
      </c>
      <c r="G123" s="523">
        <f t="shared" si="21"/>
        <v>24956194.95099666</v>
      </c>
      <c r="H123" s="526">
        <f t="shared" si="22"/>
        <v>4081059.273609505</v>
      </c>
      <c r="I123" s="577">
        <f t="shared" si="23"/>
        <v>4081059.273609505</v>
      </c>
      <c r="J123" s="514">
        <f t="shared" si="13"/>
        <v>0</v>
      </c>
      <c r="K123" s="514"/>
      <c r="L123" s="525"/>
      <c r="M123" s="514">
        <f t="shared" si="14"/>
        <v>0</v>
      </c>
      <c r="N123" s="525"/>
      <c r="O123" s="514">
        <f t="shared" si="15"/>
        <v>0</v>
      </c>
      <c r="P123" s="514">
        <f t="shared" si="16"/>
        <v>0</v>
      </c>
    </row>
    <row r="124" spans="2:16" ht="12.5">
      <c r="B124" s="195" t="str">
        <f t="shared" si="17"/>
        <v/>
      </c>
      <c r="C124" s="507">
        <f>IF(D93="","-",+C123+1)</f>
        <v>2041</v>
      </c>
      <c r="D124" s="374">
        <f>IF(F123+SUM(E$99:E123)=D$92,F123,D$92-SUM(E$99:E123))</f>
        <v>24257982.08194904</v>
      </c>
      <c r="E124" s="522">
        <f>IF(+J96&lt;F123,J96,D124)</f>
        <v>1396425.7380952381</v>
      </c>
      <c r="F124" s="523">
        <f t="shared" si="20"/>
        <v>22861556.343853801</v>
      </c>
      <c r="G124" s="523">
        <f t="shared" si="21"/>
        <v>23559769.212901421</v>
      </c>
      <c r="H124" s="526">
        <f t="shared" si="22"/>
        <v>3930840.4051599288</v>
      </c>
      <c r="I124" s="577">
        <f t="shared" si="23"/>
        <v>3930840.4051599288</v>
      </c>
      <c r="J124" s="514">
        <f t="shared" si="13"/>
        <v>0</v>
      </c>
      <c r="K124" s="514"/>
      <c r="L124" s="525"/>
      <c r="M124" s="514">
        <f t="shared" si="14"/>
        <v>0</v>
      </c>
      <c r="N124" s="525"/>
      <c r="O124" s="514">
        <f t="shared" si="15"/>
        <v>0</v>
      </c>
      <c r="P124" s="514">
        <f t="shared" si="16"/>
        <v>0</v>
      </c>
    </row>
    <row r="125" spans="2:16" ht="12.5">
      <c r="B125" s="195" t="str">
        <f t="shared" si="17"/>
        <v/>
      </c>
      <c r="C125" s="507">
        <f>IF(D93="","-",+C124+1)</f>
        <v>2042</v>
      </c>
      <c r="D125" s="374">
        <f>IF(F124+SUM(E$99:E124)=D$92,F124,D$92-SUM(E$99:E124))</f>
        <v>22861556.343853801</v>
      </c>
      <c r="E125" s="522">
        <f>IF(+J96&lt;F124,J96,D125)</f>
        <v>1396425.7380952381</v>
      </c>
      <c r="F125" s="523">
        <f t="shared" si="20"/>
        <v>21465130.605758563</v>
      </c>
      <c r="G125" s="523">
        <f t="shared" si="21"/>
        <v>22163343.474806182</v>
      </c>
      <c r="H125" s="526">
        <f t="shared" si="22"/>
        <v>3780621.5367103526</v>
      </c>
      <c r="I125" s="577">
        <f t="shared" si="23"/>
        <v>3780621.5367103526</v>
      </c>
      <c r="J125" s="514">
        <f t="shared" si="13"/>
        <v>0</v>
      </c>
      <c r="K125" s="514"/>
      <c r="L125" s="525"/>
      <c r="M125" s="514">
        <f t="shared" si="14"/>
        <v>0</v>
      </c>
      <c r="N125" s="525"/>
      <c r="O125" s="514">
        <f t="shared" si="15"/>
        <v>0</v>
      </c>
      <c r="P125" s="514">
        <f t="shared" si="16"/>
        <v>0</v>
      </c>
    </row>
    <row r="126" spans="2:16" ht="12.5">
      <c r="B126" s="195" t="str">
        <f t="shared" si="17"/>
        <v/>
      </c>
      <c r="C126" s="507">
        <f>IF(D93="","-",+C125+1)</f>
        <v>2043</v>
      </c>
      <c r="D126" s="374">
        <f>IF(F125+SUM(E$99:E125)=D$92,F125,D$92-SUM(E$99:E125))</f>
        <v>21465130.605758563</v>
      </c>
      <c r="E126" s="522">
        <f>IF(+J96&lt;F125,J96,D126)</f>
        <v>1396425.7380952381</v>
      </c>
      <c r="F126" s="523">
        <f t="shared" si="20"/>
        <v>20068704.867663324</v>
      </c>
      <c r="G126" s="523">
        <f t="shared" si="21"/>
        <v>20766917.736710943</v>
      </c>
      <c r="H126" s="526">
        <f t="shared" si="22"/>
        <v>3630402.6682607764</v>
      </c>
      <c r="I126" s="577">
        <f t="shared" si="23"/>
        <v>3630402.6682607764</v>
      </c>
      <c r="J126" s="514">
        <f t="shared" si="13"/>
        <v>0</v>
      </c>
      <c r="K126" s="514"/>
      <c r="L126" s="525"/>
      <c r="M126" s="514">
        <f t="shared" si="14"/>
        <v>0</v>
      </c>
      <c r="N126" s="525"/>
      <c r="O126" s="514">
        <f t="shared" si="15"/>
        <v>0</v>
      </c>
      <c r="P126" s="514">
        <f t="shared" si="16"/>
        <v>0</v>
      </c>
    </row>
    <row r="127" spans="2:16" ht="12.5">
      <c r="B127" s="195" t="str">
        <f t="shared" si="17"/>
        <v/>
      </c>
      <c r="C127" s="507">
        <f>IF(D93="","-",+C126+1)</f>
        <v>2044</v>
      </c>
      <c r="D127" s="374">
        <f>IF(F126+SUM(E$99:E126)=D$92,F126,D$92-SUM(E$99:E126))</f>
        <v>20068704.867663324</v>
      </c>
      <c r="E127" s="522">
        <f>IF(+J96&lt;F126,J96,D127)</f>
        <v>1396425.7380952381</v>
      </c>
      <c r="F127" s="523">
        <f t="shared" si="20"/>
        <v>18672279.129568085</v>
      </c>
      <c r="G127" s="523">
        <f t="shared" si="21"/>
        <v>19370491.998615704</v>
      </c>
      <c r="H127" s="526">
        <f t="shared" si="22"/>
        <v>3480183.7998112007</v>
      </c>
      <c r="I127" s="577">
        <f t="shared" si="23"/>
        <v>3480183.7998112007</v>
      </c>
      <c r="J127" s="514">
        <f t="shared" si="13"/>
        <v>0</v>
      </c>
      <c r="K127" s="514"/>
      <c r="L127" s="525"/>
      <c r="M127" s="514">
        <f t="shared" si="14"/>
        <v>0</v>
      </c>
      <c r="N127" s="525"/>
      <c r="O127" s="514">
        <f t="shared" si="15"/>
        <v>0</v>
      </c>
      <c r="P127" s="514">
        <f t="shared" si="16"/>
        <v>0</v>
      </c>
    </row>
    <row r="128" spans="2:16" ht="12.5">
      <c r="B128" s="195" t="str">
        <f t="shared" si="17"/>
        <v/>
      </c>
      <c r="C128" s="507">
        <f>IF(D93="","-",+C127+1)</f>
        <v>2045</v>
      </c>
      <c r="D128" s="374">
        <f>IF(F127+SUM(E$99:E127)=D$92,F127,D$92-SUM(E$99:E127))</f>
        <v>18672279.129568085</v>
      </c>
      <c r="E128" s="522">
        <f>IF(+J96&lt;F127,J96,D128)</f>
        <v>1396425.7380952381</v>
      </c>
      <c r="F128" s="523">
        <f t="shared" si="20"/>
        <v>17275853.391472846</v>
      </c>
      <c r="G128" s="523">
        <f t="shared" si="21"/>
        <v>17974066.260520466</v>
      </c>
      <c r="H128" s="526">
        <f t="shared" si="22"/>
        <v>3329964.931361625</v>
      </c>
      <c r="I128" s="577">
        <f t="shared" si="23"/>
        <v>3329964.931361625</v>
      </c>
      <c r="J128" s="514">
        <f t="shared" si="13"/>
        <v>0</v>
      </c>
      <c r="K128" s="514"/>
      <c r="L128" s="525"/>
      <c r="M128" s="514">
        <f t="shared" si="14"/>
        <v>0</v>
      </c>
      <c r="N128" s="525"/>
      <c r="O128" s="514">
        <f t="shared" si="15"/>
        <v>0</v>
      </c>
      <c r="P128" s="514">
        <f t="shared" si="16"/>
        <v>0</v>
      </c>
    </row>
    <row r="129" spans="2:16" ht="12.5">
      <c r="B129" s="195" t="str">
        <f t="shared" si="17"/>
        <v/>
      </c>
      <c r="C129" s="507">
        <f>IF(D93="","-",+C128+1)</f>
        <v>2046</v>
      </c>
      <c r="D129" s="374">
        <f>IF(F128+SUM(E$99:E128)=D$92,F128,D$92-SUM(E$99:E128))</f>
        <v>17275853.391472846</v>
      </c>
      <c r="E129" s="522">
        <f>IF(+J96&lt;F128,J96,D129)</f>
        <v>1396425.7380952381</v>
      </c>
      <c r="F129" s="523">
        <f t="shared" si="20"/>
        <v>15879427.653377607</v>
      </c>
      <c r="G129" s="523">
        <f t="shared" si="21"/>
        <v>16577640.522425227</v>
      </c>
      <c r="H129" s="526">
        <f t="shared" si="22"/>
        <v>3179746.0629120488</v>
      </c>
      <c r="I129" s="577">
        <f t="shared" si="23"/>
        <v>3179746.0629120488</v>
      </c>
      <c r="J129" s="514">
        <f t="shared" si="13"/>
        <v>0</v>
      </c>
      <c r="K129" s="514"/>
      <c r="L129" s="525"/>
      <c r="M129" s="514">
        <f t="shared" si="14"/>
        <v>0</v>
      </c>
      <c r="N129" s="525"/>
      <c r="O129" s="514">
        <f t="shared" si="15"/>
        <v>0</v>
      </c>
      <c r="P129" s="514">
        <f t="shared" si="16"/>
        <v>0</v>
      </c>
    </row>
    <row r="130" spans="2:16" ht="12.5">
      <c r="B130" s="195" t="str">
        <f t="shared" si="17"/>
        <v/>
      </c>
      <c r="C130" s="507">
        <f>IF(D93="","-",+C129+1)</f>
        <v>2047</v>
      </c>
      <c r="D130" s="374">
        <f>IF(F129+SUM(E$99:E129)=D$92,F129,D$92-SUM(E$99:E129))</f>
        <v>15879427.653377607</v>
      </c>
      <c r="E130" s="522">
        <f>IF(+J96&lt;F129,J96,D130)</f>
        <v>1396425.7380952381</v>
      </c>
      <c r="F130" s="523">
        <f t="shared" si="20"/>
        <v>14483001.915282369</v>
      </c>
      <c r="G130" s="523">
        <f t="shared" si="21"/>
        <v>15181214.784329988</v>
      </c>
      <c r="H130" s="526">
        <f t="shared" si="22"/>
        <v>3029527.1944624726</v>
      </c>
      <c r="I130" s="577">
        <f t="shared" si="23"/>
        <v>3029527.1944624726</v>
      </c>
      <c r="J130" s="514">
        <f t="shared" si="13"/>
        <v>0</v>
      </c>
      <c r="K130" s="514"/>
      <c r="L130" s="525"/>
      <c r="M130" s="514">
        <f t="shared" si="14"/>
        <v>0</v>
      </c>
      <c r="N130" s="525"/>
      <c r="O130" s="514">
        <f t="shared" si="15"/>
        <v>0</v>
      </c>
      <c r="P130" s="514">
        <f t="shared" si="16"/>
        <v>0</v>
      </c>
    </row>
    <row r="131" spans="2:16" ht="12.5">
      <c r="B131" s="195" t="str">
        <f t="shared" si="17"/>
        <v/>
      </c>
      <c r="C131" s="507">
        <f>IF(D93="","-",+C130+1)</f>
        <v>2048</v>
      </c>
      <c r="D131" s="374">
        <f>IF(F130+SUM(E$99:E130)=D$92,F130,D$92-SUM(E$99:E130))</f>
        <v>14483001.915282369</v>
      </c>
      <c r="E131" s="522">
        <f>IF(+J96&lt;F130,J96,D131)</f>
        <v>1396425.7380952381</v>
      </c>
      <c r="F131" s="523">
        <f t="shared" ref="F131:F154" si="24">+D131-E131</f>
        <v>13086576.17718713</v>
      </c>
      <c r="G131" s="523">
        <f t="shared" ref="G131:G154" si="25">+(F131+D131)/2</f>
        <v>13784789.046234749</v>
      </c>
      <c r="H131" s="526">
        <f t="shared" si="22"/>
        <v>2879308.3260128964</v>
      </c>
      <c r="I131" s="577">
        <f t="shared" si="23"/>
        <v>2879308.3260128964</v>
      </c>
      <c r="J131" s="514">
        <f t="shared" ref="J131:J154" si="26">+I541-H541</f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 ht="12.5">
      <c r="B132" s="195" t="str">
        <f t="shared" si="17"/>
        <v/>
      </c>
      <c r="C132" s="507">
        <f>IF(D93="","-",+C131+1)</f>
        <v>2049</v>
      </c>
      <c r="D132" s="374">
        <f>IF(F131+SUM(E$99:E131)=D$92,F131,D$92-SUM(E$99:E131))</f>
        <v>13086576.17718713</v>
      </c>
      <c r="E132" s="522">
        <f>IF(+J96&lt;F131,J96,D132)</f>
        <v>1396425.7380952381</v>
      </c>
      <c r="F132" s="523">
        <f t="shared" si="24"/>
        <v>11690150.439091891</v>
      </c>
      <c r="G132" s="523">
        <f t="shared" si="25"/>
        <v>12388363.30813951</v>
      </c>
      <c r="H132" s="526">
        <f t="shared" si="22"/>
        <v>2729089.4575633206</v>
      </c>
      <c r="I132" s="577">
        <f t="shared" si="23"/>
        <v>2729089.4575633206</v>
      </c>
      <c r="J132" s="514">
        <f t="shared" si="26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 ht="12.5">
      <c r="B133" s="195" t="str">
        <f t="shared" si="17"/>
        <v/>
      </c>
      <c r="C133" s="507">
        <f>IF(D93="","-",+C132+1)</f>
        <v>2050</v>
      </c>
      <c r="D133" s="374">
        <f>IF(F132+SUM(E$99:E132)=D$92,F132,D$92-SUM(E$99:E132))</f>
        <v>11690150.439091891</v>
      </c>
      <c r="E133" s="522">
        <f>IF(+J96&lt;F132,J96,D133)</f>
        <v>1396425.7380952381</v>
      </c>
      <c r="F133" s="523">
        <f t="shared" si="24"/>
        <v>10293724.700996652</v>
      </c>
      <c r="G133" s="523">
        <f t="shared" si="25"/>
        <v>10991937.570044272</v>
      </c>
      <c r="H133" s="526">
        <f t="shared" si="22"/>
        <v>2578870.5891137449</v>
      </c>
      <c r="I133" s="577">
        <f t="shared" si="23"/>
        <v>2578870.5891137449</v>
      </c>
      <c r="J133" s="514">
        <f t="shared" si="26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 ht="12.5">
      <c r="B134" s="195" t="str">
        <f t="shared" si="17"/>
        <v/>
      </c>
      <c r="C134" s="507">
        <f>IF(D93="","-",+C133+1)</f>
        <v>2051</v>
      </c>
      <c r="D134" s="374">
        <f>IF(F133+SUM(E$99:E133)=D$92,F133,D$92-SUM(E$99:E133))</f>
        <v>10293724.700996652</v>
      </c>
      <c r="E134" s="522">
        <f>IF(+J96&lt;F133,J96,D134)</f>
        <v>1396425.7380952381</v>
      </c>
      <c r="F134" s="523">
        <f t="shared" si="24"/>
        <v>8897298.9629014134</v>
      </c>
      <c r="G134" s="523">
        <f t="shared" si="25"/>
        <v>9595511.8319490328</v>
      </c>
      <c r="H134" s="526">
        <f t="shared" si="22"/>
        <v>2428651.7206641687</v>
      </c>
      <c r="I134" s="577">
        <f t="shared" si="23"/>
        <v>2428651.7206641687</v>
      </c>
      <c r="J134" s="514">
        <f t="shared" si="26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 ht="12.5">
      <c r="B135" s="195" t="str">
        <f t="shared" si="17"/>
        <v/>
      </c>
      <c r="C135" s="507">
        <f>IF(D93="","-",+C134+1)</f>
        <v>2052</v>
      </c>
      <c r="D135" s="374">
        <f>IF(F134+SUM(E$99:E134)=D$92,F134,D$92-SUM(E$99:E134))</f>
        <v>8897298.9629014134</v>
      </c>
      <c r="E135" s="522">
        <f>IF(+J96&lt;F134,J96,D135)</f>
        <v>1396425.7380952381</v>
      </c>
      <c r="F135" s="523">
        <f t="shared" si="24"/>
        <v>7500873.2248061756</v>
      </c>
      <c r="G135" s="523">
        <f t="shared" si="25"/>
        <v>8199086.093853794</v>
      </c>
      <c r="H135" s="526">
        <f t="shared" si="22"/>
        <v>2278432.8522145925</v>
      </c>
      <c r="I135" s="577">
        <f t="shared" si="23"/>
        <v>2278432.8522145925</v>
      </c>
      <c r="J135" s="514">
        <f t="shared" si="26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 ht="12.5">
      <c r="B136" s="195" t="str">
        <f t="shared" si="17"/>
        <v/>
      </c>
      <c r="C136" s="507">
        <f>IF(D93="","-",+C135+1)</f>
        <v>2053</v>
      </c>
      <c r="D136" s="374">
        <f>IF(F135+SUM(E$99:E135)=D$92,F135,D$92-SUM(E$99:E135))</f>
        <v>7500873.2248061756</v>
      </c>
      <c r="E136" s="522">
        <f>IF(+J96&lt;F135,J96,D136)</f>
        <v>1396425.7380952381</v>
      </c>
      <c r="F136" s="523">
        <f t="shared" si="24"/>
        <v>6104447.4867109377</v>
      </c>
      <c r="G136" s="523">
        <f t="shared" si="25"/>
        <v>6802660.3557585571</v>
      </c>
      <c r="H136" s="526">
        <f t="shared" si="22"/>
        <v>2128213.9837650168</v>
      </c>
      <c r="I136" s="577">
        <f t="shared" si="23"/>
        <v>2128213.9837650168</v>
      </c>
      <c r="J136" s="514">
        <f t="shared" si="26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 ht="12.5">
      <c r="B137" s="195" t="str">
        <f t="shared" si="17"/>
        <v/>
      </c>
      <c r="C137" s="507">
        <f>IF(D93="","-",+C136+1)</f>
        <v>2054</v>
      </c>
      <c r="D137" s="374">
        <f>IF(F136+SUM(E$99:E136)=D$92,F136,D$92-SUM(E$99:E136))</f>
        <v>6104447.4867109377</v>
      </c>
      <c r="E137" s="522">
        <f>IF(+J96&lt;F136,J96,D137)</f>
        <v>1396425.7380952381</v>
      </c>
      <c r="F137" s="523">
        <f t="shared" si="24"/>
        <v>4708021.7486156998</v>
      </c>
      <c r="G137" s="523">
        <f t="shared" si="25"/>
        <v>5406234.6176633183</v>
      </c>
      <c r="H137" s="526">
        <f t="shared" si="22"/>
        <v>1977995.1153154408</v>
      </c>
      <c r="I137" s="577">
        <f t="shared" si="23"/>
        <v>1977995.1153154408</v>
      </c>
      <c r="J137" s="514">
        <f t="shared" si="26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 ht="12.5">
      <c r="B138" s="195" t="str">
        <f t="shared" si="17"/>
        <v/>
      </c>
      <c r="C138" s="507">
        <f>IF(D93="","-",+C137+1)</f>
        <v>2055</v>
      </c>
      <c r="D138" s="374">
        <f>IF(F137+SUM(E$99:E137)=D$92,F137,D$92-SUM(E$99:E137))</f>
        <v>4708021.7486156998</v>
      </c>
      <c r="E138" s="522">
        <f>IF(+J96&lt;F137,J96,D138)</f>
        <v>1396425.7380952381</v>
      </c>
      <c r="F138" s="523">
        <f t="shared" si="24"/>
        <v>3311596.0105204619</v>
      </c>
      <c r="G138" s="523">
        <f t="shared" si="25"/>
        <v>4009808.8795680809</v>
      </c>
      <c r="H138" s="526">
        <f t="shared" si="22"/>
        <v>1827776.2468658648</v>
      </c>
      <c r="I138" s="577">
        <f t="shared" si="23"/>
        <v>1827776.2468658648</v>
      </c>
      <c r="J138" s="514">
        <f t="shared" si="26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 ht="12.5">
      <c r="B139" s="195" t="str">
        <f t="shared" si="17"/>
        <v/>
      </c>
      <c r="C139" s="507">
        <f>IF(D93="","-",+C138+1)</f>
        <v>2056</v>
      </c>
      <c r="D139" s="374">
        <f>IF(F138+SUM(E$99:E138)=D$92,F138,D$92-SUM(E$99:E138))</f>
        <v>3311596.0105204619</v>
      </c>
      <c r="E139" s="522">
        <f>IF(+J96&lt;F138,J96,D139)</f>
        <v>1396425.7380952381</v>
      </c>
      <c r="F139" s="523">
        <f t="shared" si="24"/>
        <v>1915170.2724252238</v>
      </c>
      <c r="G139" s="523">
        <f t="shared" si="25"/>
        <v>2613383.141472843</v>
      </c>
      <c r="H139" s="526">
        <f t="shared" si="22"/>
        <v>1677557.3784162891</v>
      </c>
      <c r="I139" s="577">
        <f t="shared" si="23"/>
        <v>1677557.3784162891</v>
      </c>
      <c r="J139" s="514">
        <f t="shared" si="26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 ht="12.5">
      <c r="B140" s="195" t="str">
        <f t="shared" si="17"/>
        <v/>
      </c>
      <c r="C140" s="507">
        <f>IF(D93="","-",+C139+1)</f>
        <v>2057</v>
      </c>
      <c r="D140" s="374">
        <f>IF(F139+SUM(E$99:E139)=D$92,F139,D$92-SUM(E$99:E139))</f>
        <v>1915170.2724252238</v>
      </c>
      <c r="E140" s="522">
        <f>IF(+J96&lt;F139,J96,D140)</f>
        <v>1396425.7380952381</v>
      </c>
      <c r="F140" s="523">
        <f t="shared" si="24"/>
        <v>518744.53432998573</v>
      </c>
      <c r="G140" s="523">
        <f t="shared" si="25"/>
        <v>1216957.4033776047</v>
      </c>
      <c r="H140" s="526">
        <f t="shared" si="22"/>
        <v>1527338.5099667131</v>
      </c>
      <c r="I140" s="577">
        <f t="shared" si="23"/>
        <v>1527338.5099667131</v>
      </c>
      <c r="J140" s="514">
        <f t="shared" si="26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 ht="12.5">
      <c r="B141" s="195" t="str">
        <f t="shared" si="17"/>
        <v/>
      </c>
      <c r="C141" s="507">
        <f>IF(D93="","-",+C140+1)</f>
        <v>2058</v>
      </c>
      <c r="D141" s="374">
        <f>IF(F140+SUM(E$99:E140)=D$92,F140,D$92-SUM(E$99:E140))</f>
        <v>518744.53432998573</v>
      </c>
      <c r="E141" s="522">
        <f>IF(+J96&lt;F140,J96,D141)</f>
        <v>518744.53432998573</v>
      </c>
      <c r="F141" s="523">
        <f t="shared" si="24"/>
        <v>0</v>
      </c>
      <c r="G141" s="523">
        <f t="shared" si="25"/>
        <v>259372.26716499287</v>
      </c>
      <c r="H141" s="526">
        <f t="shared" si="22"/>
        <v>546646.2031533292</v>
      </c>
      <c r="I141" s="577">
        <f t="shared" si="23"/>
        <v>546646.2031533292</v>
      </c>
      <c r="J141" s="514">
        <f t="shared" si="26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 ht="12.5">
      <c r="B142" s="195" t="str">
        <f t="shared" si="17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4"/>
        <v>0</v>
      </c>
      <c r="G142" s="523">
        <f t="shared" si="25"/>
        <v>0</v>
      </c>
      <c r="H142" s="526">
        <f t="shared" si="22"/>
        <v>0</v>
      </c>
      <c r="I142" s="577">
        <f t="shared" si="23"/>
        <v>0</v>
      </c>
      <c r="J142" s="514">
        <f t="shared" si="26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 ht="12.5">
      <c r="B143" s="195" t="str">
        <f t="shared" si="17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4"/>
        <v>0</v>
      </c>
      <c r="G143" s="523">
        <f t="shared" si="25"/>
        <v>0</v>
      </c>
      <c r="H143" s="526">
        <f t="shared" si="22"/>
        <v>0</v>
      </c>
      <c r="I143" s="577">
        <f t="shared" si="23"/>
        <v>0</v>
      </c>
      <c r="J143" s="514">
        <f t="shared" si="26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 ht="12.5">
      <c r="B144" s="195" t="str">
        <f t="shared" si="17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4"/>
        <v>0</v>
      </c>
      <c r="G144" s="523">
        <f t="shared" si="25"/>
        <v>0</v>
      </c>
      <c r="H144" s="526">
        <f t="shared" si="22"/>
        <v>0</v>
      </c>
      <c r="I144" s="577">
        <f t="shared" si="23"/>
        <v>0</v>
      </c>
      <c r="J144" s="514">
        <f t="shared" si="26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 ht="12.5">
      <c r="B145" s="195" t="str">
        <f t="shared" si="17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4"/>
        <v>0</v>
      </c>
      <c r="G145" s="523">
        <f t="shared" si="25"/>
        <v>0</v>
      </c>
      <c r="H145" s="526">
        <f t="shared" si="22"/>
        <v>0</v>
      </c>
      <c r="I145" s="577">
        <f t="shared" si="23"/>
        <v>0</v>
      </c>
      <c r="J145" s="514">
        <f t="shared" si="26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 ht="12.5">
      <c r="B146" s="195" t="str">
        <f t="shared" si="17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4"/>
        <v>0</v>
      </c>
      <c r="G146" s="523">
        <f t="shared" si="25"/>
        <v>0</v>
      </c>
      <c r="H146" s="526">
        <f t="shared" si="22"/>
        <v>0</v>
      </c>
      <c r="I146" s="577">
        <f t="shared" si="23"/>
        <v>0</v>
      </c>
      <c r="J146" s="514">
        <f t="shared" si="26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 ht="12.5">
      <c r="B147" s="195" t="str">
        <f t="shared" si="17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4"/>
        <v>0</v>
      </c>
      <c r="G147" s="523">
        <f t="shared" si="25"/>
        <v>0</v>
      </c>
      <c r="H147" s="526">
        <f t="shared" si="22"/>
        <v>0</v>
      </c>
      <c r="I147" s="577">
        <f t="shared" si="23"/>
        <v>0</v>
      </c>
      <c r="J147" s="514">
        <f t="shared" si="26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 ht="12.5">
      <c r="B148" s="195" t="str">
        <f t="shared" si="17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4"/>
        <v>0</v>
      </c>
      <c r="G148" s="523">
        <f t="shared" si="25"/>
        <v>0</v>
      </c>
      <c r="H148" s="526">
        <f t="shared" si="22"/>
        <v>0</v>
      </c>
      <c r="I148" s="577">
        <f t="shared" si="23"/>
        <v>0</v>
      </c>
      <c r="J148" s="514">
        <f t="shared" si="26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 ht="12.5">
      <c r="B149" s="195" t="str">
        <f t="shared" si="17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4"/>
        <v>0</v>
      </c>
      <c r="G149" s="523">
        <f t="shared" si="25"/>
        <v>0</v>
      </c>
      <c r="H149" s="526">
        <f t="shared" si="22"/>
        <v>0</v>
      </c>
      <c r="I149" s="577">
        <f t="shared" si="23"/>
        <v>0</v>
      </c>
      <c r="J149" s="514">
        <f t="shared" si="26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 ht="12.5">
      <c r="B150" s="195" t="str">
        <f t="shared" si="17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4"/>
        <v>0</v>
      </c>
      <c r="G150" s="523">
        <f t="shared" si="25"/>
        <v>0</v>
      </c>
      <c r="H150" s="526">
        <f t="shared" si="22"/>
        <v>0</v>
      </c>
      <c r="I150" s="577">
        <f t="shared" si="23"/>
        <v>0</v>
      </c>
      <c r="J150" s="514">
        <f t="shared" si="26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 ht="12.5">
      <c r="B151" s="195" t="str">
        <f t="shared" si="17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4"/>
        <v>0</v>
      </c>
      <c r="G151" s="523">
        <f t="shared" si="25"/>
        <v>0</v>
      </c>
      <c r="H151" s="526">
        <f t="shared" si="22"/>
        <v>0</v>
      </c>
      <c r="I151" s="577">
        <f t="shared" si="23"/>
        <v>0</v>
      </c>
      <c r="J151" s="514">
        <f t="shared" si="26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 ht="12.5">
      <c r="B152" s="195" t="str">
        <f t="shared" si="17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4"/>
        <v>0</v>
      </c>
      <c r="G152" s="523">
        <f t="shared" si="25"/>
        <v>0</v>
      </c>
      <c r="H152" s="526">
        <f t="shared" si="22"/>
        <v>0</v>
      </c>
      <c r="I152" s="577">
        <f t="shared" si="23"/>
        <v>0</v>
      </c>
      <c r="J152" s="514">
        <f t="shared" si="26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 ht="12.5">
      <c r="B153" s="195" t="str">
        <f t="shared" si="17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4"/>
        <v>0</v>
      </c>
      <c r="G153" s="523">
        <f t="shared" si="25"/>
        <v>0</v>
      </c>
      <c r="H153" s="526">
        <f t="shared" si="22"/>
        <v>0</v>
      </c>
      <c r="I153" s="577">
        <f t="shared" si="23"/>
        <v>0</v>
      </c>
      <c r="J153" s="514">
        <f t="shared" si="26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" thickBot="1">
      <c r="B154" s="195" t="str">
        <f t="shared" si="17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4"/>
        <v>0</v>
      </c>
      <c r="G154" s="528">
        <f t="shared" si="25"/>
        <v>0</v>
      </c>
      <c r="H154" s="530">
        <f t="shared" si="22"/>
        <v>0</v>
      </c>
      <c r="I154" s="579">
        <f t="shared" si="23"/>
        <v>0</v>
      </c>
      <c r="J154" s="533">
        <f t="shared" si="26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 ht="12.5">
      <c r="C155" s="374" t="s">
        <v>78</v>
      </c>
      <c r="D155" s="375"/>
      <c r="E155" s="375">
        <f>SUM(E99:E154)</f>
        <v>58649881</v>
      </c>
      <c r="F155" s="375"/>
      <c r="G155" s="375"/>
      <c r="H155" s="375">
        <f>SUM(H99:H154)</f>
        <v>190589404.38768372</v>
      </c>
      <c r="I155" s="375">
        <f>SUM(I99:I154)</f>
        <v>190589404.38768372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6" priority="2" stopIfTrue="1" operator="equal">
      <formula>$I$10</formula>
    </cfRule>
  </conditionalFormatting>
  <conditionalFormatting sqref="C99:C154">
    <cfRule type="cellIs" dxfId="35" priority="3" stopIfTrue="1" operator="equal">
      <formula>$J$92</formula>
    </cfRule>
  </conditionalFormatting>
  <conditionalFormatting sqref="C17">
    <cfRule type="cellIs" dxfId="34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P162"/>
  <sheetViews>
    <sheetView view="pageBreakPreview" zoomScale="80" zoomScaleNormal="100" zoomScaleSheetLayoutView="80" workbookViewId="0">
      <selection activeCell="D12" sqref="D1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62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149181.76277171262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149181.76277171262</v>
      </c>
      <c r="O6" s="269"/>
      <c r="P6" s="269"/>
    </row>
    <row r="7" spans="1:16" ht="13.5" thickBot="1">
      <c r="C7" s="467" t="s">
        <v>48</v>
      </c>
      <c r="D7" s="624" t="s">
        <v>386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411</v>
      </c>
      <c r="E9" s="637" t="s">
        <v>412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1247292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29697.428571428572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>
        <v>0</v>
      </c>
      <c r="E17" s="658">
        <v>13779.069767441859</v>
      </c>
      <c r="F17" s="651">
        <v>1171220.9302325582</v>
      </c>
      <c r="G17" s="659">
        <v>86331.834002984833</v>
      </c>
      <c r="H17" s="657">
        <v>86331.834002984833</v>
      </c>
      <c r="I17" s="511">
        <f t="shared" ref="I17:I72" si="0">H17-G17</f>
        <v>0</v>
      </c>
      <c r="J17" s="511"/>
      <c r="K17" s="512">
        <f>+G17</f>
        <v>86331.834002984833</v>
      </c>
      <c r="L17" s="513">
        <f t="shared" ref="L17:L72" si="1">IF(K17&lt;&gt;0,+G17-K17,0)</f>
        <v>0</v>
      </c>
      <c r="M17" s="512">
        <f>+H17</f>
        <v>86331.834002984833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1171220.9302325582</v>
      </c>
      <c r="E18" s="630">
        <v>28902.439024390245</v>
      </c>
      <c r="F18" s="631">
        <v>1142318.491208168</v>
      </c>
      <c r="G18" s="630">
        <v>175921.04307589805</v>
      </c>
      <c r="H18" s="639">
        <v>175921.04307589805</v>
      </c>
      <c r="I18" s="511">
        <f t="shared" si="0"/>
        <v>0</v>
      </c>
      <c r="J18" s="511"/>
      <c r="K18" s="518">
        <f>+G18</f>
        <v>175921.04307589805</v>
      </c>
      <c r="L18" s="519">
        <f t="shared" si="1"/>
        <v>0</v>
      </c>
      <c r="M18" s="518">
        <f>+G18</f>
        <v>175921.04307589805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1142318.491208168</v>
      </c>
      <c r="E19" s="630">
        <v>28902.439024390245</v>
      </c>
      <c r="F19" s="631">
        <v>1113416.0521837778</v>
      </c>
      <c r="G19" s="630">
        <v>172247.71363126423</v>
      </c>
      <c r="H19" s="639">
        <v>172247.71363126423</v>
      </c>
      <c r="I19" s="511">
        <f t="shared" si="0"/>
        <v>0</v>
      </c>
      <c r="J19" s="511"/>
      <c r="K19" s="518">
        <f>+G19</f>
        <v>172247.71363126423</v>
      </c>
      <c r="L19" s="519">
        <f t="shared" ref="L19" si="4">IF(K19&lt;&gt;0,+G19-K19,0)</f>
        <v>0</v>
      </c>
      <c r="M19" s="518">
        <f>+G19</f>
        <v>172247.71363126423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2020</v>
      </c>
      <c r="D20" s="631">
        <v>1175708.0521837776</v>
      </c>
      <c r="E20" s="630">
        <v>30421.756097560974</v>
      </c>
      <c r="F20" s="631">
        <v>1145286.2960862166</v>
      </c>
      <c r="G20" s="630">
        <v>149181.76277171262</v>
      </c>
      <c r="H20" s="639">
        <v>149181.76277171262</v>
      </c>
      <c r="I20" s="511">
        <f t="shared" si="0"/>
        <v>0</v>
      </c>
      <c r="J20" s="511"/>
      <c r="K20" s="518">
        <f>+G20</f>
        <v>149181.76277171262</v>
      </c>
      <c r="L20" s="519">
        <f t="shared" ref="L20" si="6">IF(K20&lt;&gt;0,+G20-K20,0)</f>
        <v>0</v>
      </c>
      <c r="M20" s="518">
        <f>+G20</f>
        <v>149181.76277171262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/>
      </c>
      <c r="C21" s="507">
        <f>IF(D11="","-",+C20+1)</f>
        <v>2021</v>
      </c>
      <c r="D21" s="523">
        <f>IF(F20+SUM(E$17:E20)=D$10,F20,D$10-SUM(E$17:E20))</f>
        <v>1145286.2960862166</v>
      </c>
      <c r="E21" s="522">
        <f>IF(+I14&lt;F20,I14,D21)</f>
        <v>29697.428571428572</v>
      </c>
      <c r="F21" s="523">
        <f t="shared" ref="F21:F72" si="7">+D21-E21</f>
        <v>1115588.8675147879</v>
      </c>
      <c r="G21" s="524">
        <f t="shared" ref="G21:G48" si="8">+I$12*((D21+F21)/2)+E21</f>
        <v>150448.48052207936</v>
      </c>
      <c r="H21" s="491">
        <f t="shared" ref="H21:H48" si="9">+I$13*((D21+F21)/2)+E21</f>
        <v>150448.48052207936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2022</v>
      </c>
      <c r="D22" s="523">
        <f>IF(F21+SUM(E$17:E21)=D$10,F21,D$10-SUM(E$17:E21))</f>
        <v>1115588.8675147879</v>
      </c>
      <c r="E22" s="522">
        <f>IF(+I14&lt;F21,I14,D22)</f>
        <v>29697.428571428572</v>
      </c>
      <c r="F22" s="523">
        <f t="shared" si="7"/>
        <v>1085891.4389433593</v>
      </c>
      <c r="G22" s="524">
        <f t="shared" si="8"/>
        <v>147276.26137618211</v>
      </c>
      <c r="H22" s="491">
        <f t="shared" si="9"/>
        <v>147276.26137618211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1085891.4389433593</v>
      </c>
      <c r="E23" s="522">
        <f>IF(+I14&lt;F22,I14,D23)</f>
        <v>29697.428571428572</v>
      </c>
      <c r="F23" s="523">
        <f t="shared" si="7"/>
        <v>1056194.0103719307</v>
      </c>
      <c r="G23" s="524">
        <f t="shared" si="8"/>
        <v>144104.04223028489</v>
      </c>
      <c r="H23" s="491">
        <f t="shared" si="9"/>
        <v>144104.04223028489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1056194.0103719307</v>
      </c>
      <c r="E24" s="522">
        <f>IF(+I14&lt;F23,I14,D24)</f>
        <v>29697.428571428572</v>
      </c>
      <c r="F24" s="523">
        <f t="shared" si="7"/>
        <v>1026496.5818005021</v>
      </c>
      <c r="G24" s="524">
        <f t="shared" si="8"/>
        <v>140931.82308438767</v>
      </c>
      <c r="H24" s="491">
        <f t="shared" si="9"/>
        <v>140931.82308438767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1026496.5818005021</v>
      </c>
      <c r="E25" s="522">
        <f>IF(+I14&lt;F24,I14,D25)</f>
        <v>29697.428571428572</v>
      </c>
      <c r="F25" s="523">
        <f t="shared" si="7"/>
        <v>996799.15322907362</v>
      </c>
      <c r="G25" s="524">
        <f t="shared" si="8"/>
        <v>137759.60393849044</v>
      </c>
      <c r="H25" s="491">
        <f t="shared" si="9"/>
        <v>137759.60393849044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996799.15322907362</v>
      </c>
      <c r="E26" s="522">
        <f>IF(+I14&lt;F25,I14,D26)</f>
        <v>29697.428571428572</v>
      </c>
      <c r="F26" s="523">
        <f t="shared" si="7"/>
        <v>967101.7246576451</v>
      </c>
      <c r="G26" s="524">
        <f t="shared" si="8"/>
        <v>134587.38479259322</v>
      </c>
      <c r="H26" s="491">
        <f t="shared" si="9"/>
        <v>134587.38479259322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967101.7246576451</v>
      </c>
      <c r="E27" s="522">
        <f>IF(+I14&lt;F26,I14,D27)</f>
        <v>29697.428571428572</v>
      </c>
      <c r="F27" s="523">
        <f t="shared" si="7"/>
        <v>937404.29608621658</v>
      </c>
      <c r="G27" s="524">
        <f t="shared" si="8"/>
        <v>131415.16564669603</v>
      </c>
      <c r="H27" s="491">
        <f t="shared" si="9"/>
        <v>131415.16564669603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937404.29608621658</v>
      </c>
      <c r="E28" s="522">
        <f>IF(+I14&lt;F27,I14,D28)</f>
        <v>29697.428571428572</v>
      </c>
      <c r="F28" s="523">
        <f t="shared" si="7"/>
        <v>907706.86751478806</v>
      </c>
      <c r="G28" s="524">
        <f t="shared" si="8"/>
        <v>128242.94650079877</v>
      </c>
      <c r="H28" s="491">
        <f t="shared" si="9"/>
        <v>128242.94650079877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907706.86751478806</v>
      </c>
      <c r="E29" s="522">
        <f>IF(+I14&lt;F28,I14,D29)</f>
        <v>29697.428571428572</v>
      </c>
      <c r="F29" s="523">
        <f t="shared" si="7"/>
        <v>878009.43894335954</v>
      </c>
      <c r="G29" s="524">
        <f t="shared" si="8"/>
        <v>125070.72735490158</v>
      </c>
      <c r="H29" s="491">
        <f t="shared" si="9"/>
        <v>125070.72735490158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878009.43894335954</v>
      </c>
      <c r="E30" s="522">
        <f>IF(+I14&lt;F29,I14,D30)</f>
        <v>29697.428571428572</v>
      </c>
      <c r="F30" s="523">
        <f t="shared" si="7"/>
        <v>848312.01037193101</v>
      </c>
      <c r="G30" s="524">
        <f t="shared" si="8"/>
        <v>121898.50820900436</v>
      </c>
      <c r="H30" s="491">
        <f t="shared" si="9"/>
        <v>121898.50820900436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848312.01037193101</v>
      </c>
      <c r="E31" s="522">
        <f>IF(+I14&lt;F30,I14,D31)</f>
        <v>29697.428571428572</v>
      </c>
      <c r="F31" s="523">
        <f t="shared" si="7"/>
        <v>818614.58180050249</v>
      </c>
      <c r="G31" s="524">
        <f t="shared" si="8"/>
        <v>118726.28906310714</v>
      </c>
      <c r="H31" s="491">
        <f t="shared" si="9"/>
        <v>118726.28906310714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818614.58180050249</v>
      </c>
      <c r="E32" s="522">
        <f>IF(+I14&lt;F31,I14,D32)</f>
        <v>29697.428571428572</v>
      </c>
      <c r="F32" s="523">
        <f t="shared" si="7"/>
        <v>788917.15322907397</v>
      </c>
      <c r="G32" s="524">
        <f t="shared" si="8"/>
        <v>115554.06991720991</v>
      </c>
      <c r="H32" s="491">
        <f t="shared" si="9"/>
        <v>115554.06991720991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788917.15322907397</v>
      </c>
      <c r="E33" s="522">
        <f>IF(+I14&lt;F32,I14,D33)</f>
        <v>29697.428571428572</v>
      </c>
      <c r="F33" s="523">
        <f t="shared" si="7"/>
        <v>759219.72465764545</v>
      </c>
      <c r="G33" s="524">
        <f t="shared" si="8"/>
        <v>112381.85077131272</v>
      </c>
      <c r="H33" s="491">
        <f t="shared" si="9"/>
        <v>112381.85077131272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759219.72465764545</v>
      </c>
      <c r="E34" s="522">
        <f>IF(+I14&lt;F33,I14,D34)</f>
        <v>29697.428571428572</v>
      </c>
      <c r="F34" s="523">
        <f t="shared" si="7"/>
        <v>729522.29608621693</v>
      </c>
      <c r="G34" s="524">
        <f t="shared" si="8"/>
        <v>109209.63162541547</v>
      </c>
      <c r="H34" s="491">
        <f t="shared" si="9"/>
        <v>109209.63162541547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729522.29608621693</v>
      </c>
      <c r="E35" s="522">
        <f>IF(+I14&lt;F34,I14,D35)</f>
        <v>29697.428571428572</v>
      </c>
      <c r="F35" s="523">
        <f t="shared" si="7"/>
        <v>699824.86751478841</v>
      </c>
      <c r="G35" s="524">
        <f t="shared" si="8"/>
        <v>106037.41247951827</v>
      </c>
      <c r="H35" s="491">
        <f t="shared" si="9"/>
        <v>106037.41247951827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699824.86751478841</v>
      </c>
      <c r="E36" s="522">
        <f>IF(+I14&lt;F35,I14,D36)</f>
        <v>29697.428571428572</v>
      </c>
      <c r="F36" s="523">
        <f t="shared" si="7"/>
        <v>670127.43894335988</v>
      </c>
      <c r="G36" s="524">
        <f t="shared" si="8"/>
        <v>102865.19333362105</v>
      </c>
      <c r="H36" s="491">
        <f t="shared" si="9"/>
        <v>102865.19333362105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670127.43894335988</v>
      </c>
      <c r="E37" s="522">
        <f>IF(+I14&lt;F36,I14,D37)</f>
        <v>29697.428571428572</v>
      </c>
      <c r="F37" s="523">
        <f t="shared" si="7"/>
        <v>640430.01037193136</v>
      </c>
      <c r="G37" s="524">
        <f t="shared" si="8"/>
        <v>99692.974187723827</v>
      </c>
      <c r="H37" s="491">
        <f t="shared" si="9"/>
        <v>99692.974187723827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640430.01037193136</v>
      </c>
      <c r="E38" s="522">
        <f>IF(+I14&lt;F37,I14,D38)</f>
        <v>29697.428571428572</v>
      </c>
      <c r="F38" s="523">
        <f t="shared" si="7"/>
        <v>610732.58180050284</v>
      </c>
      <c r="G38" s="524">
        <f t="shared" si="8"/>
        <v>96520.755041826604</v>
      </c>
      <c r="H38" s="491">
        <f t="shared" si="9"/>
        <v>96520.755041826604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610732.58180050284</v>
      </c>
      <c r="E39" s="522">
        <f>IF(+I14&lt;F38,I14,D39)</f>
        <v>29697.428571428572</v>
      </c>
      <c r="F39" s="523">
        <f t="shared" si="7"/>
        <v>581035.15322907432</v>
      </c>
      <c r="G39" s="524">
        <f t="shared" si="8"/>
        <v>93348.535895929395</v>
      </c>
      <c r="H39" s="491">
        <f t="shared" si="9"/>
        <v>93348.535895929395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581035.15322907432</v>
      </c>
      <c r="E40" s="522">
        <f>IF(+I14&lt;F39,I14,D40)</f>
        <v>29697.428571428572</v>
      </c>
      <c r="F40" s="523">
        <f t="shared" si="7"/>
        <v>551337.7246576458</v>
      </c>
      <c r="G40" s="524">
        <f t="shared" si="8"/>
        <v>90176.316750032158</v>
      </c>
      <c r="H40" s="491">
        <f t="shared" si="9"/>
        <v>90176.316750032158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551337.7246576458</v>
      </c>
      <c r="E41" s="522">
        <f>IF(+I14&lt;F40,I14,D41)</f>
        <v>29697.428571428572</v>
      </c>
      <c r="F41" s="523">
        <f t="shared" si="7"/>
        <v>521640.29608621722</v>
      </c>
      <c r="G41" s="524">
        <f t="shared" si="8"/>
        <v>87004.09760413495</v>
      </c>
      <c r="H41" s="491">
        <f t="shared" si="9"/>
        <v>87004.09760413495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521640.29608621722</v>
      </c>
      <c r="E42" s="522">
        <f>IF(+I14&lt;F41,I14,D42)</f>
        <v>29697.428571428572</v>
      </c>
      <c r="F42" s="523">
        <f t="shared" si="7"/>
        <v>491942.86751478864</v>
      </c>
      <c r="G42" s="524">
        <f t="shared" si="8"/>
        <v>83831.878458237727</v>
      </c>
      <c r="H42" s="491">
        <f t="shared" si="9"/>
        <v>83831.878458237727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491942.86751478864</v>
      </c>
      <c r="E43" s="522">
        <f>IF(+I14&lt;F42,I14,D43)</f>
        <v>29697.428571428572</v>
      </c>
      <c r="F43" s="523">
        <f t="shared" si="7"/>
        <v>462245.43894336006</v>
      </c>
      <c r="G43" s="524">
        <f t="shared" si="8"/>
        <v>80659.659312340489</v>
      </c>
      <c r="H43" s="491">
        <f t="shared" si="9"/>
        <v>80659.659312340489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462245.43894336006</v>
      </c>
      <c r="E44" s="522">
        <f>IF(+I14&lt;F43,I14,D44)</f>
        <v>29697.428571428572</v>
      </c>
      <c r="F44" s="523">
        <f t="shared" si="7"/>
        <v>432548.01037193148</v>
      </c>
      <c r="G44" s="524">
        <f t="shared" si="8"/>
        <v>77487.440166443281</v>
      </c>
      <c r="H44" s="491">
        <f t="shared" si="9"/>
        <v>77487.440166443281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432548.01037193148</v>
      </c>
      <c r="E45" s="522">
        <f>IF(+I14&lt;F44,I14,D45)</f>
        <v>29697.428571428572</v>
      </c>
      <c r="F45" s="523">
        <f t="shared" si="7"/>
        <v>402850.5818005029</v>
      </c>
      <c r="G45" s="524">
        <f t="shared" si="8"/>
        <v>74315.221020546043</v>
      </c>
      <c r="H45" s="491">
        <f t="shared" si="9"/>
        <v>74315.221020546043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402850.5818005029</v>
      </c>
      <c r="E46" s="522">
        <f>IF(+I14&lt;F45,I14,D46)</f>
        <v>29697.428571428572</v>
      </c>
      <c r="F46" s="523">
        <f t="shared" si="7"/>
        <v>373153.15322907432</v>
      </c>
      <c r="G46" s="524">
        <f t="shared" si="8"/>
        <v>71143.00187464882</v>
      </c>
      <c r="H46" s="491">
        <f t="shared" si="9"/>
        <v>71143.00187464882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373153.15322907432</v>
      </c>
      <c r="E47" s="522">
        <f>IF(+I14&lt;F46,I14,D47)</f>
        <v>29697.428571428572</v>
      </c>
      <c r="F47" s="523">
        <f t="shared" si="7"/>
        <v>343455.72465764574</v>
      </c>
      <c r="G47" s="524">
        <f t="shared" si="8"/>
        <v>67970.782728751597</v>
      </c>
      <c r="H47" s="491">
        <f t="shared" si="9"/>
        <v>67970.782728751597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343455.72465764574</v>
      </c>
      <c r="E48" s="522">
        <f>IF(+I14&lt;F47,I14,D48)</f>
        <v>29697.428571428572</v>
      </c>
      <c r="F48" s="523">
        <f t="shared" si="7"/>
        <v>313758.29608621716</v>
      </c>
      <c r="G48" s="524">
        <f t="shared" si="8"/>
        <v>64798.563582854382</v>
      </c>
      <c r="H48" s="491">
        <f t="shared" si="9"/>
        <v>64798.563582854382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313758.29608621716</v>
      </c>
      <c r="E49" s="522">
        <f>IF(+I14&lt;F48,I14,D49)</f>
        <v>29697.428571428572</v>
      </c>
      <c r="F49" s="523">
        <f t="shared" si="7"/>
        <v>284060.86751478858</v>
      </c>
      <c r="G49" s="524">
        <f t="shared" ref="G49:G72" si="10">+I$12*((D49+F49)/2)+E49</f>
        <v>61626.344436957152</v>
      </c>
      <c r="H49" s="491">
        <f t="shared" ref="H49:H72" si="11">+I$13*((D49+F49)/2)+E49</f>
        <v>61626.344436957152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284060.86751478858</v>
      </c>
      <c r="E50" s="522">
        <f>IF(+I14&lt;F49,I14,D50)</f>
        <v>29697.428571428572</v>
      </c>
      <c r="F50" s="523">
        <f t="shared" si="7"/>
        <v>254363.43894336</v>
      </c>
      <c r="G50" s="524">
        <f t="shared" si="10"/>
        <v>58454.125291059929</v>
      </c>
      <c r="H50" s="491">
        <f t="shared" si="11"/>
        <v>58454.125291059929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254363.43894336</v>
      </c>
      <c r="E51" s="522">
        <f>IF(+I14&lt;F50,I14,D51)</f>
        <v>29697.428571428572</v>
      </c>
      <c r="F51" s="523">
        <f t="shared" si="7"/>
        <v>224666.01037193142</v>
      </c>
      <c r="G51" s="524">
        <f t="shared" si="10"/>
        <v>55281.906145162706</v>
      </c>
      <c r="H51" s="491">
        <f t="shared" si="11"/>
        <v>55281.906145162706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224666.01037193142</v>
      </c>
      <c r="E52" s="522">
        <f>IF(+I14&lt;F51,I14,D52)</f>
        <v>29697.428571428572</v>
      </c>
      <c r="F52" s="523">
        <f t="shared" si="7"/>
        <v>194968.58180050284</v>
      </c>
      <c r="G52" s="524">
        <f t="shared" si="10"/>
        <v>52109.686999265483</v>
      </c>
      <c r="H52" s="491">
        <f t="shared" si="11"/>
        <v>52109.686999265483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194968.58180050284</v>
      </c>
      <c r="E53" s="522">
        <f>IF(+I14&lt;F52,I14,D53)</f>
        <v>29697.428571428572</v>
      </c>
      <c r="F53" s="523">
        <f t="shared" si="7"/>
        <v>165271.15322907426</v>
      </c>
      <c r="G53" s="524">
        <f t="shared" si="10"/>
        <v>48937.46785336826</v>
      </c>
      <c r="H53" s="491">
        <f t="shared" si="11"/>
        <v>48937.46785336826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165271.15322907426</v>
      </c>
      <c r="E54" s="522">
        <f>IF(+I14&lt;F53,I14,D54)</f>
        <v>29697.428571428572</v>
      </c>
      <c r="F54" s="523">
        <f t="shared" si="7"/>
        <v>135573.72465764568</v>
      </c>
      <c r="G54" s="524">
        <f t="shared" si="10"/>
        <v>45765.24870747103</v>
      </c>
      <c r="H54" s="491">
        <f t="shared" si="11"/>
        <v>45765.24870747103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135573.72465764568</v>
      </c>
      <c r="E55" s="522">
        <f>IF(+I14&lt;F54,I14,D55)</f>
        <v>29697.428571428572</v>
      </c>
      <c r="F55" s="523">
        <f t="shared" si="7"/>
        <v>105876.2960862171</v>
      </c>
      <c r="G55" s="524">
        <f t="shared" si="10"/>
        <v>42593.029561573807</v>
      </c>
      <c r="H55" s="491">
        <f t="shared" si="11"/>
        <v>42593.029561573807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105876.2960862171</v>
      </c>
      <c r="E56" s="522">
        <f>IF(+I14&lt;F55,I14,D56)</f>
        <v>29697.428571428572</v>
      </c>
      <c r="F56" s="523">
        <f t="shared" si="7"/>
        <v>76178.867514788522</v>
      </c>
      <c r="G56" s="524">
        <f t="shared" si="10"/>
        <v>39420.810415676584</v>
      </c>
      <c r="H56" s="491">
        <f t="shared" si="11"/>
        <v>39420.810415676584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76178.867514788522</v>
      </c>
      <c r="E57" s="522">
        <f>IF(+I14&lt;F56,I14,D57)</f>
        <v>29697.428571428572</v>
      </c>
      <c r="F57" s="523">
        <f t="shared" si="7"/>
        <v>46481.43894335995</v>
      </c>
      <c r="G57" s="524">
        <f t="shared" si="10"/>
        <v>36248.591269779361</v>
      </c>
      <c r="H57" s="491">
        <f t="shared" si="11"/>
        <v>36248.591269779361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46481.43894335995</v>
      </c>
      <c r="E58" s="522">
        <f>IF(+I14&lt;F57,I14,D58)</f>
        <v>29697.428571428572</v>
      </c>
      <c r="F58" s="523">
        <f t="shared" si="7"/>
        <v>16784.010371931377</v>
      </c>
      <c r="G58" s="524">
        <f t="shared" si="10"/>
        <v>33076.372123882131</v>
      </c>
      <c r="H58" s="491">
        <f t="shared" si="11"/>
        <v>33076.372123882131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16784.010371931377</v>
      </c>
      <c r="E59" s="522">
        <f>IF(+I14&lt;F58,I14,D59)</f>
        <v>16784.010371931377</v>
      </c>
      <c r="F59" s="523">
        <f t="shared" si="7"/>
        <v>0</v>
      </c>
      <c r="G59" s="524">
        <f t="shared" si="10"/>
        <v>17680.427361683851</v>
      </c>
      <c r="H59" s="491">
        <f t="shared" si="11"/>
        <v>17680.427361683851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10"/>
        <v>0</v>
      </c>
      <c r="H60" s="491">
        <f t="shared" si="11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1247292</v>
      </c>
      <c r="F73" s="375"/>
      <c r="G73" s="375">
        <f>SUM(G17:G72)</f>
        <v>4088334.9811168122</v>
      </c>
      <c r="H73" s="375">
        <f>SUM(H17:H72)</f>
        <v>4088334.9811168122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62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149181.76277171262</v>
      </c>
      <c r="N87" s="546">
        <f>IF(J92&lt;D11,0,VLOOKUP(J92,C17:O72,11))</f>
        <v>149181.76277171262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154367.72001045776</v>
      </c>
      <c r="N88" s="550">
        <f>IF(J92&lt;D11,0,VLOOKUP(J92,C99:P154,7))</f>
        <v>154367.72001045776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Letourneau 69 kV Capacitor Bank Addition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5185.9572387451481</v>
      </c>
      <c r="N89" s="555">
        <f>+N88-N87</f>
        <v>5185.9572387451481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TP2015106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1247292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29697.428571428572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14811.392857142857</v>
      </c>
      <c r="F99" s="651">
        <v>1229345.607142857</v>
      </c>
      <c r="G99" s="652">
        <v>614672.80357142852</v>
      </c>
      <c r="H99" s="653">
        <v>89476.594305664243</v>
      </c>
      <c r="I99" s="654">
        <v>89476.594305664243</v>
      </c>
      <c r="J99" s="514">
        <f t="shared" ref="J99:J130" si="12">+I99-H99</f>
        <v>0</v>
      </c>
      <c r="K99" s="514"/>
      <c r="L99" s="512">
        <f>+H99</f>
        <v>89476.594305664243</v>
      </c>
      <c r="M99" s="513">
        <f t="shared" ref="M99:M130" si="13">IF(L99&lt;&gt;0,+H99-L99,0)</f>
        <v>0</v>
      </c>
      <c r="N99" s="512">
        <f>+I99</f>
        <v>89476.594305664243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1232480.607142857</v>
      </c>
      <c r="E100" s="630">
        <v>29697.428571428572</v>
      </c>
      <c r="F100" s="631">
        <v>1202783.1785714284</v>
      </c>
      <c r="G100" s="631">
        <v>1217631.8928571427</v>
      </c>
      <c r="H100" s="633">
        <v>158284.94029757322</v>
      </c>
      <c r="I100" s="634">
        <v>158284.94029757322</v>
      </c>
      <c r="J100" s="514">
        <f t="shared" si="12"/>
        <v>0</v>
      </c>
      <c r="K100" s="514"/>
      <c r="L100" s="655">
        <f>+H100</f>
        <v>158284.94029757322</v>
      </c>
      <c r="M100" s="514">
        <f t="shared" si="13"/>
        <v>0</v>
      </c>
      <c r="N100" s="655">
        <f>+I100</f>
        <v>158284.94029757322</v>
      </c>
      <c r="O100" s="514">
        <f t="shared" si="14"/>
        <v>0</v>
      </c>
      <c r="P100" s="514">
        <f t="shared" si="15"/>
        <v>0</v>
      </c>
    </row>
    <row r="101" spans="1:16" ht="12.5">
      <c r="B101" s="195" t="str">
        <f t="shared" ref="B101:B154" si="16">IF(D101=F100,"","IU")</f>
        <v/>
      </c>
      <c r="C101" s="507">
        <f>IF(D93="","-",+C100+1)</f>
        <v>2019</v>
      </c>
      <c r="D101" s="629">
        <v>1202783.1785714284</v>
      </c>
      <c r="E101" s="630">
        <v>29006.79069767442</v>
      </c>
      <c r="F101" s="631">
        <v>1173776.3878737539</v>
      </c>
      <c r="G101" s="631">
        <v>1188279.783222591</v>
      </c>
      <c r="H101" s="633">
        <v>156200.90813870312</v>
      </c>
      <c r="I101" s="634">
        <v>156200.90813870312</v>
      </c>
      <c r="J101" s="514">
        <f t="shared" si="12"/>
        <v>0</v>
      </c>
      <c r="K101" s="514"/>
      <c r="L101" s="655">
        <f>+H101</f>
        <v>156200.90813870312</v>
      </c>
      <c r="M101" s="514">
        <f t="shared" ref="M101" si="17">IF(L101&lt;&gt;0,+H101-L101,0)</f>
        <v>0</v>
      </c>
      <c r="N101" s="655">
        <f>+I101</f>
        <v>156200.90813870312</v>
      </c>
      <c r="O101" s="514">
        <f t="shared" si="14"/>
        <v>0</v>
      </c>
      <c r="P101" s="514">
        <f t="shared" si="15"/>
        <v>0</v>
      </c>
    </row>
    <row r="102" spans="1:16" ht="12.5">
      <c r="B102" s="195" t="str">
        <f t="shared" si="16"/>
        <v/>
      </c>
      <c r="C102" s="507">
        <f>IF(D93="","-",+C101+1)</f>
        <v>2020</v>
      </c>
      <c r="D102" s="374">
        <f>IF(F101+SUM(E$99:E101)=D$92,F101,D$92-SUM(E$99:E101))</f>
        <v>1173776.3878737539</v>
      </c>
      <c r="E102" s="522">
        <f>IF(+J96&lt;F101,J96,D102)</f>
        <v>29697.428571428572</v>
      </c>
      <c r="F102" s="523">
        <f t="shared" ref="F102:F130" si="18">+D102-E102</f>
        <v>1144078.9593023253</v>
      </c>
      <c r="G102" s="523">
        <f t="shared" ref="G102:G130" si="19">+(F102+D102)/2</f>
        <v>1158927.6735880396</v>
      </c>
      <c r="H102" s="526">
        <f t="shared" ref="H102:H154" si="20">+J$94*G102+E102</f>
        <v>154367.72001045776</v>
      </c>
      <c r="I102" s="577">
        <f t="shared" ref="I102:I154" si="21">+J$95*G102+E102</f>
        <v>154367.72001045776</v>
      </c>
      <c r="J102" s="514">
        <f t="shared" si="12"/>
        <v>0</v>
      </c>
      <c r="K102" s="514"/>
      <c r="L102" s="525"/>
      <c r="M102" s="514">
        <f t="shared" si="13"/>
        <v>0</v>
      </c>
      <c r="N102" s="525"/>
      <c r="O102" s="514">
        <f t="shared" si="14"/>
        <v>0</v>
      </c>
      <c r="P102" s="514">
        <f t="shared" si="15"/>
        <v>0</v>
      </c>
    </row>
    <row r="103" spans="1:16" ht="12.5">
      <c r="B103" s="195" t="str">
        <f t="shared" si="16"/>
        <v/>
      </c>
      <c r="C103" s="507">
        <f>IF(D93="","-",+C102+1)</f>
        <v>2021</v>
      </c>
      <c r="D103" s="374">
        <f>IF(F102+SUM(E$99:E102)=D$92,F102,D$92-SUM(E$99:E102))</f>
        <v>1144078.9593023253</v>
      </c>
      <c r="E103" s="522">
        <f>IF(+J96&lt;F102,J96,D103)</f>
        <v>29697.428571428572</v>
      </c>
      <c r="F103" s="523">
        <f t="shared" si="18"/>
        <v>1114381.5307308966</v>
      </c>
      <c r="G103" s="523">
        <f t="shared" si="19"/>
        <v>1129230.2450166109</v>
      </c>
      <c r="H103" s="526">
        <f t="shared" si="20"/>
        <v>151173.0538036123</v>
      </c>
      <c r="I103" s="577">
        <f t="shared" si="21"/>
        <v>151173.0538036123</v>
      </c>
      <c r="J103" s="514">
        <f t="shared" si="12"/>
        <v>0</v>
      </c>
      <c r="K103" s="514"/>
      <c r="L103" s="525"/>
      <c r="M103" s="514">
        <f t="shared" si="13"/>
        <v>0</v>
      </c>
      <c r="N103" s="525"/>
      <c r="O103" s="514">
        <f t="shared" si="14"/>
        <v>0</v>
      </c>
      <c r="P103" s="514">
        <f t="shared" si="15"/>
        <v>0</v>
      </c>
    </row>
    <row r="104" spans="1:16" ht="12.5">
      <c r="B104" s="195" t="str">
        <f t="shared" si="16"/>
        <v/>
      </c>
      <c r="C104" s="507">
        <f>IF(D93="","-",+C103+1)</f>
        <v>2022</v>
      </c>
      <c r="D104" s="374">
        <f>IF(F103+SUM(E$99:E103)=D$92,F103,D$92-SUM(E$99:E103))</f>
        <v>1114381.5307308966</v>
      </c>
      <c r="E104" s="522">
        <f>IF(+J96&lt;F103,J96,D104)</f>
        <v>29697.428571428572</v>
      </c>
      <c r="F104" s="523">
        <f t="shared" si="18"/>
        <v>1084684.102159468</v>
      </c>
      <c r="G104" s="523">
        <f t="shared" si="19"/>
        <v>1099532.8164451823</v>
      </c>
      <c r="H104" s="526">
        <f t="shared" si="20"/>
        <v>147978.38759676681</v>
      </c>
      <c r="I104" s="577">
        <f t="shared" si="21"/>
        <v>147978.38759676681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 ht="12.5">
      <c r="B105" s="195" t="str">
        <f t="shared" si="16"/>
        <v/>
      </c>
      <c r="C105" s="507">
        <f>IF(D93="","-",+C104+1)</f>
        <v>2023</v>
      </c>
      <c r="D105" s="374">
        <f>IF(F104+SUM(E$99:E104)=D$92,F104,D$92-SUM(E$99:E104))</f>
        <v>1084684.102159468</v>
      </c>
      <c r="E105" s="522">
        <f>IF(+J96&lt;F104,J96,D105)</f>
        <v>29697.428571428572</v>
      </c>
      <c r="F105" s="523">
        <f t="shared" si="18"/>
        <v>1054986.6735880394</v>
      </c>
      <c r="G105" s="523">
        <f t="shared" si="19"/>
        <v>1069835.3878737537</v>
      </c>
      <c r="H105" s="526">
        <f t="shared" si="20"/>
        <v>144783.72138992132</v>
      </c>
      <c r="I105" s="577">
        <f t="shared" si="21"/>
        <v>144783.72138992132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 ht="12.5">
      <c r="B106" s="195" t="str">
        <f t="shared" si="16"/>
        <v/>
      </c>
      <c r="C106" s="507">
        <f>IF(D93="","-",+C105+1)</f>
        <v>2024</v>
      </c>
      <c r="D106" s="374">
        <f>IF(F105+SUM(E$99:E105)=D$92,F105,D$92-SUM(E$99:E105))</f>
        <v>1054986.6735880394</v>
      </c>
      <c r="E106" s="522">
        <f>IF(+J96&lt;F105,J96,D106)</f>
        <v>29697.428571428572</v>
      </c>
      <c r="F106" s="523">
        <f t="shared" si="18"/>
        <v>1025289.2450166108</v>
      </c>
      <c r="G106" s="523">
        <f t="shared" si="19"/>
        <v>1040137.959302325</v>
      </c>
      <c r="H106" s="526">
        <f t="shared" si="20"/>
        <v>141589.05518307586</v>
      </c>
      <c r="I106" s="577">
        <f t="shared" si="21"/>
        <v>141589.05518307586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 ht="12.5">
      <c r="B107" s="195" t="str">
        <f t="shared" si="16"/>
        <v/>
      </c>
      <c r="C107" s="507">
        <f>IF(D93="","-",+C106+1)</f>
        <v>2025</v>
      </c>
      <c r="D107" s="374">
        <f>IF(F106+SUM(E$99:E106)=D$92,F106,D$92-SUM(E$99:E106))</f>
        <v>1025289.2450166108</v>
      </c>
      <c r="E107" s="522">
        <f>IF(+J96&lt;F106,J96,D107)</f>
        <v>29697.428571428572</v>
      </c>
      <c r="F107" s="523">
        <f t="shared" si="18"/>
        <v>995591.81644518231</v>
      </c>
      <c r="G107" s="523">
        <f t="shared" si="19"/>
        <v>1010440.5307308966</v>
      </c>
      <c r="H107" s="526">
        <f t="shared" si="20"/>
        <v>138394.3889762304</v>
      </c>
      <c r="I107" s="577">
        <f t="shared" si="21"/>
        <v>138394.3889762304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 ht="12.5">
      <c r="B108" s="195" t="str">
        <f t="shared" si="16"/>
        <v/>
      </c>
      <c r="C108" s="507">
        <f>IF(D93="","-",+C107+1)</f>
        <v>2026</v>
      </c>
      <c r="D108" s="374">
        <f>IF(F107+SUM(E$99:E107)=D$92,F107,D$92-SUM(E$99:E107))</f>
        <v>995591.81644518231</v>
      </c>
      <c r="E108" s="522">
        <f>IF(+J96&lt;F107,J96,D108)</f>
        <v>29697.428571428572</v>
      </c>
      <c r="F108" s="523">
        <f t="shared" si="18"/>
        <v>965894.38787375379</v>
      </c>
      <c r="G108" s="523">
        <f t="shared" si="19"/>
        <v>980743.10215946799</v>
      </c>
      <c r="H108" s="526">
        <f t="shared" si="20"/>
        <v>135199.72276938491</v>
      </c>
      <c r="I108" s="577">
        <f t="shared" si="21"/>
        <v>135199.72276938491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 ht="12.5">
      <c r="B109" s="195" t="str">
        <f t="shared" si="16"/>
        <v/>
      </c>
      <c r="C109" s="507">
        <f>IF(D93="","-",+C108+1)</f>
        <v>2027</v>
      </c>
      <c r="D109" s="374">
        <f>IF(F108+SUM(E$99:E108)=D$92,F108,D$92-SUM(E$99:E108))</f>
        <v>965894.38787375379</v>
      </c>
      <c r="E109" s="522">
        <f>IF(+J96&lt;F108,J96,D109)</f>
        <v>29697.428571428572</v>
      </c>
      <c r="F109" s="523">
        <f t="shared" si="18"/>
        <v>936196.95930232527</v>
      </c>
      <c r="G109" s="523">
        <f t="shared" si="19"/>
        <v>951045.67358803959</v>
      </c>
      <c r="H109" s="526">
        <f t="shared" si="20"/>
        <v>132005.05656253945</v>
      </c>
      <c r="I109" s="577">
        <f t="shared" si="21"/>
        <v>132005.05656253945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 ht="12.5">
      <c r="B110" s="195" t="str">
        <f t="shared" si="16"/>
        <v/>
      </c>
      <c r="C110" s="507">
        <f>IF(D93="","-",+C109+1)</f>
        <v>2028</v>
      </c>
      <c r="D110" s="374">
        <f>IF(F109+SUM(E$99:E109)=D$92,F109,D$92-SUM(E$99:E109))</f>
        <v>936196.95930232527</v>
      </c>
      <c r="E110" s="522">
        <f>IF(+J96&lt;F109,J96,D110)</f>
        <v>29697.428571428572</v>
      </c>
      <c r="F110" s="523">
        <f t="shared" si="18"/>
        <v>906499.53073089675</v>
      </c>
      <c r="G110" s="523">
        <f t="shared" si="19"/>
        <v>921348.24501661095</v>
      </c>
      <c r="H110" s="526">
        <f t="shared" si="20"/>
        <v>128810.39035569396</v>
      </c>
      <c r="I110" s="577">
        <f t="shared" si="21"/>
        <v>128810.39035569396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 ht="12.5">
      <c r="B111" s="195" t="str">
        <f t="shared" si="16"/>
        <v/>
      </c>
      <c r="C111" s="507">
        <f>IF(D93="","-",+C110+1)</f>
        <v>2029</v>
      </c>
      <c r="D111" s="374">
        <f>IF(F110+SUM(E$99:E110)=D$92,F110,D$92-SUM(E$99:E110))</f>
        <v>906499.53073089675</v>
      </c>
      <c r="E111" s="522">
        <f>IF(+J96&lt;F110,J96,D111)</f>
        <v>29697.428571428572</v>
      </c>
      <c r="F111" s="523">
        <f t="shared" si="18"/>
        <v>876802.10215946822</v>
      </c>
      <c r="G111" s="523">
        <f t="shared" si="19"/>
        <v>891650.81644518254</v>
      </c>
      <c r="H111" s="526">
        <f t="shared" si="20"/>
        <v>125615.7241488485</v>
      </c>
      <c r="I111" s="577">
        <f t="shared" si="21"/>
        <v>125615.7241488485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 ht="12.5">
      <c r="B112" s="195" t="str">
        <f t="shared" si="16"/>
        <v/>
      </c>
      <c r="C112" s="507">
        <f>IF(D93="","-",+C111+1)</f>
        <v>2030</v>
      </c>
      <c r="D112" s="374">
        <f>IF(F111+SUM(E$99:E111)=D$92,F111,D$92-SUM(E$99:E111))</f>
        <v>876802.10215946822</v>
      </c>
      <c r="E112" s="522">
        <f>IF(+J96&lt;F111,J96,D112)</f>
        <v>29697.428571428572</v>
      </c>
      <c r="F112" s="523">
        <f t="shared" si="18"/>
        <v>847104.6735880397</v>
      </c>
      <c r="G112" s="523">
        <f t="shared" si="19"/>
        <v>861953.38787375391</v>
      </c>
      <c r="H112" s="526">
        <f t="shared" si="20"/>
        <v>122421.05794200304</v>
      </c>
      <c r="I112" s="577">
        <f t="shared" si="21"/>
        <v>122421.05794200304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 ht="12.5">
      <c r="B113" s="195" t="str">
        <f t="shared" si="16"/>
        <v/>
      </c>
      <c r="C113" s="507">
        <f>IF(D93="","-",+C112+1)</f>
        <v>2031</v>
      </c>
      <c r="D113" s="374">
        <f>IF(F112+SUM(E$99:E112)=D$92,F112,D$92-SUM(E$99:E112))</f>
        <v>847104.6735880397</v>
      </c>
      <c r="E113" s="522">
        <f>IF(+J96&lt;F112,J96,D113)</f>
        <v>29697.428571428572</v>
      </c>
      <c r="F113" s="523">
        <f t="shared" si="18"/>
        <v>817407.24501661118</v>
      </c>
      <c r="G113" s="523">
        <f t="shared" si="19"/>
        <v>832255.9593023255</v>
      </c>
      <c r="H113" s="526">
        <f t="shared" si="20"/>
        <v>119226.39173515758</v>
      </c>
      <c r="I113" s="577">
        <f t="shared" si="21"/>
        <v>119226.39173515758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 ht="12.5">
      <c r="B114" s="195" t="str">
        <f t="shared" si="16"/>
        <v/>
      </c>
      <c r="C114" s="507">
        <f>IF(D93="","-",+C113+1)</f>
        <v>2032</v>
      </c>
      <c r="D114" s="374">
        <f>IF(F113+SUM(E$99:E113)=D$92,F113,D$92-SUM(E$99:E113))</f>
        <v>817407.24501661118</v>
      </c>
      <c r="E114" s="522">
        <f>IF(+J96&lt;F113,J96,D114)</f>
        <v>29697.428571428572</v>
      </c>
      <c r="F114" s="523">
        <f t="shared" si="18"/>
        <v>787709.81644518266</v>
      </c>
      <c r="G114" s="523">
        <f t="shared" si="19"/>
        <v>802558.53073089686</v>
      </c>
      <c r="H114" s="526">
        <f t="shared" si="20"/>
        <v>116031.72552831209</v>
      </c>
      <c r="I114" s="577">
        <f t="shared" si="21"/>
        <v>116031.72552831209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 ht="12.5">
      <c r="B115" s="195" t="str">
        <f t="shared" si="16"/>
        <v/>
      </c>
      <c r="C115" s="507">
        <f>IF(D93="","-",+C114+1)</f>
        <v>2033</v>
      </c>
      <c r="D115" s="374">
        <f>IF(F114+SUM(E$99:E114)=D$92,F114,D$92-SUM(E$99:E114))</f>
        <v>787709.81644518266</v>
      </c>
      <c r="E115" s="522">
        <f>IF(+J96&lt;F114,J96,D115)</f>
        <v>29697.428571428572</v>
      </c>
      <c r="F115" s="523">
        <f t="shared" si="18"/>
        <v>758012.38787375414</v>
      </c>
      <c r="G115" s="523">
        <f t="shared" si="19"/>
        <v>772861.10215946846</v>
      </c>
      <c r="H115" s="526">
        <f t="shared" si="20"/>
        <v>112837.05932146663</v>
      </c>
      <c r="I115" s="577">
        <f t="shared" si="21"/>
        <v>112837.05932146663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 ht="12.5">
      <c r="B116" s="195" t="str">
        <f t="shared" si="16"/>
        <v/>
      </c>
      <c r="C116" s="507">
        <f>IF(D93="","-",+C115+1)</f>
        <v>2034</v>
      </c>
      <c r="D116" s="374">
        <f>IF(F115+SUM(E$99:E115)=D$92,F115,D$92-SUM(E$99:E115))</f>
        <v>758012.38787375414</v>
      </c>
      <c r="E116" s="522">
        <f>IF(+J96&lt;F115,J96,D116)</f>
        <v>29697.428571428572</v>
      </c>
      <c r="F116" s="523">
        <f t="shared" si="18"/>
        <v>728314.95930232562</v>
      </c>
      <c r="G116" s="523">
        <f t="shared" si="19"/>
        <v>743163.67358803982</v>
      </c>
      <c r="H116" s="526">
        <f t="shared" si="20"/>
        <v>109642.39311462117</v>
      </c>
      <c r="I116" s="577">
        <f t="shared" si="21"/>
        <v>109642.39311462117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 ht="12.5">
      <c r="B117" s="195" t="str">
        <f t="shared" si="16"/>
        <v/>
      </c>
      <c r="C117" s="507">
        <f>IF(D93="","-",+C116+1)</f>
        <v>2035</v>
      </c>
      <c r="D117" s="374">
        <f>IF(F116+SUM(E$99:E116)=D$92,F116,D$92-SUM(E$99:E116))</f>
        <v>728314.95930232562</v>
      </c>
      <c r="E117" s="522">
        <f>IF(+J96&lt;F116,J96,D117)</f>
        <v>29697.428571428572</v>
      </c>
      <c r="F117" s="523">
        <f t="shared" si="18"/>
        <v>698617.5307308971</v>
      </c>
      <c r="G117" s="523">
        <f t="shared" si="19"/>
        <v>713466.24501661141</v>
      </c>
      <c r="H117" s="526">
        <f t="shared" si="20"/>
        <v>106447.72690777571</v>
      </c>
      <c r="I117" s="577">
        <f t="shared" si="21"/>
        <v>106447.72690777571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 ht="12.5">
      <c r="B118" s="195" t="str">
        <f t="shared" si="16"/>
        <v/>
      </c>
      <c r="C118" s="507">
        <f>IF(D93="","-",+C117+1)</f>
        <v>2036</v>
      </c>
      <c r="D118" s="374">
        <f>IF(F117+SUM(E$99:E117)=D$92,F117,D$92-SUM(E$99:E117))</f>
        <v>698617.5307308971</v>
      </c>
      <c r="E118" s="522">
        <f>IF(+J96&lt;F117,J96,D118)</f>
        <v>29697.428571428572</v>
      </c>
      <c r="F118" s="523">
        <f t="shared" si="18"/>
        <v>668920.10215946857</v>
      </c>
      <c r="G118" s="523">
        <f t="shared" si="19"/>
        <v>683768.81644518278</v>
      </c>
      <c r="H118" s="526">
        <f t="shared" si="20"/>
        <v>103253.06070093022</v>
      </c>
      <c r="I118" s="577">
        <f t="shared" si="21"/>
        <v>103253.06070093022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 ht="12.5">
      <c r="B119" s="195" t="str">
        <f t="shared" si="16"/>
        <v/>
      </c>
      <c r="C119" s="507">
        <f>IF(D93="","-",+C118+1)</f>
        <v>2037</v>
      </c>
      <c r="D119" s="374">
        <f>IF(F118+SUM(E$99:E118)=D$92,F118,D$92-SUM(E$99:E118))</f>
        <v>668920.10215946857</v>
      </c>
      <c r="E119" s="522">
        <f>IF(+J96&lt;F118,J96,D119)</f>
        <v>29697.428571428572</v>
      </c>
      <c r="F119" s="523">
        <f t="shared" si="18"/>
        <v>639222.67358804005</v>
      </c>
      <c r="G119" s="523">
        <f t="shared" si="19"/>
        <v>654071.38787375437</v>
      </c>
      <c r="H119" s="526">
        <f t="shared" si="20"/>
        <v>100058.39449408476</v>
      </c>
      <c r="I119" s="577">
        <f t="shared" si="21"/>
        <v>100058.39449408476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 ht="12.5">
      <c r="B120" s="195" t="str">
        <f t="shared" si="16"/>
        <v/>
      </c>
      <c r="C120" s="507">
        <f>IF(D93="","-",+C119+1)</f>
        <v>2038</v>
      </c>
      <c r="D120" s="374">
        <f>IF(F119+SUM(E$99:E119)=D$92,F119,D$92-SUM(E$99:E119))</f>
        <v>639222.67358804005</v>
      </c>
      <c r="E120" s="522">
        <f>IF(+J96&lt;F119,J96,D120)</f>
        <v>29697.428571428572</v>
      </c>
      <c r="F120" s="523">
        <f t="shared" si="18"/>
        <v>609525.24501661153</v>
      </c>
      <c r="G120" s="523">
        <f t="shared" si="19"/>
        <v>624373.95930232573</v>
      </c>
      <c r="H120" s="526">
        <f t="shared" si="20"/>
        <v>96863.728287239268</v>
      </c>
      <c r="I120" s="577">
        <f t="shared" si="21"/>
        <v>96863.728287239268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 ht="12.5">
      <c r="B121" s="195" t="str">
        <f t="shared" si="16"/>
        <v/>
      </c>
      <c r="C121" s="507">
        <f>IF(D93="","-",+C120+1)</f>
        <v>2039</v>
      </c>
      <c r="D121" s="374">
        <f>IF(F120+SUM(E$99:E120)=D$92,F120,D$92-SUM(E$99:E120))</f>
        <v>609525.24501661153</v>
      </c>
      <c r="E121" s="522">
        <f>IF(+J96&lt;F120,J96,D121)</f>
        <v>29697.428571428572</v>
      </c>
      <c r="F121" s="523">
        <f t="shared" si="18"/>
        <v>579827.81644518301</v>
      </c>
      <c r="G121" s="523">
        <f t="shared" si="19"/>
        <v>594676.53073089733</v>
      </c>
      <c r="H121" s="526">
        <f t="shared" si="20"/>
        <v>93669.062080393822</v>
      </c>
      <c r="I121" s="577">
        <f t="shared" si="21"/>
        <v>93669.062080393822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 ht="12.5">
      <c r="B122" s="195" t="str">
        <f t="shared" si="16"/>
        <v/>
      </c>
      <c r="C122" s="507">
        <f>IF(D93="","-",+C121+1)</f>
        <v>2040</v>
      </c>
      <c r="D122" s="374">
        <f>IF(F121+SUM(E$99:E121)=D$92,F121,D$92-SUM(E$99:E121))</f>
        <v>579827.81644518301</v>
      </c>
      <c r="E122" s="522">
        <f>IF(+J96&lt;F121,J96,D122)</f>
        <v>29697.428571428572</v>
      </c>
      <c r="F122" s="523">
        <f t="shared" si="18"/>
        <v>550130.38787375449</v>
      </c>
      <c r="G122" s="523">
        <f t="shared" si="19"/>
        <v>564979.10215946869</v>
      </c>
      <c r="H122" s="526">
        <f t="shared" si="20"/>
        <v>90474.395873548347</v>
      </c>
      <c r="I122" s="577">
        <f t="shared" si="21"/>
        <v>90474.395873548347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 ht="12.5">
      <c r="B123" s="195" t="str">
        <f t="shared" si="16"/>
        <v/>
      </c>
      <c r="C123" s="507">
        <f>IF(D93="","-",+C122+1)</f>
        <v>2041</v>
      </c>
      <c r="D123" s="374">
        <f>IF(F122+SUM(E$99:E122)=D$92,F122,D$92-SUM(E$99:E122))</f>
        <v>550130.38787375449</v>
      </c>
      <c r="E123" s="522">
        <f>IF(+J96&lt;F122,J96,D123)</f>
        <v>29697.428571428572</v>
      </c>
      <c r="F123" s="523">
        <f t="shared" si="18"/>
        <v>520432.95930232591</v>
      </c>
      <c r="G123" s="523">
        <f t="shared" si="19"/>
        <v>535281.67358804017</v>
      </c>
      <c r="H123" s="526">
        <f t="shared" si="20"/>
        <v>87279.729666702871</v>
      </c>
      <c r="I123" s="577">
        <f t="shared" si="21"/>
        <v>87279.729666702871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 ht="12.5">
      <c r="B124" s="195" t="str">
        <f t="shared" si="16"/>
        <v/>
      </c>
      <c r="C124" s="507">
        <f>IF(D93="","-",+C123+1)</f>
        <v>2042</v>
      </c>
      <c r="D124" s="374">
        <f>IF(F123+SUM(E$99:E123)=D$92,F123,D$92-SUM(E$99:E123))</f>
        <v>520432.95930232591</v>
      </c>
      <c r="E124" s="522">
        <f>IF(+J96&lt;F123,J96,D124)</f>
        <v>29697.428571428572</v>
      </c>
      <c r="F124" s="523">
        <f t="shared" si="18"/>
        <v>490735.53073089733</v>
      </c>
      <c r="G124" s="523">
        <f t="shared" si="19"/>
        <v>505584.24501661165</v>
      </c>
      <c r="H124" s="526">
        <f t="shared" si="20"/>
        <v>84085.063459857396</v>
      </c>
      <c r="I124" s="577">
        <f t="shared" si="21"/>
        <v>84085.063459857396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 ht="12.5">
      <c r="B125" s="195" t="str">
        <f t="shared" si="16"/>
        <v/>
      </c>
      <c r="C125" s="507">
        <f>IF(D93="","-",+C124+1)</f>
        <v>2043</v>
      </c>
      <c r="D125" s="374">
        <f>IF(F124+SUM(E$99:E124)=D$92,F124,D$92-SUM(E$99:E124))</f>
        <v>490735.53073089733</v>
      </c>
      <c r="E125" s="522">
        <f>IF(+J96&lt;F124,J96,D125)</f>
        <v>29697.428571428572</v>
      </c>
      <c r="F125" s="523">
        <f t="shared" si="18"/>
        <v>461038.10215946875</v>
      </c>
      <c r="G125" s="523">
        <f t="shared" si="19"/>
        <v>475886.81644518301</v>
      </c>
      <c r="H125" s="526">
        <f t="shared" si="20"/>
        <v>80890.397253011921</v>
      </c>
      <c r="I125" s="577">
        <f t="shared" si="21"/>
        <v>80890.397253011921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 ht="12.5">
      <c r="B126" s="195" t="str">
        <f t="shared" si="16"/>
        <v/>
      </c>
      <c r="C126" s="507">
        <f>IF(D93="","-",+C125+1)</f>
        <v>2044</v>
      </c>
      <c r="D126" s="374">
        <f>IF(F125+SUM(E$99:E125)=D$92,F125,D$92-SUM(E$99:E125))</f>
        <v>461038.10215946875</v>
      </c>
      <c r="E126" s="522">
        <f>IF(+J96&lt;F125,J96,D126)</f>
        <v>29697.428571428572</v>
      </c>
      <c r="F126" s="523">
        <f t="shared" si="18"/>
        <v>431340.67358804017</v>
      </c>
      <c r="G126" s="523">
        <f t="shared" si="19"/>
        <v>446189.38787375449</v>
      </c>
      <c r="H126" s="526">
        <f t="shared" si="20"/>
        <v>77695.731046166446</v>
      </c>
      <c r="I126" s="577">
        <f t="shared" si="21"/>
        <v>77695.731046166446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 ht="12.5">
      <c r="B127" s="195" t="str">
        <f t="shared" si="16"/>
        <v/>
      </c>
      <c r="C127" s="507">
        <f>IF(D93="","-",+C126+1)</f>
        <v>2045</v>
      </c>
      <c r="D127" s="374">
        <f>IF(F126+SUM(E$99:E126)=D$92,F126,D$92-SUM(E$99:E126))</f>
        <v>431340.67358804017</v>
      </c>
      <c r="E127" s="522">
        <f>IF(+J96&lt;F126,J96,D127)</f>
        <v>29697.428571428572</v>
      </c>
      <c r="F127" s="523">
        <f t="shared" si="18"/>
        <v>401643.24501661159</v>
      </c>
      <c r="G127" s="523">
        <f t="shared" si="19"/>
        <v>416491.95930232585</v>
      </c>
      <c r="H127" s="526">
        <f t="shared" si="20"/>
        <v>74501.06483932097</v>
      </c>
      <c r="I127" s="577">
        <f t="shared" si="21"/>
        <v>74501.06483932097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 ht="12.5">
      <c r="B128" s="195" t="str">
        <f t="shared" si="16"/>
        <v/>
      </c>
      <c r="C128" s="507">
        <f>IF(D93="","-",+C127+1)</f>
        <v>2046</v>
      </c>
      <c r="D128" s="374">
        <f>IF(F127+SUM(E$99:E127)=D$92,F127,D$92-SUM(E$99:E127))</f>
        <v>401643.24501661159</v>
      </c>
      <c r="E128" s="522">
        <f>IF(+J96&lt;F127,J96,D128)</f>
        <v>29697.428571428572</v>
      </c>
      <c r="F128" s="523">
        <f t="shared" si="18"/>
        <v>371945.81644518301</v>
      </c>
      <c r="G128" s="523">
        <f t="shared" si="19"/>
        <v>386794.53073089733</v>
      </c>
      <c r="H128" s="526">
        <f t="shared" si="20"/>
        <v>71306.398632475495</v>
      </c>
      <c r="I128" s="577">
        <f t="shared" si="21"/>
        <v>71306.398632475495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 ht="12.5">
      <c r="B129" s="195" t="str">
        <f t="shared" si="16"/>
        <v/>
      </c>
      <c r="C129" s="507">
        <f>IF(D93="","-",+C128+1)</f>
        <v>2047</v>
      </c>
      <c r="D129" s="374">
        <f>IF(F128+SUM(E$99:E128)=D$92,F128,D$92-SUM(E$99:E128))</f>
        <v>371945.81644518301</v>
      </c>
      <c r="E129" s="522">
        <f>IF(+J96&lt;F128,J96,D129)</f>
        <v>29697.428571428572</v>
      </c>
      <c r="F129" s="523">
        <f t="shared" si="18"/>
        <v>342248.38787375443</v>
      </c>
      <c r="G129" s="523">
        <f t="shared" si="19"/>
        <v>357097.10215946869</v>
      </c>
      <c r="H129" s="526">
        <f t="shared" si="20"/>
        <v>68111.73242563002</v>
      </c>
      <c r="I129" s="577">
        <f t="shared" si="21"/>
        <v>68111.73242563002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 ht="12.5">
      <c r="B130" s="195" t="str">
        <f t="shared" si="16"/>
        <v/>
      </c>
      <c r="C130" s="507">
        <f>IF(D93="","-",+C129+1)</f>
        <v>2048</v>
      </c>
      <c r="D130" s="374">
        <f>IF(F129+SUM(E$99:E129)=D$92,F129,D$92-SUM(E$99:E129))</f>
        <v>342248.38787375443</v>
      </c>
      <c r="E130" s="522">
        <f>IF(+J96&lt;F129,J96,D130)</f>
        <v>29697.428571428572</v>
      </c>
      <c r="F130" s="523">
        <f t="shared" si="18"/>
        <v>312550.95930232585</v>
      </c>
      <c r="G130" s="523">
        <f t="shared" si="19"/>
        <v>327399.67358804017</v>
      </c>
      <c r="H130" s="526">
        <f t="shared" si="20"/>
        <v>64917.066218784552</v>
      </c>
      <c r="I130" s="577">
        <f t="shared" si="21"/>
        <v>64917.066218784552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 ht="12.5">
      <c r="B131" s="195" t="str">
        <f t="shared" si="16"/>
        <v/>
      </c>
      <c r="C131" s="507">
        <f>IF(D93="","-",+C130+1)</f>
        <v>2049</v>
      </c>
      <c r="D131" s="374">
        <f>IF(F130+SUM(E$99:E130)=D$92,F130,D$92-SUM(E$99:E130))</f>
        <v>312550.95930232585</v>
      </c>
      <c r="E131" s="522">
        <f>IF(+J96&lt;F130,J96,D131)</f>
        <v>29697.428571428572</v>
      </c>
      <c r="F131" s="523">
        <f t="shared" ref="F131:F154" si="22">+D131-E131</f>
        <v>282853.53073089727</v>
      </c>
      <c r="G131" s="523">
        <f t="shared" ref="G131:G154" si="23">+(F131+D131)/2</f>
        <v>297702.24501661153</v>
      </c>
      <c r="H131" s="526">
        <f t="shared" si="20"/>
        <v>61722.400011939069</v>
      </c>
      <c r="I131" s="577">
        <f t="shared" si="21"/>
        <v>61722.400011939069</v>
      </c>
      <c r="J131" s="514">
        <f t="shared" ref="J131:J154" si="24">+I541-H541</f>
        <v>0</v>
      </c>
      <c r="K131" s="514"/>
      <c r="L131" s="525"/>
      <c r="M131" s="514">
        <f t="shared" ref="M131:M154" si="25">IF(L541&lt;&gt;0,+H541-L541,0)</f>
        <v>0</v>
      </c>
      <c r="N131" s="525"/>
      <c r="O131" s="514">
        <f t="shared" ref="O131:O154" si="26">IF(N541&lt;&gt;0,+I541-N541,0)</f>
        <v>0</v>
      </c>
      <c r="P131" s="514">
        <f t="shared" ref="P131:P154" si="27">+O541-M541</f>
        <v>0</v>
      </c>
    </row>
    <row r="132" spans="2:16" ht="12.5">
      <c r="B132" s="195" t="str">
        <f t="shared" si="16"/>
        <v/>
      </c>
      <c r="C132" s="507">
        <f>IF(D93="","-",+C131+1)</f>
        <v>2050</v>
      </c>
      <c r="D132" s="374">
        <f>IF(F131+SUM(E$99:E131)=D$92,F131,D$92-SUM(E$99:E131))</f>
        <v>282853.53073089727</v>
      </c>
      <c r="E132" s="522">
        <f>IF(+J96&lt;F131,J96,D132)</f>
        <v>29697.428571428572</v>
      </c>
      <c r="F132" s="523">
        <f t="shared" si="22"/>
        <v>253156.10215946869</v>
      </c>
      <c r="G132" s="523">
        <f t="shared" si="23"/>
        <v>268004.81644518301</v>
      </c>
      <c r="H132" s="526">
        <f t="shared" si="20"/>
        <v>58527.733805093601</v>
      </c>
      <c r="I132" s="577">
        <f t="shared" si="21"/>
        <v>58527.733805093601</v>
      </c>
      <c r="J132" s="514">
        <f t="shared" si="24"/>
        <v>0</v>
      </c>
      <c r="K132" s="514"/>
      <c r="L132" s="525"/>
      <c r="M132" s="514">
        <f t="shared" si="25"/>
        <v>0</v>
      </c>
      <c r="N132" s="525"/>
      <c r="O132" s="514">
        <f t="shared" si="26"/>
        <v>0</v>
      </c>
      <c r="P132" s="514">
        <f t="shared" si="27"/>
        <v>0</v>
      </c>
    </row>
    <row r="133" spans="2:16" ht="12.5">
      <c r="B133" s="195" t="str">
        <f t="shared" si="16"/>
        <v/>
      </c>
      <c r="C133" s="507">
        <f>IF(D93="","-",+C132+1)</f>
        <v>2051</v>
      </c>
      <c r="D133" s="374">
        <f>IF(F132+SUM(E$99:E132)=D$92,F132,D$92-SUM(E$99:E132))</f>
        <v>253156.10215946869</v>
      </c>
      <c r="E133" s="522">
        <f>IF(+J96&lt;F132,J96,D133)</f>
        <v>29697.428571428572</v>
      </c>
      <c r="F133" s="523">
        <f t="shared" si="22"/>
        <v>223458.67358804011</v>
      </c>
      <c r="G133" s="523">
        <f t="shared" si="23"/>
        <v>238307.3878737544</v>
      </c>
      <c r="H133" s="526">
        <f t="shared" si="20"/>
        <v>55333.067598248119</v>
      </c>
      <c r="I133" s="577">
        <f t="shared" si="21"/>
        <v>55333.067598248119</v>
      </c>
      <c r="J133" s="514">
        <f t="shared" si="24"/>
        <v>0</v>
      </c>
      <c r="K133" s="514"/>
      <c r="L133" s="525"/>
      <c r="M133" s="514">
        <f t="shared" si="25"/>
        <v>0</v>
      </c>
      <c r="N133" s="525"/>
      <c r="O133" s="514">
        <f t="shared" si="26"/>
        <v>0</v>
      </c>
      <c r="P133" s="514">
        <f t="shared" si="27"/>
        <v>0</v>
      </c>
    </row>
    <row r="134" spans="2:16" ht="12.5">
      <c r="B134" s="195" t="str">
        <f t="shared" si="16"/>
        <v/>
      </c>
      <c r="C134" s="507">
        <f>IF(D93="","-",+C133+1)</f>
        <v>2052</v>
      </c>
      <c r="D134" s="374">
        <f>IF(F133+SUM(E$99:E133)=D$92,F133,D$92-SUM(E$99:E133))</f>
        <v>223458.67358804011</v>
      </c>
      <c r="E134" s="522">
        <f>IF(+J96&lt;F133,J96,D134)</f>
        <v>29697.428571428572</v>
      </c>
      <c r="F134" s="523">
        <f t="shared" si="22"/>
        <v>193761.24501661153</v>
      </c>
      <c r="G134" s="523">
        <f t="shared" si="23"/>
        <v>208609.95930232582</v>
      </c>
      <c r="H134" s="526">
        <f t="shared" si="20"/>
        <v>52138.401391402644</v>
      </c>
      <c r="I134" s="577">
        <f t="shared" si="21"/>
        <v>52138.401391402644</v>
      </c>
      <c r="J134" s="514">
        <f t="shared" si="24"/>
        <v>0</v>
      </c>
      <c r="K134" s="514"/>
      <c r="L134" s="525"/>
      <c r="M134" s="514">
        <f t="shared" si="25"/>
        <v>0</v>
      </c>
      <c r="N134" s="525"/>
      <c r="O134" s="514">
        <f t="shared" si="26"/>
        <v>0</v>
      </c>
      <c r="P134" s="514">
        <f t="shared" si="27"/>
        <v>0</v>
      </c>
    </row>
    <row r="135" spans="2:16" ht="12.5">
      <c r="B135" s="195" t="str">
        <f t="shared" si="16"/>
        <v/>
      </c>
      <c r="C135" s="507">
        <f>IF(D93="","-",+C134+1)</f>
        <v>2053</v>
      </c>
      <c r="D135" s="374">
        <f>IF(F134+SUM(E$99:E134)=D$92,F134,D$92-SUM(E$99:E134))</f>
        <v>193761.24501661153</v>
      </c>
      <c r="E135" s="522">
        <f>IF(+J96&lt;F134,J96,D135)</f>
        <v>29697.428571428572</v>
      </c>
      <c r="F135" s="523">
        <f t="shared" si="22"/>
        <v>164063.81644518295</v>
      </c>
      <c r="G135" s="523">
        <f t="shared" si="23"/>
        <v>178912.53073089724</v>
      </c>
      <c r="H135" s="526">
        <f t="shared" si="20"/>
        <v>48943.735184557168</v>
      </c>
      <c r="I135" s="577">
        <f t="shared" si="21"/>
        <v>48943.735184557168</v>
      </c>
      <c r="J135" s="514">
        <f t="shared" si="24"/>
        <v>0</v>
      </c>
      <c r="K135" s="514"/>
      <c r="L135" s="525"/>
      <c r="M135" s="514">
        <f t="shared" si="25"/>
        <v>0</v>
      </c>
      <c r="N135" s="525"/>
      <c r="O135" s="514">
        <f t="shared" si="26"/>
        <v>0</v>
      </c>
      <c r="P135" s="514">
        <f t="shared" si="27"/>
        <v>0</v>
      </c>
    </row>
    <row r="136" spans="2:16" ht="12.5">
      <c r="B136" s="195" t="str">
        <f t="shared" si="16"/>
        <v/>
      </c>
      <c r="C136" s="507">
        <f>IF(D93="","-",+C135+1)</f>
        <v>2054</v>
      </c>
      <c r="D136" s="374">
        <f>IF(F135+SUM(E$99:E135)=D$92,F135,D$92-SUM(E$99:E135))</f>
        <v>164063.81644518295</v>
      </c>
      <c r="E136" s="522">
        <f>IF(+J96&lt;F135,J96,D136)</f>
        <v>29697.428571428572</v>
      </c>
      <c r="F136" s="523">
        <f t="shared" si="22"/>
        <v>134366.38787375437</v>
      </c>
      <c r="G136" s="523">
        <f t="shared" si="23"/>
        <v>149215.10215946866</v>
      </c>
      <c r="H136" s="526">
        <f t="shared" si="20"/>
        <v>45749.068977711693</v>
      </c>
      <c r="I136" s="577">
        <f t="shared" si="21"/>
        <v>45749.068977711693</v>
      </c>
      <c r="J136" s="514">
        <f t="shared" si="24"/>
        <v>0</v>
      </c>
      <c r="K136" s="514"/>
      <c r="L136" s="525"/>
      <c r="M136" s="514">
        <f t="shared" si="25"/>
        <v>0</v>
      </c>
      <c r="N136" s="525"/>
      <c r="O136" s="514">
        <f t="shared" si="26"/>
        <v>0</v>
      </c>
      <c r="P136" s="514">
        <f t="shared" si="27"/>
        <v>0</v>
      </c>
    </row>
    <row r="137" spans="2:16" ht="12.5">
      <c r="B137" s="195" t="str">
        <f t="shared" si="16"/>
        <v/>
      </c>
      <c r="C137" s="507">
        <f>IF(D93="","-",+C136+1)</f>
        <v>2055</v>
      </c>
      <c r="D137" s="374">
        <f>IF(F136+SUM(E$99:E136)=D$92,F136,D$92-SUM(E$99:E136))</f>
        <v>134366.38787375437</v>
      </c>
      <c r="E137" s="522">
        <f>IF(+J96&lt;F136,J96,D137)</f>
        <v>29697.428571428572</v>
      </c>
      <c r="F137" s="523">
        <f t="shared" si="22"/>
        <v>104668.95930232579</v>
      </c>
      <c r="G137" s="523">
        <f t="shared" si="23"/>
        <v>119517.67358804008</v>
      </c>
      <c r="H137" s="526">
        <f t="shared" si="20"/>
        <v>42554.402770866218</v>
      </c>
      <c r="I137" s="577">
        <f t="shared" si="21"/>
        <v>42554.402770866218</v>
      </c>
      <c r="J137" s="514">
        <f t="shared" si="24"/>
        <v>0</v>
      </c>
      <c r="K137" s="514"/>
      <c r="L137" s="525"/>
      <c r="M137" s="514">
        <f t="shared" si="25"/>
        <v>0</v>
      </c>
      <c r="N137" s="525"/>
      <c r="O137" s="514">
        <f t="shared" si="26"/>
        <v>0</v>
      </c>
      <c r="P137" s="514">
        <f t="shared" si="27"/>
        <v>0</v>
      </c>
    </row>
    <row r="138" spans="2:16" ht="12.5">
      <c r="B138" s="195" t="str">
        <f t="shared" si="16"/>
        <v/>
      </c>
      <c r="C138" s="507">
        <f>IF(D93="","-",+C137+1)</f>
        <v>2056</v>
      </c>
      <c r="D138" s="374">
        <f>IF(F137+SUM(E$99:E137)=D$92,F137,D$92-SUM(E$99:E137))</f>
        <v>104668.95930232579</v>
      </c>
      <c r="E138" s="522">
        <f>IF(+J96&lt;F137,J96,D138)</f>
        <v>29697.428571428572</v>
      </c>
      <c r="F138" s="523">
        <f t="shared" si="22"/>
        <v>74971.530730897211</v>
      </c>
      <c r="G138" s="523">
        <f t="shared" si="23"/>
        <v>89820.245016611501</v>
      </c>
      <c r="H138" s="526">
        <f t="shared" si="20"/>
        <v>39359.736564020743</v>
      </c>
      <c r="I138" s="577">
        <f t="shared" si="21"/>
        <v>39359.736564020743</v>
      </c>
      <c r="J138" s="514">
        <f t="shared" si="24"/>
        <v>0</v>
      </c>
      <c r="K138" s="514"/>
      <c r="L138" s="525"/>
      <c r="M138" s="514">
        <f t="shared" si="25"/>
        <v>0</v>
      </c>
      <c r="N138" s="525"/>
      <c r="O138" s="514">
        <f t="shared" si="26"/>
        <v>0</v>
      </c>
      <c r="P138" s="514">
        <f t="shared" si="27"/>
        <v>0</v>
      </c>
    </row>
    <row r="139" spans="2:16" ht="12.5">
      <c r="B139" s="195" t="str">
        <f t="shared" si="16"/>
        <v/>
      </c>
      <c r="C139" s="507">
        <f>IF(D93="","-",+C138+1)</f>
        <v>2057</v>
      </c>
      <c r="D139" s="374">
        <f>IF(F138+SUM(E$99:E138)=D$92,F138,D$92-SUM(E$99:E138))</f>
        <v>74971.530730897211</v>
      </c>
      <c r="E139" s="522">
        <f>IF(+J96&lt;F138,J96,D139)</f>
        <v>29697.428571428572</v>
      </c>
      <c r="F139" s="523">
        <f t="shared" si="22"/>
        <v>45274.102159468639</v>
      </c>
      <c r="G139" s="523">
        <f t="shared" si="23"/>
        <v>60122.816445182922</v>
      </c>
      <c r="H139" s="526">
        <f t="shared" si="20"/>
        <v>36165.070357175267</v>
      </c>
      <c r="I139" s="577">
        <f t="shared" si="21"/>
        <v>36165.070357175267</v>
      </c>
      <c r="J139" s="514">
        <f t="shared" si="24"/>
        <v>0</v>
      </c>
      <c r="K139" s="514"/>
      <c r="L139" s="525"/>
      <c r="M139" s="514">
        <f t="shared" si="25"/>
        <v>0</v>
      </c>
      <c r="N139" s="525"/>
      <c r="O139" s="514">
        <f t="shared" si="26"/>
        <v>0</v>
      </c>
      <c r="P139" s="514">
        <f t="shared" si="27"/>
        <v>0</v>
      </c>
    </row>
    <row r="140" spans="2:16" ht="12.5">
      <c r="B140" s="195" t="str">
        <f t="shared" si="16"/>
        <v/>
      </c>
      <c r="C140" s="507">
        <f>IF(D93="","-",+C139+1)</f>
        <v>2058</v>
      </c>
      <c r="D140" s="374">
        <f>IF(F139+SUM(E$99:E139)=D$92,F139,D$92-SUM(E$99:E139))</f>
        <v>45274.102159468639</v>
      </c>
      <c r="E140" s="522">
        <f>IF(+J96&lt;F139,J96,D140)</f>
        <v>29697.428571428572</v>
      </c>
      <c r="F140" s="523">
        <f t="shared" si="22"/>
        <v>15576.673588040067</v>
      </c>
      <c r="G140" s="523">
        <f t="shared" si="23"/>
        <v>30425.387873754353</v>
      </c>
      <c r="H140" s="526">
        <f t="shared" si="20"/>
        <v>32970.404150329792</v>
      </c>
      <c r="I140" s="577">
        <f t="shared" si="21"/>
        <v>32970.404150329792</v>
      </c>
      <c r="J140" s="514">
        <f t="shared" si="24"/>
        <v>0</v>
      </c>
      <c r="K140" s="514"/>
      <c r="L140" s="525"/>
      <c r="M140" s="514">
        <f t="shared" si="25"/>
        <v>0</v>
      </c>
      <c r="N140" s="525"/>
      <c r="O140" s="514">
        <f t="shared" si="26"/>
        <v>0</v>
      </c>
      <c r="P140" s="514">
        <f t="shared" si="27"/>
        <v>0</v>
      </c>
    </row>
    <row r="141" spans="2:16" ht="12.5">
      <c r="B141" s="195" t="str">
        <f t="shared" si="16"/>
        <v/>
      </c>
      <c r="C141" s="507">
        <f>IF(D93="","-",+C140+1)</f>
        <v>2059</v>
      </c>
      <c r="D141" s="374">
        <f>IF(F140+SUM(E$99:E140)=D$92,F140,D$92-SUM(E$99:E140))</f>
        <v>15576.673588040067</v>
      </c>
      <c r="E141" s="522">
        <f>IF(+J96&lt;F140,J96,D141)</f>
        <v>15576.673588040067</v>
      </c>
      <c r="F141" s="523">
        <f t="shared" si="22"/>
        <v>0</v>
      </c>
      <c r="G141" s="523">
        <f t="shared" si="23"/>
        <v>7788.3367940200333</v>
      </c>
      <c r="H141" s="526">
        <f t="shared" si="20"/>
        <v>16414.494825779308</v>
      </c>
      <c r="I141" s="577">
        <f t="shared" si="21"/>
        <v>16414.494825779308</v>
      </c>
      <c r="J141" s="514">
        <f t="shared" si="24"/>
        <v>0</v>
      </c>
      <c r="K141" s="514"/>
      <c r="L141" s="525"/>
      <c r="M141" s="514">
        <f t="shared" si="25"/>
        <v>0</v>
      </c>
      <c r="N141" s="525"/>
      <c r="O141" s="514">
        <f t="shared" si="26"/>
        <v>0</v>
      </c>
      <c r="P141" s="514">
        <f t="shared" si="27"/>
        <v>0</v>
      </c>
    </row>
    <row r="142" spans="2:16" ht="12.5">
      <c r="B142" s="195" t="str">
        <f t="shared" si="16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2"/>
        <v>0</v>
      </c>
      <c r="G142" s="523">
        <f t="shared" si="23"/>
        <v>0</v>
      </c>
      <c r="H142" s="526">
        <f t="shared" si="20"/>
        <v>0</v>
      </c>
      <c r="I142" s="577">
        <f t="shared" si="21"/>
        <v>0</v>
      </c>
      <c r="J142" s="514">
        <f t="shared" si="24"/>
        <v>0</v>
      </c>
      <c r="K142" s="514"/>
      <c r="L142" s="525"/>
      <c r="M142" s="514">
        <f t="shared" si="25"/>
        <v>0</v>
      </c>
      <c r="N142" s="525"/>
      <c r="O142" s="514">
        <f t="shared" si="26"/>
        <v>0</v>
      </c>
      <c r="P142" s="514">
        <f t="shared" si="27"/>
        <v>0</v>
      </c>
    </row>
    <row r="143" spans="2:16" ht="12.5">
      <c r="B143" s="195" t="str">
        <f t="shared" si="16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2"/>
        <v>0</v>
      </c>
      <c r="G143" s="523">
        <f t="shared" si="23"/>
        <v>0</v>
      </c>
      <c r="H143" s="526">
        <f t="shared" si="20"/>
        <v>0</v>
      </c>
      <c r="I143" s="577">
        <f t="shared" si="21"/>
        <v>0</v>
      </c>
      <c r="J143" s="514">
        <f t="shared" si="24"/>
        <v>0</v>
      </c>
      <c r="K143" s="514"/>
      <c r="L143" s="525"/>
      <c r="M143" s="514">
        <f t="shared" si="25"/>
        <v>0</v>
      </c>
      <c r="N143" s="525"/>
      <c r="O143" s="514">
        <f t="shared" si="26"/>
        <v>0</v>
      </c>
      <c r="P143" s="514">
        <f t="shared" si="27"/>
        <v>0</v>
      </c>
    </row>
    <row r="144" spans="2:16" ht="12.5">
      <c r="B144" s="195" t="str">
        <f t="shared" si="16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2"/>
        <v>0</v>
      </c>
      <c r="G144" s="523">
        <f t="shared" si="23"/>
        <v>0</v>
      </c>
      <c r="H144" s="526">
        <f t="shared" si="20"/>
        <v>0</v>
      </c>
      <c r="I144" s="577">
        <f t="shared" si="21"/>
        <v>0</v>
      </c>
      <c r="J144" s="514">
        <f t="shared" si="24"/>
        <v>0</v>
      </c>
      <c r="K144" s="514"/>
      <c r="L144" s="525"/>
      <c r="M144" s="514">
        <f t="shared" si="25"/>
        <v>0</v>
      </c>
      <c r="N144" s="525"/>
      <c r="O144" s="514">
        <f t="shared" si="26"/>
        <v>0</v>
      </c>
      <c r="P144" s="514">
        <f t="shared" si="27"/>
        <v>0</v>
      </c>
    </row>
    <row r="145" spans="2:16" ht="12.5">
      <c r="B145" s="195" t="str">
        <f t="shared" si="16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2"/>
        <v>0</v>
      </c>
      <c r="G145" s="523">
        <f t="shared" si="23"/>
        <v>0</v>
      </c>
      <c r="H145" s="526">
        <f t="shared" si="20"/>
        <v>0</v>
      </c>
      <c r="I145" s="577">
        <f t="shared" si="21"/>
        <v>0</v>
      </c>
      <c r="J145" s="514">
        <f t="shared" si="24"/>
        <v>0</v>
      </c>
      <c r="K145" s="514"/>
      <c r="L145" s="525"/>
      <c r="M145" s="514">
        <f t="shared" si="25"/>
        <v>0</v>
      </c>
      <c r="N145" s="525"/>
      <c r="O145" s="514">
        <f t="shared" si="26"/>
        <v>0</v>
      </c>
      <c r="P145" s="514">
        <f t="shared" si="27"/>
        <v>0</v>
      </c>
    </row>
    <row r="146" spans="2:16" ht="12.5">
      <c r="B146" s="195" t="str">
        <f t="shared" si="16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2"/>
        <v>0</v>
      </c>
      <c r="G146" s="523">
        <f t="shared" si="23"/>
        <v>0</v>
      </c>
      <c r="H146" s="526">
        <f t="shared" si="20"/>
        <v>0</v>
      </c>
      <c r="I146" s="577">
        <f t="shared" si="21"/>
        <v>0</v>
      </c>
      <c r="J146" s="514">
        <f t="shared" si="24"/>
        <v>0</v>
      </c>
      <c r="K146" s="514"/>
      <c r="L146" s="525"/>
      <c r="M146" s="514">
        <f t="shared" si="25"/>
        <v>0</v>
      </c>
      <c r="N146" s="525"/>
      <c r="O146" s="514">
        <f t="shared" si="26"/>
        <v>0</v>
      </c>
      <c r="P146" s="514">
        <f t="shared" si="27"/>
        <v>0</v>
      </c>
    </row>
    <row r="147" spans="2:16" ht="12.5">
      <c r="B147" s="195" t="str">
        <f t="shared" si="16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2"/>
        <v>0</v>
      </c>
      <c r="G147" s="523">
        <f t="shared" si="23"/>
        <v>0</v>
      </c>
      <c r="H147" s="526">
        <f t="shared" si="20"/>
        <v>0</v>
      </c>
      <c r="I147" s="577">
        <f t="shared" si="21"/>
        <v>0</v>
      </c>
      <c r="J147" s="514">
        <f t="shared" si="24"/>
        <v>0</v>
      </c>
      <c r="K147" s="514"/>
      <c r="L147" s="525"/>
      <c r="M147" s="514">
        <f t="shared" si="25"/>
        <v>0</v>
      </c>
      <c r="N147" s="525"/>
      <c r="O147" s="514">
        <f t="shared" si="26"/>
        <v>0</v>
      </c>
      <c r="P147" s="514">
        <f t="shared" si="27"/>
        <v>0</v>
      </c>
    </row>
    <row r="148" spans="2:16" ht="12.5">
      <c r="B148" s="195" t="str">
        <f t="shared" si="16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2"/>
        <v>0</v>
      </c>
      <c r="G148" s="523">
        <f t="shared" si="23"/>
        <v>0</v>
      </c>
      <c r="H148" s="526">
        <f t="shared" si="20"/>
        <v>0</v>
      </c>
      <c r="I148" s="577">
        <f t="shared" si="21"/>
        <v>0</v>
      </c>
      <c r="J148" s="514">
        <f t="shared" si="24"/>
        <v>0</v>
      </c>
      <c r="K148" s="514"/>
      <c r="L148" s="525"/>
      <c r="M148" s="514">
        <f t="shared" si="25"/>
        <v>0</v>
      </c>
      <c r="N148" s="525"/>
      <c r="O148" s="514">
        <f t="shared" si="26"/>
        <v>0</v>
      </c>
      <c r="P148" s="514">
        <f t="shared" si="27"/>
        <v>0</v>
      </c>
    </row>
    <row r="149" spans="2:16" ht="12.5">
      <c r="B149" s="195" t="str">
        <f t="shared" si="16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2"/>
        <v>0</v>
      </c>
      <c r="G149" s="523">
        <f t="shared" si="23"/>
        <v>0</v>
      </c>
      <c r="H149" s="526">
        <f t="shared" si="20"/>
        <v>0</v>
      </c>
      <c r="I149" s="577">
        <f t="shared" si="21"/>
        <v>0</v>
      </c>
      <c r="J149" s="514">
        <f t="shared" si="24"/>
        <v>0</v>
      </c>
      <c r="K149" s="514"/>
      <c r="L149" s="525"/>
      <c r="M149" s="514">
        <f t="shared" si="25"/>
        <v>0</v>
      </c>
      <c r="N149" s="525"/>
      <c r="O149" s="514">
        <f t="shared" si="26"/>
        <v>0</v>
      </c>
      <c r="P149" s="514">
        <f t="shared" si="27"/>
        <v>0</v>
      </c>
    </row>
    <row r="150" spans="2:16" ht="12.5">
      <c r="B150" s="195" t="str">
        <f t="shared" si="16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2"/>
        <v>0</v>
      </c>
      <c r="G150" s="523">
        <f t="shared" si="23"/>
        <v>0</v>
      </c>
      <c r="H150" s="526">
        <f t="shared" si="20"/>
        <v>0</v>
      </c>
      <c r="I150" s="577">
        <f t="shared" si="21"/>
        <v>0</v>
      </c>
      <c r="J150" s="514">
        <f t="shared" si="24"/>
        <v>0</v>
      </c>
      <c r="K150" s="514"/>
      <c r="L150" s="525"/>
      <c r="M150" s="514">
        <f t="shared" si="25"/>
        <v>0</v>
      </c>
      <c r="N150" s="525"/>
      <c r="O150" s="514">
        <f t="shared" si="26"/>
        <v>0</v>
      </c>
      <c r="P150" s="514">
        <f t="shared" si="27"/>
        <v>0</v>
      </c>
    </row>
    <row r="151" spans="2:16" ht="12.5">
      <c r="B151" s="195" t="str">
        <f t="shared" si="16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2"/>
        <v>0</v>
      </c>
      <c r="G151" s="523">
        <f t="shared" si="23"/>
        <v>0</v>
      </c>
      <c r="H151" s="526">
        <f t="shared" si="20"/>
        <v>0</v>
      </c>
      <c r="I151" s="577">
        <f t="shared" si="21"/>
        <v>0</v>
      </c>
      <c r="J151" s="514">
        <f t="shared" si="24"/>
        <v>0</v>
      </c>
      <c r="K151" s="514"/>
      <c r="L151" s="525"/>
      <c r="M151" s="514">
        <f t="shared" si="25"/>
        <v>0</v>
      </c>
      <c r="N151" s="525"/>
      <c r="O151" s="514">
        <f t="shared" si="26"/>
        <v>0</v>
      </c>
      <c r="P151" s="514">
        <f t="shared" si="27"/>
        <v>0</v>
      </c>
    </row>
    <row r="152" spans="2:16" ht="12.5">
      <c r="B152" s="195" t="str">
        <f t="shared" si="16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2"/>
        <v>0</v>
      </c>
      <c r="G152" s="523">
        <f t="shared" si="23"/>
        <v>0</v>
      </c>
      <c r="H152" s="526">
        <f t="shared" si="20"/>
        <v>0</v>
      </c>
      <c r="I152" s="577">
        <f t="shared" si="21"/>
        <v>0</v>
      </c>
      <c r="J152" s="514">
        <f t="shared" si="24"/>
        <v>0</v>
      </c>
      <c r="K152" s="514"/>
      <c r="L152" s="525"/>
      <c r="M152" s="514">
        <f t="shared" si="25"/>
        <v>0</v>
      </c>
      <c r="N152" s="525"/>
      <c r="O152" s="514">
        <f t="shared" si="26"/>
        <v>0</v>
      </c>
      <c r="P152" s="514">
        <f t="shared" si="27"/>
        <v>0</v>
      </c>
    </row>
    <row r="153" spans="2:16" ht="12.5">
      <c r="B153" s="195" t="str">
        <f t="shared" si="16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2"/>
        <v>0</v>
      </c>
      <c r="G153" s="523">
        <f t="shared" si="23"/>
        <v>0</v>
      </c>
      <c r="H153" s="526">
        <f t="shared" si="20"/>
        <v>0</v>
      </c>
      <c r="I153" s="577">
        <f t="shared" si="21"/>
        <v>0</v>
      </c>
      <c r="J153" s="514">
        <f t="shared" si="24"/>
        <v>0</v>
      </c>
      <c r="K153" s="514"/>
      <c r="L153" s="525"/>
      <c r="M153" s="514">
        <f t="shared" si="25"/>
        <v>0</v>
      </c>
      <c r="N153" s="525"/>
      <c r="O153" s="514">
        <f t="shared" si="26"/>
        <v>0</v>
      </c>
      <c r="P153" s="514">
        <f t="shared" si="27"/>
        <v>0</v>
      </c>
    </row>
    <row r="154" spans="2:16" ht="13" thickBot="1">
      <c r="B154" s="195" t="str">
        <f t="shared" si="16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2"/>
        <v>0</v>
      </c>
      <c r="G154" s="528">
        <f t="shared" si="23"/>
        <v>0</v>
      </c>
      <c r="H154" s="530">
        <f t="shared" si="20"/>
        <v>0</v>
      </c>
      <c r="I154" s="579">
        <f t="shared" si="21"/>
        <v>0</v>
      </c>
      <c r="J154" s="533">
        <f t="shared" si="24"/>
        <v>0</v>
      </c>
      <c r="K154" s="514"/>
      <c r="L154" s="532"/>
      <c r="M154" s="533">
        <f t="shared" si="25"/>
        <v>0</v>
      </c>
      <c r="N154" s="532"/>
      <c r="O154" s="533">
        <f t="shared" si="26"/>
        <v>0</v>
      </c>
      <c r="P154" s="533">
        <f t="shared" si="27"/>
        <v>0</v>
      </c>
    </row>
    <row r="155" spans="2:16" ht="12.5">
      <c r="C155" s="374" t="s">
        <v>78</v>
      </c>
      <c r="D155" s="375"/>
      <c r="E155" s="375">
        <f>SUM(E99:E154)</f>
        <v>1247291.9999999998</v>
      </c>
      <c r="F155" s="375"/>
      <c r="G155" s="375"/>
      <c r="H155" s="375">
        <f>SUM(H99:H154)</f>
        <v>4073470.3587030782</v>
      </c>
      <c r="I155" s="375">
        <f>SUM(I99:I154)</f>
        <v>4073470.3587030782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3" priority="2" stopIfTrue="1" operator="equal">
      <formula>$I$10</formula>
    </cfRule>
  </conditionalFormatting>
  <conditionalFormatting sqref="C99:C154">
    <cfRule type="cellIs" dxfId="32" priority="3" stopIfTrue="1" operator="equal">
      <formula>$J$92</formula>
    </cfRule>
  </conditionalFormatting>
  <conditionalFormatting sqref="C17">
    <cfRule type="cellIs" dxfId="31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P162"/>
  <sheetViews>
    <sheetView view="pageBreakPreview" zoomScale="80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63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555917.3208188233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555917.3208188233</v>
      </c>
      <c r="O6" s="269"/>
      <c r="P6" s="269"/>
    </row>
    <row r="7" spans="1:16" ht="13.5" thickBot="1">
      <c r="C7" s="467" t="s">
        <v>48</v>
      </c>
      <c r="D7" s="624" t="s">
        <v>387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413</v>
      </c>
      <c r="E9" s="637" t="s">
        <v>414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4648771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110685.02380952382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>
        <v>0</v>
      </c>
      <c r="E17" s="658">
        <v>0</v>
      </c>
      <c r="F17" s="651">
        <v>5508000</v>
      </c>
      <c r="G17" s="659">
        <v>341200.03757960664</v>
      </c>
      <c r="H17" s="657">
        <v>341200.03757960664</v>
      </c>
      <c r="I17" s="511">
        <f t="shared" ref="I17:I72" si="0">H17-G17</f>
        <v>0</v>
      </c>
      <c r="J17" s="511"/>
      <c r="K17" s="512">
        <f>+G17</f>
        <v>341200.03757960664</v>
      </c>
      <c r="L17" s="513">
        <f t="shared" ref="L17:L72" si="1">IF(K17&lt;&gt;0,+G17-K17,0)</f>
        <v>0</v>
      </c>
      <c r="M17" s="512">
        <f>+H17</f>
        <v>341200.03757960664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5508000</v>
      </c>
      <c r="E18" s="630">
        <v>134341.46341463414</v>
      </c>
      <c r="F18" s="631">
        <v>5373658.5365853654</v>
      </c>
      <c r="G18" s="630">
        <v>825838.75669079332</v>
      </c>
      <c r="H18" s="639">
        <v>825838.75669079332</v>
      </c>
      <c r="I18" s="511">
        <f t="shared" si="0"/>
        <v>0</v>
      </c>
      <c r="J18" s="511"/>
      <c r="K18" s="518">
        <f>+G18</f>
        <v>825838.75669079332</v>
      </c>
      <c r="L18" s="519">
        <f t="shared" si="1"/>
        <v>0</v>
      </c>
      <c r="M18" s="518">
        <f>+H18</f>
        <v>825838.75669079332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5373658.5365853654</v>
      </c>
      <c r="E19" s="630">
        <v>134341.46341463414</v>
      </c>
      <c r="F19" s="631">
        <v>5239317.0731707308</v>
      </c>
      <c r="G19" s="630">
        <v>808764.74944940675</v>
      </c>
      <c r="H19" s="639">
        <v>808764.74944940675</v>
      </c>
      <c r="I19" s="511">
        <f t="shared" si="0"/>
        <v>0</v>
      </c>
      <c r="J19" s="511"/>
      <c r="K19" s="518">
        <f>+G19</f>
        <v>808764.74944940675</v>
      </c>
      <c r="L19" s="519">
        <f t="shared" ref="L19" si="4">IF(K19&lt;&gt;0,+G19-K19,0)</f>
        <v>0</v>
      </c>
      <c r="M19" s="518">
        <f>+H19</f>
        <v>808764.74944940675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2020</v>
      </c>
      <c r="D20" s="631">
        <v>4380853.0731707318</v>
      </c>
      <c r="E20" s="630">
        <v>113403.31707317074</v>
      </c>
      <c r="F20" s="631">
        <v>4267449.7560975607</v>
      </c>
      <c r="G20" s="630">
        <v>555917.3208188233</v>
      </c>
      <c r="H20" s="639">
        <v>555917.3208188233</v>
      </c>
      <c r="I20" s="511">
        <f t="shared" si="0"/>
        <v>0</v>
      </c>
      <c r="J20" s="511"/>
      <c r="K20" s="518">
        <f>+G20</f>
        <v>555917.3208188233</v>
      </c>
      <c r="L20" s="519">
        <f t="shared" ref="L20" si="6">IF(K20&lt;&gt;0,+G20-K20,0)</f>
        <v>0</v>
      </c>
      <c r="M20" s="518">
        <f>+H20</f>
        <v>555917.3208188233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>IU</v>
      </c>
      <c r="C21" s="507">
        <f>IF(D11="","-",+C20+1)</f>
        <v>2021</v>
      </c>
      <c r="D21" s="523">
        <f>IF(F20+SUM(E$17:E20)=D$10,F20,D$10-SUM(E$17:E20))</f>
        <v>4266684.7560975607</v>
      </c>
      <c r="E21" s="522">
        <f>IF(+I14&lt;F20,I14,D21)</f>
        <v>110685.02380952382</v>
      </c>
      <c r="F21" s="523">
        <f t="shared" ref="F21:F72" si="7">+D21-E21</f>
        <v>4155999.732288037</v>
      </c>
      <c r="G21" s="524">
        <f t="shared" ref="G21:G48" si="8">+I$12*((D21+F21)/2)+E21</f>
        <v>560532.06914620148</v>
      </c>
      <c r="H21" s="491">
        <f t="shared" ref="H21:H48" si="9">+I$13*((D21+F21)/2)+E21</f>
        <v>560532.06914620148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2022</v>
      </c>
      <c r="D22" s="523">
        <f>IF(F21+SUM(E$17:E21)=D$10,F21,D$10-SUM(E$17:E21))</f>
        <v>4155999.732288037</v>
      </c>
      <c r="E22" s="522">
        <f>IF(+I14&lt;F21,I14,D22)</f>
        <v>110685.02380952382</v>
      </c>
      <c r="F22" s="523">
        <f t="shared" si="7"/>
        <v>4045314.7084785132</v>
      </c>
      <c r="G22" s="524">
        <f t="shared" si="8"/>
        <v>548708.91917723534</v>
      </c>
      <c r="H22" s="491">
        <f t="shared" si="9"/>
        <v>548708.91917723534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4045314.7084785132</v>
      </c>
      <c r="E23" s="522">
        <f>IF(+I14&lt;F22,I14,D23)</f>
        <v>110685.02380952382</v>
      </c>
      <c r="F23" s="523">
        <f t="shared" si="7"/>
        <v>3934629.6846689894</v>
      </c>
      <c r="G23" s="524">
        <f t="shared" si="8"/>
        <v>536885.76920826919</v>
      </c>
      <c r="H23" s="491">
        <f t="shared" si="9"/>
        <v>536885.76920826919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3934629.6846689894</v>
      </c>
      <c r="E24" s="522">
        <f>IF(+I14&lt;F23,I14,D24)</f>
        <v>110685.02380952382</v>
      </c>
      <c r="F24" s="523">
        <f t="shared" si="7"/>
        <v>3823944.6608594656</v>
      </c>
      <c r="G24" s="524">
        <f t="shared" si="8"/>
        <v>525062.61923930305</v>
      </c>
      <c r="H24" s="491">
        <f t="shared" si="9"/>
        <v>525062.61923930305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3823944.6608594656</v>
      </c>
      <c r="E25" s="522">
        <f>IF(+I14&lt;F24,I14,D25)</f>
        <v>110685.02380952382</v>
      </c>
      <c r="F25" s="523">
        <f t="shared" si="7"/>
        <v>3713259.6370499418</v>
      </c>
      <c r="G25" s="524">
        <f t="shared" si="8"/>
        <v>513239.46927033679</v>
      </c>
      <c r="H25" s="491">
        <f t="shared" si="9"/>
        <v>513239.46927033679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3713259.6370499418</v>
      </c>
      <c r="E26" s="522">
        <f>IF(+I14&lt;F25,I14,D26)</f>
        <v>110685.02380952382</v>
      </c>
      <c r="F26" s="523">
        <f t="shared" si="7"/>
        <v>3602574.613240418</v>
      </c>
      <c r="G26" s="524">
        <f t="shared" si="8"/>
        <v>501416.31930137065</v>
      </c>
      <c r="H26" s="491">
        <f t="shared" si="9"/>
        <v>501416.31930137065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3602574.613240418</v>
      </c>
      <c r="E27" s="522">
        <f>IF(+I14&lt;F26,I14,D27)</f>
        <v>110685.02380952382</v>
      </c>
      <c r="F27" s="523">
        <f t="shared" si="7"/>
        <v>3491889.5894308942</v>
      </c>
      <c r="G27" s="524">
        <f t="shared" si="8"/>
        <v>489593.16933240439</v>
      </c>
      <c r="H27" s="491">
        <f t="shared" si="9"/>
        <v>489593.16933240439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3491889.5894308942</v>
      </c>
      <c r="E28" s="522">
        <f>IF(+I14&lt;F27,I14,D28)</f>
        <v>110685.02380952382</v>
      </c>
      <c r="F28" s="523">
        <f t="shared" si="7"/>
        <v>3381204.5656213704</v>
      </c>
      <c r="G28" s="524">
        <f t="shared" si="8"/>
        <v>477770.01936343824</v>
      </c>
      <c r="H28" s="491">
        <f t="shared" si="9"/>
        <v>477770.01936343824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3381204.5656213704</v>
      </c>
      <c r="E29" s="522">
        <f>IF(+I14&lt;F28,I14,D29)</f>
        <v>110685.02380952382</v>
      </c>
      <c r="F29" s="523">
        <f t="shared" si="7"/>
        <v>3270519.5418118467</v>
      </c>
      <c r="G29" s="524">
        <f t="shared" si="8"/>
        <v>465946.86939447199</v>
      </c>
      <c r="H29" s="491">
        <f t="shared" si="9"/>
        <v>465946.86939447199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3270519.5418118467</v>
      </c>
      <c r="E30" s="522">
        <f>IF(+I14&lt;F29,I14,D30)</f>
        <v>110685.02380952382</v>
      </c>
      <c r="F30" s="523">
        <f t="shared" si="7"/>
        <v>3159834.5180023229</v>
      </c>
      <c r="G30" s="524">
        <f t="shared" si="8"/>
        <v>454123.71942550584</v>
      </c>
      <c r="H30" s="491">
        <f t="shared" si="9"/>
        <v>454123.71942550584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3159834.5180023229</v>
      </c>
      <c r="E31" s="522">
        <f>IF(+I14&lt;F30,I14,D31)</f>
        <v>110685.02380952382</v>
      </c>
      <c r="F31" s="523">
        <f t="shared" si="7"/>
        <v>3049149.4941927991</v>
      </c>
      <c r="G31" s="524">
        <f t="shared" si="8"/>
        <v>442300.56945653958</v>
      </c>
      <c r="H31" s="491">
        <f t="shared" si="9"/>
        <v>442300.56945653958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3049149.4941927991</v>
      </c>
      <c r="E32" s="522">
        <f>IF(+I14&lt;F31,I14,D32)</f>
        <v>110685.02380952382</v>
      </c>
      <c r="F32" s="523">
        <f t="shared" si="7"/>
        <v>2938464.4703832753</v>
      </c>
      <c r="G32" s="524">
        <f t="shared" si="8"/>
        <v>430477.41948757344</v>
      </c>
      <c r="H32" s="491">
        <f t="shared" si="9"/>
        <v>430477.41948757344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2938464.4703832753</v>
      </c>
      <c r="E33" s="522">
        <f>IF(+I14&lt;F32,I14,D33)</f>
        <v>110685.02380952382</v>
      </c>
      <c r="F33" s="523">
        <f t="shared" si="7"/>
        <v>2827779.4465737515</v>
      </c>
      <c r="G33" s="524">
        <f t="shared" si="8"/>
        <v>418654.26951860718</v>
      </c>
      <c r="H33" s="491">
        <f t="shared" si="9"/>
        <v>418654.26951860718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2827779.4465737515</v>
      </c>
      <c r="E34" s="522">
        <f>IF(+I14&lt;F33,I14,D34)</f>
        <v>110685.02380952382</v>
      </c>
      <c r="F34" s="523">
        <f t="shared" si="7"/>
        <v>2717094.4227642277</v>
      </c>
      <c r="G34" s="524">
        <f t="shared" si="8"/>
        <v>406831.11954964104</v>
      </c>
      <c r="H34" s="491">
        <f t="shared" si="9"/>
        <v>406831.11954964104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2717094.4227642277</v>
      </c>
      <c r="E35" s="522">
        <f>IF(+I14&lt;F34,I14,D35)</f>
        <v>110685.02380952382</v>
      </c>
      <c r="F35" s="523">
        <f t="shared" si="7"/>
        <v>2606409.3989547039</v>
      </c>
      <c r="G35" s="524">
        <f t="shared" si="8"/>
        <v>395007.96958067489</v>
      </c>
      <c r="H35" s="491">
        <f t="shared" si="9"/>
        <v>395007.96958067489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2606409.3989547039</v>
      </c>
      <c r="E36" s="522">
        <f>IF(+I14&lt;F35,I14,D36)</f>
        <v>110685.02380952382</v>
      </c>
      <c r="F36" s="523">
        <f t="shared" si="7"/>
        <v>2495724.3751451802</v>
      </c>
      <c r="G36" s="524">
        <f t="shared" si="8"/>
        <v>383184.81961170875</v>
      </c>
      <c r="H36" s="491">
        <f t="shared" si="9"/>
        <v>383184.81961170875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2495724.3751451802</v>
      </c>
      <c r="E37" s="522">
        <f>IF(+I14&lt;F36,I14,D37)</f>
        <v>110685.02380952382</v>
      </c>
      <c r="F37" s="523">
        <f t="shared" si="7"/>
        <v>2385039.3513356564</v>
      </c>
      <c r="G37" s="524">
        <f t="shared" si="8"/>
        <v>371361.66964274249</v>
      </c>
      <c r="H37" s="491">
        <f t="shared" si="9"/>
        <v>371361.66964274249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2385039.3513356564</v>
      </c>
      <c r="E38" s="522">
        <f>IF(+I14&lt;F37,I14,D38)</f>
        <v>110685.02380952382</v>
      </c>
      <c r="F38" s="523">
        <f t="shared" si="7"/>
        <v>2274354.3275261326</v>
      </c>
      <c r="G38" s="524">
        <f t="shared" si="8"/>
        <v>359538.51967377635</v>
      </c>
      <c r="H38" s="491">
        <f t="shared" si="9"/>
        <v>359538.51967377635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2274354.3275261326</v>
      </c>
      <c r="E39" s="522">
        <f>IF(+I14&lt;F38,I14,D39)</f>
        <v>110685.02380952382</v>
      </c>
      <c r="F39" s="523">
        <f t="shared" si="7"/>
        <v>2163669.3037166088</v>
      </c>
      <c r="G39" s="524">
        <f t="shared" si="8"/>
        <v>347715.36970481009</v>
      </c>
      <c r="H39" s="491">
        <f t="shared" si="9"/>
        <v>347715.36970481009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2163669.3037166088</v>
      </c>
      <c r="E40" s="522">
        <f>IF(+I14&lt;F39,I14,D40)</f>
        <v>110685.02380952382</v>
      </c>
      <c r="F40" s="523">
        <f t="shared" si="7"/>
        <v>2052984.279907085</v>
      </c>
      <c r="G40" s="524">
        <f t="shared" si="8"/>
        <v>335892.21973584394</v>
      </c>
      <c r="H40" s="491">
        <f t="shared" si="9"/>
        <v>335892.21973584394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2052984.279907085</v>
      </c>
      <c r="E41" s="522">
        <f>IF(+I14&lt;F40,I14,D41)</f>
        <v>110685.02380952382</v>
      </c>
      <c r="F41" s="523">
        <f t="shared" si="7"/>
        <v>1942299.2560975612</v>
      </c>
      <c r="G41" s="524">
        <f t="shared" si="8"/>
        <v>324069.06976687768</v>
      </c>
      <c r="H41" s="491">
        <f t="shared" si="9"/>
        <v>324069.06976687768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1942299.2560975612</v>
      </c>
      <c r="E42" s="522">
        <f>IF(+I14&lt;F41,I14,D42)</f>
        <v>110685.02380952382</v>
      </c>
      <c r="F42" s="523">
        <f t="shared" si="7"/>
        <v>1831614.2322880374</v>
      </c>
      <c r="G42" s="524">
        <f t="shared" si="8"/>
        <v>312245.91979791154</v>
      </c>
      <c r="H42" s="491">
        <f t="shared" si="9"/>
        <v>312245.91979791154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1831614.2322880374</v>
      </c>
      <c r="E43" s="522">
        <f>IF(+I14&lt;F42,I14,D43)</f>
        <v>110685.02380952382</v>
      </c>
      <c r="F43" s="523">
        <f t="shared" si="7"/>
        <v>1720929.2084785136</v>
      </c>
      <c r="G43" s="524">
        <f t="shared" si="8"/>
        <v>300422.76982894534</v>
      </c>
      <c r="H43" s="491">
        <f t="shared" si="9"/>
        <v>300422.76982894534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1720929.2084785136</v>
      </c>
      <c r="E44" s="522">
        <f>IF(+I14&lt;F43,I14,D44)</f>
        <v>110685.02380952382</v>
      </c>
      <c r="F44" s="523">
        <f t="shared" si="7"/>
        <v>1610244.1846689899</v>
      </c>
      <c r="G44" s="524">
        <f t="shared" si="8"/>
        <v>288599.61985997914</v>
      </c>
      <c r="H44" s="491">
        <f t="shared" si="9"/>
        <v>288599.61985997914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1610244.1846689899</v>
      </c>
      <c r="E45" s="522">
        <f>IF(+I14&lt;F44,I14,D45)</f>
        <v>110685.02380952382</v>
      </c>
      <c r="F45" s="523">
        <f t="shared" si="7"/>
        <v>1499559.1608594661</v>
      </c>
      <c r="G45" s="524">
        <f t="shared" si="8"/>
        <v>276776.469891013</v>
      </c>
      <c r="H45" s="491">
        <f t="shared" si="9"/>
        <v>276776.469891013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1499559.1608594661</v>
      </c>
      <c r="E46" s="522">
        <f>IF(+I14&lt;F45,I14,D46)</f>
        <v>110685.02380952382</v>
      </c>
      <c r="F46" s="523">
        <f t="shared" si="7"/>
        <v>1388874.1370499423</v>
      </c>
      <c r="G46" s="524">
        <f t="shared" si="8"/>
        <v>264953.31992204674</v>
      </c>
      <c r="H46" s="491">
        <f t="shared" si="9"/>
        <v>264953.31992204674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1388874.1370499423</v>
      </c>
      <c r="E47" s="522">
        <f>IF(+I14&lt;F46,I14,D47)</f>
        <v>110685.02380952382</v>
      </c>
      <c r="F47" s="523">
        <f t="shared" si="7"/>
        <v>1278189.1132404185</v>
      </c>
      <c r="G47" s="524">
        <f t="shared" si="8"/>
        <v>253130.16995308056</v>
      </c>
      <c r="H47" s="491">
        <f t="shared" si="9"/>
        <v>253130.16995308056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1278189.1132404185</v>
      </c>
      <c r="E48" s="522">
        <f>IF(+I14&lt;F47,I14,D48)</f>
        <v>110685.02380952382</v>
      </c>
      <c r="F48" s="523">
        <f t="shared" si="7"/>
        <v>1167504.0894308947</v>
      </c>
      <c r="G48" s="524">
        <f t="shared" si="8"/>
        <v>241307.01998411439</v>
      </c>
      <c r="H48" s="491">
        <f t="shared" si="9"/>
        <v>241307.01998411439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1167504.0894308947</v>
      </c>
      <c r="E49" s="522">
        <f>IF(+I14&lt;F48,I14,D49)</f>
        <v>110685.02380952382</v>
      </c>
      <c r="F49" s="523">
        <f t="shared" si="7"/>
        <v>1056819.0656213709</v>
      </c>
      <c r="G49" s="524">
        <f t="shared" ref="G49:G72" si="10">+I$12*((D49+F49)/2)+E49</f>
        <v>229483.87001514819</v>
      </c>
      <c r="H49" s="491">
        <f t="shared" ref="H49:H72" si="11">+I$13*((D49+F49)/2)+E49</f>
        <v>229483.87001514819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1056819.0656213709</v>
      </c>
      <c r="E50" s="522">
        <f>IF(+I14&lt;F49,I14,D50)</f>
        <v>110685.02380952382</v>
      </c>
      <c r="F50" s="523">
        <f t="shared" si="7"/>
        <v>946134.04181184713</v>
      </c>
      <c r="G50" s="524">
        <f t="shared" si="10"/>
        <v>217660.72004618199</v>
      </c>
      <c r="H50" s="491">
        <f t="shared" si="11"/>
        <v>217660.72004618199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946134.04181184713</v>
      </c>
      <c r="E51" s="522">
        <f>IF(+I14&lt;F50,I14,D51)</f>
        <v>110685.02380952382</v>
      </c>
      <c r="F51" s="523">
        <f t="shared" si="7"/>
        <v>835449.01800232334</v>
      </c>
      <c r="G51" s="524">
        <f t="shared" si="10"/>
        <v>205837.57007721579</v>
      </c>
      <c r="H51" s="491">
        <f t="shared" si="11"/>
        <v>205837.57007721579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835449.01800232334</v>
      </c>
      <c r="E52" s="522">
        <f>IF(+I14&lt;F51,I14,D52)</f>
        <v>110685.02380952382</v>
      </c>
      <c r="F52" s="523">
        <f t="shared" si="7"/>
        <v>724763.99419279955</v>
      </c>
      <c r="G52" s="524">
        <f t="shared" si="10"/>
        <v>194014.42010824961</v>
      </c>
      <c r="H52" s="491">
        <f t="shared" si="11"/>
        <v>194014.42010824961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724763.99419279955</v>
      </c>
      <c r="E53" s="522">
        <f>IF(+I14&lt;F52,I14,D53)</f>
        <v>110685.02380952382</v>
      </c>
      <c r="F53" s="523">
        <f t="shared" si="7"/>
        <v>614078.97038327577</v>
      </c>
      <c r="G53" s="524">
        <f t="shared" si="10"/>
        <v>182191.27013928341</v>
      </c>
      <c r="H53" s="491">
        <f t="shared" si="11"/>
        <v>182191.27013928341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614078.97038327577</v>
      </c>
      <c r="E54" s="522">
        <f>IF(+I14&lt;F53,I14,D54)</f>
        <v>110685.02380952382</v>
      </c>
      <c r="F54" s="523">
        <f t="shared" si="7"/>
        <v>503393.94657375198</v>
      </c>
      <c r="G54" s="524">
        <f t="shared" si="10"/>
        <v>170368.12017031724</v>
      </c>
      <c r="H54" s="491">
        <f t="shared" si="11"/>
        <v>170368.12017031724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503393.94657375198</v>
      </c>
      <c r="E55" s="522">
        <f>IF(+I14&lt;F54,I14,D55)</f>
        <v>110685.02380952382</v>
      </c>
      <c r="F55" s="523">
        <f t="shared" si="7"/>
        <v>392708.92276422819</v>
      </c>
      <c r="G55" s="524">
        <f t="shared" si="10"/>
        <v>158544.97020135104</v>
      </c>
      <c r="H55" s="491">
        <f t="shared" si="11"/>
        <v>158544.97020135104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392708.92276422819</v>
      </c>
      <c r="E56" s="522">
        <f>IF(+I14&lt;F55,I14,D56)</f>
        <v>110685.02380952382</v>
      </c>
      <c r="F56" s="523">
        <f t="shared" si="7"/>
        <v>282023.8989547044</v>
      </c>
      <c r="G56" s="524">
        <f t="shared" si="10"/>
        <v>146721.82023238484</v>
      </c>
      <c r="H56" s="491">
        <f t="shared" si="11"/>
        <v>146721.82023238484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282023.8989547044</v>
      </c>
      <c r="E57" s="522">
        <f>IF(+I14&lt;F56,I14,D57)</f>
        <v>110685.02380952382</v>
      </c>
      <c r="F57" s="523">
        <f t="shared" si="7"/>
        <v>171338.87514518059</v>
      </c>
      <c r="G57" s="524">
        <f t="shared" si="10"/>
        <v>134898.67026341864</v>
      </c>
      <c r="H57" s="491">
        <f t="shared" si="11"/>
        <v>134898.67026341864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171338.87514518059</v>
      </c>
      <c r="E58" s="522">
        <f>IF(+I14&lt;F57,I14,D58)</f>
        <v>110685.02380952382</v>
      </c>
      <c r="F58" s="523">
        <f t="shared" si="7"/>
        <v>60653.851335656771</v>
      </c>
      <c r="G58" s="524">
        <f t="shared" si="10"/>
        <v>123075.52029445245</v>
      </c>
      <c r="H58" s="491">
        <f t="shared" si="11"/>
        <v>123075.52029445245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60653.851335656771</v>
      </c>
      <c r="E59" s="522">
        <f>IF(+I14&lt;F58,I14,D59)</f>
        <v>60653.851335656771</v>
      </c>
      <c r="F59" s="523">
        <f t="shared" si="7"/>
        <v>0</v>
      </c>
      <c r="G59" s="524">
        <f t="shared" si="10"/>
        <v>63893.312085879545</v>
      </c>
      <c r="H59" s="491">
        <f t="shared" si="11"/>
        <v>63893.312085879545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10"/>
        <v>0</v>
      </c>
      <c r="H60" s="491">
        <f t="shared" si="11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4648771.0000000019</v>
      </c>
      <c r="F73" s="375"/>
      <c r="G73" s="375">
        <f>SUM(G17:G72)</f>
        <v>15584158.375996934</v>
      </c>
      <c r="H73" s="375">
        <f>SUM(H17:H72)</f>
        <v>15584158.375996934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63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555917.3208188233</v>
      </c>
      <c r="N87" s="546">
        <f>IF(J92&lt;D11,0,VLOOKUP(J92,C17:O72,11))</f>
        <v>555917.3208188233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581279.04939779744</v>
      </c>
      <c r="N88" s="550">
        <f>IF(J92&lt;D11,0,VLOOKUP(J92,C99:P154,7))</f>
        <v>581279.04939779744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Brooks Street - Edwards Street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25361.728578974144</v>
      </c>
      <c r="N89" s="555">
        <f>+N88-N87</f>
        <v>25361.728578974144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TP2014138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4648771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110685.02380952382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0</v>
      </c>
      <c r="F99" s="651">
        <v>3816677</v>
      </c>
      <c r="G99" s="652">
        <v>1908338.5</v>
      </c>
      <c r="H99" s="653">
        <v>231808.65934946379</v>
      </c>
      <c r="I99" s="654">
        <v>231808.65934946379</v>
      </c>
      <c r="J99" s="514">
        <f t="shared" ref="J99:J130" si="12">+I99-H99</f>
        <v>0</v>
      </c>
      <c r="K99" s="514"/>
      <c r="L99" s="512">
        <f>+H99</f>
        <v>231808.65934946379</v>
      </c>
      <c r="M99" s="513">
        <f t="shared" ref="M99:M130" si="13">IF(L99&lt;&gt;0,+H99-L99,0)</f>
        <v>0</v>
      </c>
      <c r="N99" s="512">
        <f>+I99</f>
        <v>231808.65934946379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4649536</v>
      </c>
      <c r="E100" s="630">
        <v>110703.23809523809</v>
      </c>
      <c r="F100" s="631">
        <v>4538832.7619047621</v>
      </c>
      <c r="G100" s="631">
        <v>4594184.3809523806</v>
      </c>
      <c r="H100" s="633">
        <v>595870.17682545946</v>
      </c>
      <c r="I100" s="634">
        <v>595870.17682545946</v>
      </c>
      <c r="J100" s="514">
        <f t="shared" si="12"/>
        <v>0</v>
      </c>
      <c r="K100" s="514"/>
      <c r="L100" s="655">
        <f>+H100</f>
        <v>595870.17682545946</v>
      </c>
      <c r="M100" s="514">
        <f t="shared" si="13"/>
        <v>0</v>
      </c>
      <c r="N100" s="655">
        <f>+I100</f>
        <v>595870.17682545946</v>
      </c>
      <c r="O100" s="514">
        <f t="shared" si="14"/>
        <v>0</v>
      </c>
      <c r="P100" s="514">
        <f t="shared" si="15"/>
        <v>0</v>
      </c>
    </row>
    <row r="101" spans="1:16" ht="12.5">
      <c r="B101" s="195" t="str">
        <f t="shared" ref="B101:B154" si="16">IF(D101=F100,"","IU")</f>
        <v>IU</v>
      </c>
      <c r="C101" s="507">
        <f>IF(D93="","-",+C100+1)</f>
        <v>2019</v>
      </c>
      <c r="D101" s="629">
        <v>4538067.7619047621</v>
      </c>
      <c r="E101" s="630">
        <v>108110.95348837209</v>
      </c>
      <c r="F101" s="631">
        <v>4429956.8084163899</v>
      </c>
      <c r="G101" s="631">
        <v>4484012.285160576</v>
      </c>
      <c r="H101" s="633">
        <v>588082.07919327903</v>
      </c>
      <c r="I101" s="634">
        <v>588082.07919327903</v>
      </c>
      <c r="J101" s="514">
        <f t="shared" si="12"/>
        <v>0</v>
      </c>
      <c r="K101" s="514"/>
      <c r="L101" s="655">
        <f>+H101</f>
        <v>588082.07919327903</v>
      </c>
      <c r="M101" s="514">
        <f t="shared" ref="M101" si="17">IF(L101&lt;&gt;0,+H101-L101,0)</f>
        <v>0</v>
      </c>
      <c r="N101" s="655">
        <f>+I101</f>
        <v>588082.07919327903</v>
      </c>
      <c r="O101" s="514">
        <f t="shared" si="14"/>
        <v>0</v>
      </c>
      <c r="P101" s="514">
        <f t="shared" si="15"/>
        <v>0</v>
      </c>
    </row>
    <row r="102" spans="1:16" ht="12.5">
      <c r="B102" s="195" t="str">
        <f t="shared" si="16"/>
        <v/>
      </c>
      <c r="C102" s="507">
        <f>IF(D93="","-",+C101+1)</f>
        <v>2020</v>
      </c>
      <c r="D102" s="374">
        <f>IF(F101+SUM(E$99:E101)=D$92,F101,D$92-SUM(E$99:E101))</f>
        <v>4429956.8084163899</v>
      </c>
      <c r="E102" s="522">
        <f>IF(+J96&lt;F101,J96,D102)</f>
        <v>110685.02380952382</v>
      </c>
      <c r="F102" s="523">
        <f t="shared" ref="F102:F130" si="18">+D102-E102</f>
        <v>4319271.7846068656</v>
      </c>
      <c r="G102" s="523">
        <f t="shared" ref="G102:G130" si="19">+(F102+D102)/2</f>
        <v>4374614.2965116277</v>
      </c>
      <c r="H102" s="526">
        <f t="shared" ref="H102:H154" si="20">+J$94*G102+E102</f>
        <v>581279.04939779744</v>
      </c>
      <c r="I102" s="577">
        <f t="shared" ref="I102:I154" si="21">+J$95*G102+E102</f>
        <v>581279.04939779744</v>
      </c>
      <c r="J102" s="514">
        <f t="shared" si="12"/>
        <v>0</v>
      </c>
      <c r="K102" s="514"/>
      <c r="L102" s="525"/>
      <c r="M102" s="514">
        <f t="shared" si="13"/>
        <v>0</v>
      </c>
      <c r="N102" s="525"/>
      <c r="O102" s="514">
        <f t="shared" si="14"/>
        <v>0</v>
      </c>
      <c r="P102" s="514">
        <f t="shared" si="15"/>
        <v>0</v>
      </c>
    </row>
    <row r="103" spans="1:16" ht="12.5">
      <c r="B103" s="195" t="str">
        <f t="shared" si="16"/>
        <v/>
      </c>
      <c r="C103" s="507">
        <f>IF(D93="","-",+C102+1)</f>
        <v>2021</v>
      </c>
      <c r="D103" s="374">
        <f>IF(F102+SUM(E$99:E102)=D$92,F102,D$92-SUM(E$99:E102))</f>
        <v>4319271.7846068656</v>
      </c>
      <c r="E103" s="522">
        <f>IF(+J96&lt;F102,J96,D103)</f>
        <v>110685.02380952382</v>
      </c>
      <c r="F103" s="523">
        <f t="shared" si="18"/>
        <v>4208586.7607973414</v>
      </c>
      <c r="G103" s="523">
        <f t="shared" si="19"/>
        <v>4263929.2727021035</v>
      </c>
      <c r="H103" s="526">
        <f t="shared" si="20"/>
        <v>569372.23718617158</v>
      </c>
      <c r="I103" s="577">
        <f t="shared" si="21"/>
        <v>569372.23718617158</v>
      </c>
      <c r="J103" s="514">
        <f t="shared" si="12"/>
        <v>0</v>
      </c>
      <c r="K103" s="514"/>
      <c r="L103" s="525"/>
      <c r="M103" s="514">
        <f t="shared" si="13"/>
        <v>0</v>
      </c>
      <c r="N103" s="525"/>
      <c r="O103" s="514">
        <f t="shared" si="14"/>
        <v>0</v>
      </c>
      <c r="P103" s="514">
        <f t="shared" si="15"/>
        <v>0</v>
      </c>
    </row>
    <row r="104" spans="1:16" ht="12.5">
      <c r="B104" s="195" t="str">
        <f t="shared" si="16"/>
        <v/>
      </c>
      <c r="C104" s="507">
        <f>IF(D93="","-",+C103+1)</f>
        <v>2022</v>
      </c>
      <c r="D104" s="374">
        <f>IF(F103+SUM(E$99:E103)=D$92,F103,D$92-SUM(E$99:E103))</f>
        <v>4208586.7607973414</v>
      </c>
      <c r="E104" s="522">
        <f>IF(+J96&lt;F103,J96,D104)</f>
        <v>110685.02380952382</v>
      </c>
      <c r="F104" s="523">
        <f t="shared" si="18"/>
        <v>4097901.7369878176</v>
      </c>
      <c r="G104" s="523">
        <f t="shared" si="19"/>
        <v>4153244.2488925792</v>
      </c>
      <c r="H104" s="526">
        <f t="shared" si="20"/>
        <v>557465.4249745456</v>
      </c>
      <c r="I104" s="577">
        <f t="shared" si="21"/>
        <v>557465.4249745456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 ht="12.5">
      <c r="B105" s="195" t="str">
        <f t="shared" si="16"/>
        <v/>
      </c>
      <c r="C105" s="507">
        <f>IF(D93="","-",+C104+1)</f>
        <v>2023</v>
      </c>
      <c r="D105" s="374">
        <f>IF(F104+SUM(E$99:E104)=D$92,F104,D$92-SUM(E$99:E104))</f>
        <v>4097901.7369878176</v>
      </c>
      <c r="E105" s="522">
        <f>IF(+J96&lt;F104,J96,D105)</f>
        <v>110685.02380952382</v>
      </c>
      <c r="F105" s="523">
        <f t="shared" si="18"/>
        <v>3987216.7131782938</v>
      </c>
      <c r="G105" s="523">
        <f t="shared" si="19"/>
        <v>4042559.2250830559</v>
      </c>
      <c r="H105" s="526">
        <f t="shared" si="20"/>
        <v>545558.61276291986</v>
      </c>
      <c r="I105" s="577">
        <f t="shared" si="21"/>
        <v>545558.61276291986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 ht="12.5">
      <c r="B106" s="195" t="str">
        <f t="shared" si="16"/>
        <v/>
      </c>
      <c r="C106" s="507">
        <f>IF(D93="","-",+C105+1)</f>
        <v>2024</v>
      </c>
      <c r="D106" s="374">
        <f>IF(F105+SUM(E$99:E105)=D$92,F105,D$92-SUM(E$99:E105))</f>
        <v>3987216.7131782938</v>
      </c>
      <c r="E106" s="522">
        <f>IF(+J96&lt;F105,J96,D106)</f>
        <v>110685.02380952382</v>
      </c>
      <c r="F106" s="523">
        <f t="shared" si="18"/>
        <v>3876531.68936877</v>
      </c>
      <c r="G106" s="523">
        <f t="shared" si="19"/>
        <v>3931874.2012735317</v>
      </c>
      <c r="H106" s="526">
        <f t="shared" si="20"/>
        <v>533651.80055129388</v>
      </c>
      <c r="I106" s="577">
        <f t="shared" si="21"/>
        <v>533651.80055129388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 ht="12.5">
      <c r="B107" s="195" t="str">
        <f t="shared" si="16"/>
        <v/>
      </c>
      <c r="C107" s="507">
        <f>IF(D93="","-",+C106+1)</f>
        <v>2025</v>
      </c>
      <c r="D107" s="374">
        <f>IF(F106+SUM(E$99:E106)=D$92,F106,D$92-SUM(E$99:E106))</f>
        <v>3876531.68936877</v>
      </c>
      <c r="E107" s="522">
        <f>IF(+J96&lt;F106,J96,D107)</f>
        <v>110685.02380952382</v>
      </c>
      <c r="F107" s="523">
        <f t="shared" si="18"/>
        <v>3765846.6655592462</v>
      </c>
      <c r="G107" s="523">
        <f t="shared" si="19"/>
        <v>3821189.1774640083</v>
      </c>
      <c r="H107" s="526">
        <f t="shared" si="20"/>
        <v>521744.98833966814</v>
      </c>
      <c r="I107" s="577">
        <f t="shared" si="21"/>
        <v>521744.98833966814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 ht="12.5">
      <c r="B108" s="195" t="str">
        <f t="shared" si="16"/>
        <v/>
      </c>
      <c r="C108" s="507">
        <f>IF(D93="","-",+C107+1)</f>
        <v>2026</v>
      </c>
      <c r="D108" s="374">
        <f>IF(F107+SUM(E$99:E107)=D$92,F107,D$92-SUM(E$99:E107))</f>
        <v>3765846.6655592462</v>
      </c>
      <c r="E108" s="522">
        <f>IF(+J96&lt;F107,J96,D108)</f>
        <v>110685.02380952382</v>
      </c>
      <c r="F108" s="523">
        <f t="shared" si="18"/>
        <v>3655161.6417497224</v>
      </c>
      <c r="G108" s="523">
        <f t="shared" si="19"/>
        <v>3710504.1536544841</v>
      </c>
      <c r="H108" s="526">
        <f t="shared" si="20"/>
        <v>509838.17612804216</v>
      </c>
      <c r="I108" s="577">
        <f t="shared" si="21"/>
        <v>509838.17612804216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 ht="12.5">
      <c r="B109" s="195" t="str">
        <f t="shared" si="16"/>
        <v/>
      </c>
      <c r="C109" s="507">
        <f>IF(D93="","-",+C108+1)</f>
        <v>2027</v>
      </c>
      <c r="D109" s="374">
        <f>IF(F108+SUM(E$99:E108)=D$92,F108,D$92-SUM(E$99:E108))</f>
        <v>3655161.6417497224</v>
      </c>
      <c r="E109" s="522">
        <f>IF(+J96&lt;F108,J96,D109)</f>
        <v>110685.02380952382</v>
      </c>
      <c r="F109" s="523">
        <f t="shared" si="18"/>
        <v>3544476.6179401986</v>
      </c>
      <c r="G109" s="523">
        <f t="shared" si="19"/>
        <v>3599819.1298449608</v>
      </c>
      <c r="H109" s="526">
        <f t="shared" si="20"/>
        <v>497931.36391641642</v>
      </c>
      <c r="I109" s="577">
        <f t="shared" si="21"/>
        <v>497931.36391641642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 ht="12.5">
      <c r="B110" s="195" t="str">
        <f t="shared" si="16"/>
        <v/>
      </c>
      <c r="C110" s="507">
        <f>IF(D93="","-",+C109+1)</f>
        <v>2028</v>
      </c>
      <c r="D110" s="374">
        <f>IF(F109+SUM(E$99:E109)=D$92,F109,D$92-SUM(E$99:E109))</f>
        <v>3544476.6179401986</v>
      </c>
      <c r="E110" s="522">
        <f>IF(+J96&lt;F109,J96,D110)</f>
        <v>110685.02380952382</v>
      </c>
      <c r="F110" s="523">
        <f t="shared" si="18"/>
        <v>3433791.5941306748</v>
      </c>
      <c r="G110" s="523">
        <f t="shared" si="19"/>
        <v>3489134.1060354365</v>
      </c>
      <c r="H110" s="526">
        <f t="shared" si="20"/>
        <v>486024.55170479044</v>
      </c>
      <c r="I110" s="577">
        <f t="shared" si="21"/>
        <v>486024.55170479044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 ht="12.5">
      <c r="B111" s="195" t="str">
        <f t="shared" si="16"/>
        <v/>
      </c>
      <c r="C111" s="507">
        <f>IF(D93="","-",+C110+1)</f>
        <v>2029</v>
      </c>
      <c r="D111" s="374">
        <f>IF(F110+SUM(E$99:E110)=D$92,F110,D$92-SUM(E$99:E110))</f>
        <v>3433791.5941306748</v>
      </c>
      <c r="E111" s="522">
        <f>IF(+J96&lt;F110,J96,D111)</f>
        <v>110685.02380952382</v>
      </c>
      <c r="F111" s="523">
        <f t="shared" si="18"/>
        <v>3323106.5703211511</v>
      </c>
      <c r="G111" s="523">
        <f t="shared" si="19"/>
        <v>3378449.0822259132</v>
      </c>
      <c r="H111" s="526">
        <f t="shared" si="20"/>
        <v>474117.7394931647</v>
      </c>
      <c r="I111" s="577">
        <f t="shared" si="21"/>
        <v>474117.7394931647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 ht="12.5">
      <c r="B112" s="195" t="str">
        <f t="shared" si="16"/>
        <v/>
      </c>
      <c r="C112" s="507">
        <f>IF(D93="","-",+C111+1)</f>
        <v>2030</v>
      </c>
      <c r="D112" s="374">
        <f>IF(F111+SUM(E$99:E111)=D$92,F111,D$92-SUM(E$99:E111))</f>
        <v>3323106.5703211511</v>
      </c>
      <c r="E112" s="522">
        <f>IF(+J96&lt;F111,J96,D112)</f>
        <v>110685.02380952382</v>
      </c>
      <c r="F112" s="523">
        <f t="shared" si="18"/>
        <v>3212421.5465116273</v>
      </c>
      <c r="G112" s="523">
        <f t="shared" si="19"/>
        <v>3267764.0584163889</v>
      </c>
      <c r="H112" s="526">
        <f t="shared" si="20"/>
        <v>462210.92728153872</v>
      </c>
      <c r="I112" s="577">
        <f t="shared" si="21"/>
        <v>462210.92728153872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 ht="12.5">
      <c r="B113" s="195" t="str">
        <f t="shared" si="16"/>
        <v/>
      </c>
      <c r="C113" s="507">
        <f>IF(D93="","-",+C112+1)</f>
        <v>2031</v>
      </c>
      <c r="D113" s="374">
        <f>IF(F112+SUM(E$99:E112)=D$92,F112,D$92-SUM(E$99:E112))</f>
        <v>3212421.5465116273</v>
      </c>
      <c r="E113" s="522">
        <f>IF(+J96&lt;F112,J96,D113)</f>
        <v>110685.02380952382</v>
      </c>
      <c r="F113" s="523">
        <f t="shared" si="18"/>
        <v>3101736.5227021035</v>
      </c>
      <c r="G113" s="523">
        <f t="shared" si="19"/>
        <v>3157079.0346068656</v>
      </c>
      <c r="H113" s="526">
        <f t="shared" si="20"/>
        <v>450304.11506991298</v>
      </c>
      <c r="I113" s="577">
        <f t="shared" si="21"/>
        <v>450304.11506991298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 ht="12.5">
      <c r="B114" s="195" t="str">
        <f t="shared" si="16"/>
        <v/>
      </c>
      <c r="C114" s="507">
        <f>IF(D93="","-",+C113+1)</f>
        <v>2032</v>
      </c>
      <c r="D114" s="374">
        <f>IF(F113+SUM(E$99:E113)=D$92,F113,D$92-SUM(E$99:E113))</f>
        <v>3101736.5227021035</v>
      </c>
      <c r="E114" s="522">
        <f>IF(+J96&lt;F113,J96,D114)</f>
        <v>110685.02380952382</v>
      </c>
      <c r="F114" s="523">
        <f t="shared" si="18"/>
        <v>2991051.4988925797</v>
      </c>
      <c r="G114" s="523">
        <f t="shared" si="19"/>
        <v>3046394.0107973414</v>
      </c>
      <c r="H114" s="526">
        <f t="shared" si="20"/>
        <v>438397.302858287</v>
      </c>
      <c r="I114" s="577">
        <f t="shared" si="21"/>
        <v>438397.302858287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 ht="12.5">
      <c r="B115" s="195" t="str">
        <f t="shared" si="16"/>
        <v/>
      </c>
      <c r="C115" s="507">
        <f>IF(D93="","-",+C114+1)</f>
        <v>2033</v>
      </c>
      <c r="D115" s="374">
        <f>IF(F114+SUM(E$99:E114)=D$92,F114,D$92-SUM(E$99:E114))</f>
        <v>2991051.4988925797</v>
      </c>
      <c r="E115" s="522">
        <f>IF(+J96&lt;F114,J96,D115)</f>
        <v>110685.02380952382</v>
      </c>
      <c r="F115" s="523">
        <f t="shared" si="18"/>
        <v>2880366.4750830559</v>
      </c>
      <c r="G115" s="523">
        <f t="shared" si="19"/>
        <v>2935708.986987818</v>
      </c>
      <c r="H115" s="526">
        <f t="shared" si="20"/>
        <v>426490.49064666126</v>
      </c>
      <c r="I115" s="577">
        <f t="shared" si="21"/>
        <v>426490.49064666126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 ht="12.5">
      <c r="B116" s="195" t="str">
        <f t="shared" si="16"/>
        <v/>
      </c>
      <c r="C116" s="507">
        <f>IF(D93="","-",+C115+1)</f>
        <v>2034</v>
      </c>
      <c r="D116" s="374">
        <f>IF(F115+SUM(E$99:E115)=D$92,F115,D$92-SUM(E$99:E115))</f>
        <v>2880366.4750830559</v>
      </c>
      <c r="E116" s="522">
        <f>IF(+J96&lt;F115,J96,D116)</f>
        <v>110685.02380952382</v>
      </c>
      <c r="F116" s="523">
        <f t="shared" si="18"/>
        <v>2769681.4512735321</v>
      </c>
      <c r="G116" s="523">
        <f t="shared" si="19"/>
        <v>2825023.9631782938</v>
      </c>
      <c r="H116" s="526">
        <f t="shared" si="20"/>
        <v>414583.67843503528</v>
      </c>
      <c r="I116" s="577">
        <f t="shared" si="21"/>
        <v>414583.67843503528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 ht="12.5">
      <c r="B117" s="195" t="str">
        <f t="shared" si="16"/>
        <v/>
      </c>
      <c r="C117" s="507">
        <f>IF(D93="","-",+C116+1)</f>
        <v>2035</v>
      </c>
      <c r="D117" s="374">
        <f>IF(F116+SUM(E$99:E116)=D$92,F116,D$92-SUM(E$99:E116))</f>
        <v>2769681.4512735321</v>
      </c>
      <c r="E117" s="522">
        <f>IF(+J96&lt;F116,J96,D117)</f>
        <v>110685.02380952382</v>
      </c>
      <c r="F117" s="523">
        <f t="shared" si="18"/>
        <v>2658996.4274640083</v>
      </c>
      <c r="G117" s="523">
        <f t="shared" si="19"/>
        <v>2714338.9393687705</v>
      </c>
      <c r="H117" s="526">
        <f t="shared" si="20"/>
        <v>402676.86622340954</v>
      </c>
      <c r="I117" s="577">
        <f t="shared" si="21"/>
        <v>402676.86622340954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 ht="12.5">
      <c r="B118" s="195" t="str">
        <f t="shared" si="16"/>
        <v/>
      </c>
      <c r="C118" s="507">
        <f>IF(D93="","-",+C117+1)</f>
        <v>2036</v>
      </c>
      <c r="D118" s="374">
        <f>IF(F117+SUM(E$99:E117)=D$92,F117,D$92-SUM(E$99:E117))</f>
        <v>2658996.4274640083</v>
      </c>
      <c r="E118" s="522">
        <f>IF(+J96&lt;F117,J96,D118)</f>
        <v>110685.02380952382</v>
      </c>
      <c r="F118" s="523">
        <f t="shared" si="18"/>
        <v>2548311.4036544845</v>
      </c>
      <c r="G118" s="523">
        <f t="shared" si="19"/>
        <v>2603653.9155592462</v>
      </c>
      <c r="H118" s="526">
        <f t="shared" si="20"/>
        <v>390770.05401178356</v>
      </c>
      <c r="I118" s="577">
        <f t="shared" si="21"/>
        <v>390770.05401178356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 ht="12.5">
      <c r="B119" s="195" t="str">
        <f t="shared" si="16"/>
        <v/>
      </c>
      <c r="C119" s="507">
        <f>IF(D93="","-",+C118+1)</f>
        <v>2037</v>
      </c>
      <c r="D119" s="374">
        <f>IF(F118+SUM(E$99:E118)=D$92,F118,D$92-SUM(E$99:E118))</f>
        <v>2548311.4036544845</v>
      </c>
      <c r="E119" s="522">
        <f>IF(+J96&lt;F118,J96,D119)</f>
        <v>110685.02380952382</v>
      </c>
      <c r="F119" s="523">
        <f t="shared" si="18"/>
        <v>2437626.3798449608</v>
      </c>
      <c r="G119" s="523">
        <f t="shared" si="19"/>
        <v>2492968.8917497229</v>
      </c>
      <c r="H119" s="526">
        <f t="shared" si="20"/>
        <v>378863.24180015782</v>
      </c>
      <c r="I119" s="577">
        <f t="shared" si="21"/>
        <v>378863.24180015782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 ht="12.5">
      <c r="B120" s="195" t="str">
        <f t="shared" si="16"/>
        <v/>
      </c>
      <c r="C120" s="507">
        <f>IF(D93="","-",+C119+1)</f>
        <v>2038</v>
      </c>
      <c r="D120" s="374">
        <f>IF(F119+SUM(E$99:E119)=D$92,F119,D$92-SUM(E$99:E119))</f>
        <v>2437626.3798449608</v>
      </c>
      <c r="E120" s="522">
        <f>IF(+J96&lt;F119,J96,D120)</f>
        <v>110685.02380952382</v>
      </c>
      <c r="F120" s="523">
        <f t="shared" si="18"/>
        <v>2326941.356035437</v>
      </c>
      <c r="G120" s="523">
        <f t="shared" si="19"/>
        <v>2382283.8679401986</v>
      </c>
      <c r="H120" s="526">
        <f t="shared" si="20"/>
        <v>366956.4295885319</v>
      </c>
      <c r="I120" s="577">
        <f t="shared" si="21"/>
        <v>366956.4295885319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 ht="12.5">
      <c r="B121" s="195" t="str">
        <f t="shared" si="16"/>
        <v/>
      </c>
      <c r="C121" s="507">
        <f>IF(D93="","-",+C120+1)</f>
        <v>2039</v>
      </c>
      <c r="D121" s="374">
        <f>IF(F120+SUM(E$99:E120)=D$92,F120,D$92-SUM(E$99:E120))</f>
        <v>2326941.356035437</v>
      </c>
      <c r="E121" s="522">
        <f>IF(+J96&lt;F120,J96,D121)</f>
        <v>110685.02380952382</v>
      </c>
      <c r="F121" s="523">
        <f t="shared" si="18"/>
        <v>2216256.3322259132</v>
      </c>
      <c r="G121" s="523">
        <f t="shared" si="19"/>
        <v>2271598.8441306753</v>
      </c>
      <c r="H121" s="526">
        <f t="shared" si="20"/>
        <v>355049.6173769061</v>
      </c>
      <c r="I121" s="577">
        <f t="shared" si="21"/>
        <v>355049.6173769061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 ht="12.5">
      <c r="B122" s="195" t="str">
        <f t="shared" si="16"/>
        <v/>
      </c>
      <c r="C122" s="507">
        <f>IF(D93="","-",+C121+1)</f>
        <v>2040</v>
      </c>
      <c r="D122" s="374">
        <f>IF(F121+SUM(E$99:E121)=D$92,F121,D$92-SUM(E$99:E121))</f>
        <v>2216256.3322259132</v>
      </c>
      <c r="E122" s="522">
        <f>IF(+J96&lt;F121,J96,D122)</f>
        <v>110685.02380952382</v>
      </c>
      <c r="F122" s="523">
        <f t="shared" si="18"/>
        <v>2105571.3084163894</v>
      </c>
      <c r="G122" s="523">
        <f t="shared" si="19"/>
        <v>2160913.8203211511</v>
      </c>
      <c r="H122" s="526">
        <f t="shared" si="20"/>
        <v>343142.80516528018</v>
      </c>
      <c r="I122" s="577">
        <f t="shared" si="21"/>
        <v>343142.80516528018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 ht="12.5">
      <c r="B123" s="195" t="str">
        <f t="shared" si="16"/>
        <v/>
      </c>
      <c r="C123" s="507">
        <f>IF(D93="","-",+C122+1)</f>
        <v>2041</v>
      </c>
      <c r="D123" s="374">
        <f>IF(F122+SUM(E$99:E122)=D$92,F122,D$92-SUM(E$99:E122))</f>
        <v>2105571.3084163894</v>
      </c>
      <c r="E123" s="522">
        <f>IF(+J96&lt;F122,J96,D123)</f>
        <v>110685.02380952382</v>
      </c>
      <c r="F123" s="523">
        <f t="shared" si="18"/>
        <v>1994886.2846068656</v>
      </c>
      <c r="G123" s="523">
        <f t="shared" si="19"/>
        <v>2050228.7965116275</v>
      </c>
      <c r="H123" s="526">
        <f t="shared" si="20"/>
        <v>331235.99295365438</v>
      </c>
      <c r="I123" s="577">
        <f t="shared" si="21"/>
        <v>331235.99295365438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 ht="12.5">
      <c r="B124" s="195" t="str">
        <f t="shared" si="16"/>
        <v/>
      </c>
      <c r="C124" s="507">
        <f>IF(D93="","-",+C123+1)</f>
        <v>2042</v>
      </c>
      <c r="D124" s="374">
        <f>IF(F123+SUM(E$99:E123)=D$92,F123,D$92-SUM(E$99:E123))</f>
        <v>1994886.2846068656</v>
      </c>
      <c r="E124" s="522">
        <f>IF(+J96&lt;F123,J96,D124)</f>
        <v>110685.02380952382</v>
      </c>
      <c r="F124" s="523">
        <f t="shared" si="18"/>
        <v>1884201.2607973418</v>
      </c>
      <c r="G124" s="523">
        <f t="shared" si="19"/>
        <v>1939543.7727021037</v>
      </c>
      <c r="H124" s="526">
        <f t="shared" si="20"/>
        <v>319329.18074202852</v>
      </c>
      <c r="I124" s="577">
        <f t="shared" si="21"/>
        <v>319329.18074202852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 ht="12.5">
      <c r="B125" s="195" t="str">
        <f t="shared" si="16"/>
        <v/>
      </c>
      <c r="C125" s="507">
        <f>IF(D93="","-",+C124+1)</f>
        <v>2043</v>
      </c>
      <c r="D125" s="374">
        <f>IF(F124+SUM(E$99:E124)=D$92,F124,D$92-SUM(E$99:E124))</f>
        <v>1884201.2607973418</v>
      </c>
      <c r="E125" s="522">
        <f>IF(+J96&lt;F124,J96,D125)</f>
        <v>110685.02380952382</v>
      </c>
      <c r="F125" s="523">
        <f t="shared" si="18"/>
        <v>1773516.236987818</v>
      </c>
      <c r="G125" s="523">
        <f t="shared" si="19"/>
        <v>1828858.7488925799</v>
      </c>
      <c r="H125" s="526">
        <f t="shared" si="20"/>
        <v>307422.36853040266</v>
      </c>
      <c r="I125" s="577">
        <f t="shared" si="21"/>
        <v>307422.36853040266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 ht="12.5">
      <c r="B126" s="195" t="str">
        <f t="shared" si="16"/>
        <v/>
      </c>
      <c r="C126" s="507">
        <f>IF(D93="","-",+C125+1)</f>
        <v>2044</v>
      </c>
      <c r="D126" s="374">
        <f>IF(F125+SUM(E$99:E125)=D$92,F125,D$92-SUM(E$99:E125))</f>
        <v>1773516.236987818</v>
      </c>
      <c r="E126" s="522">
        <f>IF(+J96&lt;F125,J96,D126)</f>
        <v>110685.02380952382</v>
      </c>
      <c r="F126" s="523">
        <f t="shared" si="18"/>
        <v>1662831.2131782942</v>
      </c>
      <c r="G126" s="523">
        <f t="shared" si="19"/>
        <v>1718173.7250830561</v>
      </c>
      <c r="H126" s="526">
        <f t="shared" si="20"/>
        <v>295515.5563187768</v>
      </c>
      <c r="I126" s="577">
        <f t="shared" si="21"/>
        <v>295515.5563187768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 ht="12.5">
      <c r="B127" s="195" t="str">
        <f t="shared" si="16"/>
        <v/>
      </c>
      <c r="C127" s="507">
        <f>IF(D93="","-",+C126+1)</f>
        <v>2045</v>
      </c>
      <c r="D127" s="374">
        <f>IF(F126+SUM(E$99:E126)=D$92,F126,D$92-SUM(E$99:E126))</f>
        <v>1662831.2131782942</v>
      </c>
      <c r="E127" s="522">
        <f>IF(+J96&lt;F126,J96,D127)</f>
        <v>110685.02380952382</v>
      </c>
      <c r="F127" s="523">
        <f t="shared" si="18"/>
        <v>1552146.1893687705</v>
      </c>
      <c r="G127" s="523">
        <f t="shared" si="19"/>
        <v>1607488.7012735324</v>
      </c>
      <c r="H127" s="526">
        <f t="shared" si="20"/>
        <v>283608.74410715094</v>
      </c>
      <c r="I127" s="577">
        <f t="shared" si="21"/>
        <v>283608.74410715094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 ht="12.5">
      <c r="B128" s="195" t="str">
        <f t="shared" si="16"/>
        <v/>
      </c>
      <c r="C128" s="507">
        <f>IF(D93="","-",+C127+1)</f>
        <v>2046</v>
      </c>
      <c r="D128" s="374">
        <f>IF(F127+SUM(E$99:E127)=D$92,F127,D$92-SUM(E$99:E127))</f>
        <v>1552146.1893687705</v>
      </c>
      <c r="E128" s="522">
        <f>IF(+J96&lt;F127,J96,D128)</f>
        <v>110685.02380952382</v>
      </c>
      <c r="F128" s="523">
        <f t="shared" si="18"/>
        <v>1441461.1655592467</v>
      </c>
      <c r="G128" s="523">
        <f t="shared" si="19"/>
        <v>1496803.6774640086</v>
      </c>
      <c r="H128" s="526">
        <f t="shared" si="20"/>
        <v>271701.93189552508</v>
      </c>
      <c r="I128" s="577">
        <f t="shared" si="21"/>
        <v>271701.93189552508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 ht="12.5">
      <c r="B129" s="195" t="str">
        <f t="shared" si="16"/>
        <v/>
      </c>
      <c r="C129" s="507">
        <f>IF(D93="","-",+C128+1)</f>
        <v>2047</v>
      </c>
      <c r="D129" s="374">
        <f>IF(F128+SUM(E$99:E128)=D$92,F128,D$92-SUM(E$99:E128))</f>
        <v>1441461.1655592467</v>
      </c>
      <c r="E129" s="522">
        <f>IF(+J96&lt;F128,J96,D129)</f>
        <v>110685.02380952382</v>
      </c>
      <c r="F129" s="523">
        <f t="shared" si="18"/>
        <v>1330776.1417497229</v>
      </c>
      <c r="G129" s="523">
        <f t="shared" si="19"/>
        <v>1386118.6536544848</v>
      </c>
      <c r="H129" s="526">
        <f t="shared" si="20"/>
        <v>259795.11968389919</v>
      </c>
      <c r="I129" s="577">
        <f t="shared" si="21"/>
        <v>259795.11968389919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 ht="12.5">
      <c r="B130" s="195" t="str">
        <f t="shared" si="16"/>
        <v/>
      </c>
      <c r="C130" s="507">
        <f>IF(D93="","-",+C129+1)</f>
        <v>2048</v>
      </c>
      <c r="D130" s="374">
        <f>IF(F129+SUM(E$99:E129)=D$92,F129,D$92-SUM(E$99:E129))</f>
        <v>1330776.1417497229</v>
      </c>
      <c r="E130" s="522">
        <f>IF(+J96&lt;F129,J96,D130)</f>
        <v>110685.02380952382</v>
      </c>
      <c r="F130" s="523">
        <f t="shared" si="18"/>
        <v>1220091.1179401991</v>
      </c>
      <c r="G130" s="523">
        <f t="shared" si="19"/>
        <v>1275433.629844961</v>
      </c>
      <c r="H130" s="526">
        <f t="shared" si="20"/>
        <v>247888.30747227333</v>
      </c>
      <c r="I130" s="577">
        <f t="shared" si="21"/>
        <v>247888.30747227333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 ht="12.5">
      <c r="B131" s="195" t="str">
        <f t="shared" si="16"/>
        <v/>
      </c>
      <c r="C131" s="507">
        <f>IF(D93="","-",+C130+1)</f>
        <v>2049</v>
      </c>
      <c r="D131" s="374">
        <f>IF(F130+SUM(E$99:E130)=D$92,F130,D$92-SUM(E$99:E130))</f>
        <v>1220091.1179401991</v>
      </c>
      <c r="E131" s="522">
        <f>IF(+J96&lt;F130,J96,D131)</f>
        <v>110685.02380952382</v>
      </c>
      <c r="F131" s="523">
        <f t="shared" ref="F131:F154" si="22">+D131-E131</f>
        <v>1109406.0941306753</v>
      </c>
      <c r="G131" s="523">
        <f t="shared" ref="G131:G154" si="23">+(F131+D131)/2</f>
        <v>1164748.6060354372</v>
      </c>
      <c r="H131" s="526">
        <f t="shared" si="20"/>
        <v>235981.4952606475</v>
      </c>
      <c r="I131" s="577">
        <f t="shared" si="21"/>
        <v>235981.4952606475</v>
      </c>
      <c r="J131" s="514">
        <f t="shared" ref="J131:J154" si="24">+I541-H541</f>
        <v>0</v>
      </c>
      <c r="K131" s="514"/>
      <c r="L131" s="525"/>
      <c r="M131" s="514">
        <f t="shared" ref="M131:M154" si="25">IF(L541&lt;&gt;0,+H541-L541,0)</f>
        <v>0</v>
      </c>
      <c r="N131" s="525"/>
      <c r="O131" s="514">
        <f t="shared" ref="O131:O154" si="26">IF(N541&lt;&gt;0,+I541-N541,0)</f>
        <v>0</v>
      </c>
      <c r="P131" s="514">
        <f t="shared" ref="P131:P154" si="27">+O541-M541</f>
        <v>0</v>
      </c>
    </row>
    <row r="132" spans="2:16" ht="12.5">
      <c r="B132" s="195" t="str">
        <f t="shared" si="16"/>
        <v/>
      </c>
      <c r="C132" s="507">
        <f>IF(D93="","-",+C131+1)</f>
        <v>2050</v>
      </c>
      <c r="D132" s="374">
        <f>IF(F131+SUM(E$99:E131)=D$92,F131,D$92-SUM(E$99:E131))</f>
        <v>1109406.0941306753</v>
      </c>
      <c r="E132" s="522">
        <f>IF(+J96&lt;F131,J96,D132)</f>
        <v>110685.02380952382</v>
      </c>
      <c r="F132" s="523">
        <f t="shared" si="22"/>
        <v>998721.07032115152</v>
      </c>
      <c r="G132" s="523">
        <f t="shared" si="23"/>
        <v>1054063.5822259134</v>
      </c>
      <c r="H132" s="526">
        <f t="shared" si="20"/>
        <v>224074.68304902164</v>
      </c>
      <c r="I132" s="577">
        <f t="shared" si="21"/>
        <v>224074.68304902164</v>
      </c>
      <c r="J132" s="514">
        <f t="shared" si="24"/>
        <v>0</v>
      </c>
      <c r="K132" s="514"/>
      <c r="L132" s="525"/>
      <c r="M132" s="514">
        <f t="shared" si="25"/>
        <v>0</v>
      </c>
      <c r="N132" s="525"/>
      <c r="O132" s="514">
        <f t="shared" si="26"/>
        <v>0</v>
      </c>
      <c r="P132" s="514">
        <f t="shared" si="27"/>
        <v>0</v>
      </c>
    </row>
    <row r="133" spans="2:16" ht="12.5">
      <c r="B133" s="195" t="str">
        <f t="shared" si="16"/>
        <v/>
      </c>
      <c r="C133" s="507">
        <f>IF(D93="","-",+C132+1)</f>
        <v>2051</v>
      </c>
      <c r="D133" s="374">
        <f>IF(F132+SUM(E$99:E132)=D$92,F132,D$92-SUM(E$99:E132))</f>
        <v>998721.07032115152</v>
      </c>
      <c r="E133" s="522">
        <f>IF(+J96&lt;F132,J96,D133)</f>
        <v>110685.02380952382</v>
      </c>
      <c r="F133" s="523">
        <f t="shared" si="22"/>
        <v>888036.04651162773</v>
      </c>
      <c r="G133" s="523">
        <f t="shared" si="23"/>
        <v>943378.55841638963</v>
      </c>
      <c r="H133" s="526">
        <f t="shared" si="20"/>
        <v>212167.87083739578</v>
      </c>
      <c r="I133" s="577">
        <f t="shared" si="21"/>
        <v>212167.87083739578</v>
      </c>
      <c r="J133" s="514">
        <f t="shared" si="24"/>
        <v>0</v>
      </c>
      <c r="K133" s="514"/>
      <c r="L133" s="525"/>
      <c r="M133" s="514">
        <f t="shared" si="25"/>
        <v>0</v>
      </c>
      <c r="N133" s="525"/>
      <c r="O133" s="514">
        <f t="shared" si="26"/>
        <v>0</v>
      </c>
      <c r="P133" s="514">
        <f t="shared" si="27"/>
        <v>0</v>
      </c>
    </row>
    <row r="134" spans="2:16" ht="12.5">
      <c r="B134" s="195" t="str">
        <f t="shared" si="16"/>
        <v/>
      </c>
      <c r="C134" s="507">
        <f>IF(D93="","-",+C133+1)</f>
        <v>2052</v>
      </c>
      <c r="D134" s="374">
        <f>IF(F133+SUM(E$99:E133)=D$92,F133,D$92-SUM(E$99:E133))</f>
        <v>888036.04651162773</v>
      </c>
      <c r="E134" s="522">
        <f>IF(+J96&lt;F133,J96,D134)</f>
        <v>110685.02380952382</v>
      </c>
      <c r="F134" s="523">
        <f t="shared" si="22"/>
        <v>777351.02270210395</v>
      </c>
      <c r="G134" s="523">
        <f t="shared" si="23"/>
        <v>832693.53460686584</v>
      </c>
      <c r="H134" s="526">
        <f t="shared" si="20"/>
        <v>200261.05862576992</v>
      </c>
      <c r="I134" s="577">
        <f t="shared" si="21"/>
        <v>200261.05862576992</v>
      </c>
      <c r="J134" s="514">
        <f t="shared" si="24"/>
        <v>0</v>
      </c>
      <c r="K134" s="514"/>
      <c r="L134" s="525"/>
      <c r="M134" s="514">
        <f t="shared" si="25"/>
        <v>0</v>
      </c>
      <c r="N134" s="525"/>
      <c r="O134" s="514">
        <f t="shared" si="26"/>
        <v>0</v>
      </c>
      <c r="P134" s="514">
        <f t="shared" si="27"/>
        <v>0</v>
      </c>
    </row>
    <row r="135" spans="2:16" ht="12.5">
      <c r="B135" s="195" t="str">
        <f t="shared" si="16"/>
        <v/>
      </c>
      <c r="C135" s="507">
        <f>IF(D93="","-",+C134+1)</f>
        <v>2053</v>
      </c>
      <c r="D135" s="374">
        <f>IF(F134+SUM(E$99:E134)=D$92,F134,D$92-SUM(E$99:E134))</f>
        <v>777351.02270210395</v>
      </c>
      <c r="E135" s="522">
        <f>IF(+J96&lt;F134,J96,D135)</f>
        <v>110685.02380952382</v>
      </c>
      <c r="F135" s="523">
        <f t="shared" si="22"/>
        <v>666665.99889258016</v>
      </c>
      <c r="G135" s="523">
        <f t="shared" si="23"/>
        <v>722008.51079734205</v>
      </c>
      <c r="H135" s="526">
        <f t="shared" si="20"/>
        <v>188354.24641414406</v>
      </c>
      <c r="I135" s="577">
        <f t="shared" si="21"/>
        <v>188354.24641414406</v>
      </c>
      <c r="J135" s="514">
        <f t="shared" si="24"/>
        <v>0</v>
      </c>
      <c r="K135" s="514"/>
      <c r="L135" s="525"/>
      <c r="M135" s="514">
        <f t="shared" si="25"/>
        <v>0</v>
      </c>
      <c r="N135" s="525"/>
      <c r="O135" s="514">
        <f t="shared" si="26"/>
        <v>0</v>
      </c>
      <c r="P135" s="514">
        <f t="shared" si="27"/>
        <v>0</v>
      </c>
    </row>
    <row r="136" spans="2:16" ht="12.5">
      <c r="B136" s="195" t="str">
        <f t="shared" si="16"/>
        <v/>
      </c>
      <c r="C136" s="507">
        <f>IF(D93="","-",+C135+1)</f>
        <v>2054</v>
      </c>
      <c r="D136" s="374">
        <f>IF(F135+SUM(E$99:E135)=D$92,F135,D$92-SUM(E$99:E135))</f>
        <v>666665.99889258016</v>
      </c>
      <c r="E136" s="522">
        <f>IF(+J96&lt;F135,J96,D136)</f>
        <v>110685.02380952382</v>
      </c>
      <c r="F136" s="523">
        <f t="shared" si="22"/>
        <v>555980.97508305637</v>
      </c>
      <c r="G136" s="523">
        <f t="shared" si="23"/>
        <v>611323.48698781827</v>
      </c>
      <c r="H136" s="526">
        <f t="shared" si="20"/>
        <v>176447.4342025182</v>
      </c>
      <c r="I136" s="577">
        <f t="shared" si="21"/>
        <v>176447.4342025182</v>
      </c>
      <c r="J136" s="514">
        <f t="shared" si="24"/>
        <v>0</v>
      </c>
      <c r="K136" s="514"/>
      <c r="L136" s="525"/>
      <c r="M136" s="514">
        <f t="shared" si="25"/>
        <v>0</v>
      </c>
      <c r="N136" s="525"/>
      <c r="O136" s="514">
        <f t="shared" si="26"/>
        <v>0</v>
      </c>
      <c r="P136" s="514">
        <f t="shared" si="27"/>
        <v>0</v>
      </c>
    </row>
    <row r="137" spans="2:16" ht="12.5">
      <c r="B137" s="195" t="str">
        <f t="shared" si="16"/>
        <v/>
      </c>
      <c r="C137" s="507">
        <f>IF(D93="","-",+C136+1)</f>
        <v>2055</v>
      </c>
      <c r="D137" s="374">
        <f>IF(F136+SUM(E$99:E136)=D$92,F136,D$92-SUM(E$99:E136))</f>
        <v>555980.97508305637</v>
      </c>
      <c r="E137" s="522">
        <f>IF(+J96&lt;F136,J96,D137)</f>
        <v>110685.02380952382</v>
      </c>
      <c r="F137" s="523">
        <f t="shared" si="22"/>
        <v>445295.95127353258</v>
      </c>
      <c r="G137" s="523">
        <f t="shared" si="23"/>
        <v>500638.46317829448</v>
      </c>
      <c r="H137" s="526">
        <f t="shared" si="20"/>
        <v>164540.62199089234</v>
      </c>
      <c r="I137" s="577">
        <f t="shared" si="21"/>
        <v>164540.62199089234</v>
      </c>
      <c r="J137" s="514">
        <f t="shared" si="24"/>
        <v>0</v>
      </c>
      <c r="K137" s="514"/>
      <c r="L137" s="525"/>
      <c r="M137" s="514">
        <f t="shared" si="25"/>
        <v>0</v>
      </c>
      <c r="N137" s="525"/>
      <c r="O137" s="514">
        <f t="shared" si="26"/>
        <v>0</v>
      </c>
      <c r="P137" s="514">
        <f t="shared" si="27"/>
        <v>0</v>
      </c>
    </row>
    <row r="138" spans="2:16" ht="12.5">
      <c r="B138" s="195" t="str">
        <f t="shared" si="16"/>
        <v/>
      </c>
      <c r="C138" s="507">
        <f>IF(D93="","-",+C137+1)</f>
        <v>2056</v>
      </c>
      <c r="D138" s="374">
        <f>IF(F137+SUM(E$99:E137)=D$92,F137,D$92-SUM(E$99:E137))</f>
        <v>445295.95127353258</v>
      </c>
      <c r="E138" s="522">
        <f>IF(+J96&lt;F137,J96,D138)</f>
        <v>110685.02380952382</v>
      </c>
      <c r="F138" s="523">
        <f t="shared" si="22"/>
        <v>334610.9274640088</v>
      </c>
      <c r="G138" s="523">
        <f t="shared" si="23"/>
        <v>389953.43936877069</v>
      </c>
      <c r="H138" s="526">
        <f t="shared" si="20"/>
        <v>152633.80977926648</v>
      </c>
      <c r="I138" s="577">
        <f t="shared" si="21"/>
        <v>152633.80977926648</v>
      </c>
      <c r="J138" s="514">
        <f t="shared" si="24"/>
        <v>0</v>
      </c>
      <c r="K138" s="514"/>
      <c r="L138" s="525"/>
      <c r="M138" s="514">
        <f t="shared" si="25"/>
        <v>0</v>
      </c>
      <c r="N138" s="525"/>
      <c r="O138" s="514">
        <f t="shared" si="26"/>
        <v>0</v>
      </c>
      <c r="P138" s="514">
        <f t="shared" si="27"/>
        <v>0</v>
      </c>
    </row>
    <row r="139" spans="2:16" ht="12.5">
      <c r="B139" s="195" t="str">
        <f t="shared" si="16"/>
        <v/>
      </c>
      <c r="C139" s="507">
        <f>IF(D93="","-",+C138+1)</f>
        <v>2057</v>
      </c>
      <c r="D139" s="374">
        <f>IF(F138+SUM(E$99:E138)=D$92,F138,D$92-SUM(E$99:E138))</f>
        <v>334610.9274640088</v>
      </c>
      <c r="E139" s="522">
        <f>IF(+J96&lt;F138,J96,D139)</f>
        <v>110685.02380952382</v>
      </c>
      <c r="F139" s="523">
        <f t="shared" si="22"/>
        <v>223925.90365448498</v>
      </c>
      <c r="G139" s="523">
        <f t="shared" si="23"/>
        <v>279268.4155592469</v>
      </c>
      <c r="H139" s="526">
        <f t="shared" si="20"/>
        <v>140726.99756764062</v>
      </c>
      <c r="I139" s="577">
        <f t="shared" si="21"/>
        <v>140726.99756764062</v>
      </c>
      <c r="J139" s="514">
        <f t="shared" si="24"/>
        <v>0</v>
      </c>
      <c r="K139" s="514"/>
      <c r="L139" s="525"/>
      <c r="M139" s="514">
        <f t="shared" si="25"/>
        <v>0</v>
      </c>
      <c r="N139" s="525"/>
      <c r="O139" s="514">
        <f t="shared" si="26"/>
        <v>0</v>
      </c>
      <c r="P139" s="514">
        <f t="shared" si="27"/>
        <v>0</v>
      </c>
    </row>
    <row r="140" spans="2:16" ht="12.5">
      <c r="B140" s="195" t="str">
        <f t="shared" si="16"/>
        <v/>
      </c>
      <c r="C140" s="507">
        <f>IF(D93="","-",+C139+1)</f>
        <v>2058</v>
      </c>
      <c r="D140" s="374">
        <f>IF(F139+SUM(E$99:E139)=D$92,F139,D$92-SUM(E$99:E139))</f>
        <v>223925.90365448498</v>
      </c>
      <c r="E140" s="522">
        <f>IF(+J96&lt;F139,J96,D140)</f>
        <v>110685.02380952382</v>
      </c>
      <c r="F140" s="523">
        <f t="shared" si="22"/>
        <v>113240.87984496116</v>
      </c>
      <c r="G140" s="523">
        <f t="shared" si="23"/>
        <v>168583.39174972306</v>
      </c>
      <c r="H140" s="526">
        <f t="shared" si="20"/>
        <v>128820.18535601474</v>
      </c>
      <c r="I140" s="577">
        <f t="shared" si="21"/>
        <v>128820.18535601474</v>
      </c>
      <c r="J140" s="514">
        <f t="shared" si="24"/>
        <v>0</v>
      </c>
      <c r="K140" s="514"/>
      <c r="L140" s="525"/>
      <c r="M140" s="514">
        <f t="shared" si="25"/>
        <v>0</v>
      </c>
      <c r="N140" s="525"/>
      <c r="O140" s="514">
        <f t="shared" si="26"/>
        <v>0</v>
      </c>
      <c r="P140" s="514">
        <f t="shared" si="27"/>
        <v>0</v>
      </c>
    </row>
    <row r="141" spans="2:16" ht="12.5">
      <c r="B141" s="195" t="str">
        <f t="shared" si="16"/>
        <v/>
      </c>
      <c r="C141" s="507">
        <f>IF(D93="","-",+C140+1)</f>
        <v>2059</v>
      </c>
      <c r="D141" s="374">
        <f>IF(F140+SUM(E$99:E140)=D$92,F140,D$92-SUM(E$99:E140))</f>
        <v>113240.87984496116</v>
      </c>
      <c r="E141" s="522">
        <f>IF(+J96&lt;F140,J96,D141)</f>
        <v>110685.02380952382</v>
      </c>
      <c r="F141" s="523">
        <f t="shared" si="22"/>
        <v>2555.8560354373476</v>
      </c>
      <c r="G141" s="523">
        <f t="shared" si="23"/>
        <v>57898.367940199256</v>
      </c>
      <c r="H141" s="526">
        <f t="shared" si="20"/>
        <v>116913.37314438888</v>
      </c>
      <c r="I141" s="577">
        <f t="shared" si="21"/>
        <v>116913.37314438888</v>
      </c>
      <c r="J141" s="514">
        <f t="shared" si="24"/>
        <v>0</v>
      </c>
      <c r="K141" s="514"/>
      <c r="L141" s="525"/>
      <c r="M141" s="514">
        <f t="shared" si="25"/>
        <v>0</v>
      </c>
      <c r="N141" s="525"/>
      <c r="O141" s="514">
        <f t="shared" si="26"/>
        <v>0</v>
      </c>
      <c r="P141" s="514">
        <f t="shared" si="27"/>
        <v>0</v>
      </c>
    </row>
    <row r="142" spans="2:16" ht="12.5">
      <c r="B142" s="195" t="str">
        <f t="shared" si="16"/>
        <v/>
      </c>
      <c r="C142" s="507">
        <f>IF(D93="","-",+C141+1)</f>
        <v>2060</v>
      </c>
      <c r="D142" s="374">
        <f>IF(F141+SUM(E$99:E141)=D$92,F141,D$92-SUM(E$99:E141))</f>
        <v>2555.8560354373476</v>
      </c>
      <c r="E142" s="522">
        <f>IF(+J96&lt;F141,J96,D142)</f>
        <v>2555.8560354373476</v>
      </c>
      <c r="F142" s="523">
        <f t="shared" si="22"/>
        <v>0</v>
      </c>
      <c r="G142" s="523">
        <f t="shared" si="23"/>
        <v>1277.9280177186738</v>
      </c>
      <c r="H142" s="526">
        <f t="shared" si="20"/>
        <v>2693.3276499634158</v>
      </c>
      <c r="I142" s="577">
        <f t="shared" si="21"/>
        <v>2693.3276499634158</v>
      </c>
      <c r="J142" s="514">
        <f t="shared" si="24"/>
        <v>0</v>
      </c>
      <c r="K142" s="514"/>
      <c r="L142" s="525"/>
      <c r="M142" s="514">
        <f t="shared" si="25"/>
        <v>0</v>
      </c>
      <c r="N142" s="525"/>
      <c r="O142" s="514">
        <f t="shared" si="26"/>
        <v>0</v>
      </c>
      <c r="P142" s="514">
        <f t="shared" si="27"/>
        <v>0</v>
      </c>
    </row>
    <row r="143" spans="2:16" ht="12.5">
      <c r="B143" s="195" t="str">
        <f t="shared" si="16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2"/>
        <v>0</v>
      </c>
      <c r="G143" s="523">
        <f t="shared" si="23"/>
        <v>0</v>
      </c>
      <c r="H143" s="526">
        <f t="shared" si="20"/>
        <v>0</v>
      </c>
      <c r="I143" s="577">
        <f t="shared" si="21"/>
        <v>0</v>
      </c>
      <c r="J143" s="514">
        <f t="shared" si="24"/>
        <v>0</v>
      </c>
      <c r="K143" s="514"/>
      <c r="L143" s="525"/>
      <c r="M143" s="514">
        <f t="shared" si="25"/>
        <v>0</v>
      </c>
      <c r="N143" s="525"/>
      <c r="O143" s="514">
        <f t="shared" si="26"/>
        <v>0</v>
      </c>
      <c r="P143" s="514">
        <f t="shared" si="27"/>
        <v>0</v>
      </c>
    </row>
    <row r="144" spans="2:16" ht="12.5">
      <c r="B144" s="195" t="str">
        <f t="shared" si="16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2"/>
        <v>0</v>
      </c>
      <c r="G144" s="523">
        <f t="shared" si="23"/>
        <v>0</v>
      </c>
      <c r="H144" s="526">
        <f t="shared" si="20"/>
        <v>0</v>
      </c>
      <c r="I144" s="577">
        <f t="shared" si="21"/>
        <v>0</v>
      </c>
      <c r="J144" s="514">
        <f t="shared" si="24"/>
        <v>0</v>
      </c>
      <c r="K144" s="514"/>
      <c r="L144" s="525"/>
      <c r="M144" s="514">
        <f t="shared" si="25"/>
        <v>0</v>
      </c>
      <c r="N144" s="525"/>
      <c r="O144" s="514">
        <f t="shared" si="26"/>
        <v>0</v>
      </c>
      <c r="P144" s="514">
        <f t="shared" si="27"/>
        <v>0</v>
      </c>
    </row>
    <row r="145" spans="2:16" ht="12.5">
      <c r="B145" s="195" t="str">
        <f t="shared" si="16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2"/>
        <v>0</v>
      </c>
      <c r="G145" s="523">
        <f t="shared" si="23"/>
        <v>0</v>
      </c>
      <c r="H145" s="526">
        <f t="shared" si="20"/>
        <v>0</v>
      </c>
      <c r="I145" s="577">
        <f t="shared" si="21"/>
        <v>0</v>
      </c>
      <c r="J145" s="514">
        <f t="shared" si="24"/>
        <v>0</v>
      </c>
      <c r="K145" s="514"/>
      <c r="L145" s="525"/>
      <c r="M145" s="514">
        <f t="shared" si="25"/>
        <v>0</v>
      </c>
      <c r="N145" s="525"/>
      <c r="O145" s="514">
        <f t="shared" si="26"/>
        <v>0</v>
      </c>
      <c r="P145" s="514">
        <f t="shared" si="27"/>
        <v>0</v>
      </c>
    </row>
    <row r="146" spans="2:16" ht="12.5">
      <c r="B146" s="195" t="str">
        <f t="shared" si="16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2"/>
        <v>0</v>
      </c>
      <c r="G146" s="523">
        <f t="shared" si="23"/>
        <v>0</v>
      </c>
      <c r="H146" s="526">
        <f t="shared" si="20"/>
        <v>0</v>
      </c>
      <c r="I146" s="577">
        <f t="shared" si="21"/>
        <v>0</v>
      </c>
      <c r="J146" s="514">
        <f t="shared" si="24"/>
        <v>0</v>
      </c>
      <c r="K146" s="514"/>
      <c r="L146" s="525"/>
      <c r="M146" s="514">
        <f t="shared" si="25"/>
        <v>0</v>
      </c>
      <c r="N146" s="525"/>
      <c r="O146" s="514">
        <f t="shared" si="26"/>
        <v>0</v>
      </c>
      <c r="P146" s="514">
        <f t="shared" si="27"/>
        <v>0</v>
      </c>
    </row>
    <row r="147" spans="2:16" ht="12.5">
      <c r="B147" s="195" t="str">
        <f t="shared" si="16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2"/>
        <v>0</v>
      </c>
      <c r="G147" s="523">
        <f t="shared" si="23"/>
        <v>0</v>
      </c>
      <c r="H147" s="526">
        <f t="shared" si="20"/>
        <v>0</v>
      </c>
      <c r="I147" s="577">
        <f t="shared" si="21"/>
        <v>0</v>
      </c>
      <c r="J147" s="514">
        <f t="shared" si="24"/>
        <v>0</v>
      </c>
      <c r="K147" s="514"/>
      <c r="L147" s="525"/>
      <c r="M147" s="514">
        <f t="shared" si="25"/>
        <v>0</v>
      </c>
      <c r="N147" s="525"/>
      <c r="O147" s="514">
        <f t="shared" si="26"/>
        <v>0</v>
      </c>
      <c r="P147" s="514">
        <f t="shared" si="27"/>
        <v>0</v>
      </c>
    </row>
    <row r="148" spans="2:16" ht="12.5">
      <c r="B148" s="195" t="str">
        <f t="shared" si="16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2"/>
        <v>0</v>
      </c>
      <c r="G148" s="523">
        <f t="shared" si="23"/>
        <v>0</v>
      </c>
      <c r="H148" s="526">
        <f t="shared" si="20"/>
        <v>0</v>
      </c>
      <c r="I148" s="577">
        <f t="shared" si="21"/>
        <v>0</v>
      </c>
      <c r="J148" s="514">
        <f t="shared" si="24"/>
        <v>0</v>
      </c>
      <c r="K148" s="514"/>
      <c r="L148" s="525"/>
      <c r="M148" s="514">
        <f t="shared" si="25"/>
        <v>0</v>
      </c>
      <c r="N148" s="525"/>
      <c r="O148" s="514">
        <f t="shared" si="26"/>
        <v>0</v>
      </c>
      <c r="P148" s="514">
        <f t="shared" si="27"/>
        <v>0</v>
      </c>
    </row>
    <row r="149" spans="2:16" ht="12.5">
      <c r="B149" s="195" t="str">
        <f t="shared" si="16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2"/>
        <v>0</v>
      </c>
      <c r="G149" s="523">
        <f t="shared" si="23"/>
        <v>0</v>
      </c>
      <c r="H149" s="526">
        <f t="shared" si="20"/>
        <v>0</v>
      </c>
      <c r="I149" s="577">
        <f t="shared" si="21"/>
        <v>0</v>
      </c>
      <c r="J149" s="514">
        <f t="shared" si="24"/>
        <v>0</v>
      </c>
      <c r="K149" s="514"/>
      <c r="L149" s="525"/>
      <c r="M149" s="514">
        <f t="shared" si="25"/>
        <v>0</v>
      </c>
      <c r="N149" s="525"/>
      <c r="O149" s="514">
        <f t="shared" si="26"/>
        <v>0</v>
      </c>
      <c r="P149" s="514">
        <f t="shared" si="27"/>
        <v>0</v>
      </c>
    </row>
    <row r="150" spans="2:16" ht="12.5">
      <c r="B150" s="195" t="str">
        <f t="shared" si="16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2"/>
        <v>0</v>
      </c>
      <c r="G150" s="523">
        <f t="shared" si="23"/>
        <v>0</v>
      </c>
      <c r="H150" s="526">
        <f t="shared" si="20"/>
        <v>0</v>
      </c>
      <c r="I150" s="577">
        <f t="shared" si="21"/>
        <v>0</v>
      </c>
      <c r="J150" s="514">
        <f t="shared" si="24"/>
        <v>0</v>
      </c>
      <c r="K150" s="514"/>
      <c r="L150" s="525"/>
      <c r="M150" s="514">
        <f t="shared" si="25"/>
        <v>0</v>
      </c>
      <c r="N150" s="525"/>
      <c r="O150" s="514">
        <f t="shared" si="26"/>
        <v>0</v>
      </c>
      <c r="P150" s="514">
        <f t="shared" si="27"/>
        <v>0</v>
      </c>
    </row>
    <row r="151" spans="2:16" ht="12.5">
      <c r="B151" s="195" t="str">
        <f t="shared" si="16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2"/>
        <v>0</v>
      </c>
      <c r="G151" s="523">
        <f t="shared" si="23"/>
        <v>0</v>
      </c>
      <c r="H151" s="526">
        <f t="shared" si="20"/>
        <v>0</v>
      </c>
      <c r="I151" s="577">
        <f t="shared" si="21"/>
        <v>0</v>
      </c>
      <c r="J151" s="514">
        <f t="shared" si="24"/>
        <v>0</v>
      </c>
      <c r="K151" s="514"/>
      <c r="L151" s="525"/>
      <c r="M151" s="514">
        <f t="shared" si="25"/>
        <v>0</v>
      </c>
      <c r="N151" s="525"/>
      <c r="O151" s="514">
        <f t="shared" si="26"/>
        <v>0</v>
      </c>
      <c r="P151" s="514">
        <f t="shared" si="27"/>
        <v>0</v>
      </c>
    </row>
    <row r="152" spans="2:16" ht="12.5">
      <c r="B152" s="195" t="str">
        <f t="shared" si="16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2"/>
        <v>0</v>
      </c>
      <c r="G152" s="523">
        <f t="shared" si="23"/>
        <v>0</v>
      </c>
      <c r="H152" s="526">
        <f t="shared" si="20"/>
        <v>0</v>
      </c>
      <c r="I152" s="577">
        <f t="shared" si="21"/>
        <v>0</v>
      </c>
      <c r="J152" s="514">
        <f t="shared" si="24"/>
        <v>0</v>
      </c>
      <c r="K152" s="514"/>
      <c r="L152" s="525"/>
      <c r="M152" s="514">
        <f t="shared" si="25"/>
        <v>0</v>
      </c>
      <c r="N152" s="525"/>
      <c r="O152" s="514">
        <f t="shared" si="26"/>
        <v>0</v>
      </c>
      <c r="P152" s="514">
        <f t="shared" si="27"/>
        <v>0</v>
      </c>
    </row>
    <row r="153" spans="2:16" ht="12.5">
      <c r="B153" s="195" t="str">
        <f t="shared" si="16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2"/>
        <v>0</v>
      </c>
      <c r="G153" s="523">
        <f t="shared" si="23"/>
        <v>0</v>
      </c>
      <c r="H153" s="526">
        <f t="shared" si="20"/>
        <v>0</v>
      </c>
      <c r="I153" s="577">
        <f t="shared" si="21"/>
        <v>0</v>
      </c>
      <c r="J153" s="514">
        <f t="shared" si="24"/>
        <v>0</v>
      </c>
      <c r="K153" s="514"/>
      <c r="L153" s="525"/>
      <c r="M153" s="514">
        <f t="shared" si="25"/>
        <v>0</v>
      </c>
      <c r="N153" s="525"/>
      <c r="O153" s="514">
        <f t="shared" si="26"/>
        <v>0</v>
      </c>
      <c r="P153" s="514">
        <f t="shared" si="27"/>
        <v>0</v>
      </c>
    </row>
    <row r="154" spans="2:16" ht="13" thickBot="1">
      <c r="B154" s="195" t="str">
        <f t="shared" si="16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2"/>
        <v>0</v>
      </c>
      <c r="G154" s="528">
        <f t="shared" si="23"/>
        <v>0</v>
      </c>
      <c r="H154" s="530">
        <f t="shared" si="20"/>
        <v>0</v>
      </c>
      <c r="I154" s="579">
        <f t="shared" si="21"/>
        <v>0</v>
      </c>
      <c r="J154" s="533">
        <f t="shared" si="24"/>
        <v>0</v>
      </c>
      <c r="K154" s="514"/>
      <c r="L154" s="532"/>
      <c r="M154" s="533">
        <f t="shared" si="25"/>
        <v>0</v>
      </c>
      <c r="N154" s="532"/>
      <c r="O154" s="533">
        <f t="shared" si="26"/>
        <v>0</v>
      </c>
      <c r="P154" s="533">
        <f t="shared" si="27"/>
        <v>0</v>
      </c>
    </row>
    <row r="155" spans="2:16" ht="12.5">
      <c r="C155" s="374" t="s">
        <v>78</v>
      </c>
      <c r="D155" s="375"/>
      <c r="E155" s="375">
        <f>SUM(E99:E154)</f>
        <v>4648771.0000000019</v>
      </c>
      <c r="F155" s="375"/>
      <c r="G155" s="375"/>
      <c r="H155" s="375">
        <f>SUM(H99:H154)</f>
        <v>15382302.693861892</v>
      </c>
      <c r="I155" s="375">
        <f>SUM(I99:I154)</f>
        <v>15382302.693861892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0" priority="2" stopIfTrue="1" operator="equal">
      <formula>$I$10</formula>
    </cfRule>
  </conditionalFormatting>
  <conditionalFormatting sqref="C99:C154">
    <cfRule type="cellIs" dxfId="29" priority="3" stopIfTrue="1" operator="equal">
      <formula>$J$92</formula>
    </cfRule>
  </conditionalFormatting>
  <conditionalFormatting sqref="C17">
    <cfRule type="cellIs" dxfId="28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P162"/>
  <sheetViews>
    <sheetView view="pageBreakPreview" zoomScale="80" zoomScaleNormal="100" zoomScaleSheetLayoutView="80" workbookViewId="0">
      <selection activeCell="D12" sqref="D1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64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2073856.4882897006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2073856.4882897006</v>
      </c>
      <c r="O6" s="269"/>
      <c r="P6" s="269"/>
    </row>
    <row r="7" spans="1:16" ht="13.5" thickBot="1">
      <c r="C7" s="467" t="s">
        <v>48</v>
      </c>
      <c r="D7" s="624" t="s">
        <v>388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415</v>
      </c>
      <c r="E9" s="637" t="s">
        <v>416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17159057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408548.97619047621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 t="s">
        <v>442</v>
      </c>
      <c r="E17" s="658" t="s">
        <v>442</v>
      </c>
      <c r="F17" s="651">
        <v>12938000</v>
      </c>
      <c r="G17" s="659">
        <v>801461</v>
      </c>
      <c r="H17" s="657">
        <v>801461</v>
      </c>
      <c r="I17" s="511">
        <f t="shared" ref="I17:I72" si="0">H17-G17</f>
        <v>0</v>
      </c>
      <c r="J17" s="511"/>
      <c r="K17" s="512">
        <f>+G17</f>
        <v>801461</v>
      </c>
      <c r="L17" s="513">
        <f t="shared" ref="L17:L72" si="1">IF(K17&lt;&gt;0,+G17-K17,0)</f>
        <v>0</v>
      </c>
      <c r="M17" s="512">
        <f>+H17</f>
        <v>801461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2018</v>
      </c>
      <c r="D18" s="631">
        <v>15870000</v>
      </c>
      <c r="E18" s="630">
        <v>387073.1707317073</v>
      </c>
      <c r="F18" s="631">
        <v>15482926.829268293</v>
      </c>
      <c r="G18" s="630">
        <v>2379459.1627964582</v>
      </c>
      <c r="H18" s="639">
        <v>2379459.1627964582</v>
      </c>
      <c r="I18" s="511">
        <f t="shared" si="0"/>
        <v>0</v>
      </c>
      <c r="J18" s="511"/>
      <c r="K18" s="518">
        <f>+G18</f>
        <v>2379459.1627964582</v>
      </c>
      <c r="L18" s="519">
        <f t="shared" si="1"/>
        <v>0</v>
      </c>
      <c r="M18" s="518">
        <f>+H18</f>
        <v>2379459.1627964582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15482926.829268293</v>
      </c>
      <c r="E19" s="630">
        <v>387073.1707317073</v>
      </c>
      <c r="F19" s="631">
        <v>15095853.658536587</v>
      </c>
      <c r="G19" s="630">
        <v>2330264.4469430079</v>
      </c>
      <c r="H19" s="639">
        <v>2330264.4469430079</v>
      </c>
      <c r="I19" s="511">
        <f t="shared" si="0"/>
        <v>0</v>
      </c>
      <c r="J19" s="511"/>
      <c r="K19" s="518">
        <f>+G19</f>
        <v>2330264.4469430079</v>
      </c>
      <c r="L19" s="519">
        <f t="shared" ref="L19" si="4">IF(K19&lt;&gt;0,+G19-K19,0)</f>
        <v>0</v>
      </c>
      <c r="M19" s="518">
        <f>+H19</f>
        <v>2330264.4469430079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2020</v>
      </c>
      <c r="D20" s="631">
        <v>16384910.658536585</v>
      </c>
      <c r="E20" s="630">
        <v>418513.58536585368</v>
      </c>
      <c r="F20" s="631">
        <v>15966397.073170731</v>
      </c>
      <c r="G20" s="630">
        <v>2073856.4882897006</v>
      </c>
      <c r="H20" s="639">
        <v>2073856.4882897006</v>
      </c>
      <c r="I20" s="511">
        <f t="shared" si="0"/>
        <v>0</v>
      </c>
      <c r="J20" s="511"/>
      <c r="K20" s="518">
        <f>+G20</f>
        <v>2073856.4882897006</v>
      </c>
      <c r="L20" s="519">
        <f t="shared" ref="L20" si="6">IF(K20&lt;&gt;0,+G20-K20,0)</f>
        <v>0</v>
      </c>
      <c r="M20" s="518">
        <f>+H20</f>
        <v>2073856.4882897006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/>
      </c>
      <c r="C21" s="507">
        <f>IF(D11="","-",+C20+1)</f>
        <v>2021</v>
      </c>
      <c r="D21" s="523">
        <f>IF(F20+SUM(E$17:E20)=D$10,F20,D$10-SUM(E$17:E20))</f>
        <v>15966397.073170731</v>
      </c>
      <c r="E21" s="522">
        <f>IF(+I14&lt;F20,I14,D21)</f>
        <v>408548.97619047621</v>
      </c>
      <c r="F21" s="523">
        <f t="shared" ref="F21:F72" si="7">+D21-E21</f>
        <v>15557848.096980255</v>
      </c>
      <c r="G21" s="524">
        <f t="shared" ref="G21:G48" si="8">+I$12*((D21+F21)/2)+E21</f>
        <v>2092226.9728928779</v>
      </c>
      <c r="H21" s="491">
        <f t="shared" ref="H21:H48" si="9">+I$13*((D21+F21)/2)+E21</f>
        <v>2092226.9728928779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2022</v>
      </c>
      <c r="D22" s="523">
        <f>IF(F21+SUM(E$17:E21)=D$10,F21,D$10-SUM(E$17:E21))</f>
        <v>15557848.096980255</v>
      </c>
      <c r="E22" s="522">
        <f>IF(+I14&lt;F21,I14,D22)</f>
        <v>408548.97619047621</v>
      </c>
      <c r="F22" s="523">
        <f t="shared" si="7"/>
        <v>15149299.120789779</v>
      </c>
      <c r="G22" s="524">
        <f t="shared" si="8"/>
        <v>2048586.5990742836</v>
      </c>
      <c r="H22" s="491">
        <f t="shared" si="9"/>
        <v>2048586.5990742836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15149299.120789779</v>
      </c>
      <c r="E23" s="522">
        <f>IF(+I14&lt;F22,I14,D23)</f>
        <v>408548.97619047621</v>
      </c>
      <c r="F23" s="523">
        <f t="shared" si="7"/>
        <v>14740750.144599304</v>
      </c>
      <c r="G23" s="524">
        <f t="shared" si="8"/>
        <v>2004946.2252556898</v>
      </c>
      <c r="H23" s="491">
        <f t="shared" si="9"/>
        <v>2004946.2252556898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14740750.144599304</v>
      </c>
      <c r="E24" s="522">
        <f>IF(+I14&lt;F23,I14,D24)</f>
        <v>408548.97619047621</v>
      </c>
      <c r="F24" s="523">
        <f t="shared" si="7"/>
        <v>14332201.168408828</v>
      </c>
      <c r="G24" s="524">
        <f t="shared" si="8"/>
        <v>1961305.8514370958</v>
      </c>
      <c r="H24" s="491">
        <f t="shared" si="9"/>
        <v>1961305.8514370958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14332201.168408828</v>
      </c>
      <c r="E25" s="522">
        <f>IF(+I14&lt;F24,I14,D25)</f>
        <v>408548.97619047621</v>
      </c>
      <c r="F25" s="523">
        <f t="shared" si="7"/>
        <v>13923652.192218352</v>
      </c>
      <c r="G25" s="524">
        <f t="shared" si="8"/>
        <v>1917665.477618502</v>
      </c>
      <c r="H25" s="491">
        <f t="shared" si="9"/>
        <v>1917665.477618502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13923652.192218352</v>
      </c>
      <c r="E26" s="522">
        <f>IF(+I14&lt;F25,I14,D26)</f>
        <v>408548.97619047621</v>
      </c>
      <c r="F26" s="523">
        <f t="shared" si="7"/>
        <v>13515103.216027876</v>
      </c>
      <c r="G26" s="524">
        <f t="shared" si="8"/>
        <v>1874025.1037999077</v>
      </c>
      <c r="H26" s="491">
        <f t="shared" si="9"/>
        <v>1874025.1037999077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13515103.216027876</v>
      </c>
      <c r="E27" s="522">
        <f>IF(+I14&lt;F26,I14,D27)</f>
        <v>408548.97619047621</v>
      </c>
      <c r="F27" s="523">
        <f t="shared" si="7"/>
        <v>13106554.239837401</v>
      </c>
      <c r="G27" s="524">
        <f t="shared" si="8"/>
        <v>1830384.7299813139</v>
      </c>
      <c r="H27" s="491">
        <f t="shared" si="9"/>
        <v>1830384.7299813139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13106554.239837401</v>
      </c>
      <c r="E28" s="522">
        <f>IF(+I14&lt;F27,I14,D28)</f>
        <v>408548.97619047621</v>
      </c>
      <c r="F28" s="523">
        <f t="shared" si="7"/>
        <v>12698005.263646925</v>
      </c>
      <c r="G28" s="524">
        <f t="shared" si="8"/>
        <v>1786744.3561627199</v>
      </c>
      <c r="H28" s="491">
        <f t="shared" si="9"/>
        <v>1786744.3561627199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12698005.263646925</v>
      </c>
      <c r="E29" s="522">
        <f>IF(+I14&lt;F28,I14,D29)</f>
        <v>408548.97619047621</v>
      </c>
      <c r="F29" s="523">
        <f t="shared" si="7"/>
        <v>12289456.287456449</v>
      </c>
      <c r="G29" s="524">
        <f t="shared" si="8"/>
        <v>1743103.9823441261</v>
      </c>
      <c r="H29" s="491">
        <f t="shared" si="9"/>
        <v>1743103.9823441261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12289456.287456449</v>
      </c>
      <c r="E30" s="522">
        <f>IF(+I14&lt;F29,I14,D30)</f>
        <v>408548.97619047621</v>
      </c>
      <c r="F30" s="523">
        <f t="shared" si="7"/>
        <v>11880907.311265973</v>
      </c>
      <c r="G30" s="524">
        <f t="shared" si="8"/>
        <v>1699463.6085255318</v>
      </c>
      <c r="H30" s="491">
        <f t="shared" si="9"/>
        <v>1699463.6085255318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11880907.311265973</v>
      </c>
      <c r="E31" s="522">
        <f>IF(+I14&lt;F30,I14,D31)</f>
        <v>408548.97619047621</v>
      </c>
      <c r="F31" s="523">
        <f t="shared" si="7"/>
        <v>11472358.335075498</v>
      </c>
      <c r="G31" s="524">
        <f t="shared" si="8"/>
        <v>1655823.234706938</v>
      </c>
      <c r="H31" s="491">
        <f t="shared" si="9"/>
        <v>1655823.234706938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11472358.335075498</v>
      </c>
      <c r="E32" s="522">
        <f>IF(+I14&lt;F31,I14,D32)</f>
        <v>408548.97619047621</v>
      </c>
      <c r="F32" s="523">
        <f t="shared" si="7"/>
        <v>11063809.358885022</v>
      </c>
      <c r="G32" s="524">
        <f t="shared" si="8"/>
        <v>1612182.860888344</v>
      </c>
      <c r="H32" s="491">
        <f t="shared" si="9"/>
        <v>1612182.860888344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11063809.358885022</v>
      </c>
      <c r="E33" s="522">
        <f>IF(+I14&lt;F32,I14,D33)</f>
        <v>408548.97619047621</v>
      </c>
      <c r="F33" s="523">
        <f t="shared" si="7"/>
        <v>10655260.382694546</v>
      </c>
      <c r="G33" s="524">
        <f t="shared" si="8"/>
        <v>1568542.4870697502</v>
      </c>
      <c r="H33" s="491">
        <f t="shared" si="9"/>
        <v>1568542.4870697502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10655260.382694546</v>
      </c>
      <c r="E34" s="522">
        <f>IF(+I14&lt;F33,I14,D34)</f>
        <v>408548.97619047621</v>
      </c>
      <c r="F34" s="523">
        <f t="shared" si="7"/>
        <v>10246711.40650407</v>
      </c>
      <c r="G34" s="524">
        <f t="shared" si="8"/>
        <v>1524902.1132511559</v>
      </c>
      <c r="H34" s="491">
        <f t="shared" si="9"/>
        <v>1524902.1132511559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10246711.40650407</v>
      </c>
      <c r="E35" s="522">
        <f>IF(+I14&lt;F34,I14,D35)</f>
        <v>408548.97619047621</v>
      </c>
      <c r="F35" s="523">
        <f t="shared" si="7"/>
        <v>9838162.4303135946</v>
      </c>
      <c r="G35" s="524">
        <f t="shared" si="8"/>
        <v>1481261.7394325621</v>
      </c>
      <c r="H35" s="491">
        <f t="shared" si="9"/>
        <v>1481261.7394325621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9838162.4303135946</v>
      </c>
      <c r="E36" s="522">
        <f>IF(+I14&lt;F35,I14,D36)</f>
        <v>408548.97619047621</v>
      </c>
      <c r="F36" s="523">
        <f t="shared" si="7"/>
        <v>9429613.4541231189</v>
      </c>
      <c r="G36" s="524">
        <f t="shared" si="8"/>
        <v>1437621.3656139681</v>
      </c>
      <c r="H36" s="491">
        <f t="shared" si="9"/>
        <v>1437621.3656139681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9429613.4541231189</v>
      </c>
      <c r="E37" s="522">
        <f>IF(+I14&lt;F36,I14,D37)</f>
        <v>408548.97619047621</v>
      </c>
      <c r="F37" s="523">
        <f t="shared" si="7"/>
        <v>9021064.4779326431</v>
      </c>
      <c r="G37" s="524">
        <f t="shared" si="8"/>
        <v>1393980.9917953741</v>
      </c>
      <c r="H37" s="491">
        <f t="shared" si="9"/>
        <v>1393980.9917953741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9021064.4779326431</v>
      </c>
      <c r="E38" s="522">
        <f>IF(+I14&lt;F37,I14,D38)</f>
        <v>408548.97619047621</v>
      </c>
      <c r="F38" s="523">
        <f t="shared" si="7"/>
        <v>8612515.5017421674</v>
      </c>
      <c r="G38" s="524">
        <f t="shared" si="8"/>
        <v>1350340.61797678</v>
      </c>
      <c r="H38" s="491">
        <f t="shared" si="9"/>
        <v>1350340.61797678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8612515.5017421674</v>
      </c>
      <c r="E39" s="522">
        <f>IF(+I14&lt;F38,I14,D39)</f>
        <v>408548.97619047621</v>
      </c>
      <c r="F39" s="523">
        <f t="shared" si="7"/>
        <v>8203966.5255516917</v>
      </c>
      <c r="G39" s="524">
        <f t="shared" si="8"/>
        <v>1306700.2441581863</v>
      </c>
      <c r="H39" s="491">
        <f t="shared" si="9"/>
        <v>1306700.2441581863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8203966.5255516917</v>
      </c>
      <c r="E40" s="522">
        <f>IF(+I14&lt;F39,I14,D40)</f>
        <v>408548.97619047621</v>
      </c>
      <c r="F40" s="523">
        <f t="shared" si="7"/>
        <v>7795417.5493612159</v>
      </c>
      <c r="G40" s="524">
        <f t="shared" si="8"/>
        <v>1263059.8703395922</v>
      </c>
      <c r="H40" s="491">
        <f t="shared" si="9"/>
        <v>1263059.8703395922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7795417.5493612159</v>
      </c>
      <c r="E41" s="522">
        <f>IF(+I14&lt;F40,I14,D41)</f>
        <v>408548.97619047621</v>
      </c>
      <c r="F41" s="523">
        <f t="shared" si="7"/>
        <v>7386868.5731707402</v>
      </c>
      <c r="G41" s="524">
        <f t="shared" si="8"/>
        <v>1219419.4965209982</v>
      </c>
      <c r="H41" s="491">
        <f t="shared" si="9"/>
        <v>1219419.4965209982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7386868.5731707402</v>
      </c>
      <c r="E42" s="522">
        <f>IF(+I14&lt;F41,I14,D42)</f>
        <v>408548.97619047621</v>
      </c>
      <c r="F42" s="523">
        <f t="shared" si="7"/>
        <v>6978319.5969802644</v>
      </c>
      <c r="G42" s="524">
        <f t="shared" si="8"/>
        <v>1175779.1227024044</v>
      </c>
      <c r="H42" s="491">
        <f t="shared" si="9"/>
        <v>1175779.1227024044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6978319.5969802644</v>
      </c>
      <c r="E43" s="522">
        <f>IF(+I14&lt;F42,I14,D43)</f>
        <v>408548.97619047621</v>
      </c>
      <c r="F43" s="523">
        <f t="shared" si="7"/>
        <v>6569770.6207897887</v>
      </c>
      <c r="G43" s="524">
        <f t="shared" si="8"/>
        <v>1132138.7488838104</v>
      </c>
      <c r="H43" s="491">
        <f t="shared" si="9"/>
        <v>1132138.7488838104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6569770.6207897887</v>
      </c>
      <c r="E44" s="522">
        <f>IF(+I14&lt;F43,I14,D44)</f>
        <v>408548.97619047621</v>
      </c>
      <c r="F44" s="523">
        <f t="shared" si="7"/>
        <v>6161221.6445993129</v>
      </c>
      <c r="G44" s="524">
        <f t="shared" si="8"/>
        <v>1088498.3750652163</v>
      </c>
      <c r="H44" s="491">
        <f t="shared" si="9"/>
        <v>1088498.3750652163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6161221.6445993129</v>
      </c>
      <c r="E45" s="522">
        <f>IF(+I14&lt;F44,I14,D45)</f>
        <v>408548.97619047621</v>
      </c>
      <c r="F45" s="523">
        <f t="shared" si="7"/>
        <v>5752672.6684088372</v>
      </c>
      <c r="G45" s="524">
        <f t="shared" si="8"/>
        <v>1044858.0012466223</v>
      </c>
      <c r="H45" s="491">
        <f t="shared" si="9"/>
        <v>1044858.0012466223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5752672.6684088372</v>
      </c>
      <c r="E46" s="522">
        <f>IF(+I14&lt;F45,I14,D46)</f>
        <v>408548.97619047621</v>
      </c>
      <c r="F46" s="523">
        <f t="shared" si="7"/>
        <v>5344123.6922183614</v>
      </c>
      <c r="G46" s="524">
        <f t="shared" si="8"/>
        <v>1001217.6274280284</v>
      </c>
      <c r="H46" s="491">
        <f t="shared" si="9"/>
        <v>1001217.6274280284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5344123.6922183614</v>
      </c>
      <c r="E47" s="522">
        <f>IF(+I14&lt;F46,I14,D47)</f>
        <v>408548.97619047621</v>
      </c>
      <c r="F47" s="523">
        <f t="shared" si="7"/>
        <v>4935574.7160278857</v>
      </c>
      <c r="G47" s="524">
        <f t="shared" si="8"/>
        <v>957577.25360943435</v>
      </c>
      <c r="H47" s="491">
        <f t="shared" si="9"/>
        <v>957577.25360943435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4935574.7160278857</v>
      </c>
      <c r="E48" s="522">
        <f>IF(+I14&lt;F47,I14,D48)</f>
        <v>408548.97619047621</v>
      </c>
      <c r="F48" s="523">
        <f t="shared" si="7"/>
        <v>4527025.7398374099</v>
      </c>
      <c r="G48" s="524">
        <f t="shared" si="8"/>
        <v>913936.87979084044</v>
      </c>
      <c r="H48" s="491">
        <f t="shared" si="9"/>
        <v>913936.87979084044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4527025.7398374099</v>
      </c>
      <c r="E49" s="522">
        <f>IF(+I14&lt;F48,I14,D49)</f>
        <v>408548.97619047621</v>
      </c>
      <c r="F49" s="523">
        <f t="shared" si="7"/>
        <v>4118476.7636469337</v>
      </c>
      <c r="G49" s="524">
        <f t="shared" ref="G49:G72" si="10">+I$12*((D49+F49)/2)+E49</f>
        <v>870296.50597224641</v>
      </c>
      <c r="H49" s="491">
        <f t="shared" ref="H49:H72" si="11">+I$13*((D49+F49)/2)+E49</f>
        <v>870296.50597224641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4118476.7636469337</v>
      </c>
      <c r="E50" s="522">
        <f>IF(+I14&lt;F49,I14,D50)</f>
        <v>408548.97619047621</v>
      </c>
      <c r="F50" s="523">
        <f t="shared" si="7"/>
        <v>3709927.7874564575</v>
      </c>
      <c r="G50" s="524">
        <f t="shared" si="10"/>
        <v>826656.13215365238</v>
      </c>
      <c r="H50" s="491">
        <f t="shared" si="11"/>
        <v>826656.13215365238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3709927.7874564575</v>
      </c>
      <c r="E51" s="522">
        <f>IF(+I14&lt;F50,I14,D51)</f>
        <v>408548.97619047621</v>
      </c>
      <c r="F51" s="523">
        <f t="shared" si="7"/>
        <v>3301378.8112659813</v>
      </c>
      <c r="G51" s="524">
        <f t="shared" si="10"/>
        <v>783015.75833505834</v>
      </c>
      <c r="H51" s="491">
        <f t="shared" si="11"/>
        <v>783015.75833505834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3301378.8112659813</v>
      </c>
      <c r="E52" s="522">
        <f>IF(+I14&lt;F51,I14,D52)</f>
        <v>408548.97619047621</v>
      </c>
      <c r="F52" s="523">
        <f t="shared" si="7"/>
        <v>2892829.8350755051</v>
      </c>
      <c r="G52" s="524">
        <f t="shared" si="10"/>
        <v>739375.38451646431</v>
      </c>
      <c r="H52" s="491">
        <f t="shared" si="11"/>
        <v>739375.38451646431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2892829.8350755051</v>
      </c>
      <c r="E53" s="522">
        <f>IF(+I14&lt;F52,I14,D53)</f>
        <v>408548.97619047621</v>
      </c>
      <c r="F53" s="523">
        <f t="shared" si="7"/>
        <v>2484280.8588850289</v>
      </c>
      <c r="G53" s="524">
        <f t="shared" si="10"/>
        <v>695735.01069787028</v>
      </c>
      <c r="H53" s="491">
        <f t="shared" si="11"/>
        <v>695735.01069787028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2484280.8588850289</v>
      </c>
      <c r="E54" s="522">
        <f>IF(+I14&lt;F53,I14,D54)</f>
        <v>408548.97619047621</v>
      </c>
      <c r="F54" s="523">
        <f t="shared" si="7"/>
        <v>2075731.8826945527</v>
      </c>
      <c r="G54" s="524">
        <f t="shared" si="10"/>
        <v>652094.63687927625</v>
      </c>
      <c r="H54" s="491">
        <f t="shared" si="11"/>
        <v>652094.63687927625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2075731.8826945527</v>
      </c>
      <c r="E55" s="522">
        <f>IF(+I14&lt;F54,I14,D55)</f>
        <v>408548.97619047621</v>
      </c>
      <c r="F55" s="523">
        <f t="shared" si="7"/>
        <v>1667182.9065040764</v>
      </c>
      <c r="G55" s="524">
        <f t="shared" si="10"/>
        <v>608454.26306068222</v>
      </c>
      <c r="H55" s="491">
        <f t="shared" si="11"/>
        <v>608454.26306068222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1667182.9065040764</v>
      </c>
      <c r="E56" s="522">
        <f>IF(+I14&lt;F55,I14,D56)</f>
        <v>408548.97619047621</v>
      </c>
      <c r="F56" s="523">
        <f t="shared" si="7"/>
        <v>1258633.9303136002</v>
      </c>
      <c r="G56" s="524">
        <f t="shared" si="10"/>
        <v>564813.88924208819</v>
      </c>
      <c r="H56" s="491">
        <f t="shared" si="11"/>
        <v>564813.88924208819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1258633.9303136002</v>
      </c>
      <c r="E57" s="522">
        <f>IF(+I14&lt;F56,I14,D57)</f>
        <v>408548.97619047621</v>
      </c>
      <c r="F57" s="523">
        <f t="shared" si="7"/>
        <v>850084.95412312401</v>
      </c>
      <c r="G57" s="524">
        <f t="shared" si="10"/>
        <v>521173.51542349416</v>
      </c>
      <c r="H57" s="491">
        <f t="shared" si="11"/>
        <v>521173.51542349416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850084.95412312401</v>
      </c>
      <c r="E58" s="522">
        <f>IF(+I14&lt;F57,I14,D58)</f>
        <v>408548.97619047621</v>
      </c>
      <c r="F58" s="523">
        <f t="shared" si="7"/>
        <v>441535.9779326478</v>
      </c>
      <c r="G58" s="524">
        <f t="shared" si="10"/>
        <v>477533.14160490013</v>
      </c>
      <c r="H58" s="491">
        <f t="shared" si="11"/>
        <v>477533.14160490013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441535.9779326478</v>
      </c>
      <c r="E59" s="522">
        <f>IF(+I14&lt;F58,I14,D59)</f>
        <v>408548.97619047621</v>
      </c>
      <c r="F59" s="523">
        <f t="shared" si="7"/>
        <v>32987.001742171589</v>
      </c>
      <c r="G59" s="524">
        <f t="shared" si="10"/>
        <v>433892.7677863061</v>
      </c>
      <c r="H59" s="491">
        <f t="shared" si="11"/>
        <v>433892.7677863061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32987.001742171589</v>
      </c>
      <c r="E60" s="522">
        <f>IF(+I14&lt;F59,I14,D60)</f>
        <v>32987.001742171589</v>
      </c>
      <c r="F60" s="523">
        <f t="shared" si="7"/>
        <v>0</v>
      </c>
      <c r="G60" s="524">
        <f t="shared" si="10"/>
        <v>34748.804085438038</v>
      </c>
      <c r="H60" s="491">
        <f t="shared" si="11"/>
        <v>34748.804085438038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17159057</v>
      </c>
      <c r="F73" s="375"/>
      <c r="G73" s="375">
        <f>SUM(G17:G72)</f>
        <v>56879124.8453587</v>
      </c>
      <c r="H73" s="375">
        <f>SUM(H17:H72)</f>
        <v>56879124.8453587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64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2073856.4882897006</v>
      </c>
      <c r="N87" s="546">
        <f>IF(J92&lt;D11,0,VLOOKUP(J92,C17:O72,11))</f>
        <v>2073856.4882897006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2123671.9859832102</v>
      </c>
      <c r="N88" s="550">
        <f>IF(J92&lt;D11,0,VLOOKUP(J92,C99:P154,7))</f>
        <v>2123671.9859832102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Hallsville - Marshall New 69 kV Circuit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49815.497693509562</v>
      </c>
      <c r="N89" s="555">
        <f>+N88-N87</f>
        <v>49815.497693509562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17159057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408548.97619047621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203503.39285714287</v>
      </c>
      <c r="F99" s="651">
        <v>16890781.607142858</v>
      </c>
      <c r="G99" s="652">
        <v>8445390.8035714291</v>
      </c>
      <c r="H99" s="653">
        <v>1229377.3244778609</v>
      </c>
      <c r="I99" s="654">
        <v>1229377.3244778609</v>
      </c>
      <c r="J99" s="514">
        <f t="shared" ref="J99:J130" si="12">+I99-H99</f>
        <v>0</v>
      </c>
      <c r="K99" s="514"/>
      <c r="L99" s="512">
        <f>+H99</f>
        <v>1229377.3244778609</v>
      </c>
      <c r="M99" s="513">
        <f t="shared" ref="M99:M130" si="13">IF(L99&lt;&gt;0,+H99-L99,0)</f>
        <v>0</v>
      </c>
      <c r="N99" s="512">
        <f>+I99</f>
        <v>1229377.3244778609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16955553.607142858</v>
      </c>
      <c r="E100" s="630">
        <v>408548.97619047621</v>
      </c>
      <c r="F100" s="631">
        <v>16547004.630952382</v>
      </c>
      <c r="G100" s="631">
        <v>16751279.119047619</v>
      </c>
      <c r="H100" s="633">
        <v>2177560.8695091857</v>
      </c>
      <c r="I100" s="634">
        <v>2177560.8695091857</v>
      </c>
      <c r="J100" s="514">
        <f t="shared" si="12"/>
        <v>0</v>
      </c>
      <c r="K100" s="514"/>
      <c r="L100" s="655">
        <f>+H100</f>
        <v>2177560.8695091857</v>
      </c>
      <c r="M100" s="514">
        <f t="shared" si="13"/>
        <v>0</v>
      </c>
      <c r="N100" s="655">
        <f>+I100</f>
        <v>2177560.8695091857</v>
      </c>
      <c r="O100" s="514">
        <f t="shared" si="14"/>
        <v>0</v>
      </c>
      <c r="P100" s="514">
        <f t="shared" si="15"/>
        <v>0</v>
      </c>
    </row>
    <row r="101" spans="1:16" ht="12.5">
      <c r="B101" s="195" t="str">
        <f t="shared" ref="B101:B154" si="16">IF(D101=F100,"","IU")</f>
        <v/>
      </c>
      <c r="C101" s="507">
        <f>IF(D93="","-",+C100+1)</f>
        <v>2019</v>
      </c>
      <c r="D101" s="629">
        <v>16547004.630952382</v>
      </c>
      <c r="E101" s="630">
        <v>399047.83720930235</v>
      </c>
      <c r="F101" s="631">
        <v>16147956.79374308</v>
      </c>
      <c r="G101" s="631">
        <v>16347480.712347731</v>
      </c>
      <c r="H101" s="633">
        <v>2148891.1072448152</v>
      </c>
      <c r="I101" s="634">
        <v>2148891.1072448152</v>
      </c>
      <c r="J101" s="514">
        <f t="shared" si="12"/>
        <v>0</v>
      </c>
      <c r="K101" s="514"/>
      <c r="L101" s="655">
        <f>+H101</f>
        <v>2148891.1072448152</v>
      </c>
      <c r="M101" s="514">
        <f t="shared" ref="M101" si="17">IF(L101&lt;&gt;0,+H101-L101,0)</f>
        <v>0</v>
      </c>
      <c r="N101" s="655">
        <f>+I101</f>
        <v>2148891.1072448152</v>
      </c>
      <c r="O101" s="514">
        <f t="shared" si="14"/>
        <v>0</v>
      </c>
      <c r="P101" s="514">
        <f t="shared" si="15"/>
        <v>0</v>
      </c>
    </row>
    <row r="102" spans="1:16" ht="12.5">
      <c r="B102" s="195" t="str">
        <f t="shared" si="16"/>
        <v/>
      </c>
      <c r="C102" s="507">
        <f>IF(D93="","-",+C101+1)</f>
        <v>2020</v>
      </c>
      <c r="D102" s="374">
        <f>IF(F101+SUM(E$99:E101)=D$92,F101,D$92-SUM(E$99:E101))</f>
        <v>16147956.79374308</v>
      </c>
      <c r="E102" s="522">
        <f>IF(+J96&lt;F101,J96,D102)</f>
        <v>408548.97619047621</v>
      </c>
      <c r="F102" s="523">
        <f t="shared" ref="F102:F130" si="18">+D102-E102</f>
        <v>15739407.817552604</v>
      </c>
      <c r="G102" s="523">
        <f t="shared" ref="G102:G130" si="19">+(F102+D102)/2</f>
        <v>15943682.305647843</v>
      </c>
      <c r="H102" s="526">
        <f t="shared" ref="H102:H154" si="20">+J$94*G102+E102</f>
        <v>2123671.9859832102</v>
      </c>
      <c r="I102" s="577">
        <f t="shared" ref="I102:I154" si="21">+J$95*G102+E102</f>
        <v>2123671.9859832102</v>
      </c>
      <c r="J102" s="514">
        <f t="shared" si="12"/>
        <v>0</v>
      </c>
      <c r="K102" s="514"/>
      <c r="L102" s="525"/>
      <c r="M102" s="514">
        <f t="shared" si="13"/>
        <v>0</v>
      </c>
      <c r="N102" s="525"/>
      <c r="O102" s="514">
        <f t="shared" si="14"/>
        <v>0</v>
      </c>
      <c r="P102" s="514">
        <f t="shared" si="15"/>
        <v>0</v>
      </c>
    </row>
    <row r="103" spans="1:16" ht="12.5">
      <c r="B103" s="195" t="str">
        <f t="shared" si="16"/>
        <v/>
      </c>
      <c r="C103" s="507">
        <f>IF(D93="","-",+C102+1)</f>
        <v>2021</v>
      </c>
      <c r="D103" s="374">
        <f>IF(F102+SUM(E$99:E102)=D$92,F102,D$92-SUM(E$99:E102))</f>
        <v>15739407.817552604</v>
      </c>
      <c r="E103" s="522">
        <f>IF(+J96&lt;F102,J96,D103)</f>
        <v>408548.97619047621</v>
      </c>
      <c r="F103" s="523">
        <f t="shared" si="18"/>
        <v>15330858.841362128</v>
      </c>
      <c r="G103" s="523">
        <f t="shared" si="19"/>
        <v>15535133.329457365</v>
      </c>
      <c r="H103" s="526">
        <f t="shared" si="20"/>
        <v>2079722.8068501479</v>
      </c>
      <c r="I103" s="577">
        <f t="shared" si="21"/>
        <v>2079722.8068501479</v>
      </c>
      <c r="J103" s="514">
        <f t="shared" si="12"/>
        <v>0</v>
      </c>
      <c r="K103" s="514"/>
      <c r="L103" s="525"/>
      <c r="M103" s="514">
        <f t="shared" si="13"/>
        <v>0</v>
      </c>
      <c r="N103" s="525"/>
      <c r="O103" s="514">
        <f t="shared" si="14"/>
        <v>0</v>
      </c>
      <c r="P103" s="514">
        <f t="shared" si="15"/>
        <v>0</v>
      </c>
    </row>
    <row r="104" spans="1:16" ht="12.5">
      <c r="B104" s="195" t="str">
        <f t="shared" si="16"/>
        <v/>
      </c>
      <c r="C104" s="507">
        <f>IF(D93="","-",+C103+1)</f>
        <v>2022</v>
      </c>
      <c r="D104" s="374">
        <f>IF(F103+SUM(E$99:E103)=D$92,F103,D$92-SUM(E$99:E103))</f>
        <v>15330858.841362128</v>
      </c>
      <c r="E104" s="522">
        <f>IF(+J96&lt;F103,J96,D104)</f>
        <v>408548.97619047621</v>
      </c>
      <c r="F104" s="523">
        <f t="shared" si="18"/>
        <v>14922309.865171652</v>
      </c>
      <c r="G104" s="523">
        <f t="shared" si="19"/>
        <v>15126584.353266891</v>
      </c>
      <c r="H104" s="526">
        <f t="shared" si="20"/>
        <v>2035773.6277170861</v>
      </c>
      <c r="I104" s="577">
        <f t="shared" si="21"/>
        <v>2035773.6277170861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 ht="12.5">
      <c r="B105" s="195" t="str">
        <f t="shared" si="16"/>
        <v/>
      </c>
      <c r="C105" s="507">
        <f>IF(D93="","-",+C104+1)</f>
        <v>2023</v>
      </c>
      <c r="D105" s="374">
        <f>IF(F104+SUM(E$99:E104)=D$92,F104,D$92-SUM(E$99:E104))</f>
        <v>14922309.865171652</v>
      </c>
      <c r="E105" s="522">
        <f>IF(+J96&lt;F104,J96,D105)</f>
        <v>408548.97619047621</v>
      </c>
      <c r="F105" s="523">
        <f t="shared" si="18"/>
        <v>14513760.888981177</v>
      </c>
      <c r="G105" s="523">
        <f t="shared" si="19"/>
        <v>14718035.377076413</v>
      </c>
      <c r="H105" s="526">
        <f t="shared" si="20"/>
        <v>1991824.4485840239</v>
      </c>
      <c r="I105" s="577">
        <f t="shared" si="21"/>
        <v>1991824.4485840239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 ht="12.5">
      <c r="B106" s="195" t="str">
        <f t="shared" si="16"/>
        <v/>
      </c>
      <c r="C106" s="507">
        <f>IF(D93="","-",+C105+1)</f>
        <v>2024</v>
      </c>
      <c r="D106" s="374">
        <f>IF(F105+SUM(E$99:E105)=D$92,F105,D$92-SUM(E$99:E105))</f>
        <v>14513760.888981177</v>
      </c>
      <c r="E106" s="522">
        <f>IF(+J96&lt;F105,J96,D106)</f>
        <v>408548.97619047621</v>
      </c>
      <c r="F106" s="523">
        <f t="shared" si="18"/>
        <v>14105211.912790701</v>
      </c>
      <c r="G106" s="523">
        <f t="shared" si="19"/>
        <v>14309486.40088594</v>
      </c>
      <c r="H106" s="526">
        <f t="shared" si="20"/>
        <v>1947875.2694509621</v>
      </c>
      <c r="I106" s="577">
        <f t="shared" si="21"/>
        <v>1947875.2694509621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 ht="12.5">
      <c r="B107" s="195" t="str">
        <f t="shared" si="16"/>
        <v/>
      </c>
      <c r="C107" s="507">
        <f>IF(D93="","-",+C106+1)</f>
        <v>2025</v>
      </c>
      <c r="D107" s="374">
        <f>IF(F106+SUM(E$99:E106)=D$92,F106,D$92-SUM(E$99:E106))</f>
        <v>14105211.912790701</v>
      </c>
      <c r="E107" s="522">
        <f>IF(+J96&lt;F106,J96,D107)</f>
        <v>408548.97619047621</v>
      </c>
      <c r="F107" s="523">
        <f t="shared" si="18"/>
        <v>13696662.936600225</v>
      </c>
      <c r="G107" s="523">
        <f t="shared" si="19"/>
        <v>13900937.424695462</v>
      </c>
      <c r="H107" s="526">
        <f t="shared" si="20"/>
        <v>1903926.0903178998</v>
      </c>
      <c r="I107" s="577">
        <f t="shared" si="21"/>
        <v>1903926.0903178998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 ht="12.5">
      <c r="B108" s="195" t="str">
        <f t="shared" si="16"/>
        <v/>
      </c>
      <c r="C108" s="507">
        <f>IF(D93="","-",+C107+1)</f>
        <v>2026</v>
      </c>
      <c r="D108" s="374">
        <f>IF(F107+SUM(E$99:E107)=D$92,F107,D$92-SUM(E$99:E107))</f>
        <v>13696662.936600225</v>
      </c>
      <c r="E108" s="522">
        <f>IF(+J96&lt;F107,J96,D108)</f>
        <v>408548.97619047621</v>
      </c>
      <c r="F108" s="523">
        <f t="shared" si="18"/>
        <v>13288113.960409749</v>
      </c>
      <c r="G108" s="523">
        <f t="shared" si="19"/>
        <v>13492388.448504988</v>
      </c>
      <c r="H108" s="526">
        <f t="shared" si="20"/>
        <v>1859976.9111848378</v>
      </c>
      <c r="I108" s="577">
        <f t="shared" si="21"/>
        <v>1859976.9111848378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 ht="12.5">
      <c r="B109" s="195" t="str">
        <f t="shared" si="16"/>
        <v/>
      </c>
      <c r="C109" s="507">
        <f>IF(D93="","-",+C108+1)</f>
        <v>2027</v>
      </c>
      <c r="D109" s="374">
        <f>IF(F108+SUM(E$99:E108)=D$92,F108,D$92-SUM(E$99:E108))</f>
        <v>13288113.960409749</v>
      </c>
      <c r="E109" s="522">
        <f>IF(+J96&lt;F108,J96,D109)</f>
        <v>408548.97619047621</v>
      </c>
      <c r="F109" s="523">
        <f t="shared" si="18"/>
        <v>12879564.984219274</v>
      </c>
      <c r="G109" s="523">
        <f t="shared" si="19"/>
        <v>13083839.47231451</v>
      </c>
      <c r="H109" s="526">
        <f t="shared" si="20"/>
        <v>1816027.7320517756</v>
      </c>
      <c r="I109" s="577">
        <f t="shared" si="21"/>
        <v>1816027.7320517756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 ht="12.5">
      <c r="B110" s="195" t="str">
        <f t="shared" si="16"/>
        <v/>
      </c>
      <c r="C110" s="507">
        <f>IF(D93="","-",+C109+1)</f>
        <v>2028</v>
      </c>
      <c r="D110" s="374">
        <f>IF(F109+SUM(E$99:E109)=D$92,F109,D$92-SUM(E$99:E109))</f>
        <v>12879564.984219274</v>
      </c>
      <c r="E110" s="522">
        <f>IF(+J96&lt;F109,J96,D110)</f>
        <v>408548.97619047621</v>
      </c>
      <c r="F110" s="523">
        <f t="shared" si="18"/>
        <v>12471016.008028798</v>
      </c>
      <c r="G110" s="523">
        <f t="shared" si="19"/>
        <v>12675290.496124037</v>
      </c>
      <c r="H110" s="526">
        <f t="shared" si="20"/>
        <v>1772078.5529187138</v>
      </c>
      <c r="I110" s="577">
        <f t="shared" si="21"/>
        <v>1772078.5529187138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 ht="12.5">
      <c r="B111" s="195" t="str">
        <f t="shared" si="16"/>
        <v/>
      </c>
      <c r="C111" s="507">
        <f>IF(D93="","-",+C110+1)</f>
        <v>2029</v>
      </c>
      <c r="D111" s="374">
        <f>IF(F110+SUM(E$99:E110)=D$92,F110,D$92-SUM(E$99:E110))</f>
        <v>12471016.008028798</v>
      </c>
      <c r="E111" s="522">
        <f>IF(+J96&lt;F110,J96,D111)</f>
        <v>408548.97619047621</v>
      </c>
      <c r="F111" s="523">
        <f t="shared" si="18"/>
        <v>12062467.031838322</v>
      </c>
      <c r="G111" s="523">
        <f t="shared" si="19"/>
        <v>12266741.519933559</v>
      </c>
      <c r="H111" s="526">
        <f t="shared" si="20"/>
        <v>1728129.3737856515</v>
      </c>
      <c r="I111" s="577">
        <f t="shared" si="21"/>
        <v>1728129.3737856515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 ht="12.5">
      <c r="B112" s="195" t="str">
        <f t="shared" si="16"/>
        <v/>
      </c>
      <c r="C112" s="507">
        <f>IF(D93="","-",+C111+1)</f>
        <v>2030</v>
      </c>
      <c r="D112" s="374">
        <f>IF(F111+SUM(E$99:E111)=D$92,F111,D$92-SUM(E$99:E111))</f>
        <v>12062467.031838322</v>
      </c>
      <c r="E112" s="522">
        <f>IF(+J96&lt;F111,J96,D112)</f>
        <v>408548.97619047621</v>
      </c>
      <c r="F112" s="523">
        <f t="shared" si="18"/>
        <v>11653918.055647846</v>
      </c>
      <c r="G112" s="523">
        <f t="shared" si="19"/>
        <v>11858192.543743085</v>
      </c>
      <c r="H112" s="526">
        <f t="shared" si="20"/>
        <v>1684180.1946525897</v>
      </c>
      <c r="I112" s="577">
        <f t="shared" si="21"/>
        <v>1684180.1946525897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 ht="12.5">
      <c r="B113" s="195" t="str">
        <f t="shared" si="16"/>
        <v/>
      </c>
      <c r="C113" s="507">
        <f>IF(D93="","-",+C112+1)</f>
        <v>2031</v>
      </c>
      <c r="D113" s="374">
        <f>IF(F112+SUM(E$99:E112)=D$92,F112,D$92-SUM(E$99:E112))</f>
        <v>11653918.055647846</v>
      </c>
      <c r="E113" s="522">
        <f>IF(+J96&lt;F112,J96,D113)</f>
        <v>408548.97619047621</v>
      </c>
      <c r="F113" s="523">
        <f t="shared" si="18"/>
        <v>11245369.079457371</v>
      </c>
      <c r="G113" s="523">
        <f t="shared" si="19"/>
        <v>11449643.567552608</v>
      </c>
      <c r="H113" s="526">
        <f t="shared" si="20"/>
        <v>1640231.0155195275</v>
      </c>
      <c r="I113" s="577">
        <f t="shared" si="21"/>
        <v>1640231.0155195275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 ht="12.5">
      <c r="B114" s="195" t="str">
        <f t="shared" si="16"/>
        <v/>
      </c>
      <c r="C114" s="507">
        <f>IF(D93="","-",+C113+1)</f>
        <v>2032</v>
      </c>
      <c r="D114" s="374">
        <f>IF(F113+SUM(E$99:E113)=D$92,F113,D$92-SUM(E$99:E113))</f>
        <v>11245369.079457371</v>
      </c>
      <c r="E114" s="522">
        <f>IF(+J96&lt;F113,J96,D114)</f>
        <v>408548.97619047621</v>
      </c>
      <c r="F114" s="523">
        <f t="shared" si="18"/>
        <v>10836820.103266895</v>
      </c>
      <c r="G114" s="523">
        <f t="shared" si="19"/>
        <v>11041094.591362134</v>
      </c>
      <c r="H114" s="526">
        <f t="shared" si="20"/>
        <v>1596281.8363864657</v>
      </c>
      <c r="I114" s="577">
        <f t="shared" si="21"/>
        <v>1596281.8363864657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 ht="12.5">
      <c r="B115" s="195" t="str">
        <f t="shared" si="16"/>
        <v/>
      </c>
      <c r="C115" s="507">
        <f>IF(D93="","-",+C114+1)</f>
        <v>2033</v>
      </c>
      <c r="D115" s="374">
        <f>IF(F114+SUM(E$99:E114)=D$92,F114,D$92-SUM(E$99:E114))</f>
        <v>10836820.103266895</v>
      </c>
      <c r="E115" s="522">
        <f>IF(+J96&lt;F114,J96,D115)</f>
        <v>408548.97619047621</v>
      </c>
      <c r="F115" s="523">
        <f t="shared" si="18"/>
        <v>10428271.127076419</v>
      </c>
      <c r="G115" s="523">
        <f t="shared" si="19"/>
        <v>10632545.615171656</v>
      </c>
      <c r="H115" s="526">
        <f t="shared" si="20"/>
        <v>1552332.6572534034</v>
      </c>
      <c r="I115" s="577">
        <f t="shared" si="21"/>
        <v>1552332.6572534034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 ht="12.5">
      <c r="B116" s="195" t="str">
        <f t="shared" si="16"/>
        <v/>
      </c>
      <c r="C116" s="507">
        <f>IF(D93="","-",+C115+1)</f>
        <v>2034</v>
      </c>
      <c r="D116" s="374">
        <f>IF(F115+SUM(E$99:E115)=D$92,F115,D$92-SUM(E$99:E115))</f>
        <v>10428271.127076419</v>
      </c>
      <c r="E116" s="522">
        <f>IF(+J96&lt;F115,J96,D116)</f>
        <v>408548.97619047621</v>
      </c>
      <c r="F116" s="523">
        <f t="shared" si="18"/>
        <v>10019722.150885943</v>
      </c>
      <c r="G116" s="523">
        <f t="shared" si="19"/>
        <v>10223996.638981182</v>
      </c>
      <c r="H116" s="526">
        <f t="shared" si="20"/>
        <v>1508383.4781203414</v>
      </c>
      <c r="I116" s="577">
        <f t="shared" si="21"/>
        <v>1508383.4781203414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 ht="12.5">
      <c r="B117" s="195" t="str">
        <f t="shared" si="16"/>
        <v/>
      </c>
      <c r="C117" s="507">
        <f>IF(D93="","-",+C116+1)</f>
        <v>2035</v>
      </c>
      <c r="D117" s="374">
        <f>IF(F116+SUM(E$99:E116)=D$92,F116,D$92-SUM(E$99:E116))</f>
        <v>10019722.150885943</v>
      </c>
      <c r="E117" s="522">
        <f>IF(+J96&lt;F116,J96,D117)</f>
        <v>408548.97619047621</v>
      </c>
      <c r="F117" s="523">
        <f t="shared" si="18"/>
        <v>9611173.1746954676</v>
      </c>
      <c r="G117" s="523">
        <f t="shared" si="19"/>
        <v>9815447.6627907045</v>
      </c>
      <c r="H117" s="526">
        <f t="shared" si="20"/>
        <v>1464434.2989872792</v>
      </c>
      <c r="I117" s="577">
        <f t="shared" si="21"/>
        <v>1464434.2989872792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 ht="12.5">
      <c r="B118" s="195" t="str">
        <f t="shared" si="16"/>
        <v/>
      </c>
      <c r="C118" s="507">
        <f>IF(D93="","-",+C117+1)</f>
        <v>2036</v>
      </c>
      <c r="D118" s="374">
        <f>IF(F117+SUM(E$99:E117)=D$92,F117,D$92-SUM(E$99:E117))</f>
        <v>9611173.1746954676</v>
      </c>
      <c r="E118" s="522">
        <f>IF(+J96&lt;F117,J96,D118)</f>
        <v>408548.97619047621</v>
      </c>
      <c r="F118" s="523">
        <f t="shared" si="18"/>
        <v>9202624.1985049918</v>
      </c>
      <c r="G118" s="523">
        <f t="shared" si="19"/>
        <v>9406898.6866002306</v>
      </c>
      <c r="H118" s="526">
        <f t="shared" si="20"/>
        <v>1420485.1198542174</v>
      </c>
      <c r="I118" s="577">
        <f t="shared" si="21"/>
        <v>1420485.1198542174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 ht="12.5">
      <c r="B119" s="195" t="str">
        <f t="shared" si="16"/>
        <v/>
      </c>
      <c r="C119" s="507">
        <f>IF(D93="","-",+C118+1)</f>
        <v>2037</v>
      </c>
      <c r="D119" s="374">
        <f>IF(F118+SUM(E$99:E118)=D$92,F118,D$92-SUM(E$99:E118))</f>
        <v>9202624.1985049918</v>
      </c>
      <c r="E119" s="522">
        <f>IF(+J96&lt;F118,J96,D119)</f>
        <v>408548.97619047621</v>
      </c>
      <c r="F119" s="523">
        <f t="shared" si="18"/>
        <v>8794075.2223145161</v>
      </c>
      <c r="G119" s="523">
        <f t="shared" si="19"/>
        <v>8998349.710409753</v>
      </c>
      <c r="H119" s="526">
        <f t="shared" si="20"/>
        <v>1376535.9407211551</v>
      </c>
      <c r="I119" s="577">
        <f t="shared" si="21"/>
        <v>1376535.9407211551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 ht="12.5">
      <c r="B120" s="195" t="str">
        <f t="shared" si="16"/>
        <v/>
      </c>
      <c r="C120" s="507">
        <f>IF(D93="","-",+C119+1)</f>
        <v>2038</v>
      </c>
      <c r="D120" s="374">
        <f>IF(F119+SUM(E$99:E119)=D$92,F119,D$92-SUM(E$99:E119))</f>
        <v>8794075.2223145161</v>
      </c>
      <c r="E120" s="522">
        <f>IF(+J96&lt;F119,J96,D120)</f>
        <v>408548.97619047621</v>
      </c>
      <c r="F120" s="523">
        <f t="shared" si="18"/>
        <v>8385526.2461240403</v>
      </c>
      <c r="G120" s="523">
        <f t="shared" si="19"/>
        <v>8589800.7342192791</v>
      </c>
      <c r="H120" s="526">
        <f t="shared" si="20"/>
        <v>1332586.7615880934</v>
      </c>
      <c r="I120" s="577">
        <f t="shared" si="21"/>
        <v>1332586.7615880934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 ht="12.5">
      <c r="B121" s="195" t="str">
        <f t="shared" si="16"/>
        <v/>
      </c>
      <c r="C121" s="507">
        <f>IF(D93="","-",+C120+1)</f>
        <v>2039</v>
      </c>
      <c r="D121" s="374">
        <f>IF(F120+SUM(E$99:E120)=D$92,F120,D$92-SUM(E$99:E120))</f>
        <v>8385526.2461240403</v>
      </c>
      <c r="E121" s="522">
        <f>IF(+J96&lt;F120,J96,D121)</f>
        <v>408548.97619047621</v>
      </c>
      <c r="F121" s="523">
        <f t="shared" si="18"/>
        <v>7976977.2699335646</v>
      </c>
      <c r="G121" s="523">
        <f t="shared" si="19"/>
        <v>8181251.7580288025</v>
      </c>
      <c r="H121" s="526">
        <f t="shared" si="20"/>
        <v>1288637.5824550311</v>
      </c>
      <c r="I121" s="577">
        <f t="shared" si="21"/>
        <v>1288637.5824550311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 ht="12.5">
      <c r="B122" s="195" t="str">
        <f t="shared" si="16"/>
        <v/>
      </c>
      <c r="C122" s="507">
        <f>IF(D93="","-",+C121+1)</f>
        <v>2040</v>
      </c>
      <c r="D122" s="374">
        <f>IF(F121+SUM(E$99:E121)=D$92,F121,D$92-SUM(E$99:E121))</f>
        <v>7976977.2699335646</v>
      </c>
      <c r="E122" s="522">
        <f>IF(+J96&lt;F121,J96,D122)</f>
        <v>408548.97619047621</v>
      </c>
      <c r="F122" s="523">
        <f t="shared" si="18"/>
        <v>7568428.2937430888</v>
      </c>
      <c r="G122" s="523">
        <f t="shared" si="19"/>
        <v>7772702.7818383267</v>
      </c>
      <c r="H122" s="526">
        <f t="shared" si="20"/>
        <v>1244688.4033219691</v>
      </c>
      <c r="I122" s="577">
        <f t="shared" si="21"/>
        <v>1244688.4033219691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 ht="12.5">
      <c r="B123" s="195" t="str">
        <f t="shared" si="16"/>
        <v/>
      </c>
      <c r="C123" s="507">
        <f>IF(D93="","-",+C122+1)</f>
        <v>2041</v>
      </c>
      <c r="D123" s="374">
        <f>IF(F122+SUM(E$99:E122)=D$92,F122,D$92-SUM(E$99:E122))</f>
        <v>7568428.2937430888</v>
      </c>
      <c r="E123" s="522">
        <f>IF(+J96&lt;F122,J96,D123)</f>
        <v>408548.97619047621</v>
      </c>
      <c r="F123" s="523">
        <f t="shared" si="18"/>
        <v>7159879.3175526131</v>
      </c>
      <c r="G123" s="523">
        <f t="shared" si="19"/>
        <v>7364153.805647851</v>
      </c>
      <c r="H123" s="526">
        <f t="shared" si="20"/>
        <v>1200739.2241889071</v>
      </c>
      <c r="I123" s="577">
        <f t="shared" si="21"/>
        <v>1200739.2241889071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 ht="12.5">
      <c r="B124" s="195" t="str">
        <f t="shared" si="16"/>
        <v/>
      </c>
      <c r="C124" s="507">
        <f>IF(D93="","-",+C123+1)</f>
        <v>2042</v>
      </c>
      <c r="D124" s="374">
        <f>IF(F123+SUM(E$99:E123)=D$92,F123,D$92-SUM(E$99:E123))</f>
        <v>7159879.3175526131</v>
      </c>
      <c r="E124" s="522">
        <f>IF(+J96&lt;F123,J96,D124)</f>
        <v>408548.97619047621</v>
      </c>
      <c r="F124" s="523">
        <f t="shared" si="18"/>
        <v>6751330.3413621373</v>
      </c>
      <c r="G124" s="523">
        <f t="shared" si="19"/>
        <v>6955604.8294573752</v>
      </c>
      <c r="H124" s="526">
        <f t="shared" si="20"/>
        <v>1156790.0450558451</v>
      </c>
      <c r="I124" s="577">
        <f t="shared" si="21"/>
        <v>1156790.0450558451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 ht="12.5">
      <c r="B125" s="195" t="str">
        <f t="shared" si="16"/>
        <v/>
      </c>
      <c r="C125" s="507">
        <f>IF(D93="","-",+C124+1)</f>
        <v>2043</v>
      </c>
      <c r="D125" s="374">
        <f>IF(F124+SUM(E$99:E124)=D$92,F124,D$92-SUM(E$99:E124))</f>
        <v>6751330.3413621373</v>
      </c>
      <c r="E125" s="522">
        <f>IF(+J96&lt;F124,J96,D125)</f>
        <v>408548.97619047621</v>
      </c>
      <c r="F125" s="523">
        <f t="shared" si="18"/>
        <v>6342781.3651716616</v>
      </c>
      <c r="G125" s="523">
        <f t="shared" si="19"/>
        <v>6547055.8532668995</v>
      </c>
      <c r="H125" s="526">
        <f t="shared" si="20"/>
        <v>1112840.865922783</v>
      </c>
      <c r="I125" s="577">
        <f t="shared" si="21"/>
        <v>1112840.865922783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 ht="12.5">
      <c r="B126" s="195" t="str">
        <f t="shared" si="16"/>
        <v/>
      </c>
      <c r="C126" s="507">
        <f>IF(D93="","-",+C125+1)</f>
        <v>2044</v>
      </c>
      <c r="D126" s="374">
        <f>IF(F125+SUM(E$99:E125)=D$92,F125,D$92-SUM(E$99:E125))</f>
        <v>6342781.3651716616</v>
      </c>
      <c r="E126" s="522">
        <f>IF(+J96&lt;F125,J96,D126)</f>
        <v>408548.97619047621</v>
      </c>
      <c r="F126" s="523">
        <f t="shared" si="18"/>
        <v>5934232.3889811859</v>
      </c>
      <c r="G126" s="523">
        <f t="shared" si="19"/>
        <v>6138506.8770764237</v>
      </c>
      <c r="H126" s="526">
        <f t="shared" si="20"/>
        <v>1068891.6867897208</v>
      </c>
      <c r="I126" s="577">
        <f t="shared" si="21"/>
        <v>1068891.6867897208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 ht="12.5">
      <c r="B127" s="195" t="str">
        <f t="shared" si="16"/>
        <v/>
      </c>
      <c r="C127" s="507">
        <f>IF(D93="","-",+C126+1)</f>
        <v>2045</v>
      </c>
      <c r="D127" s="374">
        <f>IF(F126+SUM(E$99:E126)=D$92,F126,D$92-SUM(E$99:E126))</f>
        <v>5934232.3889811859</v>
      </c>
      <c r="E127" s="522">
        <f>IF(+J96&lt;F126,J96,D127)</f>
        <v>408548.97619047621</v>
      </c>
      <c r="F127" s="523">
        <f t="shared" si="18"/>
        <v>5525683.4127907101</v>
      </c>
      <c r="G127" s="523">
        <f t="shared" si="19"/>
        <v>5729957.900885948</v>
      </c>
      <c r="H127" s="526">
        <f t="shared" si="20"/>
        <v>1024942.5076566589</v>
      </c>
      <c r="I127" s="577">
        <f t="shared" si="21"/>
        <v>1024942.5076566589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 ht="12.5">
      <c r="B128" s="195" t="str">
        <f t="shared" si="16"/>
        <v/>
      </c>
      <c r="C128" s="507">
        <f>IF(D93="","-",+C127+1)</f>
        <v>2046</v>
      </c>
      <c r="D128" s="374">
        <f>IF(F127+SUM(E$99:E127)=D$92,F127,D$92-SUM(E$99:E127))</f>
        <v>5525683.4127907101</v>
      </c>
      <c r="E128" s="522">
        <f>IF(+J96&lt;F127,J96,D128)</f>
        <v>408548.97619047621</v>
      </c>
      <c r="F128" s="523">
        <f t="shared" si="18"/>
        <v>5117134.4366002344</v>
      </c>
      <c r="G128" s="523">
        <f t="shared" si="19"/>
        <v>5321408.9246954722</v>
      </c>
      <c r="H128" s="526">
        <f t="shared" si="20"/>
        <v>980993.32852359687</v>
      </c>
      <c r="I128" s="577">
        <f t="shared" si="21"/>
        <v>980993.32852359687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 ht="12.5">
      <c r="B129" s="195" t="str">
        <f t="shared" si="16"/>
        <v/>
      </c>
      <c r="C129" s="507">
        <f>IF(D93="","-",+C128+1)</f>
        <v>2047</v>
      </c>
      <c r="D129" s="374">
        <f>IF(F128+SUM(E$99:E128)=D$92,F128,D$92-SUM(E$99:E128))</f>
        <v>5117134.4366002344</v>
      </c>
      <c r="E129" s="522">
        <f>IF(+J96&lt;F128,J96,D129)</f>
        <v>408548.97619047621</v>
      </c>
      <c r="F129" s="523">
        <f t="shared" si="18"/>
        <v>4708585.4604097586</v>
      </c>
      <c r="G129" s="523">
        <f t="shared" si="19"/>
        <v>4912859.9485049965</v>
      </c>
      <c r="H129" s="526">
        <f t="shared" si="20"/>
        <v>937044.14939053473</v>
      </c>
      <c r="I129" s="577">
        <f t="shared" si="21"/>
        <v>937044.14939053473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 ht="12.5">
      <c r="B130" s="195" t="str">
        <f t="shared" si="16"/>
        <v/>
      </c>
      <c r="C130" s="507">
        <f>IF(D93="","-",+C129+1)</f>
        <v>2048</v>
      </c>
      <c r="D130" s="374">
        <f>IF(F129+SUM(E$99:E129)=D$92,F129,D$92-SUM(E$99:E129))</f>
        <v>4708585.4604097586</v>
      </c>
      <c r="E130" s="522">
        <f>IF(+J96&lt;F129,J96,D130)</f>
        <v>408548.97619047621</v>
      </c>
      <c r="F130" s="523">
        <f t="shared" si="18"/>
        <v>4300036.4842192829</v>
      </c>
      <c r="G130" s="523">
        <f t="shared" si="19"/>
        <v>4504310.9723145207</v>
      </c>
      <c r="H130" s="526">
        <f t="shared" si="20"/>
        <v>893094.97025747271</v>
      </c>
      <c r="I130" s="577">
        <f t="shared" si="21"/>
        <v>893094.97025747271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 ht="12.5">
      <c r="B131" s="195" t="str">
        <f t="shared" si="16"/>
        <v/>
      </c>
      <c r="C131" s="507">
        <f>IF(D93="","-",+C130+1)</f>
        <v>2049</v>
      </c>
      <c r="D131" s="374">
        <f>IF(F130+SUM(E$99:E130)=D$92,F130,D$92-SUM(E$99:E130))</f>
        <v>4300036.4842192829</v>
      </c>
      <c r="E131" s="522">
        <f>IF(+J96&lt;F130,J96,D131)</f>
        <v>408548.97619047621</v>
      </c>
      <c r="F131" s="523">
        <f t="shared" ref="F131:F154" si="22">+D131-E131</f>
        <v>3891487.5080288067</v>
      </c>
      <c r="G131" s="523">
        <f t="shared" ref="G131:G154" si="23">+(F131+D131)/2</f>
        <v>4095761.996124045</v>
      </c>
      <c r="H131" s="526">
        <f t="shared" si="20"/>
        <v>849145.79112441069</v>
      </c>
      <c r="I131" s="577">
        <f t="shared" si="21"/>
        <v>849145.79112441069</v>
      </c>
      <c r="J131" s="514">
        <f t="shared" ref="J131:J154" si="24">+I541-H541</f>
        <v>0</v>
      </c>
      <c r="K131" s="514"/>
      <c r="L131" s="525"/>
      <c r="M131" s="514">
        <f t="shared" ref="M131:M154" si="25">IF(L541&lt;&gt;0,+H541-L541,0)</f>
        <v>0</v>
      </c>
      <c r="N131" s="525"/>
      <c r="O131" s="514">
        <f t="shared" ref="O131:O154" si="26">IF(N541&lt;&gt;0,+I541-N541,0)</f>
        <v>0</v>
      </c>
      <c r="P131" s="514">
        <f t="shared" ref="P131:P154" si="27">+O541-M541</f>
        <v>0</v>
      </c>
    </row>
    <row r="132" spans="2:16" ht="12.5">
      <c r="B132" s="195" t="str">
        <f t="shared" si="16"/>
        <v/>
      </c>
      <c r="C132" s="507">
        <f>IF(D93="","-",+C131+1)</f>
        <v>2050</v>
      </c>
      <c r="D132" s="374">
        <f>IF(F131+SUM(E$99:E131)=D$92,F131,D$92-SUM(E$99:E131))</f>
        <v>3891487.5080288067</v>
      </c>
      <c r="E132" s="522">
        <f>IF(+J96&lt;F131,J96,D132)</f>
        <v>408548.97619047621</v>
      </c>
      <c r="F132" s="523">
        <f t="shared" si="22"/>
        <v>3482938.5318383304</v>
      </c>
      <c r="G132" s="523">
        <f t="shared" si="23"/>
        <v>3687213.0199335683</v>
      </c>
      <c r="H132" s="526">
        <f t="shared" si="20"/>
        <v>805196.61199134844</v>
      </c>
      <c r="I132" s="577">
        <f t="shared" si="21"/>
        <v>805196.61199134844</v>
      </c>
      <c r="J132" s="514">
        <f t="shared" si="24"/>
        <v>0</v>
      </c>
      <c r="K132" s="514"/>
      <c r="L132" s="525"/>
      <c r="M132" s="514">
        <f t="shared" si="25"/>
        <v>0</v>
      </c>
      <c r="N132" s="525"/>
      <c r="O132" s="514">
        <f t="shared" si="26"/>
        <v>0</v>
      </c>
      <c r="P132" s="514">
        <f t="shared" si="27"/>
        <v>0</v>
      </c>
    </row>
    <row r="133" spans="2:16" ht="12.5">
      <c r="B133" s="195" t="str">
        <f t="shared" si="16"/>
        <v/>
      </c>
      <c r="C133" s="507">
        <f>IF(D93="","-",+C132+1)</f>
        <v>2051</v>
      </c>
      <c r="D133" s="374">
        <f>IF(F132+SUM(E$99:E132)=D$92,F132,D$92-SUM(E$99:E132))</f>
        <v>3482938.5318383304</v>
      </c>
      <c r="E133" s="522">
        <f>IF(+J96&lt;F132,J96,D133)</f>
        <v>408548.97619047621</v>
      </c>
      <c r="F133" s="523">
        <f t="shared" si="22"/>
        <v>3074389.5556478542</v>
      </c>
      <c r="G133" s="523">
        <f t="shared" si="23"/>
        <v>3278664.0437430926</v>
      </c>
      <c r="H133" s="526">
        <f t="shared" si="20"/>
        <v>761247.43285828643</v>
      </c>
      <c r="I133" s="577">
        <f t="shared" si="21"/>
        <v>761247.43285828643</v>
      </c>
      <c r="J133" s="514">
        <f t="shared" si="24"/>
        <v>0</v>
      </c>
      <c r="K133" s="514"/>
      <c r="L133" s="525"/>
      <c r="M133" s="514">
        <f t="shared" si="25"/>
        <v>0</v>
      </c>
      <c r="N133" s="525"/>
      <c r="O133" s="514">
        <f t="shared" si="26"/>
        <v>0</v>
      </c>
      <c r="P133" s="514">
        <f t="shared" si="27"/>
        <v>0</v>
      </c>
    </row>
    <row r="134" spans="2:16" ht="12.5">
      <c r="B134" s="195" t="str">
        <f t="shared" si="16"/>
        <v/>
      </c>
      <c r="C134" s="507">
        <f>IF(D93="","-",+C133+1)</f>
        <v>2052</v>
      </c>
      <c r="D134" s="374">
        <f>IF(F133+SUM(E$99:E133)=D$92,F133,D$92-SUM(E$99:E133))</f>
        <v>3074389.5556478542</v>
      </c>
      <c r="E134" s="522">
        <f>IF(+J96&lt;F133,J96,D134)</f>
        <v>408548.97619047621</v>
      </c>
      <c r="F134" s="523">
        <f t="shared" si="22"/>
        <v>2665840.579457378</v>
      </c>
      <c r="G134" s="523">
        <f t="shared" si="23"/>
        <v>2870115.0675526159</v>
      </c>
      <c r="H134" s="526">
        <f t="shared" si="20"/>
        <v>717298.25372522441</v>
      </c>
      <c r="I134" s="577">
        <f t="shared" si="21"/>
        <v>717298.25372522441</v>
      </c>
      <c r="J134" s="514">
        <f t="shared" si="24"/>
        <v>0</v>
      </c>
      <c r="K134" s="514"/>
      <c r="L134" s="525"/>
      <c r="M134" s="514">
        <f t="shared" si="25"/>
        <v>0</v>
      </c>
      <c r="N134" s="525"/>
      <c r="O134" s="514">
        <f t="shared" si="26"/>
        <v>0</v>
      </c>
      <c r="P134" s="514">
        <f t="shared" si="27"/>
        <v>0</v>
      </c>
    </row>
    <row r="135" spans="2:16" ht="12.5">
      <c r="B135" s="195" t="str">
        <f t="shared" si="16"/>
        <v/>
      </c>
      <c r="C135" s="507">
        <f>IF(D93="","-",+C134+1)</f>
        <v>2053</v>
      </c>
      <c r="D135" s="374">
        <f>IF(F134+SUM(E$99:E134)=D$92,F134,D$92-SUM(E$99:E134))</f>
        <v>2665840.579457378</v>
      </c>
      <c r="E135" s="522">
        <f>IF(+J96&lt;F134,J96,D135)</f>
        <v>408548.97619047621</v>
      </c>
      <c r="F135" s="523">
        <f t="shared" si="22"/>
        <v>2257291.6032669018</v>
      </c>
      <c r="G135" s="523">
        <f t="shared" si="23"/>
        <v>2461566.0913621401</v>
      </c>
      <c r="H135" s="526">
        <f t="shared" si="20"/>
        <v>673349.07459216227</v>
      </c>
      <c r="I135" s="577">
        <f t="shared" si="21"/>
        <v>673349.07459216227</v>
      </c>
      <c r="J135" s="514">
        <f t="shared" si="24"/>
        <v>0</v>
      </c>
      <c r="K135" s="514"/>
      <c r="L135" s="525"/>
      <c r="M135" s="514">
        <f t="shared" si="25"/>
        <v>0</v>
      </c>
      <c r="N135" s="525"/>
      <c r="O135" s="514">
        <f t="shared" si="26"/>
        <v>0</v>
      </c>
      <c r="P135" s="514">
        <f t="shared" si="27"/>
        <v>0</v>
      </c>
    </row>
    <row r="136" spans="2:16" ht="12.5">
      <c r="B136" s="195" t="str">
        <f t="shared" si="16"/>
        <v/>
      </c>
      <c r="C136" s="507">
        <f>IF(D93="","-",+C135+1)</f>
        <v>2054</v>
      </c>
      <c r="D136" s="374">
        <f>IF(F135+SUM(E$99:E135)=D$92,F135,D$92-SUM(E$99:E135))</f>
        <v>2257291.6032669018</v>
      </c>
      <c r="E136" s="522">
        <f>IF(+J96&lt;F135,J96,D136)</f>
        <v>408548.97619047621</v>
      </c>
      <c r="F136" s="523">
        <f t="shared" si="22"/>
        <v>1848742.6270764256</v>
      </c>
      <c r="G136" s="523">
        <f t="shared" si="23"/>
        <v>2053017.1151716637</v>
      </c>
      <c r="H136" s="526">
        <f t="shared" si="20"/>
        <v>629399.89545910014</v>
      </c>
      <c r="I136" s="577">
        <f t="shared" si="21"/>
        <v>629399.89545910014</v>
      </c>
      <c r="J136" s="514">
        <f t="shared" si="24"/>
        <v>0</v>
      </c>
      <c r="K136" s="514"/>
      <c r="L136" s="525"/>
      <c r="M136" s="514">
        <f t="shared" si="25"/>
        <v>0</v>
      </c>
      <c r="N136" s="525"/>
      <c r="O136" s="514">
        <f t="shared" si="26"/>
        <v>0</v>
      </c>
      <c r="P136" s="514">
        <f t="shared" si="27"/>
        <v>0</v>
      </c>
    </row>
    <row r="137" spans="2:16" ht="12.5">
      <c r="B137" s="195" t="str">
        <f t="shared" si="16"/>
        <v/>
      </c>
      <c r="C137" s="507">
        <f>IF(D93="","-",+C136+1)</f>
        <v>2055</v>
      </c>
      <c r="D137" s="374">
        <f>IF(F136+SUM(E$99:E136)=D$92,F136,D$92-SUM(E$99:E136))</f>
        <v>1848742.6270764256</v>
      </c>
      <c r="E137" s="522">
        <f>IF(+J96&lt;F136,J96,D137)</f>
        <v>408548.97619047621</v>
      </c>
      <c r="F137" s="523">
        <f t="shared" si="22"/>
        <v>1440193.6508859494</v>
      </c>
      <c r="G137" s="523">
        <f t="shared" si="23"/>
        <v>1644468.1389811875</v>
      </c>
      <c r="H137" s="526">
        <f t="shared" si="20"/>
        <v>585450.71632603812</v>
      </c>
      <c r="I137" s="577">
        <f t="shared" si="21"/>
        <v>585450.71632603812</v>
      </c>
      <c r="J137" s="514">
        <f t="shared" si="24"/>
        <v>0</v>
      </c>
      <c r="K137" s="514"/>
      <c r="L137" s="525"/>
      <c r="M137" s="514">
        <f t="shared" si="25"/>
        <v>0</v>
      </c>
      <c r="N137" s="525"/>
      <c r="O137" s="514">
        <f t="shared" si="26"/>
        <v>0</v>
      </c>
      <c r="P137" s="514">
        <f t="shared" si="27"/>
        <v>0</v>
      </c>
    </row>
    <row r="138" spans="2:16" ht="12.5">
      <c r="B138" s="195" t="str">
        <f t="shared" si="16"/>
        <v/>
      </c>
      <c r="C138" s="507">
        <f>IF(D93="","-",+C137+1)</f>
        <v>2056</v>
      </c>
      <c r="D138" s="374">
        <f>IF(F137+SUM(E$99:E137)=D$92,F137,D$92-SUM(E$99:E137))</f>
        <v>1440193.6508859494</v>
      </c>
      <c r="E138" s="522">
        <f>IF(+J96&lt;F137,J96,D138)</f>
        <v>408548.97619047621</v>
      </c>
      <c r="F138" s="523">
        <f t="shared" si="22"/>
        <v>1031644.6746954732</v>
      </c>
      <c r="G138" s="523">
        <f t="shared" si="23"/>
        <v>1235919.1627907113</v>
      </c>
      <c r="H138" s="526">
        <f t="shared" si="20"/>
        <v>541501.53719297599</v>
      </c>
      <c r="I138" s="577">
        <f t="shared" si="21"/>
        <v>541501.53719297599</v>
      </c>
      <c r="J138" s="514">
        <f t="shared" si="24"/>
        <v>0</v>
      </c>
      <c r="K138" s="514"/>
      <c r="L138" s="525"/>
      <c r="M138" s="514">
        <f t="shared" si="25"/>
        <v>0</v>
      </c>
      <c r="N138" s="525"/>
      <c r="O138" s="514">
        <f t="shared" si="26"/>
        <v>0</v>
      </c>
      <c r="P138" s="514">
        <f t="shared" si="27"/>
        <v>0</v>
      </c>
    </row>
    <row r="139" spans="2:16" ht="12.5">
      <c r="B139" s="195" t="str">
        <f t="shared" si="16"/>
        <v/>
      </c>
      <c r="C139" s="507">
        <f>IF(D93="","-",+C138+1)</f>
        <v>2057</v>
      </c>
      <c r="D139" s="374">
        <f>IF(F138+SUM(E$99:E138)=D$92,F138,D$92-SUM(E$99:E138))</f>
        <v>1031644.6746954732</v>
      </c>
      <c r="E139" s="522">
        <f>IF(+J96&lt;F138,J96,D139)</f>
        <v>408548.97619047621</v>
      </c>
      <c r="F139" s="523">
        <f t="shared" si="22"/>
        <v>623095.69850499695</v>
      </c>
      <c r="G139" s="523">
        <f t="shared" si="23"/>
        <v>827370.18660023506</v>
      </c>
      <c r="H139" s="526">
        <f t="shared" si="20"/>
        <v>497552.35805991385</v>
      </c>
      <c r="I139" s="577">
        <f t="shared" si="21"/>
        <v>497552.35805991385</v>
      </c>
      <c r="J139" s="514">
        <f t="shared" si="24"/>
        <v>0</v>
      </c>
      <c r="K139" s="514"/>
      <c r="L139" s="525"/>
      <c r="M139" s="514">
        <f t="shared" si="25"/>
        <v>0</v>
      </c>
      <c r="N139" s="525"/>
      <c r="O139" s="514">
        <f t="shared" si="26"/>
        <v>0</v>
      </c>
      <c r="P139" s="514">
        <f t="shared" si="27"/>
        <v>0</v>
      </c>
    </row>
    <row r="140" spans="2:16" ht="12.5">
      <c r="B140" s="195" t="str">
        <f t="shared" si="16"/>
        <v/>
      </c>
      <c r="C140" s="507">
        <f>IF(D93="","-",+C139+1)</f>
        <v>2058</v>
      </c>
      <c r="D140" s="374">
        <f>IF(F139+SUM(E$99:E139)=D$92,F139,D$92-SUM(E$99:E139))</f>
        <v>623095.69850499695</v>
      </c>
      <c r="E140" s="522">
        <f>IF(+J96&lt;F139,J96,D140)</f>
        <v>408548.97619047621</v>
      </c>
      <c r="F140" s="523">
        <f t="shared" si="22"/>
        <v>214546.72231452074</v>
      </c>
      <c r="G140" s="523">
        <f t="shared" si="23"/>
        <v>418821.21040975885</v>
      </c>
      <c r="H140" s="526">
        <f t="shared" si="20"/>
        <v>453603.17892685178</v>
      </c>
      <c r="I140" s="577">
        <f t="shared" si="21"/>
        <v>453603.17892685178</v>
      </c>
      <c r="J140" s="514">
        <f t="shared" si="24"/>
        <v>0</v>
      </c>
      <c r="K140" s="514"/>
      <c r="L140" s="525"/>
      <c r="M140" s="514">
        <f t="shared" si="25"/>
        <v>0</v>
      </c>
      <c r="N140" s="525"/>
      <c r="O140" s="514">
        <f t="shared" si="26"/>
        <v>0</v>
      </c>
      <c r="P140" s="514">
        <f t="shared" si="27"/>
        <v>0</v>
      </c>
    </row>
    <row r="141" spans="2:16" ht="12.5">
      <c r="B141" s="195" t="str">
        <f t="shared" si="16"/>
        <v/>
      </c>
      <c r="C141" s="507">
        <f>IF(D93="","-",+C140+1)</f>
        <v>2059</v>
      </c>
      <c r="D141" s="374">
        <f>IF(F140+SUM(E$99:E140)=D$92,F140,D$92-SUM(E$99:E140))</f>
        <v>214546.72231452074</v>
      </c>
      <c r="E141" s="522">
        <f>IF(+J96&lt;F140,J96,D141)</f>
        <v>214546.72231452074</v>
      </c>
      <c r="F141" s="523">
        <f t="shared" si="22"/>
        <v>0</v>
      </c>
      <c r="G141" s="523">
        <f t="shared" si="23"/>
        <v>107273.36115726037</v>
      </c>
      <c r="H141" s="526">
        <f t="shared" si="20"/>
        <v>226086.52889944299</v>
      </c>
      <c r="I141" s="577">
        <f t="shared" si="21"/>
        <v>226086.52889944299</v>
      </c>
      <c r="J141" s="514">
        <f t="shared" si="24"/>
        <v>0</v>
      </c>
      <c r="K141" s="514"/>
      <c r="L141" s="525"/>
      <c r="M141" s="514">
        <f t="shared" si="25"/>
        <v>0</v>
      </c>
      <c r="N141" s="525"/>
      <c r="O141" s="514">
        <f t="shared" si="26"/>
        <v>0</v>
      </c>
      <c r="P141" s="514">
        <f t="shared" si="27"/>
        <v>0</v>
      </c>
    </row>
    <row r="142" spans="2:16" ht="12.5">
      <c r="B142" s="195" t="str">
        <f t="shared" si="16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2"/>
        <v>0</v>
      </c>
      <c r="G142" s="523">
        <f t="shared" si="23"/>
        <v>0</v>
      </c>
      <c r="H142" s="526">
        <f t="shared" si="20"/>
        <v>0</v>
      </c>
      <c r="I142" s="577">
        <f t="shared" si="21"/>
        <v>0</v>
      </c>
      <c r="J142" s="514">
        <f t="shared" si="24"/>
        <v>0</v>
      </c>
      <c r="K142" s="514"/>
      <c r="L142" s="525"/>
      <c r="M142" s="514">
        <f t="shared" si="25"/>
        <v>0</v>
      </c>
      <c r="N142" s="525"/>
      <c r="O142" s="514">
        <f t="shared" si="26"/>
        <v>0</v>
      </c>
      <c r="P142" s="514">
        <f t="shared" si="27"/>
        <v>0</v>
      </c>
    </row>
    <row r="143" spans="2:16" ht="12.5">
      <c r="B143" s="195" t="str">
        <f t="shared" si="16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2"/>
        <v>0</v>
      </c>
      <c r="G143" s="523">
        <f t="shared" si="23"/>
        <v>0</v>
      </c>
      <c r="H143" s="526">
        <f t="shared" si="20"/>
        <v>0</v>
      </c>
      <c r="I143" s="577">
        <f t="shared" si="21"/>
        <v>0</v>
      </c>
      <c r="J143" s="514">
        <f t="shared" si="24"/>
        <v>0</v>
      </c>
      <c r="K143" s="514"/>
      <c r="L143" s="525"/>
      <c r="M143" s="514">
        <f t="shared" si="25"/>
        <v>0</v>
      </c>
      <c r="N143" s="525"/>
      <c r="O143" s="514">
        <f t="shared" si="26"/>
        <v>0</v>
      </c>
      <c r="P143" s="514">
        <f t="shared" si="27"/>
        <v>0</v>
      </c>
    </row>
    <row r="144" spans="2:16" ht="12.5">
      <c r="B144" s="195" t="str">
        <f t="shared" si="16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2"/>
        <v>0</v>
      </c>
      <c r="G144" s="523">
        <f t="shared" si="23"/>
        <v>0</v>
      </c>
      <c r="H144" s="526">
        <f t="shared" si="20"/>
        <v>0</v>
      </c>
      <c r="I144" s="577">
        <f t="shared" si="21"/>
        <v>0</v>
      </c>
      <c r="J144" s="514">
        <f t="shared" si="24"/>
        <v>0</v>
      </c>
      <c r="K144" s="514"/>
      <c r="L144" s="525"/>
      <c r="M144" s="514">
        <f t="shared" si="25"/>
        <v>0</v>
      </c>
      <c r="N144" s="525"/>
      <c r="O144" s="514">
        <f t="shared" si="26"/>
        <v>0</v>
      </c>
      <c r="P144" s="514">
        <f t="shared" si="27"/>
        <v>0</v>
      </c>
    </row>
    <row r="145" spans="2:16" ht="12.5">
      <c r="B145" s="195" t="str">
        <f t="shared" si="16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2"/>
        <v>0</v>
      </c>
      <c r="G145" s="523">
        <f t="shared" si="23"/>
        <v>0</v>
      </c>
      <c r="H145" s="526">
        <f t="shared" si="20"/>
        <v>0</v>
      </c>
      <c r="I145" s="577">
        <f t="shared" si="21"/>
        <v>0</v>
      </c>
      <c r="J145" s="514">
        <f t="shared" si="24"/>
        <v>0</v>
      </c>
      <c r="K145" s="514"/>
      <c r="L145" s="525"/>
      <c r="M145" s="514">
        <f t="shared" si="25"/>
        <v>0</v>
      </c>
      <c r="N145" s="525"/>
      <c r="O145" s="514">
        <f t="shared" si="26"/>
        <v>0</v>
      </c>
      <c r="P145" s="514">
        <f t="shared" si="27"/>
        <v>0</v>
      </c>
    </row>
    <row r="146" spans="2:16" ht="12.5">
      <c r="B146" s="195" t="str">
        <f t="shared" si="16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2"/>
        <v>0</v>
      </c>
      <c r="G146" s="523">
        <f t="shared" si="23"/>
        <v>0</v>
      </c>
      <c r="H146" s="526">
        <f t="shared" si="20"/>
        <v>0</v>
      </c>
      <c r="I146" s="577">
        <f t="shared" si="21"/>
        <v>0</v>
      </c>
      <c r="J146" s="514">
        <f t="shared" si="24"/>
        <v>0</v>
      </c>
      <c r="K146" s="514"/>
      <c r="L146" s="525"/>
      <c r="M146" s="514">
        <f t="shared" si="25"/>
        <v>0</v>
      </c>
      <c r="N146" s="525"/>
      <c r="O146" s="514">
        <f t="shared" si="26"/>
        <v>0</v>
      </c>
      <c r="P146" s="514">
        <f t="shared" si="27"/>
        <v>0</v>
      </c>
    </row>
    <row r="147" spans="2:16" ht="12.5">
      <c r="B147" s="195" t="str">
        <f t="shared" si="16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2"/>
        <v>0</v>
      </c>
      <c r="G147" s="523">
        <f t="shared" si="23"/>
        <v>0</v>
      </c>
      <c r="H147" s="526">
        <f t="shared" si="20"/>
        <v>0</v>
      </c>
      <c r="I147" s="577">
        <f t="shared" si="21"/>
        <v>0</v>
      </c>
      <c r="J147" s="514">
        <f t="shared" si="24"/>
        <v>0</v>
      </c>
      <c r="K147" s="514"/>
      <c r="L147" s="525"/>
      <c r="M147" s="514">
        <f t="shared" si="25"/>
        <v>0</v>
      </c>
      <c r="N147" s="525"/>
      <c r="O147" s="514">
        <f t="shared" si="26"/>
        <v>0</v>
      </c>
      <c r="P147" s="514">
        <f t="shared" si="27"/>
        <v>0</v>
      </c>
    </row>
    <row r="148" spans="2:16" ht="12.5">
      <c r="B148" s="195" t="str">
        <f t="shared" si="16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2"/>
        <v>0</v>
      </c>
      <c r="G148" s="523">
        <f t="shared" si="23"/>
        <v>0</v>
      </c>
      <c r="H148" s="526">
        <f t="shared" si="20"/>
        <v>0</v>
      </c>
      <c r="I148" s="577">
        <f t="shared" si="21"/>
        <v>0</v>
      </c>
      <c r="J148" s="514">
        <f t="shared" si="24"/>
        <v>0</v>
      </c>
      <c r="K148" s="514"/>
      <c r="L148" s="525"/>
      <c r="M148" s="514">
        <f t="shared" si="25"/>
        <v>0</v>
      </c>
      <c r="N148" s="525"/>
      <c r="O148" s="514">
        <f t="shared" si="26"/>
        <v>0</v>
      </c>
      <c r="P148" s="514">
        <f t="shared" si="27"/>
        <v>0</v>
      </c>
    </row>
    <row r="149" spans="2:16" ht="12.5">
      <c r="B149" s="195" t="str">
        <f t="shared" si="16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2"/>
        <v>0</v>
      </c>
      <c r="G149" s="523">
        <f t="shared" si="23"/>
        <v>0</v>
      </c>
      <c r="H149" s="526">
        <f t="shared" si="20"/>
        <v>0</v>
      </c>
      <c r="I149" s="577">
        <f t="shared" si="21"/>
        <v>0</v>
      </c>
      <c r="J149" s="514">
        <f t="shared" si="24"/>
        <v>0</v>
      </c>
      <c r="K149" s="514"/>
      <c r="L149" s="525"/>
      <c r="M149" s="514">
        <f t="shared" si="25"/>
        <v>0</v>
      </c>
      <c r="N149" s="525"/>
      <c r="O149" s="514">
        <f t="shared" si="26"/>
        <v>0</v>
      </c>
      <c r="P149" s="514">
        <f t="shared" si="27"/>
        <v>0</v>
      </c>
    </row>
    <row r="150" spans="2:16" ht="12.5">
      <c r="B150" s="195" t="str">
        <f t="shared" si="16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2"/>
        <v>0</v>
      </c>
      <c r="G150" s="523">
        <f t="shared" si="23"/>
        <v>0</v>
      </c>
      <c r="H150" s="526">
        <f t="shared" si="20"/>
        <v>0</v>
      </c>
      <c r="I150" s="577">
        <f t="shared" si="21"/>
        <v>0</v>
      </c>
      <c r="J150" s="514">
        <f t="shared" si="24"/>
        <v>0</v>
      </c>
      <c r="K150" s="514"/>
      <c r="L150" s="525"/>
      <c r="M150" s="514">
        <f t="shared" si="25"/>
        <v>0</v>
      </c>
      <c r="N150" s="525"/>
      <c r="O150" s="514">
        <f t="shared" si="26"/>
        <v>0</v>
      </c>
      <c r="P150" s="514">
        <f t="shared" si="27"/>
        <v>0</v>
      </c>
    </row>
    <row r="151" spans="2:16" ht="12.5">
      <c r="B151" s="195" t="str">
        <f t="shared" si="16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2"/>
        <v>0</v>
      </c>
      <c r="G151" s="523">
        <f t="shared" si="23"/>
        <v>0</v>
      </c>
      <c r="H151" s="526">
        <f t="shared" si="20"/>
        <v>0</v>
      </c>
      <c r="I151" s="577">
        <f t="shared" si="21"/>
        <v>0</v>
      </c>
      <c r="J151" s="514">
        <f t="shared" si="24"/>
        <v>0</v>
      </c>
      <c r="K151" s="514"/>
      <c r="L151" s="525"/>
      <c r="M151" s="514">
        <f t="shared" si="25"/>
        <v>0</v>
      </c>
      <c r="N151" s="525"/>
      <c r="O151" s="514">
        <f t="shared" si="26"/>
        <v>0</v>
      </c>
      <c r="P151" s="514">
        <f t="shared" si="27"/>
        <v>0</v>
      </c>
    </row>
    <row r="152" spans="2:16" ht="12.5">
      <c r="B152" s="195" t="str">
        <f t="shared" si="16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2"/>
        <v>0</v>
      </c>
      <c r="G152" s="523">
        <f t="shared" si="23"/>
        <v>0</v>
      </c>
      <c r="H152" s="526">
        <f t="shared" si="20"/>
        <v>0</v>
      </c>
      <c r="I152" s="577">
        <f t="shared" si="21"/>
        <v>0</v>
      </c>
      <c r="J152" s="514">
        <f t="shared" si="24"/>
        <v>0</v>
      </c>
      <c r="K152" s="514"/>
      <c r="L152" s="525"/>
      <c r="M152" s="514">
        <f t="shared" si="25"/>
        <v>0</v>
      </c>
      <c r="N152" s="525"/>
      <c r="O152" s="514">
        <f t="shared" si="26"/>
        <v>0</v>
      </c>
      <c r="P152" s="514">
        <f t="shared" si="27"/>
        <v>0</v>
      </c>
    </row>
    <row r="153" spans="2:16" ht="12.5">
      <c r="B153" s="195" t="str">
        <f t="shared" si="16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2"/>
        <v>0</v>
      </c>
      <c r="G153" s="523">
        <f t="shared" si="23"/>
        <v>0</v>
      </c>
      <c r="H153" s="526">
        <f t="shared" si="20"/>
        <v>0</v>
      </c>
      <c r="I153" s="577">
        <f t="shared" si="21"/>
        <v>0</v>
      </c>
      <c r="J153" s="514">
        <f t="shared" si="24"/>
        <v>0</v>
      </c>
      <c r="K153" s="514"/>
      <c r="L153" s="525"/>
      <c r="M153" s="514">
        <f t="shared" si="25"/>
        <v>0</v>
      </c>
      <c r="N153" s="525"/>
      <c r="O153" s="514">
        <f t="shared" si="26"/>
        <v>0</v>
      </c>
      <c r="P153" s="514">
        <f t="shared" si="27"/>
        <v>0</v>
      </c>
    </row>
    <row r="154" spans="2:16" ht="13" thickBot="1">
      <c r="B154" s="195" t="str">
        <f t="shared" si="16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2"/>
        <v>0</v>
      </c>
      <c r="G154" s="528">
        <f t="shared" si="23"/>
        <v>0</v>
      </c>
      <c r="H154" s="530">
        <f t="shared" si="20"/>
        <v>0</v>
      </c>
      <c r="I154" s="579">
        <f t="shared" si="21"/>
        <v>0</v>
      </c>
      <c r="J154" s="533">
        <f t="shared" si="24"/>
        <v>0</v>
      </c>
      <c r="K154" s="514"/>
      <c r="L154" s="532"/>
      <c r="M154" s="533">
        <f t="shared" si="25"/>
        <v>0</v>
      </c>
      <c r="N154" s="532"/>
      <c r="O154" s="533">
        <f t="shared" si="26"/>
        <v>0</v>
      </c>
      <c r="P154" s="533">
        <f t="shared" si="27"/>
        <v>0</v>
      </c>
    </row>
    <row r="155" spans="2:16" ht="12.5">
      <c r="C155" s="374" t="s">
        <v>78</v>
      </c>
      <c r="D155" s="375"/>
      <c r="E155" s="375">
        <f>SUM(E99:E154)</f>
        <v>17159057.000000004</v>
      </c>
      <c r="F155" s="375"/>
      <c r="G155" s="375"/>
      <c r="H155" s="375">
        <f>SUM(H99:H154)</f>
        <v>56038781.545877531</v>
      </c>
      <c r="I155" s="375">
        <f>SUM(I99:I154)</f>
        <v>56038781.545877531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7" priority="2" stopIfTrue="1" operator="equal">
      <formula>$I$10</formula>
    </cfRule>
  </conditionalFormatting>
  <conditionalFormatting sqref="C99:C154">
    <cfRule type="cellIs" dxfId="26" priority="3" stopIfTrue="1" operator="equal">
      <formula>$J$92</formula>
    </cfRule>
  </conditionalFormatting>
  <conditionalFormatting sqref="C17">
    <cfRule type="cellIs" dxfId="25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P162"/>
  <sheetViews>
    <sheetView view="pageBreakPreview" zoomScale="80" zoomScaleNormal="100" zoomScaleSheetLayoutView="80" workbookViewId="0">
      <selection activeCell="D12" sqref="D12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65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290131.16035245545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290131.16035245545</v>
      </c>
      <c r="O6" s="269"/>
      <c r="P6" s="269"/>
    </row>
    <row r="7" spans="1:16" ht="13.5" thickBot="1">
      <c r="C7" s="467" t="s">
        <v>48</v>
      </c>
      <c r="D7" s="624" t="s">
        <v>389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417</v>
      </c>
      <c r="E9" s="637" t="s">
        <v>418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2385216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56790.857142857145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 t="s">
        <v>442</v>
      </c>
      <c r="E17" s="658" t="s">
        <v>442</v>
      </c>
      <c r="F17" s="651">
        <v>1835000</v>
      </c>
      <c r="G17" s="659">
        <v>113671</v>
      </c>
      <c r="H17" s="657">
        <v>113671</v>
      </c>
      <c r="I17" s="511">
        <f t="shared" ref="I17:I72" si="0">H17-G17</f>
        <v>0</v>
      </c>
      <c r="J17" s="511"/>
      <c r="K17" s="512">
        <f>+G17</f>
        <v>113671</v>
      </c>
      <c r="L17" s="513">
        <f t="shared" ref="L17:L72" si="1">IF(K17&lt;&gt;0,+G17-K17,0)</f>
        <v>0</v>
      </c>
      <c r="M17" s="512">
        <f>+H17</f>
        <v>113671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1835000</v>
      </c>
      <c r="E18" s="630">
        <v>44756.097560975613</v>
      </c>
      <c r="F18" s="631">
        <v>1790243.9024390243</v>
      </c>
      <c r="G18" s="630">
        <v>275129.65114880283</v>
      </c>
      <c r="H18" s="639">
        <v>275129.65114880283</v>
      </c>
      <c r="I18" s="511">
        <f t="shared" si="0"/>
        <v>0</v>
      </c>
      <c r="J18" s="511"/>
      <c r="K18" s="518">
        <f>+G18</f>
        <v>275129.65114880283</v>
      </c>
      <c r="L18" s="519">
        <f t="shared" si="1"/>
        <v>0</v>
      </c>
      <c r="M18" s="518">
        <f>+H18</f>
        <v>275129.65114880283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1790243.9024390243</v>
      </c>
      <c r="E19" s="630">
        <v>44756.097560975613</v>
      </c>
      <c r="F19" s="631">
        <v>1745487.8048780486</v>
      </c>
      <c r="G19" s="630">
        <v>269441.41525774536</v>
      </c>
      <c r="H19" s="639">
        <v>269441.41525774536</v>
      </c>
      <c r="I19" s="511">
        <f t="shared" si="0"/>
        <v>0</v>
      </c>
      <c r="J19" s="511"/>
      <c r="K19" s="518">
        <f>+G19</f>
        <v>269441.41525774536</v>
      </c>
      <c r="L19" s="519">
        <f t="shared" ref="L19" si="4">IF(K19&lt;&gt;0,+G19-K19,0)</f>
        <v>0</v>
      </c>
      <c r="M19" s="518">
        <f>+H19</f>
        <v>269441.41525774536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2020</v>
      </c>
      <c r="D20" s="631">
        <v>2295703.8048780486</v>
      </c>
      <c r="E20" s="630">
        <v>58176</v>
      </c>
      <c r="F20" s="631">
        <v>2237527.8048780486</v>
      </c>
      <c r="G20" s="630">
        <v>290131.16035245545</v>
      </c>
      <c r="H20" s="639">
        <v>290131.16035245545</v>
      </c>
      <c r="I20" s="511">
        <f t="shared" si="0"/>
        <v>0</v>
      </c>
      <c r="J20" s="511"/>
      <c r="K20" s="518">
        <f>+G20</f>
        <v>290131.16035245545</v>
      </c>
      <c r="L20" s="519">
        <f t="shared" ref="L20" si="6">IF(K20&lt;&gt;0,+G20-K20,0)</f>
        <v>0</v>
      </c>
      <c r="M20" s="518">
        <f>+H20</f>
        <v>290131.16035245545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/>
      </c>
      <c r="C21" s="507">
        <f>IF(D11="","-",+C20+1)</f>
        <v>2021</v>
      </c>
      <c r="D21" s="523">
        <f>IF(F20+SUM(E$17:E20)=D$10,F20,D$10-SUM(E$17:E20))</f>
        <v>2237527.8048780486</v>
      </c>
      <c r="E21" s="522">
        <f>IF(+I14&lt;F20,I14,D21)</f>
        <v>56790.857142857145</v>
      </c>
      <c r="F21" s="523">
        <f t="shared" ref="F21:F72" si="7">+D21-E21</f>
        <v>2180736.9477351913</v>
      </c>
      <c r="G21" s="524">
        <f t="shared" ref="G21:G48" si="8">+I$12*((D21+F21)/2)+E21</f>
        <v>292765.90134865191</v>
      </c>
      <c r="H21" s="491">
        <f t="shared" ref="H21:H48" si="9">+I$13*((D21+F21)/2)+E21</f>
        <v>292765.90134865191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2022</v>
      </c>
      <c r="D22" s="523">
        <f>IF(F21+SUM(E$17:E21)=D$10,F21,D$10-SUM(E$17:E21))</f>
        <v>2180736.9477351913</v>
      </c>
      <c r="E22" s="522">
        <f>IF(+I14&lt;F21,I14,D22)</f>
        <v>56790.857142857145</v>
      </c>
      <c r="F22" s="523">
        <f t="shared" si="7"/>
        <v>2123946.090592334</v>
      </c>
      <c r="G22" s="524">
        <f t="shared" si="8"/>
        <v>286699.61706052982</v>
      </c>
      <c r="H22" s="491">
        <f t="shared" si="9"/>
        <v>286699.61706052982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2123946.090592334</v>
      </c>
      <c r="E23" s="522">
        <f>IF(+I14&lt;F22,I14,D23)</f>
        <v>56790.857142857145</v>
      </c>
      <c r="F23" s="523">
        <f t="shared" si="7"/>
        <v>2067155.233449477</v>
      </c>
      <c r="G23" s="524">
        <f t="shared" si="8"/>
        <v>280633.33277240768</v>
      </c>
      <c r="H23" s="491">
        <f t="shared" si="9"/>
        <v>280633.33277240768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2067155.233449477</v>
      </c>
      <c r="E24" s="522">
        <f>IF(+I14&lt;F23,I14,D24)</f>
        <v>56790.857142857145</v>
      </c>
      <c r="F24" s="523">
        <f t="shared" si="7"/>
        <v>2010364.37630662</v>
      </c>
      <c r="G24" s="524">
        <f t="shared" si="8"/>
        <v>274567.04848428565</v>
      </c>
      <c r="H24" s="491">
        <f t="shared" si="9"/>
        <v>274567.04848428565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2010364.37630662</v>
      </c>
      <c r="E25" s="522">
        <f>IF(+I14&lt;F24,I14,D25)</f>
        <v>56790.857142857145</v>
      </c>
      <c r="F25" s="523">
        <f t="shared" si="7"/>
        <v>1953573.5191637629</v>
      </c>
      <c r="G25" s="524">
        <f t="shared" si="8"/>
        <v>268500.76419616351</v>
      </c>
      <c r="H25" s="491">
        <f t="shared" si="9"/>
        <v>268500.76419616351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1953573.5191637629</v>
      </c>
      <c r="E26" s="522">
        <f>IF(+I14&lt;F25,I14,D26)</f>
        <v>56790.857142857145</v>
      </c>
      <c r="F26" s="523">
        <f t="shared" si="7"/>
        <v>1896782.6620209059</v>
      </c>
      <c r="G26" s="524">
        <f t="shared" si="8"/>
        <v>262434.47990804142</v>
      </c>
      <c r="H26" s="491">
        <f t="shared" si="9"/>
        <v>262434.47990804142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1896782.6620209059</v>
      </c>
      <c r="E27" s="522">
        <f>IF(+I14&lt;F26,I14,D27)</f>
        <v>56790.857142857145</v>
      </c>
      <c r="F27" s="523">
        <f t="shared" si="7"/>
        <v>1839991.8048780488</v>
      </c>
      <c r="G27" s="524">
        <f t="shared" si="8"/>
        <v>256368.19561991934</v>
      </c>
      <c r="H27" s="491">
        <f t="shared" si="9"/>
        <v>256368.19561991934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1839991.8048780488</v>
      </c>
      <c r="E28" s="522">
        <f>IF(+I14&lt;F27,I14,D28)</f>
        <v>56790.857142857145</v>
      </c>
      <c r="F28" s="523">
        <f t="shared" si="7"/>
        <v>1783200.9477351918</v>
      </c>
      <c r="G28" s="524">
        <f t="shared" si="8"/>
        <v>250301.91133179725</v>
      </c>
      <c r="H28" s="491">
        <f t="shared" si="9"/>
        <v>250301.91133179725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1783200.9477351918</v>
      </c>
      <c r="E29" s="522">
        <f>IF(+I14&lt;F28,I14,D29)</f>
        <v>56790.857142857145</v>
      </c>
      <c r="F29" s="523">
        <f t="shared" si="7"/>
        <v>1726410.0905923347</v>
      </c>
      <c r="G29" s="524">
        <f t="shared" si="8"/>
        <v>244235.62704367517</v>
      </c>
      <c r="H29" s="491">
        <f t="shared" si="9"/>
        <v>244235.62704367517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1726410.0905923347</v>
      </c>
      <c r="E30" s="522">
        <f>IF(+I14&lt;F29,I14,D30)</f>
        <v>56790.857142857145</v>
      </c>
      <c r="F30" s="523">
        <f t="shared" si="7"/>
        <v>1669619.2334494777</v>
      </c>
      <c r="G30" s="524">
        <f t="shared" si="8"/>
        <v>238169.34275555308</v>
      </c>
      <c r="H30" s="491">
        <f t="shared" si="9"/>
        <v>238169.34275555308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1669619.2334494777</v>
      </c>
      <c r="E31" s="522">
        <f>IF(+I14&lt;F30,I14,D31)</f>
        <v>56790.857142857145</v>
      </c>
      <c r="F31" s="523">
        <f t="shared" si="7"/>
        <v>1612828.3763066207</v>
      </c>
      <c r="G31" s="524">
        <f t="shared" si="8"/>
        <v>232103.05846743094</v>
      </c>
      <c r="H31" s="491">
        <f t="shared" si="9"/>
        <v>232103.05846743094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1612828.3763066207</v>
      </c>
      <c r="E32" s="522">
        <f>IF(+I14&lt;F31,I14,D32)</f>
        <v>56790.857142857145</v>
      </c>
      <c r="F32" s="523">
        <f t="shared" si="7"/>
        <v>1556037.5191637636</v>
      </c>
      <c r="G32" s="524">
        <f t="shared" si="8"/>
        <v>226036.77417930891</v>
      </c>
      <c r="H32" s="491">
        <f t="shared" si="9"/>
        <v>226036.77417930891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1556037.5191637636</v>
      </c>
      <c r="E33" s="522">
        <f>IF(+I14&lt;F32,I14,D33)</f>
        <v>56790.857142857145</v>
      </c>
      <c r="F33" s="523">
        <f t="shared" si="7"/>
        <v>1499246.6620209066</v>
      </c>
      <c r="G33" s="524">
        <f t="shared" si="8"/>
        <v>219970.48989118676</v>
      </c>
      <c r="H33" s="491">
        <f t="shared" si="9"/>
        <v>219970.48989118676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1499246.6620209066</v>
      </c>
      <c r="E34" s="522">
        <f>IF(+I14&lt;F33,I14,D34)</f>
        <v>56790.857142857145</v>
      </c>
      <c r="F34" s="523">
        <f t="shared" si="7"/>
        <v>1442455.8048780495</v>
      </c>
      <c r="G34" s="524">
        <f t="shared" si="8"/>
        <v>213904.20560306474</v>
      </c>
      <c r="H34" s="491">
        <f t="shared" si="9"/>
        <v>213904.20560306474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1442455.8048780495</v>
      </c>
      <c r="E35" s="522">
        <f>IF(+I14&lt;F34,I14,D35)</f>
        <v>56790.857142857145</v>
      </c>
      <c r="F35" s="523">
        <f t="shared" si="7"/>
        <v>1385664.9477351925</v>
      </c>
      <c r="G35" s="524">
        <f t="shared" si="8"/>
        <v>207837.92131494259</v>
      </c>
      <c r="H35" s="491">
        <f t="shared" si="9"/>
        <v>207837.92131494259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1385664.9477351925</v>
      </c>
      <c r="E36" s="522">
        <f>IF(+I14&lt;F35,I14,D36)</f>
        <v>56790.857142857145</v>
      </c>
      <c r="F36" s="523">
        <f t="shared" si="7"/>
        <v>1328874.0905923354</v>
      </c>
      <c r="G36" s="524">
        <f t="shared" si="8"/>
        <v>201771.63702682056</v>
      </c>
      <c r="H36" s="491">
        <f t="shared" si="9"/>
        <v>201771.63702682056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1328874.0905923354</v>
      </c>
      <c r="E37" s="522">
        <f>IF(+I14&lt;F36,I14,D37)</f>
        <v>56790.857142857145</v>
      </c>
      <c r="F37" s="523">
        <f t="shared" si="7"/>
        <v>1272083.2334494784</v>
      </c>
      <c r="G37" s="524">
        <f t="shared" si="8"/>
        <v>195705.35273869842</v>
      </c>
      <c r="H37" s="491">
        <f t="shared" si="9"/>
        <v>195705.35273869842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1272083.2334494784</v>
      </c>
      <c r="E38" s="522">
        <f>IF(+I14&lt;F37,I14,D38)</f>
        <v>56790.857142857145</v>
      </c>
      <c r="F38" s="523">
        <f t="shared" si="7"/>
        <v>1215292.3763066214</v>
      </c>
      <c r="G38" s="524">
        <f t="shared" si="8"/>
        <v>189639.06845057633</v>
      </c>
      <c r="H38" s="491">
        <f t="shared" si="9"/>
        <v>189639.06845057633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1215292.3763066214</v>
      </c>
      <c r="E39" s="522">
        <f>IF(+I14&lt;F38,I14,D39)</f>
        <v>56790.857142857145</v>
      </c>
      <c r="F39" s="523">
        <f t="shared" si="7"/>
        <v>1158501.5191637643</v>
      </c>
      <c r="G39" s="524">
        <f t="shared" si="8"/>
        <v>183572.78416245425</v>
      </c>
      <c r="H39" s="491">
        <f t="shared" si="9"/>
        <v>183572.78416245425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1158501.5191637643</v>
      </c>
      <c r="E40" s="522">
        <f>IF(+I14&lt;F39,I14,D40)</f>
        <v>56790.857142857145</v>
      </c>
      <c r="F40" s="523">
        <f t="shared" si="7"/>
        <v>1101710.6620209073</v>
      </c>
      <c r="G40" s="524">
        <f t="shared" si="8"/>
        <v>177506.49987433216</v>
      </c>
      <c r="H40" s="491">
        <f t="shared" si="9"/>
        <v>177506.49987433216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1101710.6620209073</v>
      </c>
      <c r="E41" s="522">
        <f>IF(+I14&lt;F40,I14,D41)</f>
        <v>56790.857142857145</v>
      </c>
      <c r="F41" s="523">
        <f t="shared" si="7"/>
        <v>1044919.8048780501</v>
      </c>
      <c r="G41" s="524">
        <f t="shared" si="8"/>
        <v>171440.21558621008</v>
      </c>
      <c r="H41" s="491">
        <f t="shared" si="9"/>
        <v>171440.21558621008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1044919.8048780501</v>
      </c>
      <c r="E42" s="522">
        <f>IF(+I14&lt;F41,I14,D42)</f>
        <v>56790.857142857145</v>
      </c>
      <c r="F42" s="523">
        <f t="shared" si="7"/>
        <v>988128.94773519295</v>
      </c>
      <c r="G42" s="524">
        <f t="shared" si="8"/>
        <v>165373.93129808796</v>
      </c>
      <c r="H42" s="491">
        <f t="shared" si="9"/>
        <v>165373.93129808796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988128.94773519295</v>
      </c>
      <c r="E43" s="522">
        <f>IF(+I14&lt;F42,I14,D43)</f>
        <v>56790.857142857145</v>
      </c>
      <c r="F43" s="523">
        <f t="shared" si="7"/>
        <v>931338.09059233579</v>
      </c>
      <c r="G43" s="524">
        <f t="shared" si="8"/>
        <v>159307.64700996585</v>
      </c>
      <c r="H43" s="491">
        <f t="shared" si="9"/>
        <v>159307.64700996585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931338.09059233579</v>
      </c>
      <c r="E44" s="522">
        <f>IF(+I14&lt;F43,I14,D44)</f>
        <v>56790.857142857145</v>
      </c>
      <c r="F44" s="523">
        <f t="shared" si="7"/>
        <v>874547.23344947863</v>
      </c>
      <c r="G44" s="524">
        <f t="shared" si="8"/>
        <v>153241.36272184376</v>
      </c>
      <c r="H44" s="491">
        <f t="shared" si="9"/>
        <v>153241.36272184376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874547.23344947863</v>
      </c>
      <c r="E45" s="522">
        <f>IF(+I14&lt;F44,I14,D45)</f>
        <v>56790.857142857145</v>
      </c>
      <c r="F45" s="523">
        <f t="shared" si="7"/>
        <v>817756.37630662147</v>
      </c>
      <c r="G45" s="524">
        <f t="shared" si="8"/>
        <v>147175.07843372165</v>
      </c>
      <c r="H45" s="491">
        <f t="shared" si="9"/>
        <v>147175.07843372165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817756.37630662147</v>
      </c>
      <c r="E46" s="522">
        <f>IF(+I14&lt;F45,I14,D46)</f>
        <v>56790.857142857145</v>
      </c>
      <c r="F46" s="523">
        <f t="shared" si="7"/>
        <v>760965.51916376431</v>
      </c>
      <c r="G46" s="524">
        <f t="shared" si="8"/>
        <v>141108.79414559953</v>
      </c>
      <c r="H46" s="491">
        <f t="shared" si="9"/>
        <v>141108.79414559953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760965.51916376431</v>
      </c>
      <c r="E47" s="522">
        <f>IF(+I14&lt;F46,I14,D47)</f>
        <v>56790.857142857145</v>
      </c>
      <c r="F47" s="523">
        <f t="shared" si="7"/>
        <v>704174.66202090716</v>
      </c>
      <c r="G47" s="524">
        <f t="shared" si="8"/>
        <v>135042.50985747745</v>
      </c>
      <c r="H47" s="491">
        <f t="shared" si="9"/>
        <v>135042.50985747745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704174.66202090716</v>
      </c>
      <c r="E48" s="522">
        <f>IF(+I14&lt;F47,I14,D48)</f>
        <v>56790.857142857145</v>
      </c>
      <c r="F48" s="523">
        <f t="shared" si="7"/>
        <v>647383.80487805</v>
      </c>
      <c r="G48" s="524">
        <f t="shared" si="8"/>
        <v>128976.22556935535</v>
      </c>
      <c r="H48" s="491">
        <f t="shared" si="9"/>
        <v>128976.22556935535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647383.80487805</v>
      </c>
      <c r="E49" s="522">
        <f>IF(+I14&lt;F48,I14,D49)</f>
        <v>56790.857142857145</v>
      </c>
      <c r="F49" s="523">
        <f t="shared" si="7"/>
        <v>590592.94773519284</v>
      </c>
      <c r="G49" s="524">
        <f t="shared" ref="G49:G72" si="10">+I$12*((D49+F49)/2)+E49</f>
        <v>122909.94128123323</v>
      </c>
      <c r="H49" s="491">
        <f t="shared" ref="H49:H72" si="11">+I$13*((D49+F49)/2)+E49</f>
        <v>122909.94128123323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590592.94773519284</v>
      </c>
      <c r="E50" s="522">
        <f>IF(+I14&lt;F49,I14,D50)</f>
        <v>56790.857142857145</v>
      </c>
      <c r="F50" s="523">
        <f t="shared" si="7"/>
        <v>533802.09059233568</v>
      </c>
      <c r="G50" s="524">
        <f t="shared" si="10"/>
        <v>116843.65699311113</v>
      </c>
      <c r="H50" s="491">
        <f t="shared" si="11"/>
        <v>116843.65699311113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533802.09059233568</v>
      </c>
      <c r="E51" s="522">
        <f>IF(+I14&lt;F50,I14,D51)</f>
        <v>56790.857142857145</v>
      </c>
      <c r="F51" s="523">
        <f t="shared" si="7"/>
        <v>477011.23344947852</v>
      </c>
      <c r="G51" s="524">
        <f t="shared" si="10"/>
        <v>110777.37270498903</v>
      </c>
      <c r="H51" s="491">
        <f t="shared" si="11"/>
        <v>110777.37270498903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477011.23344947852</v>
      </c>
      <c r="E52" s="522">
        <f>IF(+I14&lt;F51,I14,D52)</f>
        <v>56790.857142857145</v>
      </c>
      <c r="F52" s="523">
        <f t="shared" si="7"/>
        <v>420220.37630662136</v>
      </c>
      <c r="G52" s="524">
        <f t="shared" si="10"/>
        <v>104711.08841686693</v>
      </c>
      <c r="H52" s="491">
        <f t="shared" si="11"/>
        <v>104711.08841686693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420220.37630662136</v>
      </c>
      <c r="E53" s="522">
        <f>IF(+I14&lt;F52,I14,D53)</f>
        <v>56790.857142857145</v>
      </c>
      <c r="F53" s="523">
        <f t="shared" si="7"/>
        <v>363429.5191637642</v>
      </c>
      <c r="G53" s="524">
        <f t="shared" si="10"/>
        <v>98644.804128744814</v>
      </c>
      <c r="H53" s="491">
        <f t="shared" si="11"/>
        <v>98644.804128744814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363429.5191637642</v>
      </c>
      <c r="E54" s="522">
        <f>IF(+I14&lt;F53,I14,D54)</f>
        <v>56790.857142857145</v>
      </c>
      <c r="F54" s="523">
        <f t="shared" si="7"/>
        <v>306638.66202090704</v>
      </c>
      <c r="G54" s="524">
        <f t="shared" si="10"/>
        <v>92578.519840622728</v>
      </c>
      <c r="H54" s="491">
        <f t="shared" si="11"/>
        <v>92578.519840622728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306638.66202090704</v>
      </c>
      <c r="E55" s="522">
        <f>IF(+I14&lt;F54,I14,D55)</f>
        <v>56790.857142857145</v>
      </c>
      <c r="F55" s="523">
        <f t="shared" si="7"/>
        <v>249847.80487804988</v>
      </c>
      <c r="G55" s="524">
        <f t="shared" si="10"/>
        <v>86512.235552500613</v>
      </c>
      <c r="H55" s="491">
        <f t="shared" si="11"/>
        <v>86512.235552500613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249847.80487804988</v>
      </c>
      <c r="E56" s="522">
        <f>IF(+I14&lt;F55,I14,D56)</f>
        <v>56790.857142857145</v>
      </c>
      <c r="F56" s="523">
        <f t="shared" si="7"/>
        <v>193056.94773519272</v>
      </c>
      <c r="G56" s="524">
        <f t="shared" si="10"/>
        <v>80445.951264378513</v>
      </c>
      <c r="H56" s="491">
        <f t="shared" si="11"/>
        <v>80445.951264378513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193056.94773519272</v>
      </c>
      <c r="E57" s="522">
        <f>IF(+I14&lt;F56,I14,D57)</f>
        <v>56790.857142857145</v>
      </c>
      <c r="F57" s="523">
        <f t="shared" si="7"/>
        <v>136266.09059233556</v>
      </c>
      <c r="G57" s="524">
        <f t="shared" si="10"/>
        <v>74379.666976256412</v>
      </c>
      <c r="H57" s="491">
        <f t="shared" si="11"/>
        <v>74379.666976256412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136266.09059233556</v>
      </c>
      <c r="E58" s="522">
        <f>IF(+I14&lt;F57,I14,D58)</f>
        <v>56790.857142857145</v>
      </c>
      <c r="F58" s="523">
        <f t="shared" si="7"/>
        <v>79475.233449478415</v>
      </c>
      <c r="G58" s="524">
        <f t="shared" si="10"/>
        <v>68313.382688134312</v>
      </c>
      <c r="H58" s="491">
        <f t="shared" si="11"/>
        <v>68313.382688134312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79475.233449478415</v>
      </c>
      <c r="E59" s="522">
        <f>IF(+I14&lt;F58,I14,D59)</f>
        <v>56790.857142857145</v>
      </c>
      <c r="F59" s="523">
        <f t="shared" si="7"/>
        <v>22684.37630662127</v>
      </c>
      <c r="G59" s="524">
        <f t="shared" si="10"/>
        <v>62247.098400012212</v>
      </c>
      <c r="H59" s="491">
        <f t="shared" si="11"/>
        <v>62247.098400012212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22684.37630662127</v>
      </c>
      <c r="E60" s="522">
        <f>IF(+I14&lt;F59,I14,D60)</f>
        <v>22684.37630662127</v>
      </c>
      <c r="F60" s="523">
        <f t="shared" si="7"/>
        <v>0</v>
      </c>
      <c r="G60" s="524">
        <f t="shared" si="10"/>
        <v>23895.925863168275</v>
      </c>
      <c r="H60" s="491">
        <f t="shared" si="11"/>
        <v>23895.925863168275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2385216</v>
      </c>
      <c r="F73" s="375"/>
      <c r="G73" s="375">
        <f>SUM(G17:G72)</f>
        <v>7895022.647721123</v>
      </c>
      <c r="H73" s="375">
        <f>SUM(H17:H72)</f>
        <v>7895022.647721123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65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290131.16035245545</v>
      </c>
      <c r="N87" s="546">
        <f>IF(J92&lt;D11,0,VLOOKUP(J92,C17:O72,11))</f>
        <v>290131.16035245545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297741.11088977935</v>
      </c>
      <c r="N88" s="550">
        <f>IF(J92&lt;D11,0,VLOOKUP(J92,C99:P154,7))</f>
        <v>297741.11088977935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Daingerfield - Jenkins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7609.9505373238935</v>
      </c>
      <c r="N89" s="555">
        <f>+N88-N87</f>
        <v>7609.9505373238935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2385216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56790.857142857145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4700.2321428571431</v>
      </c>
      <c r="F99" s="651">
        <v>2364216.7678571427</v>
      </c>
      <c r="G99" s="652">
        <v>1182108.3839285714</v>
      </c>
      <c r="H99" s="653">
        <v>148292.66067911699</v>
      </c>
      <c r="I99" s="654">
        <v>148292.66067911699</v>
      </c>
      <c r="J99" s="514">
        <f t="shared" ref="J99:J130" si="12">+I99-H99</f>
        <v>0</v>
      </c>
      <c r="K99" s="514"/>
      <c r="L99" s="512">
        <f>+H99</f>
        <v>148292.66067911699</v>
      </c>
      <c r="M99" s="513">
        <f t="shared" ref="M99:M130" si="13">IF(L99&lt;&gt;0,+H99-L99,0)</f>
        <v>0</v>
      </c>
      <c r="N99" s="512">
        <f>+I99</f>
        <v>148292.66067911699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2380515.7678571427</v>
      </c>
      <c r="E100" s="630">
        <v>56790.857142857145</v>
      </c>
      <c r="F100" s="631">
        <v>2323724.9107142854</v>
      </c>
      <c r="G100" s="631">
        <v>2352120.3392857141</v>
      </c>
      <c r="H100" s="633">
        <v>305185.55137142731</v>
      </c>
      <c r="I100" s="634">
        <v>305185.55137142731</v>
      </c>
      <c r="J100" s="514">
        <f t="shared" si="12"/>
        <v>0</v>
      </c>
      <c r="K100" s="514"/>
      <c r="L100" s="655">
        <f>+H100</f>
        <v>305185.55137142731</v>
      </c>
      <c r="M100" s="514">
        <f t="shared" si="13"/>
        <v>0</v>
      </c>
      <c r="N100" s="655">
        <f>+I100</f>
        <v>305185.55137142731</v>
      </c>
      <c r="O100" s="514">
        <f t="shared" si="14"/>
        <v>0</v>
      </c>
      <c r="P100" s="514">
        <f t="shared" si="15"/>
        <v>0</v>
      </c>
    </row>
    <row r="101" spans="1:16" ht="12.5">
      <c r="B101" s="195" t="str">
        <f t="shared" ref="B101:B154" si="16">IF(D101=F100,"","IU")</f>
        <v/>
      </c>
      <c r="C101" s="507">
        <f>IF(D93="","-",+C100+1)</f>
        <v>2019</v>
      </c>
      <c r="D101" s="629">
        <v>2323724.9107142854</v>
      </c>
      <c r="E101" s="630">
        <v>55470.139534883718</v>
      </c>
      <c r="F101" s="631">
        <v>2268254.7711794018</v>
      </c>
      <c r="G101" s="631">
        <v>2295989.8409468438</v>
      </c>
      <c r="H101" s="633">
        <v>301234.14696485514</v>
      </c>
      <c r="I101" s="634">
        <v>301234.14696485514</v>
      </c>
      <c r="J101" s="514">
        <f t="shared" si="12"/>
        <v>0</v>
      </c>
      <c r="K101" s="514"/>
      <c r="L101" s="655">
        <f>+H101</f>
        <v>301234.14696485514</v>
      </c>
      <c r="M101" s="514">
        <f t="shared" ref="M101" si="17">IF(L101&lt;&gt;0,+H101-L101,0)</f>
        <v>0</v>
      </c>
      <c r="N101" s="655">
        <f>+I101</f>
        <v>301234.14696485514</v>
      </c>
      <c r="O101" s="514">
        <f t="shared" si="14"/>
        <v>0</v>
      </c>
      <c r="P101" s="514">
        <f t="shared" si="15"/>
        <v>0</v>
      </c>
    </row>
    <row r="102" spans="1:16" ht="12.5">
      <c r="B102" s="195" t="str">
        <f t="shared" si="16"/>
        <v/>
      </c>
      <c r="C102" s="507">
        <f>IF(D93="","-",+C101+1)</f>
        <v>2020</v>
      </c>
      <c r="D102" s="374">
        <f>IF(F101+SUM(E$99:E101)=D$92,F101,D$92-SUM(E$99:E101))</f>
        <v>2268254.7711794018</v>
      </c>
      <c r="E102" s="522">
        <f>IF(+J96&lt;F101,J96,D102)</f>
        <v>56790.857142857145</v>
      </c>
      <c r="F102" s="523">
        <f t="shared" ref="F102:F130" si="18">+D102-E102</f>
        <v>2211463.9140365445</v>
      </c>
      <c r="G102" s="523">
        <f t="shared" ref="G102:G130" si="19">+(F102+D102)/2</f>
        <v>2239859.3426079731</v>
      </c>
      <c r="H102" s="526">
        <f t="shared" ref="H102:H154" si="20">+J$94*G102+E102</f>
        <v>297741.11088977935</v>
      </c>
      <c r="I102" s="577">
        <f t="shared" ref="I102:I154" si="21">+J$95*G102+E102</f>
        <v>297741.11088977935</v>
      </c>
      <c r="J102" s="514">
        <f t="shared" si="12"/>
        <v>0</v>
      </c>
      <c r="K102" s="514"/>
      <c r="L102" s="525"/>
      <c r="M102" s="514">
        <f t="shared" si="13"/>
        <v>0</v>
      </c>
      <c r="N102" s="525"/>
      <c r="O102" s="514">
        <f t="shared" si="14"/>
        <v>0</v>
      </c>
      <c r="P102" s="514">
        <f t="shared" si="15"/>
        <v>0</v>
      </c>
    </row>
    <row r="103" spans="1:16" ht="12.5">
      <c r="B103" s="195" t="str">
        <f t="shared" si="16"/>
        <v/>
      </c>
      <c r="C103" s="507">
        <f>IF(D93="","-",+C102+1)</f>
        <v>2021</v>
      </c>
      <c r="D103" s="374">
        <f>IF(F102+SUM(E$99:E102)=D$92,F102,D$92-SUM(E$99:E102))</f>
        <v>2211463.9140365445</v>
      </c>
      <c r="E103" s="522">
        <f>IF(+J96&lt;F102,J96,D103)</f>
        <v>56790.857142857145</v>
      </c>
      <c r="F103" s="523">
        <f t="shared" si="18"/>
        <v>2154673.0568936872</v>
      </c>
      <c r="G103" s="523">
        <f t="shared" si="19"/>
        <v>2183068.4854651159</v>
      </c>
      <c r="H103" s="526">
        <f t="shared" si="20"/>
        <v>291631.9007359203</v>
      </c>
      <c r="I103" s="577">
        <f t="shared" si="21"/>
        <v>291631.9007359203</v>
      </c>
      <c r="J103" s="514">
        <f t="shared" si="12"/>
        <v>0</v>
      </c>
      <c r="K103" s="514"/>
      <c r="L103" s="525"/>
      <c r="M103" s="514">
        <f t="shared" si="13"/>
        <v>0</v>
      </c>
      <c r="N103" s="525"/>
      <c r="O103" s="514">
        <f t="shared" si="14"/>
        <v>0</v>
      </c>
      <c r="P103" s="514">
        <f t="shared" si="15"/>
        <v>0</v>
      </c>
    </row>
    <row r="104" spans="1:16" ht="12.5">
      <c r="B104" s="195" t="str">
        <f t="shared" si="16"/>
        <v/>
      </c>
      <c r="C104" s="507">
        <f>IF(D93="","-",+C103+1)</f>
        <v>2022</v>
      </c>
      <c r="D104" s="374">
        <f>IF(F103+SUM(E$99:E103)=D$92,F103,D$92-SUM(E$99:E103))</f>
        <v>2154673.0568936872</v>
      </c>
      <c r="E104" s="522">
        <f>IF(+J96&lt;F103,J96,D104)</f>
        <v>56790.857142857145</v>
      </c>
      <c r="F104" s="523">
        <f t="shared" si="18"/>
        <v>2097882.19975083</v>
      </c>
      <c r="G104" s="523">
        <f t="shared" si="19"/>
        <v>2126277.6283222586</v>
      </c>
      <c r="H104" s="526">
        <f t="shared" si="20"/>
        <v>285522.69058206124</v>
      </c>
      <c r="I104" s="577">
        <f t="shared" si="21"/>
        <v>285522.69058206124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 ht="12.5">
      <c r="B105" s="195" t="str">
        <f t="shared" si="16"/>
        <v/>
      </c>
      <c r="C105" s="507">
        <f>IF(D93="","-",+C104+1)</f>
        <v>2023</v>
      </c>
      <c r="D105" s="374">
        <f>IF(F104+SUM(E$99:E104)=D$92,F104,D$92-SUM(E$99:E104))</f>
        <v>2097882.19975083</v>
      </c>
      <c r="E105" s="522">
        <f>IF(+J96&lt;F104,J96,D105)</f>
        <v>56790.857142857145</v>
      </c>
      <c r="F105" s="523">
        <f t="shared" si="18"/>
        <v>2041091.3426079729</v>
      </c>
      <c r="G105" s="523">
        <f t="shared" si="19"/>
        <v>2069486.7711794013</v>
      </c>
      <c r="H105" s="526">
        <f t="shared" si="20"/>
        <v>279413.48042820225</v>
      </c>
      <c r="I105" s="577">
        <f t="shared" si="21"/>
        <v>279413.48042820225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 ht="12.5">
      <c r="B106" s="195" t="str">
        <f t="shared" si="16"/>
        <v/>
      </c>
      <c r="C106" s="507">
        <f>IF(D93="","-",+C105+1)</f>
        <v>2024</v>
      </c>
      <c r="D106" s="374">
        <f>IF(F105+SUM(E$99:E105)=D$92,F105,D$92-SUM(E$99:E105))</f>
        <v>2041091.3426079729</v>
      </c>
      <c r="E106" s="522">
        <f>IF(+J96&lt;F105,J96,D106)</f>
        <v>56790.857142857145</v>
      </c>
      <c r="F106" s="523">
        <f t="shared" si="18"/>
        <v>1984300.4854651159</v>
      </c>
      <c r="G106" s="523">
        <f t="shared" si="19"/>
        <v>2012695.9140365445</v>
      </c>
      <c r="H106" s="526">
        <f t="shared" si="20"/>
        <v>273304.27027434326</v>
      </c>
      <c r="I106" s="577">
        <f t="shared" si="21"/>
        <v>273304.27027434326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 ht="12.5">
      <c r="B107" s="195" t="str">
        <f t="shared" si="16"/>
        <v/>
      </c>
      <c r="C107" s="507">
        <f>IF(D93="","-",+C106+1)</f>
        <v>2025</v>
      </c>
      <c r="D107" s="374">
        <f>IF(F106+SUM(E$99:E106)=D$92,F106,D$92-SUM(E$99:E106))</f>
        <v>1984300.4854651159</v>
      </c>
      <c r="E107" s="522">
        <f>IF(+J96&lt;F106,J96,D107)</f>
        <v>56790.857142857145</v>
      </c>
      <c r="F107" s="523">
        <f t="shared" si="18"/>
        <v>1927509.6283222588</v>
      </c>
      <c r="G107" s="523">
        <f t="shared" si="19"/>
        <v>1955905.0568936872</v>
      </c>
      <c r="H107" s="526">
        <f t="shared" si="20"/>
        <v>267195.06012048421</v>
      </c>
      <c r="I107" s="577">
        <f t="shared" si="21"/>
        <v>267195.06012048421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 ht="12.5">
      <c r="B108" s="195" t="str">
        <f t="shared" si="16"/>
        <v/>
      </c>
      <c r="C108" s="507">
        <f>IF(D93="","-",+C107+1)</f>
        <v>2026</v>
      </c>
      <c r="D108" s="374">
        <f>IF(F107+SUM(E$99:E107)=D$92,F107,D$92-SUM(E$99:E107))</f>
        <v>1927509.6283222588</v>
      </c>
      <c r="E108" s="522">
        <f>IF(+J96&lt;F107,J96,D108)</f>
        <v>56790.857142857145</v>
      </c>
      <c r="F108" s="523">
        <f t="shared" si="18"/>
        <v>1870718.7711794018</v>
      </c>
      <c r="G108" s="523">
        <f t="shared" si="19"/>
        <v>1899114.1997508304</v>
      </c>
      <c r="H108" s="526">
        <f t="shared" si="20"/>
        <v>261085.84996662522</v>
      </c>
      <c r="I108" s="577">
        <f t="shared" si="21"/>
        <v>261085.84996662522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 ht="12.5">
      <c r="B109" s="195" t="str">
        <f t="shared" si="16"/>
        <v/>
      </c>
      <c r="C109" s="507">
        <f>IF(D93="","-",+C108+1)</f>
        <v>2027</v>
      </c>
      <c r="D109" s="374">
        <f>IF(F108+SUM(E$99:E108)=D$92,F108,D$92-SUM(E$99:E108))</f>
        <v>1870718.7711794018</v>
      </c>
      <c r="E109" s="522">
        <f>IF(+J96&lt;F108,J96,D109)</f>
        <v>56790.857142857145</v>
      </c>
      <c r="F109" s="523">
        <f t="shared" si="18"/>
        <v>1813927.9140365447</v>
      </c>
      <c r="G109" s="523">
        <f t="shared" si="19"/>
        <v>1842323.3426079731</v>
      </c>
      <c r="H109" s="526">
        <f t="shared" si="20"/>
        <v>254976.63981276617</v>
      </c>
      <c r="I109" s="577">
        <f t="shared" si="21"/>
        <v>254976.63981276617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 ht="12.5">
      <c r="B110" s="195" t="str">
        <f t="shared" si="16"/>
        <v/>
      </c>
      <c r="C110" s="507">
        <f>IF(D93="","-",+C109+1)</f>
        <v>2028</v>
      </c>
      <c r="D110" s="374">
        <f>IF(F109+SUM(E$99:E109)=D$92,F109,D$92-SUM(E$99:E109))</f>
        <v>1813927.9140365447</v>
      </c>
      <c r="E110" s="522">
        <f>IF(+J96&lt;F109,J96,D110)</f>
        <v>56790.857142857145</v>
      </c>
      <c r="F110" s="523">
        <f t="shared" si="18"/>
        <v>1757137.0568936877</v>
      </c>
      <c r="G110" s="523">
        <f t="shared" si="19"/>
        <v>1785532.4854651163</v>
      </c>
      <c r="H110" s="526">
        <f t="shared" si="20"/>
        <v>248867.42965890717</v>
      </c>
      <c r="I110" s="577">
        <f t="shared" si="21"/>
        <v>248867.42965890717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 ht="12.5">
      <c r="B111" s="195" t="str">
        <f t="shared" si="16"/>
        <v/>
      </c>
      <c r="C111" s="507">
        <f>IF(D93="","-",+C110+1)</f>
        <v>2029</v>
      </c>
      <c r="D111" s="374">
        <f>IF(F110+SUM(E$99:E110)=D$92,F110,D$92-SUM(E$99:E110))</f>
        <v>1757137.0568936877</v>
      </c>
      <c r="E111" s="522">
        <f>IF(+J96&lt;F110,J96,D111)</f>
        <v>56790.857142857145</v>
      </c>
      <c r="F111" s="523">
        <f t="shared" si="18"/>
        <v>1700346.1997508307</v>
      </c>
      <c r="G111" s="523">
        <f t="shared" si="19"/>
        <v>1728741.6283222591</v>
      </c>
      <c r="H111" s="526">
        <f t="shared" si="20"/>
        <v>242758.21950504812</v>
      </c>
      <c r="I111" s="577">
        <f t="shared" si="21"/>
        <v>242758.21950504812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 ht="12.5">
      <c r="B112" s="195" t="str">
        <f t="shared" si="16"/>
        <v/>
      </c>
      <c r="C112" s="507">
        <f>IF(D93="","-",+C111+1)</f>
        <v>2030</v>
      </c>
      <c r="D112" s="374">
        <f>IF(F111+SUM(E$99:E111)=D$92,F111,D$92-SUM(E$99:E111))</f>
        <v>1700346.1997508307</v>
      </c>
      <c r="E112" s="522">
        <f>IF(+J96&lt;F111,J96,D112)</f>
        <v>56790.857142857145</v>
      </c>
      <c r="F112" s="523">
        <f t="shared" si="18"/>
        <v>1643555.3426079736</v>
      </c>
      <c r="G112" s="523">
        <f t="shared" si="19"/>
        <v>1671950.7711794022</v>
      </c>
      <c r="H112" s="526">
        <f t="shared" si="20"/>
        <v>236649.00935118913</v>
      </c>
      <c r="I112" s="577">
        <f t="shared" si="21"/>
        <v>236649.00935118913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 ht="12.5">
      <c r="B113" s="195" t="str">
        <f t="shared" si="16"/>
        <v/>
      </c>
      <c r="C113" s="507">
        <f>IF(D93="","-",+C112+1)</f>
        <v>2031</v>
      </c>
      <c r="D113" s="374">
        <f>IF(F112+SUM(E$99:E112)=D$92,F112,D$92-SUM(E$99:E112))</f>
        <v>1643555.3426079736</v>
      </c>
      <c r="E113" s="522">
        <f>IF(+J96&lt;F112,J96,D113)</f>
        <v>56790.857142857145</v>
      </c>
      <c r="F113" s="523">
        <f t="shared" si="18"/>
        <v>1586764.4854651166</v>
      </c>
      <c r="G113" s="523">
        <f t="shared" si="19"/>
        <v>1615159.914036545</v>
      </c>
      <c r="H113" s="526">
        <f t="shared" si="20"/>
        <v>230539.79919733008</v>
      </c>
      <c r="I113" s="577">
        <f t="shared" si="21"/>
        <v>230539.79919733008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 ht="12.5">
      <c r="B114" s="195" t="str">
        <f t="shared" si="16"/>
        <v/>
      </c>
      <c r="C114" s="507">
        <f>IF(D93="","-",+C113+1)</f>
        <v>2032</v>
      </c>
      <c r="D114" s="374">
        <f>IF(F113+SUM(E$99:E113)=D$92,F113,D$92-SUM(E$99:E113))</f>
        <v>1586764.4854651166</v>
      </c>
      <c r="E114" s="522">
        <f>IF(+J96&lt;F113,J96,D114)</f>
        <v>56790.857142857145</v>
      </c>
      <c r="F114" s="523">
        <f t="shared" si="18"/>
        <v>1529973.6283222595</v>
      </c>
      <c r="G114" s="523">
        <f t="shared" si="19"/>
        <v>1558369.0568936882</v>
      </c>
      <c r="H114" s="526">
        <f t="shared" si="20"/>
        <v>224430.58904347109</v>
      </c>
      <c r="I114" s="577">
        <f t="shared" si="21"/>
        <v>224430.58904347109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 ht="12.5">
      <c r="B115" s="195" t="str">
        <f t="shared" si="16"/>
        <v/>
      </c>
      <c r="C115" s="507">
        <f>IF(D93="","-",+C114+1)</f>
        <v>2033</v>
      </c>
      <c r="D115" s="374">
        <f>IF(F114+SUM(E$99:E114)=D$92,F114,D$92-SUM(E$99:E114))</f>
        <v>1529973.6283222595</v>
      </c>
      <c r="E115" s="522">
        <f>IF(+J96&lt;F114,J96,D115)</f>
        <v>56790.857142857145</v>
      </c>
      <c r="F115" s="523">
        <f t="shared" si="18"/>
        <v>1473182.7711794025</v>
      </c>
      <c r="G115" s="523">
        <f t="shared" si="19"/>
        <v>1501578.1997508309</v>
      </c>
      <c r="H115" s="526">
        <f t="shared" si="20"/>
        <v>218321.37888961204</v>
      </c>
      <c r="I115" s="577">
        <f t="shared" si="21"/>
        <v>218321.37888961204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 ht="12.5">
      <c r="B116" s="195" t="str">
        <f t="shared" si="16"/>
        <v/>
      </c>
      <c r="C116" s="507">
        <f>IF(D93="","-",+C115+1)</f>
        <v>2034</v>
      </c>
      <c r="D116" s="374">
        <f>IF(F115+SUM(E$99:E115)=D$92,F115,D$92-SUM(E$99:E115))</f>
        <v>1473182.7711794025</v>
      </c>
      <c r="E116" s="522">
        <f>IF(+J96&lt;F115,J96,D116)</f>
        <v>56790.857142857145</v>
      </c>
      <c r="F116" s="523">
        <f t="shared" si="18"/>
        <v>1416391.9140365454</v>
      </c>
      <c r="G116" s="523">
        <f t="shared" si="19"/>
        <v>1444787.3426079741</v>
      </c>
      <c r="H116" s="526">
        <f t="shared" si="20"/>
        <v>212212.16873575305</v>
      </c>
      <c r="I116" s="577">
        <f t="shared" si="21"/>
        <v>212212.16873575305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 ht="12.5">
      <c r="B117" s="195" t="str">
        <f t="shared" si="16"/>
        <v/>
      </c>
      <c r="C117" s="507">
        <f>IF(D93="","-",+C116+1)</f>
        <v>2035</v>
      </c>
      <c r="D117" s="374">
        <f>IF(F116+SUM(E$99:E116)=D$92,F116,D$92-SUM(E$99:E116))</f>
        <v>1416391.9140365454</v>
      </c>
      <c r="E117" s="522">
        <f>IF(+J96&lt;F116,J96,D117)</f>
        <v>56790.857142857145</v>
      </c>
      <c r="F117" s="523">
        <f t="shared" si="18"/>
        <v>1359601.0568936884</v>
      </c>
      <c r="G117" s="523">
        <f t="shared" si="19"/>
        <v>1387996.4854651168</v>
      </c>
      <c r="H117" s="526">
        <f t="shared" si="20"/>
        <v>206102.958581894</v>
      </c>
      <c r="I117" s="577">
        <f t="shared" si="21"/>
        <v>206102.958581894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 ht="12.5">
      <c r="B118" s="195" t="str">
        <f t="shared" si="16"/>
        <v/>
      </c>
      <c r="C118" s="507">
        <f>IF(D93="","-",+C117+1)</f>
        <v>2036</v>
      </c>
      <c r="D118" s="374">
        <f>IF(F117+SUM(E$99:E117)=D$92,F117,D$92-SUM(E$99:E117))</f>
        <v>1359601.0568936884</v>
      </c>
      <c r="E118" s="522">
        <f>IF(+J96&lt;F117,J96,D118)</f>
        <v>56790.857142857145</v>
      </c>
      <c r="F118" s="523">
        <f t="shared" si="18"/>
        <v>1302810.1997508314</v>
      </c>
      <c r="G118" s="523">
        <f t="shared" si="19"/>
        <v>1331205.62832226</v>
      </c>
      <c r="H118" s="526">
        <f t="shared" si="20"/>
        <v>199993.748428035</v>
      </c>
      <c r="I118" s="577">
        <f t="shared" si="21"/>
        <v>199993.748428035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 ht="12.5">
      <c r="B119" s="195" t="str">
        <f t="shared" si="16"/>
        <v/>
      </c>
      <c r="C119" s="507">
        <f>IF(D93="","-",+C118+1)</f>
        <v>2037</v>
      </c>
      <c r="D119" s="374">
        <f>IF(F118+SUM(E$99:E118)=D$92,F118,D$92-SUM(E$99:E118))</f>
        <v>1302810.1997508314</v>
      </c>
      <c r="E119" s="522">
        <f>IF(+J96&lt;F118,J96,D119)</f>
        <v>56790.857142857145</v>
      </c>
      <c r="F119" s="523">
        <f t="shared" si="18"/>
        <v>1246019.3426079743</v>
      </c>
      <c r="G119" s="523">
        <f t="shared" si="19"/>
        <v>1274414.7711794027</v>
      </c>
      <c r="H119" s="526">
        <f t="shared" si="20"/>
        <v>193884.53827417595</v>
      </c>
      <c r="I119" s="577">
        <f t="shared" si="21"/>
        <v>193884.53827417595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 ht="12.5">
      <c r="B120" s="195" t="str">
        <f t="shared" si="16"/>
        <v/>
      </c>
      <c r="C120" s="507">
        <f>IF(D93="","-",+C119+1)</f>
        <v>2038</v>
      </c>
      <c r="D120" s="374">
        <f>IF(F119+SUM(E$99:E119)=D$92,F119,D$92-SUM(E$99:E119))</f>
        <v>1246019.3426079743</v>
      </c>
      <c r="E120" s="522">
        <f>IF(+J96&lt;F119,J96,D120)</f>
        <v>56790.857142857145</v>
      </c>
      <c r="F120" s="523">
        <f t="shared" si="18"/>
        <v>1189228.4854651173</v>
      </c>
      <c r="G120" s="523">
        <f t="shared" si="19"/>
        <v>1217623.9140365459</v>
      </c>
      <c r="H120" s="526">
        <f t="shared" si="20"/>
        <v>187775.32812031696</v>
      </c>
      <c r="I120" s="577">
        <f t="shared" si="21"/>
        <v>187775.32812031696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 ht="12.5">
      <c r="B121" s="195" t="str">
        <f t="shared" si="16"/>
        <v/>
      </c>
      <c r="C121" s="507">
        <f>IF(D93="","-",+C120+1)</f>
        <v>2039</v>
      </c>
      <c r="D121" s="374">
        <f>IF(F120+SUM(E$99:E120)=D$92,F120,D$92-SUM(E$99:E120))</f>
        <v>1189228.4854651173</v>
      </c>
      <c r="E121" s="522">
        <f>IF(+J96&lt;F120,J96,D121)</f>
        <v>56790.857142857145</v>
      </c>
      <c r="F121" s="523">
        <f t="shared" si="18"/>
        <v>1132437.6283222602</v>
      </c>
      <c r="G121" s="523">
        <f t="shared" si="19"/>
        <v>1160833.0568936886</v>
      </c>
      <c r="H121" s="526">
        <f t="shared" si="20"/>
        <v>181666.11796645794</v>
      </c>
      <c r="I121" s="577">
        <f t="shared" si="21"/>
        <v>181666.11796645794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 ht="12.5">
      <c r="B122" s="195" t="str">
        <f t="shared" si="16"/>
        <v/>
      </c>
      <c r="C122" s="507">
        <f>IF(D93="","-",+C121+1)</f>
        <v>2040</v>
      </c>
      <c r="D122" s="374">
        <f>IF(F121+SUM(E$99:E121)=D$92,F121,D$92-SUM(E$99:E121))</f>
        <v>1132437.6283222602</v>
      </c>
      <c r="E122" s="522">
        <f>IF(+J96&lt;F121,J96,D122)</f>
        <v>56790.857142857145</v>
      </c>
      <c r="F122" s="523">
        <f t="shared" si="18"/>
        <v>1075646.7711794032</v>
      </c>
      <c r="G122" s="523">
        <f t="shared" si="19"/>
        <v>1104042.1997508318</v>
      </c>
      <c r="H122" s="526">
        <f t="shared" si="20"/>
        <v>175556.90781259895</v>
      </c>
      <c r="I122" s="577">
        <f t="shared" si="21"/>
        <v>175556.90781259895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 ht="12.5">
      <c r="B123" s="195" t="str">
        <f t="shared" si="16"/>
        <v/>
      </c>
      <c r="C123" s="507">
        <f>IF(D93="","-",+C122+1)</f>
        <v>2041</v>
      </c>
      <c r="D123" s="374">
        <f>IF(F122+SUM(E$99:E122)=D$92,F122,D$92-SUM(E$99:E122))</f>
        <v>1075646.7711794032</v>
      </c>
      <c r="E123" s="522">
        <f>IF(+J96&lt;F122,J96,D123)</f>
        <v>56790.857142857145</v>
      </c>
      <c r="F123" s="523">
        <f t="shared" si="18"/>
        <v>1018855.914036546</v>
      </c>
      <c r="G123" s="523">
        <f t="shared" si="19"/>
        <v>1047251.3426079745</v>
      </c>
      <c r="H123" s="526">
        <f t="shared" si="20"/>
        <v>169447.69765873993</v>
      </c>
      <c r="I123" s="577">
        <f t="shared" si="21"/>
        <v>169447.69765873993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 ht="12.5">
      <c r="B124" s="195" t="str">
        <f t="shared" si="16"/>
        <v/>
      </c>
      <c r="C124" s="507">
        <f>IF(D93="","-",+C123+1)</f>
        <v>2042</v>
      </c>
      <c r="D124" s="374">
        <f>IF(F123+SUM(E$99:E123)=D$92,F123,D$92-SUM(E$99:E123))</f>
        <v>1018855.914036546</v>
      </c>
      <c r="E124" s="522">
        <f>IF(+J96&lt;F123,J96,D124)</f>
        <v>56790.857142857145</v>
      </c>
      <c r="F124" s="523">
        <f t="shared" si="18"/>
        <v>962065.05689368886</v>
      </c>
      <c r="G124" s="523">
        <f t="shared" si="19"/>
        <v>990460.4854651175</v>
      </c>
      <c r="H124" s="526">
        <f t="shared" si="20"/>
        <v>163338.48750488088</v>
      </c>
      <c r="I124" s="577">
        <f t="shared" si="21"/>
        <v>163338.48750488088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 ht="12.5">
      <c r="B125" s="195" t="str">
        <f t="shared" si="16"/>
        <v/>
      </c>
      <c r="C125" s="507">
        <f>IF(D93="","-",+C124+1)</f>
        <v>2043</v>
      </c>
      <c r="D125" s="374">
        <f>IF(F124+SUM(E$99:E124)=D$92,F124,D$92-SUM(E$99:E124))</f>
        <v>962065.05689368886</v>
      </c>
      <c r="E125" s="522">
        <f>IF(+J96&lt;F124,J96,D125)</f>
        <v>56790.857142857145</v>
      </c>
      <c r="F125" s="523">
        <f t="shared" si="18"/>
        <v>905274.1997508317</v>
      </c>
      <c r="G125" s="523">
        <f t="shared" si="19"/>
        <v>933669.62832226022</v>
      </c>
      <c r="H125" s="526">
        <f t="shared" si="20"/>
        <v>157229.27735102182</v>
      </c>
      <c r="I125" s="577">
        <f t="shared" si="21"/>
        <v>157229.27735102182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 ht="12.5">
      <c r="B126" s="195" t="str">
        <f t="shared" si="16"/>
        <v/>
      </c>
      <c r="C126" s="507">
        <f>IF(D93="","-",+C125+1)</f>
        <v>2044</v>
      </c>
      <c r="D126" s="374">
        <f>IF(F125+SUM(E$99:E125)=D$92,F125,D$92-SUM(E$99:E125))</f>
        <v>905274.1997508317</v>
      </c>
      <c r="E126" s="522">
        <f>IF(+J96&lt;F125,J96,D126)</f>
        <v>56790.857142857145</v>
      </c>
      <c r="F126" s="523">
        <f t="shared" si="18"/>
        <v>848483.34260797454</v>
      </c>
      <c r="G126" s="523">
        <f t="shared" si="19"/>
        <v>876878.77117940318</v>
      </c>
      <c r="H126" s="526">
        <f t="shared" si="20"/>
        <v>151120.06719716283</v>
      </c>
      <c r="I126" s="577">
        <f t="shared" si="21"/>
        <v>151120.06719716283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 ht="12.5">
      <c r="B127" s="195" t="str">
        <f t="shared" si="16"/>
        <v/>
      </c>
      <c r="C127" s="507">
        <f>IF(D93="","-",+C126+1)</f>
        <v>2045</v>
      </c>
      <c r="D127" s="374">
        <f>IF(F126+SUM(E$99:E126)=D$92,F126,D$92-SUM(E$99:E126))</f>
        <v>848483.34260797454</v>
      </c>
      <c r="E127" s="522">
        <f>IF(+J96&lt;F126,J96,D127)</f>
        <v>56790.857142857145</v>
      </c>
      <c r="F127" s="523">
        <f t="shared" si="18"/>
        <v>791692.48546511738</v>
      </c>
      <c r="G127" s="523">
        <f t="shared" si="19"/>
        <v>820087.9140365459</v>
      </c>
      <c r="H127" s="526">
        <f t="shared" si="20"/>
        <v>145010.85704330378</v>
      </c>
      <c r="I127" s="577">
        <f t="shared" si="21"/>
        <v>145010.85704330378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 ht="12.5">
      <c r="B128" s="195" t="str">
        <f t="shared" si="16"/>
        <v/>
      </c>
      <c r="C128" s="507">
        <f>IF(D93="","-",+C127+1)</f>
        <v>2046</v>
      </c>
      <c r="D128" s="374">
        <f>IF(F127+SUM(E$99:E127)=D$92,F127,D$92-SUM(E$99:E127))</f>
        <v>791692.48546511738</v>
      </c>
      <c r="E128" s="522">
        <f>IF(+J96&lt;F127,J96,D128)</f>
        <v>56790.857142857145</v>
      </c>
      <c r="F128" s="523">
        <f t="shared" si="18"/>
        <v>734901.62832226022</v>
      </c>
      <c r="G128" s="523">
        <f t="shared" si="19"/>
        <v>763297.05689368886</v>
      </c>
      <c r="H128" s="526">
        <f t="shared" si="20"/>
        <v>138901.64688944476</v>
      </c>
      <c r="I128" s="577">
        <f t="shared" si="21"/>
        <v>138901.64688944476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 ht="12.5">
      <c r="B129" s="195" t="str">
        <f t="shared" si="16"/>
        <v/>
      </c>
      <c r="C129" s="507">
        <f>IF(D93="","-",+C128+1)</f>
        <v>2047</v>
      </c>
      <c r="D129" s="374">
        <f>IF(F128+SUM(E$99:E128)=D$92,F128,D$92-SUM(E$99:E128))</f>
        <v>734901.62832226022</v>
      </c>
      <c r="E129" s="522">
        <f>IF(+J96&lt;F128,J96,D129)</f>
        <v>56790.857142857145</v>
      </c>
      <c r="F129" s="523">
        <f t="shared" si="18"/>
        <v>678110.77117940306</v>
      </c>
      <c r="G129" s="523">
        <f t="shared" si="19"/>
        <v>706506.19975083158</v>
      </c>
      <c r="H129" s="526">
        <f t="shared" si="20"/>
        <v>132792.43673558574</v>
      </c>
      <c r="I129" s="577">
        <f t="shared" si="21"/>
        <v>132792.43673558574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 ht="12.5">
      <c r="B130" s="195" t="str">
        <f t="shared" si="16"/>
        <v/>
      </c>
      <c r="C130" s="507">
        <f>IF(D93="","-",+C129+1)</f>
        <v>2048</v>
      </c>
      <c r="D130" s="374">
        <f>IF(F129+SUM(E$99:E129)=D$92,F129,D$92-SUM(E$99:E129))</f>
        <v>678110.77117940306</v>
      </c>
      <c r="E130" s="522">
        <f>IF(+J96&lt;F129,J96,D130)</f>
        <v>56790.857142857145</v>
      </c>
      <c r="F130" s="523">
        <f t="shared" si="18"/>
        <v>621319.9140365459</v>
      </c>
      <c r="G130" s="523">
        <f t="shared" si="19"/>
        <v>649715.34260797454</v>
      </c>
      <c r="H130" s="526">
        <f t="shared" si="20"/>
        <v>126683.2265817267</v>
      </c>
      <c r="I130" s="577">
        <f t="shared" si="21"/>
        <v>126683.2265817267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 ht="12.5">
      <c r="B131" s="195" t="str">
        <f t="shared" si="16"/>
        <v/>
      </c>
      <c r="C131" s="507">
        <f>IF(D93="","-",+C130+1)</f>
        <v>2049</v>
      </c>
      <c r="D131" s="374">
        <f>IF(F130+SUM(E$99:E130)=D$92,F130,D$92-SUM(E$99:E130))</f>
        <v>621319.9140365459</v>
      </c>
      <c r="E131" s="522">
        <f>IF(+J96&lt;F130,J96,D131)</f>
        <v>56790.857142857145</v>
      </c>
      <c r="F131" s="523">
        <f t="shared" ref="F131:F154" si="22">+D131-E131</f>
        <v>564529.05689368874</v>
      </c>
      <c r="G131" s="523">
        <f t="shared" ref="G131:G154" si="23">+(F131+D131)/2</f>
        <v>592924.48546511726</v>
      </c>
      <c r="H131" s="526">
        <f t="shared" si="20"/>
        <v>120574.01642786767</v>
      </c>
      <c r="I131" s="577">
        <f t="shared" si="21"/>
        <v>120574.01642786767</v>
      </c>
      <c r="J131" s="514">
        <f t="shared" ref="J131:J154" si="24">+I541-H541</f>
        <v>0</v>
      </c>
      <c r="K131" s="514"/>
      <c r="L131" s="525"/>
      <c r="M131" s="514">
        <f t="shared" ref="M131:M154" si="25">IF(L541&lt;&gt;0,+H541-L541,0)</f>
        <v>0</v>
      </c>
      <c r="N131" s="525"/>
      <c r="O131" s="514">
        <f t="shared" ref="O131:O154" si="26">IF(N541&lt;&gt;0,+I541-N541,0)</f>
        <v>0</v>
      </c>
      <c r="P131" s="514">
        <f t="shared" ref="P131:P154" si="27">+O541-M541</f>
        <v>0</v>
      </c>
    </row>
    <row r="132" spans="2:16" ht="12.5">
      <c r="B132" s="195" t="str">
        <f t="shared" si="16"/>
        <v/>
      </c>
      <c r="C132" s="507">
        <f>IF(D93="","-",+C131+1)</f>
        <v>2050</v>
      </c>
      <c r="D132" s="374">
        <f>IF(F131+SUM(E$99:E131)=D$92,F131,D$92-SUM(E$99:E131))</f>
        <v>564529.05689368874</v>
      </c>
      <c r="E132" s="522">
        <f>IF(+J96&lt;F131,J96,D132)</f>
        <v>56790.857142857145</v>
      </c>
      <c r="F132" s="523">
        <f t="shared" si="22"/>
        <v>507738.19975083158</v>
      </c>
      <c r="G132" s="523">
        <f t="shared" si="23"/>
        <v>536133.62832226022</v>
      </c>
      <c r="H132" s="526">
        <f t="shared" si="20"/>
        <v>114464.80627400865</v>
      </c>
      <c r="I132" s="577">
        <f t="shared" si="21"/>
        <v>114464.80627400865</v>
      </c>
      <c r="J132" s="514">
        <f t="shared" si="24"/>
        <v>0</v>
      </c>
      <c r="K132" s="514"/>
      <c r="L132" s="525"/>
      <c r="M132" s="514">
        <f t="shared" si="25"/>
        <v>0</v>
      </c>
      <c r="N132" s="525"/>
      <c r="O132" s="514">
        <f t="shared" si="26"/>
        <v>0</v>
      </c>
      <c r="P132" s="514">
        <f t="shared" si="27"/>
        <v>0</v>
      </c>
    </row>
    <row r="133" spans="2:16" ht="12.5">
      <c r="B133" s="195" t="str">
        <f t="shared" si="16"/>
        <v/>
      </c>
      <c r="C133" s="507">
        <f>IF(D93="","-",+C132+1)</f>
        <v>2051</v>
      </c>
      <c r="D133" s="374">
        <f>IF(F132+SUM(E$99:E132)=D$92,F132,D$92-SUM(E$99:E132))</f>
        <v>507738.19975083158</v>
      </c>
      <c r="E133" s="522">
        <f>IF(+J96&lt;F132,J96,D133)</f>
        <v>56790.857142857145</v>
      </c>
      <c r="F133" s="523">
        <f t="shared" si="22"/>
        <v>450947.34260797442</v>
      </c>
      <c r="G133" s="523">
        <f t="shared" si="23"/>
        <v>479342.771179403</v>
      </c>
      <c r="H133" s="526">
        <f t="shared" si="20"/>
        <v>108355.59612014961</v>
      </c>
      <c r="I133" s="577">
        <f t="shared" si="21"/>
        <v>108355.59612014961</v>
      </c>
      <c r="J133" s="514">
        <f t="shared" si="24"/>
        <v>0</v>
      </c>
      <c r="K133" s="514"/>
      <c r="L133" s="525"/>
      <c r="M133" s="514">
        <f t="shared" si="25"/>
        <v>0</v>
      </c>
      <c r="N133" s="525"/>
      <c r="O133" s="514">
        <f t="shared" si="26"/>
        <v>0</v>
      </c>
      <c r="P133" s="514">
        <f t="shared" si="27"/>
        <v>0</v>
      </c>
    </row>
    <row r="134" spans="2:16" ht="12.5">
      <c r="B134" s="195" t="str">
        <f t="shared" si="16"/>
        <v/>
      </c>
      <c r="C134" s="507">
        <f>IF(D93="","-",+C133+1)</f>
        <v>2052</v>
      </c>
      <c r="D134" s="374">
        <f>IF(F133+SUM(E$99:E133)=D$92,F133,D$92-SUM(E$99:E133))</f>
        <v>450947.34260797442</v>
      </c>
      <c r="E134" s="522">
        <f>IF(+J96&lt;F133,J96,D134)</f>
        <v>56790.857142857145</v>
      </c>
      <c r="F134" s="523">
        <f t="shared" si="22"/>
        <v>394156.48546511726</v>
      </c>
      <c r="G134" s="523">
        <f t="shared" si="23"/>
        <v>422551.91403654584</v>
      </c>
      <c r="H134" s="526">
        <f t="shared" si="20"/>
        <v>102246.38596629057</v>
      </c>
      <c r="I134" s="577">
        <f t="shared" si="21"/>
        <v>102246.38596629057</v>
      </c>
      <c r="J134" s="514">
        <f t="shared" si="24"/>
        <v>0</v>
      </c>
      <c r="K134" s="514"/>
      <c r="L134" s="525"/>
      <c r="M134" s="514">
        <f t="shared" si="25"/>
        <v>0</v>
      </c>
      <c r="N134" s="525"/>
      <c r="O134" s="514">
        <f t="shared" si="26"/>
        <v>0</v>
      </c>
      <c r="P134" s="514">
        <f t="shared" si="27"/>
        <v>0</v>
      </c>
    </row>
    <row r="135" spans="2:16" ht="12.5">
      <c r="B135" s="195" t="str">
        <f t="shared" si="16"/>
        <v/>
      </c>
      <c r="C135" s="507">
        <f>IF(D93="","-",+C134+1)</f>
        <v>2053</v>
      </c>
      <c r="D135" s="374">
        <f>IF(F134+SUM(E$99:E134)=D$92,F134,D$92-SUM(E$99:E134))</f>
        <v>394156.48546511726</v>
      </c>
      <c r="E135" s="522">
        <f>IF(+J96&lt;F134,J96,D135)</f>
        <v>56790.857142857145</v>
      </c>
      <c r="F135" s="523">
        <f t="shared" si="22"/>
        <v>337365.62832226011</v>
      </c>
      <c r="G135" s="523">
        <f t="shared" si="23"/>
        <v>365761.05689368868</v>
      </c>
      <c r="H135" s="526">
        <f t="shared" si="20"/>
        <v>96137.175812431553</v>
      </c>
      <c r="I135" s="577">
        <f t="shared" si="21"/>
        <v>96137.175812431553</v>
      </c>
      <c r="J135" s="514">
        <f t="shared" si="24"/>
        <v>0</v>
      </c>
      <c r="K135" s="514"/>
      <c r="L135" s="525"/>
      <c r="M135" s="514">
        <f t="shared" si="25"/>
        <v>0</v>
      </c>
      <c r="N135" s="525"/>
      <c r="O135" s="514">
        <f t="shared" si="26"/>
        <v>0</v>
      </c>
      <c r="P135" s="514">
        <f t="shared" si="27"/>
        <v>0</v>
      </c>
    </row>
    <row r="136" spans="2:16" ht="12.5">
      <c r="B136" s="195" t="str">
        <f t="shared" si="16"/>
        <v/>
      </c>
      <c r="C136" s="507">
        <f>IF(D93="","-",+C135+1)</f>
        <v>2054</v>
      </c>
      <c r="D136" s="374">
        <f>IF(F135+SUM(E$99:E135)=D$92,F135,D$92-SUM(E$99:E135))</f>
        <v>337365.62832226011</v>
      </c>
      <c r="E136" s="522">
        <f>IF(+J96&lt;F135,J96,D136)</f>
        <v>56790.857142857145</v>
      </c>
      <c r="F136" s="523">
        <f t="shared" si="22"/>
        <v>280574.77117940295</v>
      </c>
      <c r="G136" s="523">
        <f t="shared" si="23"/>
        <v>308970.19975083153</v>
      </c>
      <c r="H136" s="526">
        <f t="shared" si="20"/>
        <v>90027.965658572517</v>
      </c>
      <c r="I136" s="577">
        <f t="shared" si="21"/>
        <v>90027.965658572517</v>
      </c>
      <c r="J136" s="514">
        <f t="shared" si="24"/>
        <v>0</v>
      </c>
      <c r="K136" s="514"/>
      <c r="L136" s="525"/>
      <c r="M136" s="514">
        <f t="shared" si="25"/>
        <v>0</v>
      </c>
      <c r="N136" s="525"/>
      <c r="O136" s="514">
        <f t="shared" si="26"/>
        <v>0</v>
      </c>
      <c r="P136" s="514">
        <f t="shared" si="27"/>
        <v>0</v>
      </c>
    </row>
    <row r="137" spans="2:16" ht="12.5">
      <c r="B137" s="195" t="str">
        <f t="shared" si="16"/>
        <v/>
      </c>
      <c r="C137" s="507">
        <f>IF(D93="","-",+C136+1)</f>
        <v>2055</v>
      </c>
      <c r="D137" s="374">
        <f>IF(F136+SUM(E$99:E136)=D$92,F136,D$92-SUM(E$99:E136))</f>
        <v>280574.77117940295</v>
      </c>
      <c r="E137" s="522">
        <f>IF(+J96&lt;F136,J96,D137)</f>
        <v>56790.857142857145</v>
      </c>
      <c r="F137" s="523">
        <f t="shared" si="22"/>
        <v>223783.91403654579</v>
      </c>
      <c r="G137" s="523">
        <f t="shared" si="23"/>
        <v>252179.34260797437</v>
      </c>
      <c r="H137" s="526">
        <f t="shared" si="20"/>
        <v>83918.755504713481</v>
      </c>
      <c r="I137" s="577">
        <f t="shared" si="21"/>
        <v>83918.755504713481</v>
      </c>
      <c r="J137" s="514">
        <f t="shared" si="24"/>
        <v>0</v>
      </c>
      <c r="K137" s="514"/>
      <c r="L137" s="525"/>
      <c r="M137" s="514">
        <f t="shared" si="25"/>
        <v>0</v>
      </c>
      <c r="N137" s="525"/>
      <c r="O137" s="514">
        <f t="shared" si="26"/>
        <v>0</v>
      </c>
      <c r="P137" s="514">
        <f t="shared" si="27"/>
        <v>0</v>
      </c>
    </row>
    <row r="138" spans="2:16" ht="12.5">
      <c r="B138" s="195" t="str">
        <f t="shared" si="16"/>
        <v/>
      </c>
      <c r="C138" s="507">
        <f>IF(D93="","-",+C137+1)</f>
        <v>2056</v>
      </c>
      <c r="D138" s="374">
        <f>IF(F137+SUM(E$99:E137)=D$92,F137,D$92-SUM(E$99:E137))</f>
        <v>223783.91403654579</v>
      </c>
      <c r="E138" s="522">
        <f>IF(+J96&lt;F137,J96,D138)</f>
        <v>56790.857142857145</v>
      </c>
      <c r="F138" s="523">
        <f t="shared" si="22"/>
        <v>166993.05689368863</v>
      </c>
      <c r="G138" s="523">
        <f t="shared" si="23"/>
        <v>195388.48546511721</v>
      </c>
      <c r="H138" s="526">
        <f t="shared" si="20"/>
        <v>77809.54535085446</v>
      </c>
      <c r="I138" s="577">
        <f t="shared" si="21"/>
        <v>77809.54535085446</v>
      </c>
      <c r="J138" s="514">
        <f t="shared" si="24"/>
        <v>0</v>
      </c>
      <c r="K138" s="514"/>
      <c r="L138" s="525"/>
      <c r="M138" s="514">
        <f t="shared" si="25"/>
        <v>0</v>
      </c>
      <c r="N138" s="525"/>
      <c r="O138" s="514">
        <f t="shared" si="26"/>
        <v>0</v>
      </c>
      <c r="P138" s="514">
        <f t="shared" si="27"/>
        <v>0</v>
      </c>
    </row>
    <row r="139" spans="2:16" ht="12.5">
      <c r="B139" s="195" t="str">
        <f t="shared" si="16"/>
        <v/>
      </c>
      <c r="C139" s="507">
        <f>IF(D93="","-",+C138+1)</f>
        <v>2057</v>
      </c>
      <c r="D139" s="374">
        <f>IF(F138+SUM(E$99:E138)=D$92,F138,D$92-SUM(E$99:E138))</f>
        <v>166993.05689368863</v>
      </c>
      <c r="E139" s="522">
        <f>IF(+J96&lt;F138,J96,D139)</f>
        <v>56790.857142857145</v>
      </c>
      <c r="F139" s="523">
        <f t="shared" si="22"/>
        <v>110202.19975083148</v>
      </c>
      <c r="G139" s="523">
        <f t="shared" si="23"/>
        <v>138597.62832226005</v>
      </c>
      <c r="H139" s="526">
        <f t="shared" si="20"/>
        <v>71700.335196995424</v>
      </c>
      <c r="I139" s="577">
        <f t="shared" si="21"/>
        <v>71700.335196995424</v>
      </c>
      <c r="J139" s="514">
        <f t="shared" si="24"/>
        <v>0</v>
      </c>
      <c r="K139" s="514"/>
      <c r="L139" s="525"/>
      <c r="M139" s="514">
        <f t="shared" si="25"/>
        <v>0</v>
      </c>
      <c r="N139" s="525"/>
      <c r="O139" s="514">
        <f t="shared" si="26"/>
        <v>0</v>
      </c>
      <c r="P139" s="514">
        <f t="shared" si="27"/>
        <v>0</v>
      </c>
    </row>
    <row r="140" spans="2:16" ht="12.5">
      <c r="B140" s="195" t="str">
        <f t="shared" si="16"/>
        <v/>
      </c>
      <c r="C140" s="507">
        <f>IF(D93="","-",+C139+1)</f>
        <v>2058</v>
      </c>
      <c r="D140" s="374">
        <f>IF(F139+SUM(E$99:E139)=D$92,F139,D$92-SUM(E$99:E139))</f>
        <v>110202.19975083148</v>
      </c>
      <c r="E140" s="522">
        <f>IF(+J96&lt;F139,J96,D140)</f>
        <v>56790.857142857145</v>
      </c>
      <c r="F140" s="523">
        <f t="shared" si="22"/>
        <v>53411.342607974337</v>
      </c>
      <c r="G140" s="523">
        <f t="shared" si="23"/>
        <v>81806.771179402916</v>
      </c>
      <c r="H140" s="526">
        <f t="shared" si="20"/>
        <v>65591.125043136402</v>
      </c>
      <c r="I140" s="577">
        <f t="shared" si="21"/>
        <v>65591.125043136402</v>
      </c>
      <c r="J140" s="514">
        <f t="shared" si="24"/>
        <v>0</v>
      </c>
      <c r="K140" s="514"/>
      <c r="L140" s="525"/>
      <c r="M140" s="514">
        <f t="shared" si="25"/>
        <v>0</v>
      </c>
      <c r="N140" s="525"/>
      <c r="O140" s="514">
        <f t="shared" si="26"/>
        <v>0</v>
      </c>
      <c r="P140" s="514">
        <f t="shared" si="27"/>
        <v>0</v>
      </c>
    </row>
    <row r="141" spans="2:16" ht="12.5">
      <c r="B141" s="195" t="str">
        <f t="shared" si="16"/>
        <v/>
      </c>
      <c r="C141" s="507">
        <f>IF(D93="","-",+C140+1)</f>
        <v>2059</v>
      </c>
      <c r="D141" s="374">
        <f>IF(F140+SUM(E$99:E140)=D$92,F140,D$92-SUM(E$99:E140))</f>
        <v>53411.342607974337</v>
      </c>
      <c r="E141" s="522">
        <f>IF(+J96&lt;F140,J96,D141)</f>
        <v>53411.342607974337</v>
      </c>
      <c r="F141" s="523">
        <f t="shared" si="22"/>
        <v>0</v>
      </c>
      <c r="G141" s="523">
        <f t="shared" si="23"/>
        <v>26705.671303987168</v>
      </c>
      <c r="H141" s="526">
        <f t="shared" si="20"/>
        <v>56284.174019649203</v>
      </c>
      <c r="I141" s="577">
        <f t="shared" si="21"/>
        <v>56284.174019649203</v>
      </c>
      <c r="J141" s="514">
        <f t="shared" si="24"/>
        <v>0</v>
      </c>
      <c r="K141" s="514"/>
      <c r="L141" s="525"/>
      <c r="M141" s="514">
        <f t="shared" si="25"/>
        <v>0</v>
      </c>
      <c r="N141" s="525"/>
      <c r="O141" s="514">
        <f t="shared" si="26"/>
        <v>0</v>
      </c>
      <c r="P141" s="514">
        <f t="shared" si="27"/>
        <v>0</v>
      </c>
    </row>
    <row r="142" spans="2:16" ht="12.5">
      <c r="B142" s="195" t="str">
        <f t="shared" si="16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2"/>
        <v>0</v>
      </c>
      <c r="G142" s="523">
        <f t="shared" si="23"/>
        <v>0</v>
      </c>
      <c r="H142" s="526">
        <f t="shared" si="20"/>
        <v>0</v>
      </c>
      <c r="I142" s="577">
        <f t="shared" si="21"/>
        <v>0</v>
      </c>
      <c r="J142" s="514">
        <f t="shared" si="24"/>
        <v>0</v>
      </c>
      <c r="K142" s="514"/>
      <c r="L142" s="525"/>
      <c r="M142" s="514">
        <f t="shared" si="25"/>
        <v>0</v>
      </c>
      <c r="N142" s="525"/>
      <c r="O142" s="514">
        <f t="shared" si="26"/>
        <v>0</v>
      </c>
      <c r="P142" s="514">
        <f t="shared" si="27"/>
        <v>0</v>
      </c>
    </row>
    <row r="143" spans="2:16" ht="12.5">
      <c r="B143" s="195" t="str">
        <f t="shared" si="16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2"/>
        <v>0</v>
      </c>
      <c r="G143" s="523">
        <f t="shared" si="23"/>
        <v>0</v>
      </c>
      <c r="H143" s="526">
        <f t="shared" si="20"/>
        <v>0</v>
      </c>
      <c r="I143" s="577">
        <f t="shared" si="21"/>
        <v>0</v>
      </c>
      <c r="J143" s="514">
        <f t="shared" si="24"/>
        <v>0</v>
      </c>
      <c r="K143" s="514"/>
      <c r="L143" s="525"/>
      <c r="M143" s="514">
        <f t="shared" si="25"/>
        <v>0</v>
      </c>
      <c r="N143" s="525"/>
      <c r="O143" s="514">
        <f t="shared" si="26"/>
        <v>0</v>
      </c>
      <c r="P143" s="514">
        <f t="shared" si="27"/>
        <v>0</v>
      </c>
    </row>
    <row r="144" spans="2:16" ht="12.5">
      <c r="B144" s="195" t="str">
        <f t="shared" si="16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2"/>
        <v>0</v>
      </c>
      <c r="G144" s="523">
        <f t="shared" si="23"/>
        <v>0</v>
      </c>
      <c r="H144" s="526">
        <f t="shared" si="20"/>
        <v>0</v>
      </c>
      <c r="I144" s="577">
        <f t="shared" si="21"/>
        <v>0</v>
      </c>
      <c r="J144" s="514">
        <f t="shared" si="24"/>
        <v>0</v>
      </c>
      <c r="K144" s="514"/>
      <c r="L144" s="525"/>
      <c r="M144" s="514">
        <f t="shared" si="25"/>
        <v>0</v>
      </c>
      <c r="N144" s="525"/>
      <c r="O144" s="514">
        <f t="shared" si="26"/>
        <v>0</v>
      </c>
      <c r="P144" s="514">
        <f t="shared" si="27"/>
        <v>0</v>
      </c>
    </row>
    <row r="145" spans="2:16" ht="12.5">
      <c r="B145" s="195" t="str">
        <f t="shared" si="16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2"/>
        <v>0</v>
      </c>
      <c r="G145" s="523">
        <f t="shared" si="23"/>
        <v>0</v>
      </c>
      <c r="H145" s="526">
        <f t="shared" si="20"/>
        <v>0</v>
      </c>
      <c r="I145" s="577">
        <f t="shared" si="21"/>
        <v>0</v>
      </c>
      <c r="J145" s="514">
        <f t="shared" si="24"/>
        <v>0</v>
      </c>
      <c r="K145" s="514"/>
      <c r="L145" s="525"/>
      <c r="M145" s="514">
        <f t="shared" si="25"/>
        <v>0</v>
      </c>
      <c r="N145" s="525"/>
      <c r="O145" s="514">
        <f t="shared" si="26"/>
        <v>0</v>
      </c>
      <c r="P145" s="514">
        <f t="shared" si="27"/>
        <v>0</v>
      </c>
    </row>
    <row r="146" spans="2:16" ht="12.5">
      <c r="B146" s="195" t="str">
        <f t="shared" si="16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2"/>
        <v>0</v>
      </c>
      <c r="G146" s="523">
        <f t="shared" si="23"/>
        <v>0</v>
      </c>
      <c r="H146" s="526">
        <f t="shared" si="20"/>
        <v>0</v>
      </c>
      <c r="I146" s="577">
        <f t="shared" si="21"/>
        <v>0</v>
      </c>
      <c r="J146" s="514">
        <f t="shared" si="24"/>
        <v>0</v>
      </c>
      <c r="K146" s="514"/>
      <c r="L146" s="525"/>
      <c r="M146" s="514">
        <f t="shared" si="25"/>
        <v>0</v>
      </c>
      <c r="N146" s="525"/>
      <c r="O146" s="514">
        <f t="shared" si="26"/>
        <v>0</v>
      </c>
      <c r="P146" s="514">
        <f t="shared" si="27"/>
        <v>0</v>
      </c>
    </row>
    <row r="147" spans="2:16" ht="12.5">
      <c r="B147" s="195" t="str">
        <f t="shared" si="16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2"/>
        <v>0</v>
      </c>
      <c r="G147" s="523">
        <f t="shared" si="23"/>
        <v>0</v>
      </c>
      <c r="H147" s="526">
        <f t="shared" si="20"/>
        <v>0</v>
      </c>
      <c r="I147" s="577">
        <f t="shared" si="21"/>
        <v>0</v>
      </c>
      <c r="J147" s="514">
        <f t="shared" si="24"/>
        <v>0</v>
      </c>
      <c r="K147" s="514"/>
      <c r="L147" s="525"/>
      <c r="M147" s="514">
        <f t="shared" si="25"/>
        <v>0</v>
      </c>
      <c r="N147" s="525"/>
      <c r="O147" s="514">
        <f t="shared" si="26"/>
        <v>0</v>
      </c>
      <c r="P147" s="514">
        <f t="shared" si="27"/>
        <v>0</v>
      </c>
    </row>
    <row r="148" spans="2:16" ht="12.5">
      <c r="B148" s="195" t="str">
        <f t="shared" si="16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2"/>
        <v>0</v>
      </c>
      <c r="G148" s="523">
        <f t="shared" si="23"/>
        <v>0</v>
      </c>
      <c r="H148" s="526">
        <f t="shared" si="20"/>
        <v>0</v>
      </c>
      <c r="I148" s="577">
        <f t="shared" si="21"/>
        <v>0</v>
      </c>
      <c r="J148" s="514">
        <f t="shared" si="24"/>
        <v>0</v>
      </c>
      <c r="K148" s="514"/>
      <c r="L148" s="525"/>
      <c r="M148" s="514">
        <f t="shared" si="25"/>
        <v>0</v>
      </c>
      <c r="N148" s="525"/>
      <c r="O148" s="514">
        <f t="shared" si="26"/>
        <v>0</v>
      </c>
      <c r="P148" s="514">
        <f t="shared" si="27"/>
        <v>0</v>
      </c>
    </row>
    <row r="149" spans="2:16" ht="12.5">
      <c r="B149" s="195" t="str">
        <f t="shared" si="16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2"/>
        <v>0</v>
      </c>
      <c r="G149" s="523">
        <f t="shared" si="23"/>
        <v>0</v>
      </c>
      <c r="H149" s="526">
        <f t="shared" si="20"/>
        <v>0</v>
      </c>
      <c r="I149" s="577">
        <f t="shared" si="21"/>
        <v>0</v>
      </c>
      <c r="J149" s="514">
        <f t="shared" si="24"/>
        <v>0</v>
      </c>
      <c r="K149" s="514"/>
      <c r="L149" s="525"/>
      <c r="M149" s="514">
        <f t="shared" si="25"/>
        <v>0</v>
      </c>
      <c r="N149" s="525"/>
      <c r="O149" s="514">
        <f t="shared" si="26"/>
        <v>0</v>
      </c>
      <c r="P149" s="514">
        <f t="shared" si="27"/>
        <v>0</v>
      </c>
    </row>
    <row r="150" spans="2:16" ht="12.5">
      <c r="B150" s="195" t="str">
        <f t="shared" si="16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2"/>
        <v>0</v>
      </c>
      <c r="G150" s="523">
        <f t="shared" si="23"/>
        <v>0</v>
      </c>
      <c r="H150" s="526">
        <f t="shared" si="20"/>
        <v>0</v>
      </c>
      <c r="I150" s="577">
        <f t="shared" si="21"/>
        <v>0</v>
      </c>
      <c r="J150" s="514">
        <f t="shared" si="24"/>
        <v>0</v>
      </c>
      <c r="K150" s="514"/>
      <c r="L150" s="525"/>
      <c r="M150" s="514">
        <f t="shared" si="25"/>
        <v>0</v>
      </c>
      <c r="N150" s="525"/>
      <c r="O150" s="514">
        <f t="shared" si="26"/>
        <v>0</v>
      </c>
      <c r="P150" s="514">
        <f t="shared" si="27"/>
        <v>0</v>
      </c>
    </row>
    <row r="151" spans="2:16" ht="12.5">
      <c r="B151" s="195" t="str">
        <f t="shared" si="16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2"/>
        <v>0</v>
      </c>
      <c r="G151" s="523">
        <f t="shared" si="23"/>
        <v>0</v>
      </c>
      <c r="H151" s="526">
        <f t="shared" si="20"/>
        <v>0</v>
      </c>
      <c r="I151" s="577">
        <f t="shared" si="21"/>
        <v>0</v>
      </c>
      <c r="J151" s="514">
        <f t="shared" si="24"/>
        <v>0</v>
      </c>
      <c r="K151" s="514"/>
      <c r="L151" s="525"/>
      <c r="M151" s="514">
        <f t="shared" si="25"/>
        <v>0</v>
      </c>
      <c r="N151" s="525"/>
      <c r="O151" s="514">
        <f t="shared" si="26"/>
        <v>0</v>
      </c>
      <c r="P151" s="514">
        <f t="shared" si="27"/>
        <v>0</v>
      </c>
    </row>
    <row r="152" spans="2:16" ht="12.5">
      <c r="B152" s="195" t="str">
        <f t="shared" si="16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2"/>
        <v>0</v>
      </c>
      <c r="G152" s="523">
        <f t="shared" si="23"/>
        <v>0</v>
      </c>
      <c r="H152" s="526">
        <f t="shared" si="20"/>
        <v>0</v>
      </c>
      <c r="I152" s="577">
        <f t="shared" si="21"/>
        <v>0</v>
      </c>
      <c r="J152" s="514">
        <f t="shared" si="24"/>
        <v>0</v>
      </c>
      <c r="K152" s="514"/>
      <c r="L152" s="525"/>
      <c r="M152" s="514">
        <f t="shared" si="25"/>
        <v>0</v>
      </c>
      <c r="N152" s="525"/>
      <c r="O152" s="514">
        <f t="shared" si="26"/>
        <v>0</v>
      </c>
      <c r="P152" s="514">
        <f t="shared" si="27"/>
        <v>0</v>
      </c>
    </row>
    <row r="153" spans="2:16" ht="12.5">
      <c r="B153" s="195" t="str">
        <f t="shared" si="16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2"/>
        <v>0</v>
      </c>
      <c r="G153" s="523">
        <f t="shared" si="23"/>
        <v>0</v>
      </c>
      <c r="H153" s="526">
        <f t="shared" si="20"/>
        <v>0</v>
      </c>
      <c r="I153" s="577">
        <f t="shared" si="21"/>
        <v>0</v>
      </c>
      <c r="J153" s="514">
        <f t="shared" si="24"/>
        <v>0</v>
      </c>
      <c r="K153" s="514"/>
      <c r="L153" s="525"/>
      <c r="M153" s="514">
        <f t="shared" si="25"/>
        <v>0</v>
      </c>
      <c r="N153" s="525"/>
      <c r="O153" s="514">
        <f t="shared" si="26"/>
        <v>0</v>
      </c>
      <c r="P153" s="514">
        <f t="shared" si="27"/>
        <v>0</v>
      </c>
    </row>
    <row r="154" spans="2:16" ht="13" thickBot="1">
      <c r="B154" s="195" t="str">
        <f t="shared" si="16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2"/>
        <v>0</v>
      </c>
      <c r="G154" s="528">
        <f t="shared" si="23"/>
        <v>0</v>
      </c>
      <c r="H154" s="530">
        <f t="shared" si="20"/>
        <v>0</v>
      </c>
      <c r="I154" s="579">
        <f t="shared" si="21"/>
        <v>0</v>
      </c>
      <c r="J154" s="533">
        <f t="shared" si="24"/>
        <v>0</v>
      </c>
      <c r="K154" s="514"/>
      <c r="L154" s="532"/>
      <c r="M154" s="533">
        <f t="shared" si="25"/>
        <v>0</v>
      </c>
      <c r="N154" s="532"/>
      <c r="O154" s="533">
        <f t="shared" si="26"/>
        <v>0</v>
      </c>
      <c r="P154" s="533">
        <f t="shared" si="27"/>
        <v>0</v>
      </c>
    </row>
    <row r="155" spans="2:16" ht="12.5">
      <c r="C155" s="374" t="s">
        <v>78</v>
      </c>
      <c r="D155" s="375"/>
      <c r="E155" s="375">
        <f>SUM(E99:E154)</f>
        <v>2385216</v>
      </c>
      <c r="F155" s="375"/>
      <c r="G155" s="375"/>
      <c r="H155" s="375">
        <f>SUM(H99:H154)</f>
        <v>7895975.133726907</v>
      </c>
      <c r="I155" s="375">
        <f>SUM(I99:I154)</f>
        <v>7895975.133726907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4" priority="2" stopIfTrue="1" operator="equal">
      <formula>$I$10</formula>
    </cfRule>
  </conditionalFormatting>
  <conditionalFormatting sqref="C99:C154">
    <cfRule type="cellIs" dxfId="23" priority="3" stopIfTrue="1" operator="equal">
      <formula>$J$92</formula>
    </cfRule>
  </conditionalFormatting>
  <conditionalFormatting sqref="C17">
    <cfRule type="cellIs" dxfId="22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P162"/>
  <sheetViews>
    <sheetView view="pageBreakPreview" zoomScale="80" zoomScaleNormal="100" zoomScaleSheetLayoutView="80" workbookViewId="0">
      <selection activeCell="D13" sqref="D13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66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784272.60448257579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784272.60448257579</v>
      </c>
      <c r="O6" s="269"/>
      <c r="P6" s="269"/>
    </row>
    <row r="7" spans="1:16" ht="13.5" thickBot="1">
      <c r="C7" s="467" t="s">
        <v>48</v>
      </c>
      <c r="D7" s="624" t="s">
        <v>390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419</v>
      </c>
      <c r="E9" s="637" t="s">
        <v>420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6516184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155147.23809523811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 t="s">
        <v>442</v>
      </c>
      <c r="E17" s="658" t="s">
        <v>442</v>
      </c>
      <c r="F17" s="651">
        <v>6425000</v>
      </c>
      <c r="G17" s="659">
        <v>398005</v>
      </c>
      <c r="H17" s="657">
        <v>398005</v>
      </c>
      <c r="I17" s="511">
        <f t="shared" ref="I17:I72" si="0">H17-G17</f>
        <v>0</v>
      </c>
      <c r="J17" s="511"/>
      <c r="K17" s="512">
        <f>+G17</f>
        <v>398005</v>
      </c>
      <c r="L17" s="513">
        <f t="shared" ref="L17:L72" si="1">IF(K17&lt;&gt;0,+G17-K17,0)</f>
        <v>0</v>
      </c>
      <c r="M17" s="512">
        <f>+H17</f>
        <v>398005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6425000</v>
      </c>
      <c r="E18" s="630">
        <v>156707.31707317074</v>
      </c>
      <c r="F18" s="631">
        <v>6268292.682926829</v>
      </c>
      <c r="G18" s="630">
        <v>963328.6150577974</v>
      </c>
      <c r="H18" s="639">
        <v>963328.6150577974</v>
      </c>
      <c r="I18" s="511">
        <f t="shared" si="0"/>
        <v>0</v>
      </c>
      <c r="J18" s="511"/>
      <c r="K18" s="518">
        <f>+G18</f>
        <v>963328.6150577974</v>
      </c>
      <c r="L18" s="519">
        <f t="shared" si="1"/>
        <v>0</v>
      </c>
      <c r="M18" s="518">
        <f>+H18</f>
        <v>963328.6150577974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6268292.682926829</v>
      </c>
      <c r="E19" s="630">
        <v>156707.31707317074</v>
      </c>
      <c r="F19" s="631">
        <v>6111585.3658536579</v>
      </c>
      <c r="G19" s="630">
        <v>943412.03979891748</v>
      </c>
      <c r="H19" s="639">
        <v>943412.03979891748</v>
      </c>
      <c r="I19" s="511">
        <f t="shared" si="0"/>
        <v>0</v>
      </c>
      <c r="J19" s="511"/>
      <c r="K19" s="518">
        <f>+G19</f>
        <v>943412.03979891748</v>
      </c>
      <c r="L19" s="519">
        <f t="shared" ref="L19" si="4">IF(K19&lt;&gt;0,+G19-K19,0)</f>
        <v>0</v>
      </c>
      <c r="M19" s="518">
        <f>+H19</f>
        <v>943412.03979891748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2020</v>
      </c>
      <c r="D20" s="631">
        <v>6192490.3658536589</v>
      </c>
      <c r="E20" s="630">
        <v>158680.60975609755</v>
      </c>
      <c r="F20" s="631">
        <v>6033809.7560975617</v>
      </c>
      <c r="G20" s="630">
        <v>784272.60448257579</v>
      </c>
      <c r="H20" s="639">
        <v>784272.60448257579</v>
      </c>
      <c r="I20" s="511">
        <f t="shared" si="0"/>
        <v>0</v>
      </c>
      <c r="J20" s="511"/>
      <c r="K20" s="518">
        <f>+G20</f>
        <v>784272.60448257579</v>
      </c>
      <c r="L20" s="519">
        <f t="shared" ref="L20" si="6">IF(K20&lt;&gt;0,+G20-K20,0)</f>
        <v>0</v>
      </c>
      <c r="M20" s="518">
        <f>+H20</f>
        <v>784272.60448257579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>IU</v>
      </c>
      <c r="C21" s="507">
        <f>IF(D11="","-",+C20+1)</f>
        <v>2021</v>
      </c>
      <c r="D21" s="523">
        <f>IF(F20+SUM(E$17:E20)=D$10,F20,D$10-SUM(E$17:E20))</f>
        <v>6044088.7560975607</v>
      </c>
      <c r="E21" s="522">
        <f>IF(+I14&lt;F20,I14,D21)</f>
        <v>155147.23809523811</v>
      </c>
      <c r="F21" s="523">
        <f t="shared" ref="F21:F72" si="7">+D21-E21</f>
        <v>5888941.5180023229</v>
      </c>
      <c r="G21" s="524">
        <f t="shared" ref="G21:G48" si="8">+I$12*((D21+F21)/2)+E21</f>
        <v>792478.29544627352</v>
      </c>
      <c r="H21" s="491">
        <f t="shared" ref="H21:H48" si="9">+I$13*((D21+F21)/2)+E21</f>
        <v>792478.29544627352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2022</v>
      </c>
      <c r="D22" s="523">
        <f>IF(F21+SUM(E$17:E21)=D$10,F21,D$10-SUM(E$17:E21))</f>
        <v>5888941.5180023229</v>
      </c>
      <c r="E22" s="522">
        <f>IF(+I14&lt;F21,I14,D22)</f>
        <v>155147.23809523811</v>
      </c>
      <c r="F22" s="523">
        <f t="shared" si="7"/>
        <v>5733794.279907085</v>
      </c>
      <c r="G22" s="524">
        <f t="shared" si="8"/>
        <v>775905.78183840227</v>
      </c>
      <c r="H22" s="491">
        <f t="shared" si="9"/>
        <v>775905.78183840227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5733794.279907085</v>
      </c>
      <c r="E23" s="522">
        <f>IF(+I14&lt;F22,I14,D23)</f>
        <v>155147.23809523811</v>
      </c>
      <c r="F23" s="523">
        <f t="shared" si="7"/>
        <v>5578647.0418118471</v>
      </c>
      <c r="G23" s="524">
        <f t="shared" si="8"/>
        <v>759333.26823053078</v>
      </c>
      <c r="H23" s="491">
        <f t="shared" si="9"/>
        <v>759333.26823053078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5578647.0418118471</v>
      </c>
      <c r="E24" s="522">
        <f>IF(+I14&lt;F23,I14,D24)</f>
        <v>155147.23809523811</v>
      </c>
      <c r="F24" s="523">
        <f t="shared" si="7"/>
        <v>5423499.8037166093</v>
      </c>
      <c r="G24" s="524">
        <f t="shared" si="8"/>
        <v>742760.75462265941</v>
      </c>
      <c r="H24" s="491">
        <f t="shared" si="9"/>
        <v>742760.75462265941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5423499.8037166093</v>
      </c>
      <c r="E25" s="522">
        <f>IF(+I14&lt;F24,I14,D25)</f>
        <v>155147.23809523811</v>
      </c>
      <c r="F25" s="523">
        <f t="shared" si="7"/>
        <v>5268352.5656213714</v>
      </c>
      <c r="G25" s="524">
        <f t="shared" si="8"/>
        <v>726188.24101478793</v>
      </c>
      <c r="H25" s="491">
        <f t="shared" si="9"/>
        <v>726188.24101478793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5268352.5656213714</v>
      </c>
      <c r="E26" s="522">
        <f>IF(+I14&lt;F25,I14,D26)</f>
        <v>155147.23809523811</v>
      </c>
      <c r="F26" s="523">
        <f t="shared" si="7"/>
        <v>5113205.3275261335</v>
      </c>
      <c r="G26" s="524">
        <f t="shared" si="8"/>
        <v>709615.72740691667</v>
      </c>
      <c r="H26" s="491">
        <f t="shared" si="9"/>
        <v>709615.72740691667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5113205.3275261335</v>
      </c>
      <c r="E27" s="522">
        <f>IF(+I14&lt;F26,I14,D27)</f>
        <v>155147.23809523811</v>
      </c>
      <c r="F27" s="523">
        <f t="shared" si="7"/>
        <v>4958058.0894308956</v>
      </c>
      <c r="G27" s="524">
        <f t="shared" si="8"/>
        <v>693043.21379904519</v>
      </c>
      <c r="H27" s="491">
        <f t="shared" si="9"/>
        <v>693043.21379904519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4958058.0894308956</v>
      </c>
      <c r="E28" s="522">
        <f>IF(+I14&lt;F27,I14,D28)</f>
        <v>155147.23809523811</v>
      </c>
      <c r="F28" s="523">
        <f t="shared" si="7"/>
        <v>4802910.8513356578</v>
      </c>
      <c r="G28" s="524">
        <f t="shared" si="8"/>
        <v>676470.70019117394</v>
      </c>
      <c r="H28" s="491">
        <f t="shared" si="9"/>
        <v>676470.70019117394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4802910.8513356578</v>
      </c>
      <c r="E29" s="522">
        <f>IF(+I14&lt;F28,I14,D29)</f>
        <v>155147.23809523811</v>
      </c>
      <c r="F29" s="523">
        <f t="shared" si="7"/>
        <v>4647763.6132404199</v>
      </c>
      <c r="G29" s="524">
        <f t="shared" si="8"/>
        <v>659898.18658330245</v>
      </c>
      <c r="H29" s="491">
        <f t="shared" si="9"/>
        <v>659898.18658330245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4647763.6132404199</v>
      </c>
      <c r="E30" s="522">
        <f>IF(+I14&lt;F29,I14,D30)</f>
        <v>155147.23809523811</v>
      </c>
      <c r="F30" s="523">
        <f t="shared" si="7"/>
        <v>4492616.375145182</v>
      </c>
      <c r="G30" s="524">
        <f t="shared" si="8"/>
        <v>643325.67297543108</v>
      </c>
      <c r="H30" s="491">
        <f t="shared" si="9"/>
        <v>643325.67297543108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4492616.375145182</v>
      </c>
      <c r="E31" s="522">
        <f>IF(+I14&lt;F30,I14,D31)</f>
        <v>155147.23809523811</v>
      </c>
      <c r="F31" s="523">
        <f t="shared" si="7"/>
        <v>4337469.1370499441</v>
      </c>
      <c r="G31" s="524">
        <f t="shared" si="8"/>
        <v>626753.15936755959</v>
      </c>
      <c r="H31" s="491">
        <f t="shared" si="9"/>
        <v>626753.15936755959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4337469.1370499441</v>
      </c>
      <c r="E32" s="522">
        <f>IF(+I14&lt;F31,I14,D32)</f>
        <v>155147.23809523811</v>
      </c>
      <c r="F32" s="523">
        <f t="shared" si="7"/>
        <v>4182321.8989547063</v>
      </c>
      <c r="G32" s="524">
        <f t="shared" si="8"/>
        <v>610180.64575968834</v>
      </c>
      <c r="H32" s="491">
        <f t="shared" si="9"/>
        <v>610180.64575968834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4182321.8989547063</v>
      </c>
      <c r="E33" s="522">
        <f>IF(+I14&lt;F32,I14,D33)</f>
        <v>155147.23809523811</v>
      </c>
      <c r="F33" s="523">
        <f t="shared" si="7"/>
        <v>4027174.6608594684</v>
      </c>
      <c r="G33" s="524">
        <f t="shared" si="8"/>
        <v>593608.13215181686</v>
      </c>
      <c r="H33" s="491">
        <f t="shared" si="9"/>
        <v>593608.13215181686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4027174.6608594684</v>
      </c>
      <c r="E34" s="522">
        <f>IF(+I14&lt;F33,I14,D34)</f>
        <v>155147.23809523811</v>
      </c>
      <c r="F34" s="523">
        <f t="shared" si="7"/>
        <v>3872027.4227642305</v>
      </c>
      <c r="G34" s="524">
        <f t="shared" si="8"/>
        <v>577035.61854394549</v>
      </c>
      <c r="H34" s="491">
        <f t="shared" si="9"/>
        <v>577035.61854394549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3872027.4227642305</v>
      </c>
      <c r="E35" s="522">
        <f>IF(+I14&lt;F34,I14,D35)</f>
        <v>155147.23809523811</v>
      </c>
      <c r="F35" s="523">
        <f t="shared" si="7"/>
        <v>3716880.1846689926</v>
      </c>
      <c r="G35" s="524">
        <f t="shared" si="8"/>
        <v>560463.10493607412</v>
      </c>
      <c r="H35" s="491">
        <f t="shared" si="9"/>
        <v>560463.10493607412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3716880.1846689926</v>
      </c>
      <c r="E36" s="522">
        <f>IF(+I14&lt;F35,I14,D36)</f>
        <v>155147.23809523811</v>
      </c>
      <c r="F36" s="523">
        <f t="shared" si="7"/>
        <v>3561732.9465737548</v>
      </c>
      <c r="G36" s="524">
        <f t="shared" si="8"/>
        <v>543890.59132820275</v>
      </c>
      <c r="H36" s="491">
        <f t="shared" si="9"/>
        <v>543890.59132820275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3561732.9465737548</v>
      </c>
      <c r="E37" s="522">
        <f>IF(+I14&lt;F36,I14,D37)</f>
        <v>155147.23809523811</v>
      </c>
      <c r="F37" s="523">
        <f t="shared" si="7"/>
        <v>3406585.7084785169</v>
      </c>
      <c r="G37" s="524">
        <f t="shared" si="8"/>
        <v>527318.07772033126</v>
      </c>
      <c r="H37" s="491">
        <f t="shared" si="9"/>
        <v>527318.07772033126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3406585.7084785169</v>
      </c>
      <c r="E38" s="522">
        <f>IF(+I14&lt;F37,I14,D38)</f>
        <v>155147.23809523811</v>
      </c>
      <c r="F38" s="523">
        <f t="shared" si="7"/>
        <v>3251438.470383279</v>
      </c>
      <c r="G38" s="524">
        <f t="shared" si="8"/>
        <v>510745.56411245989</v>
      </c>
      <c r="H38" s="491">
        <f t="shared" si="9"/>
        <v>510745.56411245989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3251438.470383279</v>
      </c>
      <c r="E39" s="522">
        <f>IF(+I14&lt;F38,I14,D39)</f>
        <v>155147.23809523811</v>
      </c>
      <c r="F39" s="523">
        <f t="shared" si="7"/>
        <v>3096291.2322880412</v>
      </c>
      <c r="G39" s="524">
        <f t="shared" si="8"/>
        <v>494173.05050458852</v>
      </c>
      <c r="H39" s="491">
        <f t="shared" si="9"/>
        <v>494173.05050458852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3096291.2322880412</v>
      </c>
      <c r="E40" s="522">
        <f>IF(+I14&lt;F39,I14,D40)</f>
        <v>155147.23809523811</v>
      </c>
      <c r="F40" s="523">
        <f t="shared" si="7"/>
        <v>2941143.9941928033</v>
      </c>
      <c r="G40" s="524">
        <f t="shared" si="8"/>
        <v>477600.53689671715</v>
      </c>
      <c r="H40" s="491">
        <f t="shared" si="9"/>
        <v>477600.53689671715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2941143.9941928033</v>
      </c>
      <c r="E41" s="522">
        <f>IF(+I14&lt;F40,I14,D41)</f>
        <v>155147.23809523811</v>
      </c>
      <c r="F41" s="523">
        <f t="shared" si="7"/>
        <v>2785996.7560975654</v>
      </c>
      <c r="G41" s="524">
        <f t="shared" si="8"/>
        <v>461028.02328884572</v>
      </c>
      <c r="H41" s="491">
        <f t="shared" si="9"/>
        <v>461028.02328884572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2785996.7560975654</v>
      </c>
      <c r="E42" s="522">
        <f>IF(+I14&lt;F41,I14,D42)</f>
        <v>155147.23809523811</v>
      </c>
      <c r="F42" s="523">
        <f t="shared" si="7"/>
        <v>2630849.5180023275</v>
      </c>
      <c r="G42" s="524">
        <f t="shared" si="8"/>
        <v>444455.50968097436</v>
      </c>
      <c r="H42" s="491">
        <f t="shared" si="9"/>
        <v>444455.50968097436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2630849.5180023275</v>
      </c>
      <c r="E43" s="522">
        <f>IF(+I14&lt;F42,I14,D43)</f>
        <v>155147.23809523811</v>
      </c>
      <c r="F43" s="523">
        <f t="shared" si="7"/>
        <v>2475702.2799070897</v>
      </c>
      <c r="G43" s="524">
        <f t="shared" si="8"/>
        <v>427882.99607310293</v>
      </c>
      <c r="H43" s="491">
        <f t="shared" si="9"/>
        <v>427882.99607310293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2475702.2799070897</v>
      </c>
      <c r="E44" s="522">
        <f>IF(+I14&lt;F43,I14,D44)</f>
        <v>155147.23809523811</v>
      </c>
      <c r="F44" s="523">
        <f t="shared" si="7"/>
        <v>2320555.0418118518</v>
      </c>
      <c r="G44" s="524">
        <f t="shared" si="8"/>
        <v>411310.48246523156</v>
      </c>
      <c r="H44" s="491">
        <f t="shared" si="9"/>
        <v>411310.48246523156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2320555.0418118518</v>
      </c>
      <c r="E45" s="522">
        <f>IF(+I14&lt;F44,I14,D45)</f>
        <v>155147.23809523811</v>
      </c>
      <c r="F45" s="523">
        <f t="shared" si="7"/>
        <v>2165407.8037166139</v>
      </c>
      <c r="G45" s="524">
        <f t="shared" si="8"/>
        <v>394737.96885736019</v>
      </c>
      <c r="H45" s="491">
        <f t="shared" si="9"/>
        <v>394737.96885736019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2165407.8037166139</v>
      </c>
      <c r="E46" s="522">
        <f>IF(+I14&lt;F45,I14,D46)</f>
        <v>155147.23809523811</v>
      </c>
      <c r="F46" s="523">
        <f t="shared" si="7"/>
        <v>2010260.5656213758</v>
      </c>
      <c r="G46" s="524">
        <f t="shared" si="8"/>
        <v>378165.45524948882</v>
      </c>
      <c r="H46" s="491">
        <f t="shared" si="9"/>
        <v>378165.45524948882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2010260.5656213758</v>
      </c>
      <c r="E47" s="522">
        <f>IF(+I14&lt;F46,I14,D47)</f>
        <v>155147.23809523811</v>
      </c>
      <c r="F47" s="523">
        <f t="shared" si="7"/>
        <v>1855113.3275261377</v>
      </c>
      <c r="G47" s="524">
        <f t="shared" si="8"/>
        <v>361592.94164161733</v>
      </c>
      <c r="H47" s="491">
        <f t="shared" si="9"/>
        <v>361592.94164161733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1855113.3275261377</v>
      </c>
      <c r="E48" s="522">
        <f>IF(+I14&lt;F47,I14,D48)</f>
        <v>155147.23809523811</v>
      </c>
      <c r="F48" s="523">
        <f t="shared" si="7"/>
        <v>1699966.0894308996</v>
      </c>
      <c r="G48" s="524">
        <f t="shared" si="8"/>
        <v>345020.42803374596</v>
      </c>
      <c r="H48" s="491">
        <f t="shared" si="9"/>
        <v>345020.42803374596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1699966.0894308996</v>
      </c>
      <c r="E49" s="522">
        <f>IF(+I14&lt;F48,I14,D49)</f>
        <v>155147.23809523811</v>
      </c>
      <c r="F49" s="523">
        <f t="shared" si="7"/>
        <v>1544818.8513356615</v>
      </c>
      <c r="G49" s="524">
        <f t="shared" ref="G49:G72" si="10">+I$12*((D49+F49)/2)+E49</f>
        <v>328447.91442587448</v>
      </c>
      <c r="H49" s="491">
        <f t="shared" ref="H49:H72" si="11">+I$13*((D49+F49)/2)+E49</f>
        <v>328447.91442587448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1544818.8513356615</v>
      </c>
      <c r="E50" s="522">
        <f>IF(+I14&lt;F49,I14,D50)</f>
        <v>155147.23809523811</v>
      </c>
      <c r="F50" s="523">
        <f t="shared" si="7"/>
        <v>1389671.6132404234</v>
      </c>
      <c r="G50" s="524">
        <f t="shared" si="10"/>
        <v>311875.40081800311</v>
      </c>
      <c r="H50" s="491">
        <f t="shared" si="11"/>
        <v>311875.40081800311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1389671.6132404234</v>
      </c>
      <c r="E51" s="522">
        <f>IF(+I14&lt;F50,I14,D51)</f>
        <v>155147.23809523811</v>
      </c>
      <c r="F51" s="523">
        <f t="shared" si="7"/>
        <v>1234524.3751451853</v>
      </c>
      <c r="G51" s="524">
        <f t="shared" si="10"/>
        <v>295302.88721013168</v>
      </c>
      <c r="H51" s="491">
        <f t="shared" si="11"/>
        <v>295302.88721013168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1234524.3751451853</v>
      </c>
      <c r="E52" s="522">
        <f>IF(+I14&lt;F51,I14,D52)</f>
        <v>155147.23809523811</v>
      </c>
      <c r="F52" s="523">
        <f t="shared" si="7"/>
        <v>1079377.1370499472</v>
      </c>
      <c r="G52" s="524">
        <f t="shared" si="10"/>
        <v>278730.37360226025</v>
      </c>
      <c r="H52" s="491">
        <f t="shared" si="11"/>
        <v>278730.37360226025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1079377.1370499472</v>
      </c>
      <c r="E53" s="522">
        <f>IF(+I14&lt;F52,I14,D53)</f>
        <v>155147.23809523811</v>
      </c>
      <c r="F53" s="523">
        <f t="shared" si="7"/>
        <v>924229.89895470906</v>
      </c>
      <c r="G53" s="524">
        <f t="shared" si="10"/>
        <v>262157.85999438883</v>
      </c>
      <c r="H53" s="491">
        <f t="shared" si="11"/>
        <v>262157.85999438883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924229.89895470906</v>
      </c>
      <c r="E54" s="522">
        <f>IF(+I14&lt;F53,I14,D54)</f>
        <v>155147.23809523811</v>
      </c>
      <c r="F54" s="523">
        <f t="shared" si="7"/>
        <v>769082.66085947095</v>
      </c>
      <c r="G54" s="524">
        <f t="shared" si="10"/>
        <v>245585.34638651743</v>
      </c>
      <c r="H54" s="491">
        <f t="shared" si="11"/>
        <v>245585.34638651743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769082.66085947095</v>
      </c>
      <c r="E55" s="522">
        <f>IF(+I14&lt;F54,I14,D55)</f>
        <v>155147.23809523811</v>
      </c>
      <c r="F55" s="523">
        <f t="shared" si="7"/>
        <v>613935.42276423285</v>
      </c>
      <c r="G55" s="524">
        <f t="shared" si="10"/>
        <v>229012.83277864603</v>
      </c>
      <c r="H55" s="491">
        <f t="shared" si="11"/>
        <v>229012.83277864603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613935.42276423285</v>
      </c>
      <c r="E56" s="522">
        <f>IF(+I14&lt;F55,I14,D56)</f>
        <v>155147.23809523811</v>
      </c>
      <c r="F56" s="523">
        <f t="shared" si="7"/>
        <v>458788.18466899474</v>
      </c>
      <c r="G56" s="524">
        <f t="shared" si="10"/>
        <v>212440.3191707746</v>
      </c>
      <c r="H56" s="491">
        <f t="shared" si="11"/>
        <v>212440.3191707746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458788.18466899474</v>
      </c>
      <c r="E57" s="522">
        <f>IF(+I14&lt;F56,I14,D57)</f>
        <v>155147.23809523811</v>
      </c>
      <c r="F57" s="523">
        <f t="shared" si="7"/>
        <v>303640.94657375664</v>
      </c>
      <c r="G57" s="524">
        <f t="shared" si="10"/>
        <v>195867.80556290317</v>
      </c>
      <c r="H57" s="491">
        <f t="shared" si="11"/>
        <v>195867.80556290317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303640.94657375664</v>
      </c>
      <c r="E58" s="522">
        <f>IF(+I14&lt;F57,I14,D58)</f>
        <v>155147.23809523811</v>
      </c>
      <c r="F58" s="523">
        <f t="shared" si="7"/>
        <v>148493.70847851853</v>
      </c>
      <c r="G58" s="524">
        <f t="shared" si="10"/>
        <v>179295.29195503175</v>
      </c>
      <c r="H58" s="491">
        <f t="shared" si="11"/>
        <v>179295.29195503175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148493.70847851853</v>
      </c>
      <c r="E59" s="522">
        <f>IF(+I14&lt;F58,I14,D59)</f>
        <v>148493.70847851853</v>
      </c>
      <c r="F59" s="523">
        <f t="shared" si="7"/>
        <v>0</v>
      </c>
      <c r="G59" s="524">
        <f t="shared" si="10"/>
        <v>156424.60700644751</v>
      </c>
      <c r="H59" s="491">
        <f t="shared" si="11"/>
        <v>156424.60700644751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10"/>
        <v>0</v>
      </c>
      <c r="H60" s="491">
        <f t="shared" si="11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6516184</v>
      </c>
      <c r="F73" s="375"/>
      <c r="G73" s="375">
        <f>SUM(G17:G72)</f>
        <v>21709141.026970543</v>
      </c>
      <c r="H73" s="375">
        <f>SUM(H17:H72)</f>
        <v>21709141.026970543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66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784272.60448257579</v>
      </c>
      <c r="N87" s="546">
        <f>IF(J92&lt;D11,0,VLOOKUP(J92,C17:O72,11))</f>
        <v>784272.60448257579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806509.06488040695</v>
      </c>
      <c r="N88" s="550">
        <f>IF(J92&lt;D11,0,VLOOKUP(J92,C99:P154,7))</f>
        <v>806509.06488040695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Broadmoor - Fort Humbug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22236.460397831164</v>
      </c>
      <c r="N89" s="555">
        <f>+N88-N87</f>
        <v>22236.460397831164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TP2013165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6516184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155147.23809523811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77147.607142857145</v>
      </c>
      <c r="F99" s="651">
        <v>6403251.3928571427</v>
      </c>
      <c r="G99" s="652">
        <v>3201625.6964285714</v>
      </c>
      <c r="H99" s="653">
        <v>466053.74744652997</v>
      </c>
      <c r="I99" s="654">
        <v>466053.74744652997</v>
      </c>
      <c r="J99" s="514">
        <f t="shared" ref="J99:J130" si="12">+I99-H99</f>
        <v>0</v>
      </c>
      <c r="K99" s="514"/>
      <c r="L99" s="512">
        <f>+H99</f>
        <v>466053.74744652997</v>
      </c>
      <c r="M99" s="513">
        <f t="shared" ref="M99:M130" si="13">IF(L99&lt;&gt;0,+H99-L99,0)</f>
        <v>0</v>
      </c>
      <c r="N99" s="512">
        <f>+I99</f>
        <v>466053.74744652997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6428757.3928571427</v>
      </c>
      <c r="E100" s="630">
        <v>154902.5</v>
      </c>
      <c r="F100" s="631">
        <v>6273854.8928571427</v>
      </c>
      <c r="G100" s="631">
        <v>6351306.1428571427</v>
      </c>
      <c r="H100" s="633">
        <v>825629.55463111226</v>
      </c>
      <c r="I100" s="634">
        <v>825629.55463111226</v>
      </c>
      <c r="J100" s="514">
        <f t="shared" si="12"/>
        <v>0</v>
      </c>
      <c r="K100" s="514"/>
      <c r="L100" s="655">
        <f>+H100</f>
        <v>825629.55463111226</v>
      </c>
      <c r="M100" s="514">
        <f t="shared" si="13"/>
        <v>0</v>
      </c>
      <c r="N100" s="655">
        <f>+I100</f>
        <v>825629.55463111226</v>
      </c>
      <c r="O100" s="514">
        <f t="shared" si="14"/>
        <v>0</v>
      </c>
      <c r="P100" s="514">
        <f t="shared" si="15"/>
        <v>0</v>
      </c>
    </row>
    <row r="101" spans="1:16" ht="12.5">
      <c r="B101" s="195" t="str">
        <f t="shared" ref="B101:B154" si="16">IF(D101=F100,"","IU")</f>
        <v>IU</v>
      </c>
      <c r="C101" s="507">
        <f>IF(D93="","-",+C100+1)</f>
        <v>2019</v>
      </c>
      <c r="D101" s="629">
        <v>6284133.8928571427</v>
      </c>
      <c r="E101" s="630">
        <v>151539.16279069768</v>
      </c>
      <c r="F101" s="631">
        <v>6132594.7300664447</v>
      </c>
      <c r="G101" s="631">
        <v>6208364.3114617933</v>
      </c>
      <c r="H101" s="633">
        <v>816085.87182179838</v>
      </c>
      <c r="I101" s="634">
        <v>816085.87182179838</v>
      </c>
      <c r="J101" s="514">
        <f t="shared" si="12"/>
        <v>0</v>
      </c>
      <c r="K101" s="514"/>
      <c r="L101" s="655">
        <f>+H101</f>
        <v>816085.87182179838</v>
      </c>
      <c r="M101" s="514">
        <f t="shared" ref="M101" si="17">IF(L101&lt;&gt;0,+H101-L101,0)</f>
        <v>0</v>
      </c>
      <c r="N101" s="655">
        <f>+I101</f>
        <v>816085.87182179838</v>
      </c>
      <c r="O101" s="514">
        <f t="shared" si="14"/>
        <v>0</v>
      </c>
      <c r="P101" s="514">
        <f t="shared" si="15"/>
        <v>0</v>
      </c>
    </row>
    <row r="102" spans="1:16" ht="12.5">
      <c r="B102" s="195" t="str">
        <f t="shared" si="16"/>
        <v/>
      </c>
      <c r="C102" s="507">
        <f>IF(D93="","-",+C101+1)</f>
        <v>2020</v>
      </c>
      <c r="D102" s="374">
        <f>IF(F101+SUM(E$99:E101)=D$92,F101,D$92-SUM(E$99:E101))</f>
        <v>6132594.7300664447</v>
      </c>
      <c r="E102" s="522">
        <f>IF(+J96&lt;F101,J96,D102)</f>
        <v>155147.23809523811</v>
      </c>
      <c r="F102" s="523">
        <f t="shared" ref="F102:F130" si="18">+D102-E102</f>
        <v>5977447.4919712069</v>
      </c>
      <c r="G102" s="523">
        <f t="shared" ref="G102:G130" si="19">+(F102+D102)/2</f>
        <v>6055021.1110188253</v>
      </c>
      <c r="H102" s="526">
        <f t="shared" ref="H102:H154" si="20">+J$94*G102+E102</f>
        <v>806509.06488040695</v>
      </c>
      <c r="I102" s="577">
        <f t="shared" ref="I102:I154" si="21">+J$95*G102+E102</f>
        <v>806509.06488040695</v>
      </c>
      <c r="J102" s="514">
        <f t="shared" si="12"/>
        <v>0</v>
      </c>
      <c r="K102" s="514"/>
      <c r="L102" s="525"/>
      <c r="M102" s="514">
        <f t="shared" si="13"/>
        <v>0</v>
      </c>
      <c r="N102" s="525"/>
      <c r="O102" s="514">
        <f t="shared" si="14"/>
        <v>0</v>
      </c>
      <c r="P102" s="514">
        <f t="shared" si="15"/>
        <v>0</v>
      </c>
    </row>
    <row r="103" spans="1:16" ht="12.5">
      <c r="B103" s="195" t="str">
        <f t="shared" si="16"/>
        <v/>
      </c>
      <c r="C103" s="507">
        <f>IF(D93="","-",+C102+1)</f>
        <v>2021</v>
      </c>
      <c r="D103" s="374">
        <f>IF(F102+SUM(E$99:E102)=D$92,F102,D$92-SUM(E$99:E102))</f>
        <v>5977447.4919712069</v>
      </c>
      <c r="E103" s="522">
        <f>IF(+J96&lt;F102,J96,D103)</f>
        <v>155147.23809523811</v>
      </c>
      <c r="F103" s="523">
        <f t="shared" si="18"/>
        <v>5822300.253875969</v>
      </c>
      <c r="G103" s="523">
        <f t="shared" si="19"/>
        <v>5899873.8729235884</v>
      </c>
      <c r="H103" s="526">
        <f t="shared" si="20"/>
        <v>789819.2818765979</v>
      </c>
      <c r="I103" s="577">
        <f t="shared" si="21"/>
        <v>789819.2818765979</v>
      </c>
      <c r="J103" s="514">
        <f t="shared" si="12"/>
        <v>0</v>
      </c>
      <c r="K103" s="514"/>
      <c r="L103" s="525"/>
      <c r="M103" s="514">
        <f t="shared" si="13"/>
        <v>0</v>
      </c>
      <c r="N103" s="525"/>
      <c r="O103" s="514">
        <f t="shared" si="14"/>
        <v>0</v>
      </c>
      <c r="P103" s="514">
        <f t="shared" si="15"/>
        <v>0</v>
      </c>
    </row>
    <row r="104" spans="1:16" ht="12.5">
      <c r="B104" s="195" t="str">
        <f t="shared" si="16"/>
        <v/>
      </c>
      <c r="C104" s="507">
        <f>IF(D93="","-",+C103+1)</f>
        <v>2022</v>
      </c>
      <c r="D104" s="374">
        <f>IF(F103+SUM(E$99:E103)=D$92,F103,D$92-SUM(E$99:E103))</f>
        <v>5822300.253875969</v>
      </c>
      <c r="E104" s="522">
        <f>IF(+J96&lt;F103,J96,D104)</f>
        <v>155147.23809523811</v>
      </c>
      <c r="F104" s="523">
        <f t="shared" si="18"/>
        <v>5667153.0157807311</v>
      </c>
      <c r="G104" s="523">
        <f t="shared" si="19"/>
        <v>5744726.6348283496</v>
      </c>
      <c r="H104" s="526">
        <f t="shared" si="20"/>
        <v>773129.49887278862</v>
      </c>
      <c r="I104" s="577">
        <f t="shared" si="21"/>
        <v>773129.49887278862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 ht="12.5">
      <c r="B105" s="195" t="str">
        <f t="shared" si="16"/>
        <v/>
      </c>
      <c r="C105" s="507">
        <f>IF(D93="","-",+C104+1)</f>
        <v>2023</v>
      </c>
      <c r="D105" s="374">
        <f>IF(F104+SUM(E$99:E104)=D$92,F104,D$92-SUM(E$99:E104))</f>
        <v>5667153.0157807311</v>
      </c>
      <c r="E105" s="522">
        <f>IF(+J96&lt;F104,J96,D105)</f>
        <v>155147.23809523811</v>
      </c>
      <c r="F105" s="523">
        <f t="shared" si="18"/>
        <v>5512005.7776854932</v>
      </c>
      <c r="G105" s="523">
        <f t="shared" si="19"/>
        <v>5589579.3967331126</v>
      </c>
      <c r="H105" s="526">
        <f t="shared" si="20"/>
        <v>756439.71586897958</v>
      </c>
      <c r="I105" s="577">
        <f t="shared" si="21"/>
        <v>756439.71586897958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 ht="12.5">
      <c r="B106" s="195" t="str">
        <f t="shared" si="16"/>
        <v/>
      </c>
      <c r="C106" s="507">
        <f>IF(D93="","-",+C105+1)</f>
        <v>2024</v>
      </c>
      <c r="D106" s="374">
        <f>IF(F105+SUM(E$99:E105)=D$92,F105,D$92-SUM(E$99:E105))</f>
        <v>5512005.7776854932</v>
      </c>
      <c r="E106" s="522">
        <f>IF(+J96&lt;F105,J96,D106)</f>
        <v>155147.23809523811</v>
      </c>
      <c r="F106" s="523">
        <f t="shared" si="18"/>
        <v>5356858.5395902554</v>
      </c>
      <c r="G106" s="523">
        <f t="shared" si="19"/>
        <v>5434432.1586378738</v>
      </c>
      <c r="H106" s="526">
        <f t="shared" si="20"/>
        <v>739749.9328651703</v>
      </c>
      <c r="I106" s="577">
        <f t="shared" si="21"/>
        <v>739749.9328651703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 ht="12.5">
      <c r="B107" s="195" t="str">
        <f t="shared" si="16"/>
        <v/>
      </c>
      <c r="C107" s="507">
        <f>IF(D93="","-",+C106+1)</f>
        <v>2025</v>
      </c>
      <c r="D107" s="374">
        <f>IF(F106+SUM(E$99:E106)=D$92,F106,D$92-SUM(E$99:E106))</f>
        <v>5356858.5395902554</v>
      </c>
      <c r="E107" s="522">
        <f>IF(+J96&lt;F106,J96,D107)</f>
        <v>155147.23809523811</v>
      </c>
      <c r="F107" s="523">
        <f t="shared" si="18"/>
        <v>5201711.3014950175</v>
      </c>
      <c r="G107" s="523">
        <f t="shared" si="19"/>
        <v>5279284.9205426369</v>
      </c>
      <c r="H107" s="526">
        <f t="shared" si="20"/>
        <v>723060.14986136125</v>
      </c>
      <c r="I107" s="577">
        <f t="shared" si="21"/>
        <v>723060.14986136125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 ht="12.5">
      <c r="B108" s="195" t="str">
        <f t="shared" si="16"/>
        <v/>
      </c>
      <c r="C108" s="507">
        <f>IF(D93="","-",+C107+1)</f>
        <v>2026</v>
      </c>
      <c r="D108" s="374">
        <f>IF(F107+SUM(E$99:E107)=D$92,F107,D$92-SUM(E$99:E107))</f>
        <v>5201711.3014950175</v>
      </c>
      <c r="E108" s="522">
        <f>IF(+J96&lt;F107,J96,D108)</f>
        <v>155147.23809523811</v>
      </c>
      <c r="F108" s="523">
        <f t="shared" si="18"/>
        <v>5046564.0633997796</v>
      </c>
      <c r="G108" s="523">
        <f t="shared" si="19"/>
        <v>5124137.6824473981</v>
      </c>
      <c r="H108" s="526">
        <f t="shared" si="20"/>
        <v>706370.36685755197</v>
      </c>
      <c r="I108" s="577">
        <f t="shared" si="21"/>
        <v>706370.36685755197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 ht="12.5">
      <c r="B109" s="195" t="str">
        <f t="shared" si="16"/>
        <v/>
      </c>
      <c r="C109" s="507">
        <f>IF(D93="","-",+C108+1)</f>
        <v>2027</v>
      </c>
      <c r="D109" s="374">
        <f>IF(F108+SUM(E$99:E108)=D$92,F108,D$92-SUM(E$99:E108))</f>
        <v>5046564.0633997796</v>
      </c>
      <c r="E109" s="522">
        <f>IF(+J96&lt;F108,J96,D109)</f>
        <v>155147.23809523811</v>
      </c>
      <c r="F109" s="523">
        <f t="shared" si="18"/>
        <v>4891416.8253045417</v>
      </c>
      <c r="G109" s="523">
        <f t="shared" si="19"/>
        <v>4968990.4443521611</v>
      </c>
      <c r="H109" s="526">
        <f t="shared" si="20"/>
        <v>689680.58385374292</v>
      </c>
      <c r="I109" s="577">
        <f t="shared" si="21"/>
        <v>689680.58385374292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 ht="12.5">
      <c r="B110" s="195" t="str">
        <f t="shared" si="16"/>
        <v/>
      </c>
      <c r="C110" s="507">
        <f>IF(D93="","-",+C109+1)</f>
        <v>2028</v>
      </c>
      <c r="D110" s="374">
        <f>IF(F109+SUM(E$99:E109)=D$92,F109,D$92-SUM(E$99:E109))</f>
        <v>4891416.8253045417</v>
      </c>
      <c r="E110" s="522">
        <f>IF(+J96&lt;F109,J96,D110)</f>
        <v>155147.23809523811</v>
      </c>
      <c r="F110" s="523">
        <f t="shared" si="18"/>
        <v>4736269.5872093039</v>
      </c>
      <c r="G110" s="523">
        <f t="shared" si="19"/>
        <v>4813843.2062569223</v>
      </c>
      <c r="H110" s="526">
        <f t="shared" si="20"/>
        <v>672990.80084993364</v>
      </c>
      <c r="I110" s="577">
        <f t="shared" si="21"/>
        <v>672990.80084993364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 ht="12.5">
      <c r="B111" s="195" t="str">
        <f t="shared" si="16"/>
        <v/>
      </c>
      <c r="C111" s="507">
        <f>IF(D93="","-",+C110+1)</f>
        <v>2029</v>
      </c>
      <c r="D111" s="374">
        <f>IF(F110+SUM(E$99:E110)=D$92,F110,D$92-SUM(E$99:E110))</f>
        <v>4736269.5872093039</v>
      </c>
      <c r="E111" s="522">
        <f>IF(+J96&lt;F110,J96,D111)</f>
        <v>155147.23809523811</v>
      </c>
      <c r="F111" s="523">
        <f t="shared" si="18"/>
        <v>4581122.349114066</v>
      </c>
      <c r="G111" s="523">
        <f t="shared" si="19"/>
        <v>4658695.9681616854</v>
      </c>
      <c r="H111" s="526">
        <f t="shared" si="20"/>
        <v>656301.0178461246</v>
      </c>
      <c r="I111" s="577">
        <f t="shared" si="21"/>
        <v>656301.0178461246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 ht="12.5">
      <c r="B112" s="195" t="str">
        <f t="shared" si="16"/>
        <v/>
      </c>
      <c r="C112" s="507">
        <f>IF(D93="","-",+C111+1)</f>
        <v>2030</v>
      </c>
      <c r="D112" s="374">
        <f>IF(F111+SUM(E$99:E111)=D$92,F111,D$92-SUM(E$99:E111))</f>
        <v>4581122.349114066</v>
      </c>
      <c r="E112" s="522">
        <f>IF(+J96&lt;F111,J96,D112)</f>
        <v>155147.23809523811</v>
      </c>
      <c r="F112" s="523">
        <f t="shared" si="18"/>
        <v>4425975.1110188281</v>
      </c>
      <c r="G112" s="523">
        <f t="shared" si="19"/>
        <v>4503548.7300664466</v>
      </c>
      <c r="H112" s="526">
        <f t="shared" si="20"/>
        <v>639611.23484231532</v>
      </c>
      <c r="I112" s="577">
        <f t="shared" si="21"/>
        <v>639611.23484231532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 ht="12.5">
      <c r="B113" s="195" t="str">
        <f t="shared" si="16"/>
        <v/>
      </c>
      <c r="C113" s="507">
        <f>IF(D93="","-",+C112+1)</f>
        <v>2031</v>
      </c>
      <c r="D113" s="374">
        <f>IF(F112+SUM(E$99:E112)=D$92,F112,D$92-SUM(E$99:E112))</f>
        <v>4425975.1110188281</v>
      </c>
      <c r="E113" s="522">
        <f>IF(+J96&lt;F112,J96,D113)</f>
        <v>155147.23809523811</v>
      </c>
      <c r="F113" s="523">
        <f t="shared" si="18"/>
        <v>4270827.8729235902</v>
      </c>
      <c r="G113" s="523">
        <f t="shared" si="19"/>
        <v>4348401.4919712096</v>
      </c>
      <c r="H113" s="526">
        <f t="shared" si="20"/>
        <v>622921.45183850615</v>
      </c>
      <c r="I113" s="577">
        <f t="shared" si="21"/>
        <v>622921.45183850615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 ht="12.5">
      <c r="B114" s="195" t="str">
        <f t="shared" si="16"/>
        <v/>
      </c>
      <c r="C114" s="507">
        <f>IF(D93="","-",+C113+1)</f>
        <v>2032</v>
      </c>
      <c r="D114" s="374">
        <f>IF(F113+SUM(E$99:E113)=D$92,F113,D$92-SUM(E$99:E113))</f>
        <v>4270827.8729235902</v>
      </c>
      <c r="E114" s="522">
        <f>IF(+J96&lt;F113,J96,D114)</f>
        <v>155147.23809523811</v>
      </c>
      <c r="F114" s="523">
        <f t="shared" si="18"/>
        <v>4115680.6348283524</v>
      </c>
      <c r="G114" s="523">
        <f t="shared" si="19"/>
        <v>4193254.2538759713</v>
      </c>
      <c r="H114" s="526">
        <f t="shared" si="20"/>
        <v>606231.66883469699</v>
      </c>
      <c r="I114" s="577">
        <f t="shared" si="21"/>
        <v>606231.66883469699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 ht="12.5">
      <c r="B115" s="195" t="str">
        <f t="shared" si="16"/>
        <v/>
      </c>
      <c r="C115" s="507">
        <f>IF(D93="","-",+C114+1)</f>
        <v>2033</v>
      </c>
      <c r="D115" s="374">
        <f>IF(F114+SUM(E$99:E114)=D$92,F114,D$92-SUM(E$99:E114))</f>
        <v>4115680.6348283524</v>
      </c>
      <c r="E115" s="522">
        <f>IF(+J96&lt;F114,J96,D115)</f>
        <v>155147.23809523811</v>
      </c>
      <c r="F115" s="523">
        <f t="shared" si="18"/>
        <v>3960533.3967331145</v>
      </c>
      <c r="G115" s="523">
        <f t="shared" si="19"/>
        <v>4038107.0157807334</v>
      </c>
      <c r="H115" s="526">
        <f t="shared" si="20"/>
        <v>589541.88583088783</v>
      </c>
      <c r="I115" s="577">
        <f t="shared" si="21"/>
        <v>589541.88583088783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 ht="12.5">
      <c r="B116" s="195" t="str">
        <f t="shared" si="16"/>
        <v/>
      </c>
      <c r="C116" s="507">
        <f>IF(D93="","-",+C115+1)</f>
        <v>2034</v>
      </c>
      <c r="D116" s="374">
        <f>IF(F115+SUM(E$99:E115)=D$92,F115,D$92-SUM(E$99:E115))</f>
        <v>3960533.3967331145</v>
      </c>
      <c r="E116" s="522">
        <f>IF(+J96&lt;F115,J96,D116)</f>
        <v>155147.23809523811</v>
      </c>
      <c r="F116" s="523">
        <f t="shared" si="18"/>
        <v>3805386.1586378766</v>
      </c>
      <c r="G116" s="523">
        <f t="shared" si="19"/>
        <v>3882959.7776854956</v>
      </c>
      <c r="H116" s="526">
        <f t="shared" si="20"/>
        <v>572852.10282707866</v>
      </c>
      <c r="I116" s="577">
        <f t="shared" si="21"/>
        <v>572852.10282707866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 ht="12.5">
      <c r="B117" s="195" t="str">
        <f t="shared" si="16"/>
        <v/>
      </c>
      <c r="C117" s="507">
        <f>IF(D93="","-",+C116+1)</f>
        <v>2035</v>
      </c>
      <c r="D117" s="374">
        <f>IF(F116+SUM(E$99:E116)=D$92,F116,D$92-SUM(E$99:E116))</f>
        <v>3805386.1586378766</v>
      </c>
      <c r="E117" s="522">
        <f>IF(+J96&lt;F116,J96,D117)</f>
        <v>155147.23809523811</v>
      </c>
      <c r="F117" s="523">
        <f t="shared" si="18"/>
        <v>3650238.9205426387</v>
      </c>
      <c r="G117" s="523">
        <f t="shared" si="19"/>
        <v>3727812.5395902577</v>
      </c>
      <c r="H117" s="526">
        <f t="shared" si="20"/>
        <v>556162.3198232695</v>
      </c>
      <c r="I117" s="577">
        <f t="shared" si="21"/>
        <v>556162.3198232695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 ht="12.5">
      <c r="B118" s="195" t="str">
        <f t="shared" si="16"/>
        <v/>
      </c>
      <c r="C118" s="507">
        <f>IF(D93="","-",+C117+1)</f>
        <v>2036</v>
      </c>
      <c r="D118" s="374">
        <f>IF(F117+SUM(E$99:E117)=D$92,F117,D$92-SUM(E$99:E117))</f>
        <v>3650238.9205426387</v>
      </c>
      <c r="E118" s="522">
        <f>IF(+J96&lt;F117,J96,D118)</f>
        <v>155147.23809523811</v>
      </c>
      <c r="F118" s="523">
        <f t="shared" si="18"/>
        <v>3495091.6824474009</v>
      </c>
      <c r="G118" s="523">
        <f t="shared" si="19"/>
        <v>3572665.3014950198</v>
      </c>
      <c r="H118" s="526">
        <f t="shared" si="20"/>
        <v>539472.53681946034</v>
      </c>
      <c r="I118" s="577">
        <f t="shared" si="21"/>
        <v>539472.53681946034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 ht="12.5">
      <c r="B119" s="195" t="str">
        <f t="shared" si="16"/>
        <v/>
      </c>
      <c r="C119" s="507">
        <f>IF(D93="","-",+C118+1)</f>
        <v>2037</v>
      </c>
      <c r="D119" s="374">
        <f>IF(F118+SUM(E$99:E118)=D$92,F118,D$92-SUM(E$99:E118))</f>
        <v>3495091.6824474009</v>
      </c>
      <c r="E119" s="522">
        <f>IF(+J96&lt;F118,J96,D119)</f>
        <v>155147.23809523811</v>
      </c>
      <c r="F119" s="523">
        <f t="shared" si="18"/>
        <v>3339944.444352163</v>
      </c>
      <c r="G119" s="523">
        <f t="shared" si="19"/>
        <v>3417518.0633997819</v>
      </c>
      <c r="H119" s="526">
        <f t="shared" si="20"/>
        <v>522782.75381565117</v>
      </c>
      <c r="I119" s="577">
        <f t="shared" si="21"/>
        <v>522782.75381565117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 ht="12.5">
      <c r="B120" s="195" t="str">
        <f t="shared" si="16"/>
        <v/>
      </c>
      <c r="C120" s="507">
        <f>IF(D93="","-",+C119+1)</f>
        <v>2038</v>
      </c>
      <c r="D120" s="374">
        <f>IF(F119+SUM(E$99:E119)=D$92,F119,D$92-SUM(E$99:E119))</f>
        <v>3339944.444352163</v>
      </c>
      <c r="E120" s="522">
        <f>IF(+J96&lt;F119,J96,D120)</f>
        <v>155147.23809523811</v>
      </c>
      <c r="F120" s="523">
        <f t="shared" si="18"/>
        <v>3184797.2062569251</v>
      </c>
      <c r="G120" s="523">
        <f t="shared" si="19"/>
        <v>3262370.8253045441</v>
      </c>
      <c r="H120" s="526">
        <f t="shared" si="20"/>
        <v>506092.97081184201</v>
      </c>
      <c r="I120" s="577">
        <f t="shared" si="21"/>
        <v>506092.97081184201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 ht="12.5">
      <c r="B121" s="195" t="str">
        <f t="shared" si="16"/>
        <v/>
      </c>
      <c r="C121" s="507">
        <f>IF(D93="","-",+C120+1)</f>
        <v>2039</v>
      </c>
      <c r="D121" s="374">
        <f>IF(F120+SUM(E$99:E120)=D$92,F120,D$92-SUM(E$99:E120))</f>
        <v>3184797.2062569251</v>
      </c>
      <c r="E121" s="522">
        <f>IF(+J96&lt;F120,J96,D121)</f>
        <v>155147.23809523811</v>
      </c>
      <c r="F121" s="523">
        <f t="shared" si="18"/>
        <v>3029649.9681616873</v>
      </c>
      <c r="G121" s="523">
        <f t="shared" si="19"/>
        <v>3107223.5872093062</v>
      </c>
      <c r="H121" s="526">
        <f t="shared" si="20"/>
        <v>489403.18780803285</v>
      </c>
      <c r="I121" s="577">
        <f t="shared" si="21"/>
        <v>489403.18780803285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 ht="12.5">
      <c r="B122" s="195" t="str">
        <f t="shared" si="16"/>
        <v/>
      </c>
      <c r="C122" s="507">
        <f>IF(D93="","-",+C121+1)</f>
        <v>2040</v>
      </c>
      <c r="D122" s="374">
        <f>IF(F121+SUM(E$99:E121)=D$92,F121,D$92-SUM(E$99:E121))</f>
        <v>3029649.9681616873</v>
      </c>
      <c r="E122" s="522">
        <f>IF(+J96&lt;F121,J96,D122)</f>
        <v>155147.23809523811</v>
      </c>
      <c r="F122" s="523">
        <f t="shared" si="18"/>
        <v>2874502.7300664494</v>
      </c>
      <c r="G122" s="523">
        <f t="shared" si="19"/>
        <v>2952076.3491140683</v>
      </c>
      <c r="H122" s="526">
        <f t="shared" si="20"/>
        <v>472713.40480422368</v>
      </c>
      <c r="I122" s="577">
        <f t="shared" si="21"/>
        <v>472713.40480422368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 ht="12.5">
      <c r="B123" s="195" t="str">
        <f t="shared" si="16"/>
        <v/>
      </c>
      <c r="C123" s="507">
        <f>IF(D93="","-",+C122+1)</f>
        <v>2041</v>
      </c>
      <c r="D123" s="374">
        <f>IF(F122+SUM(E$99:E122)=D$92,F122,D$92-SUM(E$99:E122))</f>
        <v>2874502.7300664494</v>
      </c>
      <c r="E123" s="522">
        <f>IF(+J96&lt;F122,J96,D123)</f>
        <v>155147.23809523811</v>
      </c>
      <c r="F123" s="523">
        <f t="shared" si="18"/>
        <v>2719355.4919712115</v>
      </c>
      <c r="G123" s="523">
        <f t="shared" si="19"/>
        <v>2796929.1110188304</v>
      </c>
      <c r="H123" s="526">
        <f t="shared" si="20"/>
        <v>456023.62180041452</v>
      </c>
      <c r="I123" s="577">
        <f t="shared" si="21"/>
        <v>456023.62180041452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 ht="12.5">
      <c r="B124" s="195" t="str">
        <f t="shared" si="16"/>
        <v/>
      </c>
      <c r="C124" s="507">
        <f>IF(D93="","-",+C123+1)</f>
        <v>2042</v>
      </c>
      <c r="D124" s="374">
        <f>IF(F123+SUM(E$99:E123)=D$92,F123,D$92-SUM(E$99:E123))</f>
        <v>2719355.4919712115</v>
      </c>
      <c r="E124" s="522">
        <f>IF(+J96&lt;F123,J96,D124)</f>
        <v>155147.23809523811</v>
      </c>
      <c r="F124" s="523">
        <f t="shared" si="18"/>
        <v>2564208.2538759736</v>
      </c>
      <c r="G124" s="523">
        <f t="shared" si="19"/>
        <v>2641781.8729235926</v>
      </c>
      <c r="H124" s="526">
        <f t="shared" si="20"/>
        <v>439333.83879660536</v>
      </c>
      <c r="I124" s="577">
        <f t="shared" si="21"/>
        <v>439333.83879660536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 ht="12.5">
      <c r="B125" s="195" t="str">
        <f t="shared" si="16"/>
        <v/>
      </c>
      <c r="C125" s="507">
        <f>IF(D93="","-",+C124+1)</f>
        <v>2043</v>
      </c>
      <c r="D125" s="374">
        <f>IF(F124+SUM(E$99:E124)=D$92,F124,D$92-SUM(E$99:E124))</f>
        <v>2564208.2538759736</v>
      </c>
      <c r="E125" s="522">
        <f>IF(+J96&lt;F124,J96,D125)</f>
        <v>155147.23809523811</v>
      </c>
      <c r="F125" s="523">
        <f t="shared" si="18"/>
        <v>2409061.0157807358</v>
      </c>
      <c r="G125" s="523">
        <f t="shared" si="19"/>
        <v>2486634.6348283547</v>
      </c>
      <c r="H125" s="526">
        <f t="shared" si="20"/>
        <v>422644.05579279619</v>
      </c>
      <c r="I125" s="577">
        <f t="shared" si="21"/>
        <v>422644.05579279619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 ht="12.5">
      <c r="B126" s="195" t="str">
        <f t="shared" si="16"/>
        <v/>
      </c>
      <c r="C126" s="507">
        <f>IF(D93="","-",+C125+1)</f>
        <v>2044</v>
      </c>
      <c r="D126" s="374">
        <f>IF(F125+SUM(E$99:E125)=D$92,F125,D$92-SUM(E$99:E125))</f>
        <v>2409061.0157807358</v>
      </c>
      <c r="E126" s="522">
        <f>IF(+J96&lt;F125,J96,D126)</f>
        <v>155147.23809523811</v>
      </c>
      <c r="F126" s="523">
        <f t="shared" si="18"/>
        <v>2253913.7776854979</v>
      </c>
      <c r="G126" s="523">
        <f t="shared" si="19"/>
        <v>2331487.3967331168</v>
      </c>
      <c r="H126" s="526">
        <f t="shared" si="20"/>
        <v>405954.27278898703</v>
      </c>
      <c r="I126" s="577">
        <f t="shared" si="21"/>
        <v>405954.27278898703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 ht="12.5">
      <c r="B127" s="195" t="str">
        <f t="shared" si="16"/>
        <v/>
      </c>
      <c r="C127" s="507">
        <f>IF(D93="","-",+C126+1)</f>
        <v>2045</v>
      </c>
      <c r="D127" s="374">
        <f>IF(F126+SUM(E$99:E126)=D$92,F126,D$92-SUM(E$99:E126))</f>
        <v>2253913.7776854979</v>
      </c>
      <c r="E127" s="522">
        <f>IF(+J96&lt;F126,J96,D127)</f>
        <v>155147.23809523811</v>
      </c>
      <c r="F127" s="523">
        <f t="shared" si="18"/>
        <v>2098766.53959026</v>
      </c>
      <c r="G127" s="523">
        <f t="shared" si="19"/>
        <v>2176340.158637879</v>
      </c>
      <c r="H127" s="526">
        <f t="shared" si="20"/>
        <v>389264.48978517787</v>
      </c>
      <c r="I127" s="577">
        <f t="shared" si="21"/>
        <v>389264.48978517787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 ht="12.5">
      <c r="B128" s="195" t="str">
        <f t="shared" si="16"/>
        <v/>
      </c>
      <c r="C128" s="507">
        <f>IF(D93="","-",+C127+1)</f>
        <v>2046</v>
      </c>
      <c r="D128" s="374">
        <f>IF(F127+SUM(E$99:E127)=D$92,F127,D$92-SUM(E$99:E127))</f>
        <v>2098766.53959026</v>
      </c>
      <c r="E128" s="522">
        <f>IF(+J96&lt;F127,J96,D128)</f>
        <v>155147.23809523811</v>
      </c>
      <c r="F128" s="523">
        <f t="shared" si="18"/>
        <v>1943619.3014950219</v>
      </c>
      <c r="G128" s="523">
        <f t="shared" si="19"/>
        <v>2021192.9205426411</v>
      </c>
      <c r="H128" s="526">
        <f t="shared" si="20"/>
        <v>372574.7067813687</v>
      </c>
      <c r="I128" s="577">
        <f t="shared" si="21"/>
        <v>372574.7067813687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 ht="12.5">
      <c r="B129" s="195" t="str">
        <f t="shared" si="16"/>
        <v/>
      </c>
      <c r="C129" s="507">
        <f>IF(D93="","-",+C128+1)</f>
        <v>2047</v>
      </c>
      <c r="D129" s="374">
        <f>IF(F128+SUM(E$99:E128)=D$92,F128,D$92-SUM(E$99:E128))</f>
        <v>1943619.3014950219</v>
      </c>
      <c r="E129" s="522">
        <f>IF(+J96&lt;F128,J96,D129)</f>
        <v>155147.23809523811</v>
      </c>
      <c r="F129" s="523">
        <f t="shared" si="18"/>
        <v>1788472.0633997838</v>
      </c>
      <c r="G129" s="523">
        <f t="shared" si="19"/>
        <v>1866045.6824474027</v>
      </c>
      <c r="H129" s="526">
        <f t="shared" si="20"/>
        <v>355884.92377755948</v>
      </c>
      <c r="I129" s="577">
        <f t="shared" si="21"/>
        <v>355884.92377755948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 ht="12.5">
      <c r="B130" s="195" t="str">
        <f t="shared" si="16"/>
        <v/>
      </c>
      <c r="C130" s="507">
        <f>IF(D93="","-",+C129+1)</f>
        <v>2048</v>
      </c>
      <c r="D130" s="374">
        <f>IF(F129+SUM(E$99:E129)=D$92,F129,D$92-SUM(E$99:E129))</f>
        <v>1788472.0633997838</v>
      </c>
      <c r="E130" s="522">
        <f>IF(+J96&lt;F129,J96,D130)</f>
        <v>155147.23809523811</v>
      </c>
      <c r="F130" s="523">
        <f t="shared" si="18"/>
        <v>1633324.8253045457</v>
      </c>
      <c r="G130" s="523">
        <f t="shared" si="19"/>
        <v>1710898.4443521649</v>
      </c>
      <c r="H130" s="526">
        <f t="shared" si="20"/>
        <v>339195.14077375032</v>
      </c>
      <c r="I130" s="577">
        <f t="shared" si="21"/>
        <v>339195.14077375032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 ht="12.5">
      <c r="B131" s="195" t="str">
        <f t="shared" si="16"/>
        <v/>
      </c>
      <c r="C131" s="507">
        <f>IF(D93="","-",+C130+1)</f>
        <v>2049</v>
      </c>
      <c r="D131" s="374">
        <f>IF(F130+SUM(E$99:E130)=D$92,F130,D$92-SUM(E$99:E130))</f>
        <v>1633324.8253045457</v>
      </c>
      <c r="E131" s="522">
        <f>IF(+J96&lt;F130,J96,D131)</f>
        <v>155147.23809523811</v>
      </c>
      <c r="F131" s="523">
        <f t="shared" ref="F131:F154" si="22">+D131-E131</f>
        <v>1478177.5872093076</v>
      </c>
      <c r="G131" s="523">
        <f t="shared" ref="G131:G154" si="23">+(F131+D131)/2</f>
        <v>1555751.2062569265</v>
      </c>
      <c r="H131" s="526">
        <f t="shared" si="20"/>
        <v>322505.3577699411</v>
      </c>
      <c r="I131" s="577">
        <f t="shared" si="21"/>
        <v>322505.3577699411</v>
      </c>
      <c r="J131" s="514">
        <f t="shared" ref="J131:J154" si="24">+I541-H541</f>
        <v>0</v>
      </c>
      <c r="K131" s="514"/>
      <c r="L131" s="525"/>
      <c r="M131" s="514">
        <f t="shared" ref="M131:M154" si="25">IF(L541&lt;&gt;0,+H541-L541,0)</f>
        <v>0</v>
      </c>
      <c r="N131" s="525"/>
      <c r="O131" s="514">
        <f t="shared" ref="O131:O154" si="26">IF(N541&lt;&gt;0,+I541-N541,0)</f>
        <v>0</v>
      </c>
      <c r="P131" s="514">
        <f t="shared" ref="P131:P154" si="27">+O541-M541</f>
        <v>0</v>
      </c>
    </row>
    <row r="132" spans="2:16" ht="12.5">
      <c r="B132" s="195" t="str">
        <f t="shared" si="16"/>
        <v/>
      </c>
      <c r="C132" s="507">
        <f>IF(D93="","-",+C131+1)</f>
        <v>2050</v>
      </c>
      <c r="D132" s="374">
        <f>IF(F131+SUM(E$99:E131)=D$92,F131,D$92-SUM(E$99:E131))</f>
        <v>1478177.5872093076</v>
      </c>
      <c r="E132" s="522">
        <f>IF(+J96&lt;F131,J96,D132)</f>
        <v>155147.23809523811</v>
      </c>
      <c r="F132" s="523">
        <f t="shared" si="22"/>
        <v>1323030.3491140695</v>
      </c>
      <c r="G132" s="523">
        <f t="shared" si="23"/>
        <v>1400603.9681616887</v>
      </c>
      <c r="H132" s="526">
        <f t="shared" si="20"/>
        <v>305815.57476613193</v>
      </c>
      <c r="I132" s="577">
        <f t="shared" si="21"/>
        <v>305815.57476613193</v>
      </c>
      <c r="J132" s="514">
        <f t="shared" si="24"/>
        <v>0</v>
      </c>
      <c r="K132" s="514"/>
      <c r="L132" s="525"/>
      <c r="M132" s="514">
        <f t="shared" si="25"/>
        <v>0</v>
      </c>
      <c r="N132" s="525"/>
      <c r="O132" s="514">
        <f t="shared" si="26"/>
        <v>0</v>
      </c>
      <c r="P132" s="514">
        <f t="shared" si="27"/>
        <v>0</v>
      </c>
    </row>
    <row r="133" spans="2:16" ht="12.5">
      <c r="B133" s="195" t="str">
        <f t="shared" si="16"/>
        <v/>
      </c>
      <c r="C133" s="507">
        <f>IF(D93="","-",+C132+1)</f>
        <v>2051</v>
      </c>
      <c r="D133" s="374">
        <f>IF(F132+SUM(E$99:E132)=D$92,F132,D$92-SUM(E$99:E132))</f>
        <v>1323030.3491140695</v>
      </c>
      <c r="E133" s="522">
        <f>IF(+J96&lt;F132,J96,D133)</f>
        <v>155147.23809523811</v>
      </c>
      <c r="F133" s="523">
        <f t="shared" si="22"/>
        <v>1167883.1110188314</v>
      </c>
      <c r="G133" s="523">
        <f t="shared" si="23"/>
        <v>1245456.7300664503</v>
      </c>
      <c r="H133" s="526">
        <f t="shared" si="20"/>
        <v>289125.79176232271</v>
      </c>
      <c r="I133" s="577">
        <f t="shared" si="21"/>
        <v>289125.79176232271</v>
      </c>
      <c r="J133" s="514">
        <f t="shared" si="24"/>
        <v>0</v>
      </c>
      <c r="K133" s="514"/>
      <c r="L133" s="525"/>
      <c r="M133" s="514">
        <f t="shared" si="25"/>
        <v>0</v>
      </c>
      <c r="N133" s="525"/>
      <c r="O133" s="514">
        <f t="shared" si="26"/>
        <v>0</v>
      </c>
      <c r="P133" s="514">
        <f t="shared" si="27"/>
        <v>0</v>
      </c>
    </row>
    <row r="134" spans="2:16" ht="12.5">
      <c r="B134" s="195" t="str">
        <f t="shared" si="16"/>
        <v/>
      </c>
      <c r="C134" s="507">
        <f>IF(D93="","-",+C133+1)</f>
        <v>2052</v>
      </c>
      <c r="D134" s="374">
        <f>IF(F133+SUM(E$99:E133)=D$92,F133,D$92-SUM(E$99:E133))</f>
        <v>1167883.1110188314</v>
      </c>
      <c r="E134" s="522">
        <f>IF(+J96&lt;F133,J96,D134)</f>
        <v>155147.23809523811</v>
      </c>
      <c r="F134" s="523">
        <f t="shared" si="22"/>
        <v>1012735.8729235933</v>
      </c>
      <c r="G134" s="523">
        <f t="shared" si="23"/>
        <v>1090309.4919712124</v>
      </c>
      <c r="H134" s="526">
        <f t="shared" si="20"/>
        <v>272436.00875851355</v>
      </c>
      <c r="I134" s="577">
        <f t="shared" si="21"/>
        <v>272436.00875851355</v>
      </c>
      <c r="J134" s="514">
        <f t="shared" si="24"/>
        <v>0</v>
      </c>
      <c r="K134" s="514"/>
      <c r="L134" s="525"/>
      <c r="M134" s="514">
        <f t="shared" si="25"/>
        <v>0</v>
      </c>
      <c r="N134" s="525"/>
      <c r="O134" s="514">
        <f t="shared" si="26"/>
        <v>0</v>
      </c>
      <c r="P134" s="514">
        <f t="shared" si="27"/>
        <v>0</v>
      </c>
    </row>
    <row r="135" spans="2:16" ht="12.5">
      <c r="B135" s="195" t="str">
        <f t="shared" si="16"/>
        <v/>
      </c>
      <c r="C135" s="507">
        <f>IF(D93="","-",+C134+1)</f>
        <v>2053</v>
      </c>
      <c r="D135" s="374">
        <f>IF(F134+SUM(E$99:E134)=D$92,F134,D$92-SUM(E$99:E134))</f>
        <v>1012735.8729235933</v>
      </c>
      <c r="E135" s="522">
        <f>IF(+J96&lt;F134,J96,D135)</f>
        <v>155147.23809523811</v>
      </c>
      <c r="F135" s="523">
        <f t="shared" si="22"/>
        <v>857588.63482835516</v>
      </c>
      <c r="G135" s="523">
        <f t="shared" si="23"/>
        <v>935162.25387597422</v>
      </c>
      <c r="H135" s="526">
        <f t="shared" si="20"/>
        <v>255746.22575470436</v>
      </c>
      <c r="I135" s="577">
        <f t="shared" si="21"/>
        <v>255746.22575470436</v>
      </c>
      <c r="J135" s="514">
        <f t="shared" si="24"/>
        <v>0</v>
      </c>
      <c r="K135" s="514"/>
      <c r="L135" s="525"/>
      <c r="M135" s="514">
        <f t="shared" si="25"/>
        <v>0</v>
      </c>
      <c r="N135" s="525"/>
      <c r="O135" s="514">
        <f t="shared" si="26"/>
        <v>0</v>
      </c>
      <c r="P135" s="514">
        <f t="shared" si="27"/>
        <v>0</v>
      </c>
    </row>
    <row r="136" spans="2:16" ht="12.5">
      <c r="B136" s="195" t="str">
        <f t="shared" si="16"/>
        <v/>
      </c>
      <c r="C136" s="507">
        <f>IF(D93="","-",+C135+1)</f>
        <v>2054</v>
      </c>
      <c r="D136" s="374">
        <f>IF(F135+SUM(E$99:E135)=D$92,F135,D$92-SUM(E$99:E135))</f>
        <v>857588.63482835516</v>
      </c>
      <c r="E136" s="522">
        <f>IF(+J96&lt;F135,J96,D136)</f>
        <v>155147.23809523811</v>
      </c>
      <c r="F136" s="523">
        <f t="shared" si="22"/>
        <v>702441.39673311706</v>
      </c>
      <c r="G136" s="523">
        <f t="shared" si="23"/>
        <v>780015.01578073611</v>
      </c>
      <c r="H136" s="526">
        <f t="shared" si="20"/>
        <v>239056.44275089516</v>
      </c>
      <c r="I136" s="577">
        <f t="shared" si="21"/>
        <v>239056.44275089516</v>
      </c>
      <c r="J136" s="514">
        <f t="shared" si="24"/>
        <v>0</v>
      </c>
      <c r="K136" s="514"/>
      <c r="L136" s="525"/>
      <c r="M136" s="514">
        <f t="shared" si="25"/>
        <v>0</v>
      </c>
      <c r="N136" s="525"/>
      <c r="O136" s="514">
        <f t="shared" si="26"/>
        <v>0</v>
      </c>
      <c r="P136" s="514">
        <f t="shared" si="27"/>
        <v>0</v>
      </c>
    </row>
    <row r="137" spans="2:16" ht="12.5">
      <c r="B137" s="195" t="str">
        <f t="shared" si="16"/>
        <v/>
      </c>
      <c r="C137" s="507">
        <f>IF(D93="","-",+C136+1)</f>
        <v>2055</v>
      </c>
      <c r="D137" s="374">
        <f>IF(F136+SUM(E$99:E136)=D$92,F136,D$92-SUM(E$99:E136))</f>
        <v>702441.39673311706</v>
      </c>
      <c r="E137" s="522">
        <f>IF(+J96&lt;F136,J96,D137)</f>
        <v>155147.23809523811</v>
      </c>
      <c r="F137" s="523">
        <f t="shared" si="22"/>
        <v>547294.15863787895</v>
      </c>
      <c r="G137" s="523">
        <f t="shared" si="23"/>
        <v>624867.777685498</v>
      </c>
      <c r="H137" s="526">
        <f t="shared" si="20"/>
        <v>222366.65974708597</v>
      </c>
      <c r="I137" s="577">
        <f t="shared" si="21"/>
        <v>222366.65974708597</v>
      </c>
      <c r="J137" s="514">
        <f t="shared" si="24"/>
        <v>0</v>
      </c>
      <c r="K137" s="514"/>
      <c r="L137" s="525"/>
      <c r="M137" s="514">
        <f t="shared" si="25"/>
        <v>0</v>
      </c>
      <c r="N137" s="525"/>
      <c r="O137" s="514">
        <f t="shared" si="26"/>
        <v>0</v>
      </c>
      <c r="P137" s="514">
        <f t="shared" si="27"/>
        <v>0</v>
      </c>
    </row>
    <row r="138" spans="2:16" ht="12.5">
      <c r="B138" s="195" t="str">
        <f t="shared" si="16"/>
        <v/>
      </c>
      <c r="C138" s="507">
        <f>IF(D93="","-",+C137+1)</f>
        <v>2056</v>
      </c>
      <c r="D138" s="374">
        <f>IF(F137+SUM(E$99:E137)=D$92,F137,D$92-SUM(E$99:E137))</f>
        <v>547294.15863787895</v>
      </c>
      <c r="E138" s="522">
        <f>IF(+J96&lt;F137,J96,D138)</f>
        <v>155147.23809523811</v>
      </c>
      <c r="F138" s="523">
        <f t="shared" si="22"/>
        <v>392146.92054264084</v>
      </c>
      <c r="G138" s="523">
        <f t="shared" si="23"/>
        <v>469720.5395902599</v>
      </c>
      <c r="H138" s="526">
        <f t="shared" si="20"/>
        <v>205676.87674327678</v>
      </c>
      <c r="I138" s="577">
        <f t="shared" si="21"/>
        <v>205676.87674327678</v>
      </c>
      <c r="J138" s="514">
        <f t="shared" si="24"/>
        <v>0</v>
      </c>
      <c r="K138" s="514"/>
      <c r="L138" s="525"/>
      <c r="M138" s="514">
        <f t="shared" si="25"/>
        <v>0</v>
      </c>
      <c r="N138" s="525"/>
      <c r="O138" s="514">
        <f t="shared" si="26"/>
        <v>0</v>
      </c>
      <c r="P138" s="514">
        <f t="shared" si="27"/>
        <v>0</v>
      </c>
    </row>
    <row r="139" spans="2:16" ht="12.5">
      <c r="B139" s="195" t="str">
        <f t="shared" si="16"/>
        <v/>
      </c>
      <c r="C139" s="507">
        <f>IF(D93="","-",+C138+1)</f>
        <v>2057</v>
      </c>
      <c r="D139" s="374">
        <f>IF(F138+SUM(E$99:E138)=D$92,F138,D$92-SUM(E$99:E138))</f>
        <v>392146.92054264084</v>
      </c>
      <c r="E139" s="522">
        <f>IF(+J96&lt;F138,J96,D139)</f>
        <v>155147.23809523811</v>
      </c>
      <c r="F139" s="523">
        <f t="shared" si="22"/>
        <v>236999.68244740274</v>
      </c>
      <c r="G139" s="523">
        <f t="shared" si="23"/>
        <v>314573.30149502179</v>
      </c>
      <c r="H139" s="526">
        <f t="shared" si="20"/>
        <v>188987.09373946759</v>
      </c>
      <c r="I139" s="577">
        <f t="shared" si="21"/>
        <v>188987.09373946759</v>
      </c>
      <c r="J139" s="514">
        <f t="shared" si="24"/>
        <v>0</v>
      </c>
      <c r="K139" s="514"/>
      <c r="L139" s="525"/>
      <c r="M139" s="514">
        <f t="shared" si="25"/>
        <v>0</v>
      </c>
      <c r="N139" s="525"/>
      <c r="O139" s="514">
        <f t="shared" si="26"/>
        <v>0</v>
      </c>
      <c r="P139" s="514">
        <f t="shared" si="27"/>
        <v>0</v>
      </c>
    </row>
    <row r="140" spans="2:16" ht="12.5">
      <c r="B140" s="195" t="str">
        <f t="shared" si="16"/>
        <v/>
      </c>
      <c r="C140" s="507">
        <f>IF(D93="","-",+C139+1)</f>
        <v>2058</v>
      </c>
      <c r="D140" s="374">
        <f>IF(F139+SUM(E$99:E139)=D$92,F139,D$92-SUM(E$99:E139))</f>
        <v>236999.68244740274</v>
      </c>
      <c r="E140" s="522">
        <f>IF(+J96&lt;F139,J96,D140)</f>
        <v>155147.23809523811</v>
      </c>
      <c r="F140" s="523">
        <f t="shared" si="22"/>
        <v>81852.444352164632</v>
      </c>
      <c r="G140" s="523">
        <f t="shared" si="23"/>
        <v>159426.06339978368</v>
      </c>
      <c r="H140" s="526">
        <f t="shared" si="20"/>
        <v>172297.31073565839</v>
      </c>
      <c r="I140" s="577">
        <f t="shared" si="21"/>
        <v>172297.31073565839</v>
      </c>
      <c r="J140" s="514">
        <f t="shared" si="24"/>
        <v>0</v>
      </c>
      <c r="K140" s="514"/>
      <c r="L140" s="525"/>
      <c r="M140" s="514">
        <f t="shared" si="25"/>
        <v>0</v>
      </c>
      <c r="N140" s="525"/>
      <c r="O140" s="514">
        <f t="shared" si="26"/>
        <v>0</v>
      </c>
      <c r="P140" s="514">
        <f t="shared" si="27"/>
        <v>0</v>
      </c>
    </row>
    <row r="141" spans="2:16" ht="12.5">
      <c r="B141" s="195" t="str">
        <f t="shared" si="16"/>
        <v/>
      </c>
      <c r="C141" s="507">
        <f>IF(D93="","-",+C140+1)</f>
        <v>2059</v>
      </c>
      <c r="D141" s="374">
        <f>IF(F140+SUM(E$99:E140)=D$92,F140,D$92-SUM(E$99:E140))</f>
        <v>81852.444352164632</v>
      </c>
      <c r="E141" s="522">
        <f>IF(+J96&lt;F140,J96,D141)</f>
        <v>81852.444352164632</v>
      </c>
      <c r="F141" s="523">
        <f t="shared" si="22"/>
        <v>0</v>
      </c>
      <c r="G141" s="523">
        <f t="shared" si="23"/>
        <v>40926.222176082316</v>
      </c>
      <c r="H141" s="526">
        <f t="shared" si="20"/>
        <v>86255.034921422484</v>
      </c>
      <c r="I141" s="577">
        <f t="shared" si="21"/>
        <v>86255.034921422484</v>
      </c>
      <c r="J141" s="514">
        <f t="shared" si="24"/>
        <v>0</v>
      </c>
      <c r="K141" s="514"/>
      <c r="L141" s="525"/>
      <c r="M141" s="514">
        <f t="shared" si="25"/>
        <v>0</v>
      </c>
      <c r="N141" s="525"/>
      <c r="O141" s="514">
        <f t="shared" si="26"/>
        <v>0</v>
      </c>
      <c r="P141" s="514">
        <f t="shared" si="27"/>
        <v>0</v>
      </c>
    </row>
    <row r="142" spans="2:16" ht="12.5">
      <c r="B142" s="195" t="str">
        <f t="shared" si="16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2"/>
        <v>0</v>
      </c>
      <c r="G142" s="523">
        <f t="shared" si="23"/>
        <v>0</v>
      </c>
      <c r="H142" s="526">
        <f t="shared" si="20"/>
        <v>0</v>
      </c>
      <c r="I142" s="577">
        <f t="shared" si="21"/>
        <v>0</v>
      </c>
      <c r="J142" s="514">
        <f t="shared" si="24"/>
        <v>0</v>
      </c>
      <c r="K142" s="514"/>
      <c r="L142" s="525"/>
      <c r="M142" s="514">
        <f t="shared" si="25"/>
        <v>0</v>
      </c>
      <c r="N142" s="525"/>
      <c r="O142" s="514">
        <f t="shared" si="26"/>
        <v>0</v>
      </c>
      <c r="P142" s="514">
        <f t="shared" si="27"/>
        <v>0</v>
      </c>
    </row>
    <row r="143" spans="2:16" ht="12.5">
      <c r="B143" s="195" t="str">
        <f t="shared" si="16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2"/>
        <v>0</v>
      </c>
      <c r="G143" s="523">
        <f t="shared" si="23"/>
        <v>0</v>
      </c>
      <c r="H143" s="526">
        <f t="shared" si="20"/>
        <v>0</v>
      </c>
      <c r="I143" s="577">
        <f t="shared" si="21"/>
        <v>0</v>
      </c>
      <c r="J143" s="514">
        <f t="shared" si="24"/>
        <v>0</v>
      </c>
      <c r="K143" s="514"/>
      <c r="L143" s="525"/>
      <c r="M143" s="514">
        <f t="shared" si="25"/>
        <v>0</v>
      </c>
      <c r="N143" s="525"/>
      <c r="O143" s="514">
        <f t="shared" si="26"/>
        <v>0</v>
      </c>
      <c r="P143" s="514">
        <f t="shared" si="27"/>
        <v>0</v>
      </c>
    </row>
    <row r="144" spans="2:16" ht="12.5">
      <c r="B144" s="195" t="str">
        <f t="shared" si="16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2"/>
        <v>0</v>
      </c>
      <c r="G144" s="523">
        <f t="shared" si="23"/>
        <v>0</v>
      </c>
      <c r="H144" s="526">
        <f t="shared" si="20"/>
        <v>0</v>
      </c>
      <c r="I144" s="577">
        <f t="shared" si="21"/>
        <v>0</v>
      </c>
      <c r="J144" s="514">
        <f t="shared" si="24"/>
        <v>0</v>
      </c>
      <c r="K144" s="514"/>
      <c r="L144" s="525"/>
      <c r="M144" s="514">
        <f t="shared" si="25"/>
        <v>0</v>
      </c>
      <c r="N144" s="525"/>
      <c r="O144" s="514">
        <f t="shared" si="26"/>
        <v>0</v>
      </c>
      <c r="P144" s="514">
        <f t="shared" si="27"/>
        <v>0</v>
      </c>
    </row>
    <row r="145" spans="2:16" ht="12.5">
      <c r="B145" s="195" t="str">
        <f t="shared" si="16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2"/>
        <v>0</v>
      </c>
      <c r="G145" s="523">
        <f t="shared" si="23"/>
        <v>0</v>
      </c>
      <c r="H145" s="526">
        <f t="shared" si="20"/>
        <v>0</v>
      </c>
      <c r="I145" s="577">
        <f t="shared" si="21"/>
        <v>0</v>
      </c>
      <c r="J145" s="514">
        <f t="shared" si="24"/>
        <v>0</v>
      </c>
      <c r="K145" s="514"/>
      <c r="L145" s="525"/>
      <c r="M145" s="514">
        <f t="shared" si="25"/>
        <v>0</v>
      </c>
      <c r="N145" s="525"/>
      <c r="O145" s="514">
        <f t="shared" si="26"/>
        <v>0</v>
      </c>
      <c r="P145" s="514">
        <f t="shared" si="27"/>
        <v>0</v>
      </c>
    </row>
    <row r="146" spans="2:16" ht="12.5">
      <c r="B146" s="195" t="str">
        <f t="shared" si="16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2"/>
        <v>0</v>
      </c>
      <c r="G146" s="523">
        <f t="shared" si="23"/>
        <v>0</v>
      </c>
      <c r="H146" s="526">
        <f t="shared" si="20"/>
        <v>0</v>
      </c>
      <c r="I146" s="577">
        <f t="shared" si="21"/>
        <v>0</v>
      </c>
      <c r="J146" s="514">
        <f t="shared" si="24"/>
        <v>0</v>
      </c>
      <c r="K146" s="514"/>
      <c r="L146" s="525"/>
      <c r="M146" s="514">
        <f t="shared" si="25"/>
        <v>0</v>
      </c>
      <c r="N146" s="525"/>
      <c r="O146" s="514">
        <f t="shared" si="26"/>
        <v>0</v>
      </c>
      <c r="P146" s="514">
        <f t="shared" si="27"/>
        <v>0</v>
      </c>
    </row>
    <row r="147" spans="2:16" ht="12.5">
      <c r="B147" s="195" t="str">
        <f t="shared" si="16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2"/>
        <v>0</v>
      </c>
      <c r="G147" s="523">
        <f t="shared" si="23"/>
        <v>0</v>
      </c>
      <c r="H147" s="526">
        <f t="shared" si="20"/>
        <v>0</v>
      </c>
      <c r="I147" s="577">
        <f t="shared" si="21"/>
        <v>0</v>
      </c>
      <c r="J147" s="514">
        <f t="shared" si="24"/>
        <v>0</v>
      </c>
      <c r="K147" s="514"/>
      <c r="L147" s="525"/>
      <c r="M147" s="514">
        <f t="shared" si="25"/>
        <v>0</v>
      </c>
      <c r="N147" s="525"/>
      <c r="O147" s="514">
        <f t="shared" si="26"/>
        <v>0</v>
      </c>
      <c r="P147" s="514">
        <f t="shared" si="27"/>
        <v>0</v>
      </c>
    </row>
    <row r="148" spans="2:16" ht="12.5">
      <c r="B148" s="195" t="str">
        <f t="shared" si="16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2"/>
        <v>0</v>
      </c>
      <c r="G148" s="523">
        <f t="shared" si="23"/>
        <v>0</v>
      </c>
      <c r="H148" s="526">
        <f t="shared" si="20"/>
        <v>0</v>
      </c>
      <c r="I148" s="577">
        <f t="shared" si="21"/>
        <v>0</v>
      </c>
      <c r="J148" s="514">
        <f t="shared" si="24"/>
        <v>0</v>
      </c>
      <c r="K148" s="514"/>
      <c r="L148" s="525"/>
      <c r="M148" s="514">
        <f t="shared" si="25"/>
        <v>0</v>
      </c>
      <c r="N148" s="525"/>
      <c r="O148" s="514">
        <f t="shared" si="26"/>
        <v>0</v>
      </c>
      <c r="P148" s="514">
        <f t="shared" si="27"/>
        <v>0</v>
      </c>
    </row>
    <row r="149" spans="2:16" ht="12.5">
      <c r="B149" s="195" t="str">
        <f t="shared" si="16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2"/>
        <v>0</v>
      </c>
      <c r="G149" s="523">
        <f t="shared" si="23"/>
        <v>0</v>
      </c>
      <c r="H149" s="526">
        <f t="shared" si="20"/>
        <v>0</v>
      </c>
      <c r="I149" s="577">
        <f t="shared" si="21"/>
        <v>0</v>
      </c>
      <c r="J149" s="514">
        <f t="shared" si="24"/>
        <v>0</v>
      </c>
      <c r="K149" s="514"/>
      <c r="L149" s="525"/>
      <c r="M149" s="514">
        <f t="shared" si="25"/>
        <v>0</v>
      </c>
      <c r="N149" s="525"/>
      <c r="O149" s="514">
        <f t="shared" si="26"/>
        <v>0</v>
      </c>
      <c r="P149" s="514">
        <f t="shared" si="27"/>
        <v>0</v>
      </c>
    </row>
    <row r="150" spans="2:16" ht="12.5">
      <c r="B150" s="195" t="str">
        <f t="shared" si="16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2"/>
        <v>0</v>
      </c>
      <c r="G150" s="523">
        <f t="shared" si="23"/>
        <v>0</v>
      </c>
      <c r="H150" s="526">
        <f t="shared" si="20"/>
        <v>0</v>
      </c>
      <c r="I150" s="577">
        <f t="shared" si="21"/>
        <v>0</v>
      </c>
      <c r="J150" s="514">
        <f t="shared" si="24"/>
        <v>0</v>
      </c>
      <c r="K150" s="514"/>
      <c r="L150" s="525"/>
      <c r="M150" s="514">
        <f t="shared" si="25"/>
        <v>0</v>
      </c>
      <c r="N150" s="525"/>
      <c r="O150" s="514">
        <f t="shared" si="26"/>
        <v>0</v>
      </c>
      <c r="P150" s="514">
        <f t="shared" si="27"/>
        <v>0</v>
      </c>
    </row>
    <row r="151" spans="2:16" ht="12.5">
      <c r="B151" s="195" t="str">
        <f t="shared" si="16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2"/>
        <v>0</v>
      </c>
      <c r="G151" s="523">
        <f t="shared" si="23"/>
        <v>0</v>
      </c>
      <c r="H151" s="526">
        <f t="shared" si="20"/>
        <v>0</v>
      </c>
      <c r="I151" s="577">
        <f t="shared" si="21"/>
        <v>0</v>
      </c>
      <c r="J151" s="514">
        <f t="shared" si="24"/>
        <v>0</v>
      </c>
      <c r="K151" s="514"/>
      <c r="L151" s="525"/>
      <c r="M151" s="514">
        <f t="shared" si="25"/>
        <v>0</v>
      </c>
      <c r="N151" s="525"/>
      <c r="O151" s="514">
        <f t="shared" si="26"/>
        <v>0</v>
      </c>
      <c r="P151" s="514">
        <f t="shared" si="27"/>
        <v>0</v>
      </c>
    </row>
    <row r="152" spans="2:16" ht="12.5">
      <c r="B152" s="195" t="str">
        <f t="shared" si="16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2"/>
        <v>0</v>
      </c>
      <c r="G152" s="523">
        <f t="shared" si="23"/>
        <v>0</v>
      </c>
      <c r="H152" s="526">
        <f t="shared" si="20"/>
        <v>0</v>
      </c>
      <c r="I152" s="577">
        <f t="shared" si="21"/>
        <v>0</v>
      </c>
      <c r="J152" s="514">
        <f t="shared" si="24"/>
        <v>0</v>
      </c>
      <c r="K152" s="514"/>
      <c r="L152" s="525"/>
      <c r="M152" s="514">
        <f t="shared" si="25"/>
        <v>0</v>
      </c>
      <c r="N152" s="525"/>
      <c r="O152" s="514">
        <f t="shared" si="26"/>
        <v>0</v>
      </c>
      <c r="P152" s="514">
        <f t="shared" si="27"/>
        <v>0</v>
      </c>
    </row>
    <row r="153" spans="2:16" ht="12.5">
      <c r="B153" s="195" t="str">
        <f t="shared" si="16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2"/>
        <v>0</v>
      </c>
      <c r="G153" s="523">
        <f t="shared" si="23"/>
        <v>0</v>
      </c>
      <c r="H153" s="526">
        <f t="shared" si="20"/>
        <v>0</v>
      </c>
      <c r="I153" s="577">
        <f t="shared" si="21"/>
        <v>0</v>
      </c>
      <c r="J153" s="514">
        <f t="shared" si="24"/>
        <v>0</v>
      </c>
      <c r="K153" s="514"/>
      <c r="L153" s="525"/>
      <c r="M153" s="514">
        <f t="shared" si="25"/>
        <v>0</v>
      </c>
      <c r="N153" s="525"/>
      <c r="O153" s="514">
        <f t="shared" si="26"/>
        <v>0</v>
      </c>
      <c r="P153" s="514">
        <f t="shared" si="27"/>
        <v>0</v>
      </c>
    </row>
    <row r="154" spans="2:16" ht="13" thickBot="1">
      <c r="B154" s="195" t="str">
        <f t="shared" si="16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2"/>
        <v>0</v>
      </c>
      <c r="G154" s="528">
        <f t="shared" si="23"/>
        <v>0</v>
      </c>
      <c r="H154" s="530">
        <f t="shared" si="20"/>
        <v>0</v>
      </c>
      <c r="I154" s="579">
        <f t="shared" si="21"/>
        <v>0</v>
      </c>
      <c r="J154" s="533">
        <f t="shared" si="24"/>
        <v>0</v>
      </c>
      <c r="K154" s="514"/>
      <c r="L154" s="532"/>
      <c r="M154" s="533">
        <f t="shared" si="25"/>
        <v>0</v>
      </c>
      <c r="N154" s="532"/>
      <c r="O154" s="533">
        <f t="shared" si="26"/>
        <v>0</v>
      </c>
      <c r="P154" s="533">
        <f t="shared" si="27"/>
        <v>0</v>
      </c>
    </row>
    <row r="155" spans="2:16" ht="12.5">
      <c r="C155" s="374" t="s">
        <v>78</v>
      </c>
      <c r="D155" s="375"/>
      <c r="E155" s="375">
        <f>SUM(E99:E154)</f>
        <v>6516184</v>
      </c>
      <c r="F155" s="375"/>
      <c r="G155" s="375"/>
      <c r="H155" s="375">
        <f>SUM(H99:H154)</f>
        <v>21280748.533334147</v>
      </c>
      <c r="I155" s="375">
        <f>SUM(I99:I154)</f>
        <v>21280748.533334147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1" priority="2" stopIfTrue="1" operator="equal">
      <formula>$I$10</formula>
    </cfRule>
  </conditionalFormatting>
  <conditionalFormatting sqref="C99:C154">
    <cfRule type="cellIs" dxfId="20" priority="3" stopIfTrue="1" operator="equal">
      <formula>$J$92</formula>
    </cfRule>
  </conditionalFormatting>
  <conditionalFormatting sqref="C17">
    <cfRule type="cellIs" dxfId="19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Q162"/>
  <sheetViews>
    <sheetView view="pageBreakPreview" topLeftCell="A79" zoomScale="88" zoomScaleNormal="100" zoomScaleSheetLayoutView="88" workbookViewId="0"/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4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1159599.7805450819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1159599.7805450819</v>
      </c>
      <c r="O6" s="269"/>
      <c r="P6" s="269"/>
    </row>
    <row r="7" spans="1:17" ht="13.5" thickBot="1">
      <c r="C7" s="467" t="s">
        <v>48</v>
      </c>
      <c r="D7" s="468" t="s">
        <v>229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143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11580311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275721.69047619047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5012222</v>
      </c>
      <c r="E17" s="509">
        <v>67733</v>
      </c>
      <c r="F17" s="508">
        <v>4944489</v>
      </c>
      <c r="G17" s="509">
        <v>509785</v>
      </c>
      <c r="H17" s="510">
        <v>509785</v>
      </c>
      <c r="I17" s="511">
        <f t="shared" ref="I17:I48" si="0">H17-G17</f>
        <v>0</v>
      </c>
      <c r="J17" s="511"/>
      <c r="K17" s="512">
        <v>509785</v>
      </c>
      <c r="L17" s="513">
        <f t="shared" ref="L17:L48" si="1">IF(K17&lt;&gt;0,+G17-K17,0)</f>
        <v>0</v>
      </c>
      <c r="M17" s="512">
        <v>509785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11512579</v>
      </c>
      <c r="E18" s="516">
        <v>304745</v>
      </c>
      <c r="F18" s="515">
        <v>11207834</v>
      </c>
      <c r="G18" s="516">
        <v>1916039</v>
      </c>
      <c r="H18" s="510">
        <v>1916039</v>
      </c>
      <c r="I18" s="517">
        <v>0</v>
      </c>
      <c r="J18" s="511"/>
      <c r="K18" s="518">
        <f t="shared" ref="K18:K23" si="4">G18</f>
        <v>1916039</v>
      </c>
      <c r="L18" s="519">
        <f t="shared" si="1"/>
        <v>0</v>
      </c>
      <c r="M18" s="518">
        <f t="shared" ref="M18:M23" si="5">H18</f>
        <v>1916039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11207834.940000001</v>
      </c>
      <c r="E19" s="516">
        <v>282446.65707317076</v>
      </c>
      <c r="F19" s="515">
        <v>10925388.282926831</v>
      </c>
      <c r="G19" s="516">
        <v>1988906.9183231383</v>
      </c>
      <c r="H19" s="510">
        <v>1988906.9183231383</v>
      </c>
      <c r="I19" s="517">
        <v>0</v>
      </c>
      <c r="J19" s="511"/>
      <c r="K19" s="518">
        <f t="shared" si="4"/>
        <v>1988906.9183231383</v>
      </c>
      <c r="L19" s="519">
        <f t="shared" si="1"/>
        <v>0</v>
      </c>
      <c r="M19" s="518">
        <f t="shared" si="5"/>
        <v>1988906.9183231383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10925388.282926831</v>
      </c>
      <c r="E20" s="520">
        <v>275721.73666666669</v>
      </c>
      <c r="F20" s="515">
        <v>10649666.546260165</v>
      </c>
      <c r="G20" s="516">
        <v>1859541.6370973894</v>
      </c>
      <c r="H20" s="510">
        <v>1859541.6370973894</v>
      </c>
      <c r="I20" s="517">
        <v>0</v>
      </c>
      <c r="J20" s="511"/>
      <c r="K20" s="518">
        <f t="shared" si="4"/>
        <v>1859541.6370973894</v>
      </c>
      <c r="L20" s="519">
        <f t="shared" si="1"/>
        <v>0</v>
      </c>
      <c r="M20" s="518">
        <f t="shared" si="5"/>
        <v>1859541.6370973894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10649666.546260165</v>
      </c>
      <c r="E21" s="520">
        <v>275721.73666666669</v>
      </c>
      <c r="F21" s="515">
        <v>10373944.809593499</v>
      </c>
      <c r="G21" s="516">
        <v>1727940.0001770738</v>
      </c>
      <c r="H21" s="510">
        <v>1727940.0001770738</v>
      </c>
      <c r="I21" s="511">
        <v>0</v>
      </c>
      <c r="J21" s="511"/>
      <c r="K21" s="518">
        <f t="shared" si="4"/>
        <v>1727940.0001770738</v>
      </c>
      <c r="L21" s="519">
        <f t="shared" ref="L21:L26" si="7">IF(K21&lt;&gt;0,+G21-K21,0)</f>
        <v>0</v>
      </c>
      <c r="M21" s="518">
        <f t="shared" si="5"/>
        <v>1727940.0001770738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10373944.809593499</v>
      </c>
      <c r="E22" s="520">
        <v>275721.73666666669</v>
      </c>
      <c r="F22" s="515">
        <v>10098223.072926832</v>
      </c>
      <c r="G22" s="516">
        <v>1638078.1438570484</v>
      </c>
      <c r="H22" s="510">
        <v>1638078.1438570484</v>
      </c>
      <c r="I22" s="511">
        <v>0</v>
      </c>
      <c r="J22" s="511"/>
      <c r="K22" s="518">
        <f t="shared" si="4"/>
        <v>1638078.1438570484</v>
      </c>
      <c r="L22" s="519">
        <f t="shared" si="7"/>
        <v>0</v>
      </c>
      <c r="M22" s="518">
        <f t="shared" si="5"/>
        <v>1638078.1438570484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10098223.072926832</v>
      </c>
      <c r="E23" s="520">
        <v>275721.73666666669</v>
      </c>
      <c r="F23" s="515">
        <v>9822501.336260166</v>
      </c>
      <c r="G23" s="516">
        <v>1569392.3202365767</v>
      </c>
      <c r="H23" s="510">
        <v>1569392.3202365767</v>
      </c>
      <c r="I23" s="511">
        <v>0</v>
      </c>
      <c r="J23" s="511"/>
      <c r="K23" s="518">
        <f t="shared" si="4"/>
        <v>1569392.3202365767</v>
      </c>
      <c r="L23" s="519">
        <f t="shared" si="7"/>
        <v>0</v>
      </c>
      <c r="M23" s="518">
        <f t="shared" si="5"/>
        <v>1569392.3202365767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>IU</v>
      </c>
      <c r="C24" s="507">
        <f>IF(D11="","-",+C23+1)</f>
        <v>2016</v>
      </c>
      <c r="D24" s="515">
        <v>9822499.3962601628</v>
      </c>
      <c r="E24" s="520">
        <v>275721.69047619047</v>
      </c>
      <c r="F24" s="515">
        <v>9546777.7057839725</v>
      </c>
      <c r="G24" s="516">
        <v>1517566.2959557369</v>
      </c>
      <c r="H24" s="510">
        <v>1517566.2959557369</v>
      </c>
      <c r="I24" s="511">
        <f t="shared" si="0"/>
        <v>0</v>
      </c>
      <c r="J24" s="511"/>
      <c r="K24" s="518">
        <f>G24</f>
        <v>1517566.2959557369</v>
      </c>
      <c r="L24" s="519">
        <f t="shared" si="7"/>
        <v>0</v>
      </c>
      <c r="M24" s="518">
        <f>H24</f>
        <v>1517566.2959557369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9546777.7057839725</v>
      </c>
      <c r="E25" s="520">
        <v>269309.5581395349</v>
      </c>
      <c r="F25" s="515">
        <v>9277468.1476444378</v>
      </c>
      <c r="G25" s="516">
        <v>1435401.3142393038</v>
      </c>
      <c r="H25" s="510">
        <v>1435401.3142393038</v>
      </c>
      <c r="I25" s="511">
        <f t="shared" si="0"/>
        <v>0</v>
      </c>
      <c r="J25" s="511"/>
      <c r="K25" s="518">
        <f>G25</f>
        <v>1435401.3142393038</v>
      </c>
      <c r="L25" s="519">
        <f t="shared" si="7"/>
        <v>0</v>
      </c>
      <c r="M25" s="518">
        <f>H25</f>
        <v>1435401.3142393038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9277468.1476444378</v>
      </c>
      <c r="E26" s="520">
        <v>282446.60975609755</v>
      </c>
      <c r="F26" s="515">
        <v>8995021.5378883407</v>
      </c>
      <c r="G26" s="516">
        <v>1443609.4156354484</v>
      </c>
      <c r="H26" s="510">
        <v>1443609.4156354484</v>
      </c>
      <c r="I26" s="511">
        <f t="shared" si="0"/>
        <v>0</v>
      </c>
      <c r="J26" s="511"/>
      <c r="K26" s="518">
        <f>G26</f>
        <v>1443609.4156354484</v>
      </c>
      <c r="L26" s="519">
        <f t="shared" si="7"/>
        <v>0</v>
      </c>
      <c r="M26" s="518">
        <f>H26</f>
        <v>1443609.4156354484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8995021.5378883407</v>
      </c>
      <c r="E27" s="520">
        <v>282446.60975609755</v>
      </c>
      <c r="F27" s="515">
        <v>8712574.9281322435</v>
      </c>
      <c r="G27" s="516">
        <v>1407712.1182731558</v>
      </c>
      <c r="H27" s="510">
        <v>1407712.1182731558</v>
      </c>
      <c r="I27" s="511">
        <f t="shared" si="0"/>
        <v>0</v>
      </c>
      <c r="J27" s="511"/>
      <c r="K27" s="518">
        <f>G27</f>
        <v>1407712.1182731558</v>
      </c>
      <c r="L27" s="519">
        <f t="shared" ref="L27" si="10">IF(K27&lt;&gt;0,+G27-K27,0)</f>
        <v>0</v>
      </c>
      <c r="M27" s="518">
        <f>H27</f>
        <v>1407712.1182731558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8712574.9281322435</v>
      </c>
      <c r="E28" s="520">
        <v>282446.60975609755</v>
      </c>
      <c r="F28" s="515">
        <v>8430128.3183761463</v>
      </c>
      <c r="G28" s="516">
        <v>1159599.7805450819</v>
      </c>
      <c r="H28" s="510">
        <v>1159599.7805450819</v>
      </c>
      <c r="I28" s="511">
        <f t="shared" si="0"/>
        <v>0</v>
      </c>
      <c r="J28" s="511"/>
      <c r="K28" s="518">
        <f>G28</f>
        <v>1159599.7805450819</v>
      </c>
      <c r="L28" s="519">
        <f t="shared" ref="L28" si="11">IF(K28&lt;&gt;0,+G28-K28,0)</f>
        <v>0</v>
      </c>
      <c r="M28" s="518">
        <f>H28</f>
        <v>1159599.7805450819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2021</v>
      </c>
      <c r="D29" s="523">
        <f>IF(F28+SUM(E$17:E28)=D$10,F28,D$10-SUM(E$17:E28))</f>
        <v>8430128.3183761463</v>
      </c>
      <c r="E29" s="522">
        <f>IF(+I14&lt;F28,I14,D29)</f>
        <v>275721.69047619047</v>
      </c>
      <c r="F29" s="523">
        <f t="shared" ref="F29:F48" si="12">+D29-E29</f>
        <v>8154406.627899956</v>
      </c>
      <c r="G29" s="524">
        <f t="shared" ref="G29:G72" si="13">+I$12*((D29+F29)/2)+E29</f>
        <v>1161484.8998369107</v>
      </c>
      <c r="H29" s="491">
        <f t="shared" ref="H29:H72" si="14">+I$13*((D29+F29)/2)+E29</f>
        <v>1161484.8998369107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/>
      </c>
      <c r="C30" s="507">
        <f>IF(D11="","-",+C29+1)</f>
        <v>2022</v>
      </c>
      <c r="D30" s="523">
        <f>IF(F29+SUM(E$17:E29)=D$10,F29,D$10-SUM(E$17:E29))</f>
        <v>8154406.627899956</v>
      </c>
      <c r="E30" s="522">
        <f>IF(+I14&lt;F29,I14,D30)</f>
        <v>275721.69047619047</v>
      </c>
      <c r="F30" s="523">
        <f t="shared" si="12"/>
        <v>7878684.9374237657</v>
      </c>
      <c r="G30" s="524">
        <f t="shared" si="13"/>
        <v>1132032.8675384237</v>
      </c>
      <c r="H30" s="491">
        <f t="shared" si="14"/>
        <v>1132032.8675384237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7878684.9374237657</v>
      </c>
      <c r="E31" s="522">
        <f>IF(+I14&lt;F30,I14,D31)</f>
        <v>275721.69047619047</v>
      </c>
      <c r="F31" s="523">
        <f t="shared" si="12"/>
        <v>7602963.2469475754</v>
      </c>
      <c r="G31" s="524">
        <f t="shared" si="13"/>
        <v>1102580.8352399371</v>
      </c>
      <c r="H31" s="491">
        <f t="shared" si="14"/>
        <v>1102580.8352399371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7602963.2469475754</v>
      </c>
      <c r="E32" s="522">
        <f>IF(+I14&lt;F31,I14,D32)</f>
        <v>275721.69047619047</v>
      </c>
      <c r="F32" s="523">
        <f t="shared" si="12"/>
        <v>7327241.5564713851</v>
      </c>
      <c r="G32" s="524">
        <f t="shared" si="13"/>
        <v>1073128.8029414502</v>
      </c>
      <c r="H32" s="491">
        <f t="shared" si="14"/>
        <v>1073128.8029414502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7327241.5564713851</v>
      </c>
      <c r="E33" s="522">
        <f>IF(+I14&lt;F32,I14,D33)</f>
        <v>275721.69047619047</v>
      </c>
      <c r="F33" s="523">
        <f t="shared" si="12"/>
        <v>7051519.8659951948</v>
      </c>
      <c r="G33" s="524">
        <f t="shared" si="13"/>
        <v>1043676.7706429635</v>
      </c>
      <c r="H33" s="491">
        <f t="shared" si="14"/>
        <v>1043676.7706429635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7051519.8659951948</v>
      </c>
      <c r="E34" s="522">
        <f>IF(+I14&lt;F33,I14,D34)</f>
        <v>275721.69047619047</v>
      </c>
      <c r="F34" s="523">
        <f t="shared" si="12"/>
        <v>6775798.1755190045</v>
      </c>
      <c r="G34" s="524">
        <f t="shared" si="13"/>
        <v>1014224.7383444766</v>
      </c>
      <c r="H34" s="491">
        <f t="shared" si="14"/>
        <v>1014224.7383444766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6775798.1755190045</v>
      </c>
      <c r="E35" s="522">
        <f>IF(+I14&lt;F34,I14,D35)</f>
        <v>275721.69047619047</v>
      </c>
      <c r="F35" s="523">
        <f t="shared" si="12"/>
        <v>6500076.4850428142</v>
      </c>
      <c r="G35" s="524">
        <f t="shared" si="13"/>
        <v>984772.70604598988</v>
      </c>
      <c r="H35" s="491">
        <f t="shared" si="14"/>
        <v>984772.70604598988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6500076.4850428142</v>
      </c>
      <c r="E36" s="522">
        <f>IF(+I14&lt;F35,I14,D36)</f>
        <v>275721.69047619047</v>
      </c>
      <c r="F36" s="523">
        <f t="shared" si="12"/>
        <v>6224354.7945666239</v>
      </c>
      <c r="G36" s="524">
        <f t="shared" si="13"/>
        <v>955320.67374750297</v>
      </c>
      <c r="H36" s="491">
        <f t="shared" si="14"/>
        <v>955320.67374750297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6224354.7945666239</v>
      </c>
      <c r="E37" s="522">
        <f>IF(+I14&lt;F36,I14,D37)</f>
        <v>275721.69047619047</v>
      </c>
      <c r="F37" s="523">
        <f t="shared" si="12"/>
        <v>5948633.1040904336</v>
      </c>
      <c r="G37" s="524">
        <f t="shared" si="13"/>
        <v>925868.64144901629</v>
      </c>
      <c r="H37" s="491">
        <f t="shared" si="14"/>
        <v>925868.64144901629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5948633.1040904336</v>
      </c>
      <c r="E38" s="522">
        <f>IF(+I14&lt;F37,I14,D38)</f>
        <v>275721.69047619047</v>
      </c>
      <c r="F38" s="523">
        <f t="shared" si="12"/>
        <v>5672911.4136142433</v>
      </c>
      <c r="G38" s="524">
        <f t="shared" si="13"/>
        <v>896416.60915052937</v>
      </c>
      <c r="H38" s="491">
        <f t="shared" si="14"/>
        <v>896416.60915052937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5672911.4136142433</v>
      </c>
      <c r="E39" s="522">
        <f>IF(+I14&lt;F38,I14,D39)</f>
        <v>275721.69047619047</v>
      </c>
      <c r="F39" s="523">
        <f t="shared" si="12"/>
        <v>5397189.723138053</v>
      </c>
      <c r="G39" s="524">
        <f t="shared" si="13"/>
        <v>866964.57685204269</v>
      </c>
      <c r="H39" s="491">
        <f t="shared" si="14"/>
        <v>866964.57685204269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5397189.723138053</v>
      </c>
      <c r="E40" s="522">
        <f>IF(+I14&lt;F39,I14,D40)</f>
        <v>275721.69047619047</v>
      </c>
      <c r="F40" s="523">
        <f t="shared" si="12"/>
        <v>5121468.0326618627</v>
      </c>
      <c r="G40" s="524">
        <f t="shared" si="13"/>
        <v>837512.54455355578</v>
      </c>
      <c r="H40" s="491">
        <f t="shared" si="14"/>
        <v>837512.54455355578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5121468.0326618627</v>
      </c>
      <c r="E41" s="522">
        <f>IF(+I14&lt;F40,I14,D41)</f>
        <v>275721.69047619047</v>
      </c>
      <c r="F41" s="523">
        <f t="shared" si="12"/>
        <v>4845746.3421856724</v>
      </c>
      <c r="G41" s="524">
        <f t="shared" si="13"/>
        <v>808060.51225506887</v>
      </c>
      <c r="H41" s="491">
        <f t="shared" si="14"/>
        <v>808060.51225506887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4845746.3421856724</v>
      </c>
      <c r="E42" s="522">
        <f>IF(+I14&lt;F41,I14,D42)</f>
        <v>275721.69047619047</v>
      </c>
      <c r="F42" s="523">
        <f t="shared" si="12"/>
        <v>4570024.6517094821</v>
      </c>
      <c r="G42" s="524">
        <f t="shared" si="13"/>
        <v>778608.47995658219</v>
      </c>
      <c r="H42" s="491">
        <f t="shared" si="14"/>
        <v>778608.47995658219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4570024.6517094821</v>
      </c>
      <c r="E43" s="522">
        <f>IF(+I14&lt;F42,I14,D43)</f>
        <v>275721.69047619047</v>
      </c>
      <c r="F43" s="523">
        <f t="shared" si="12"/>
        <v>4294302.9612332918</v>
      </c>
      <c r="G43" s="524">
        <f t="shared" si="13"/>
        <v>749156.44765809539</v>
      </c>
      <c r="H43" s="491">
        <f t="shared" si="14"/>
        <v>749156.44765809539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4294302.9612332918</v>
      </c>
      <c r="E44" s="522">
        <f>IF(+I14&lt;F43,I14,D44)</f>
        <v>275721.69047619047</v>
      </c>
      <c r="F44" s="523">
        <f t="shared" si="12"/>
        <v>4018581.2707571015</v>
      </c>
      <c r="G44" s="524">
        <f t="shared" si="13"/>
        <v>719704.4153596086</v>
      </c>
      <c r="H44" s="491">
        <f t="shared" si="14"/>
        <v>719704.4153596086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4018581.2707571015</v>
      </c>
      <c r="E45" s="522">
        <f>IF(+I14&lt;F44,I14,D45)</f>
        <v>275721.69047619047</v>
      </c>
      <c r="F45" s="523">
        <f t="shared" si="12"/>
        <v>3742859.5802809112</v>
      </c>
      <c r="G45" s="524">
        <f t="shared" si="13"/>
        <v>690252.38306112168</v>
      </c>
      <c r="H45" s="491">
        <f t="shared" si="14"/>
        <v>690252.38306112168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3742859.5802809112</v>
      </c>
      <c r="E46" s="522">
        <f>IF(+I14&lt;F45,I14,D46)</f>
        <v>275721.69047619047</v>
      </c>
      <c r="F46" s="523">
        <f t="shared" si="12"/>
        <v>3467137.8898047209</v>
      </c>
      <c r="G46" s="524">
        <f t="shared" si="13"/>
        <v>660800.350762635</v>
      </c>
      <c r="H46" s="491">
        <f t="shared" si="14"/>
        <v>660800.350762635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3467137.8898047209</v>
      </c>
      <c r="E47" s="522">
        <f>IF(+I14&lt;F46,I14,D47)</f>
        <v>275721.69047619047</v>
      </c>
      <c r="F47" s="523">
        <f t="shared" si="12"/>
        <v>3191416.1993285306</v>
      </c>
      <c r="G47" s="524">
        <f t="shared" si="13"/>
        <v>631348.31846414809</v>
      </c>
      <c r="H47" s="491">
        <f t="shared" si="14"/>
        <v>631348.31846414809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3191416.1993285306</v>
      </c>
      <c r="E48" s="522">
        <f>IF(+I14&lt;F47,I14,D48)</f>
        <v>275721.69047619047</v>
      </c>
      <c r="F48" s="523">
        <f t="shared" si="12"/>
        <v>2915694.5088523403</v>
      </c>
      <c r="G48" s="524">
        <f t="shared" si="13"/>
        <v>601896.28616566141</v>
      </c>
      <c r="H48" s="491">
        <f t="shared" si="14"/>
        <v>601896.28616566141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2915694.5088523403</v>
      </c>
      <c r="E49" s="522">
        <f>IF(+I14&lt;F48,I14,D49)</f>
        <v>275721.69047619047</v>
      </c>
      <c r="F49" s="523">
        <f t="shared" ref="F49:F72" si="15">+D49-E49</f>
        <v>2639972.81837615</v>
      </c>
      <c r="G49" s="524">
        <f t="shared" si="13"/>
        <v>572444.2538671745</v>
      </c>
      <c r="H49" s="491">
        <f t="shared" si="14"/>
        <v>572444.2538671745</v>
      </c>
      <c r="I49" s="511">
        <f t="shared" ref="I49:I72" si="16">H49-G49</f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2639972.81837615</v>
      </c>
      <c r="E50" s="522">
        <f>IF(+I14&lt;F49,I14,D50)</f>
        <v>275721.69047619047</v>
      </c>
      <c r="F50" s="523">
        <f t="shared" si="15"/>
        <v>2364251.1278999597</v>
      </c>
      <c r="G50" s="524">
        <f t="shared" si="13"/>
        <v>542992.22156868782</v>
      </c>
      <c r="H50" s="491">
        <f t="shared" si="14"/>
        <v>542992.22156868782</v>
      </c>
      <c r="I50" s="511">
        <f t="shared" si="16"/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2364251.1278999597</v>
      </c>
      <c r="E51" s="522">
        <f>IF(+I14&lt;F50,I14,D51)</f>
        <v>275721.69047619047</v>
      </c>
      <c r="F51" s="523">
        <f t="shared" si="15"/>
        <v>2088529.4374237692</v>
      </c>
      <c r="G51" s="524">
        <f t="shared" si="13"/>
        <v>513540.18927020096</v>
      </c>
      <c r="H51" s="491">
        <f t="shared" si="14"/>
        <v>513540.18927020096</v>
      </c>
      <c r="I51" s="511">
        <f t="shared" si="16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2088529.4374237692</v>
      </c>
      <c r="E52" s="522">
        <f>IF(+I14&lt;F51,I14,D52)</f>
        <v>275721.69047619047</v>
      </c>
      <c r="F52" s="523">
        <f t="shared" si="15"/>
        <v>1812807.7469475786</v>
      </c>
      <c r="G52" s="524">
        <f t="shared" si="13"/>
        <v>484088.15697171411</v>
      </c>
      <c r="H52" s="491">
        <f t="shared" si="14"/>
        <v>484088.15697171411</v>
      </c>
      <c r="I52" s="511">
        <f t="shared" si="16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1812807.7469475786</v>
      </c>
      <c r="E53" s="522">
        <f>IF(+I14&lt;F52,I14,D53)</f>
        <v>275721.69047619047</v>
      </c>
      <c r="F53" s="523">
        <f t="shared" si="15"/>
        <v>1537086.0564713881</v>
      </c>
      <c r="G53" s="524">
        <f t="shared" si="13"/>
        <v>454636.12467322731</v>
      </c>
      <c r="H53" s="491">
        <f t="shared" si="14"/>
        <v>454636.12467322731</v>
      </c>
      <c r="I53" s="511">
        <f t="shared" si="16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1537086.0564713881</v>
      </c>
      <c r="E54" s="522">
        <f>IF(+I14&lt;F53,I14,D54)</f>
        <v>275721.69047619047</v>
      </c>
      <c r="F54" s="523">
        <f t="shared" si="15"/>
        <v>1261364.3659951976</v>
      </c>
      <c r="G54" s="524">
        <f t="shared" si="13"/>
        <v>425184.09237474046</v>
      </c>
      <c r="H54" s="491">
        <f t="shared" si="14"/>
        <v>425184.09237474046</v>
      </c>
      <c r="I54" s="511">
        <f t="shared" si="16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1261364.3659951976</v>
      </c>
      <c r="E55" s="522">
        <f>IF(+I14&lt;F54,I14,D55)</f>
        <v>275721.69047619047</v>
      </c>
      <c r="F55" s="523">
        <f t="shared" si="15"/>
        <v>985642.67551900703</v>
      </c>
      <c r="G55" s="524">
        <f t="shared" si="13"/>
        <v>395732.06007625366</v>
      </c>
      <c r="H55" s="491">
        <f t="shared" si="14"/>
        <v>395732.06007625366</v>
      </c>
      <c r="I55" s="511">
        <f t="shared" si="16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985642.67551900703</v>
      </c>
      <c r="E56" s="522">
        <f>IF(+I14&lt;F55,I14,D56)</f>
        <v>275721.69047619047</v>
      </c>
      <c r="F56" s="523">
        <f t="shared" si="15"/>
        <v>709920.98504281649</v>
      </c>
      <c r="G56" s="524">
        <f t="shared" si="13"/>
        <v>366280.02777776681</v>
      </c>
      <c r="H56" s="491">
        <f t="shared" si="14"/>
        <v>366280.02777776681</v>
      </c>
      <c r="I56" s="511">
        <f t="shared" si="16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709920.98504281649</v>
      </c>
      <c r="E57" s="522">
        <f>IF(+I14&lt;F56,I14,D57)</f>
        <v>275721.69047619047</v>
      </c>
      <c r="F57" s="523">
        <f t="shared" si="15"/>
        <v>434199.29456662602</v>
      </c>
      <c r="G57" s="524">
        <f t="shared" si="13"/>
        <v>336827.99547928001</v>
      </c>
      <c r="H57" s="491">
        <f t="shared" si="14"/>
        <v>336827.99547928001</v>
      </c>
      <c r="I57" s="511">
        <f t="shared" si="16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434199.29456662602</v>
      </c>
      <c r="E58" s="522">
        <f>IF(+I14&lt;F57,I14,D58)</f>
        <v>275721.69047619047</v>
      </c>
      <c r="F58" s="523">
        <f t="shared" si="15"/>
        <v>158477.60409043555</v>
      </c>
      <c r="G58" s="524">
        <f t="shared" si="13"/>
        <v>307375.96318079316</v>
      </c>
      <c r="H58" s="491">
        <f t="shared" si="14"/>
        <v>307375.96318079316</v>
      </c>
      <c r="I58" s="511">
        <f t="shared" si="16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158477.60409043555</v>
      </c>
      <c r="E59" s="522">
        <f>IF(+I14&lt;F58,I14,D59)</f>
        <v>158477.60409043555</v>
      </c>
      <c r="F59" s="523">
        <f t="shared" si="15"/>
        <v>0</v>
      </c>
      <c r="G59" s="524">
        <f t="shared" si="13"/>
        <v>166941.73236811519</v>
      </c>
      <c r="H59" s="491">
        <f t="shared" si="14"/>
        <v>166941.73236811519</v>
      </c>
      <c r="I59" s="511">
        <f t="shared" si="16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13"/>
        <v>0</v>
      </c>
      <c r="H60" s="491">
        <f t="shared" si="14"/>
        <v>0</v>
      </c>
      <c r="I60" s="511">
        <f t="shared" si="16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4">
        <f t="shared" si="13"/>
        <v>0</v>
      </c>
      <c r="H61" s="491">
        <f t="shared" si="14"/>
        <v>0</v>
      </c>
      <c r="I61" s="511">
        <f t="shared" si="16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4">
        <f t="shared" si="13"/>
        <v>0</v>
      </c>
      <c r="H62" s="491">
        <f t="shared" si="14"/>
        <v>0</v>
      </c>
      <c r="I62" s="511">
        <f t="shared" si="16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4">
        <f t="shared" si="13"/>
        <v>0</v>
      </c>
      <c r="H63" s="491">
        <f t="shared" si="14"/>
        <v>0</v>
      </c>
      <c r="I63" s="511">
        <f t="shared" si="16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4">
        <f t="shared" si="13"/>
        <v>0</v>
      </c>
      <c r="H64" s="491">
        <f t="shared" si="14"/>
        <v>0</v>
      </c>
      <c r="I64" s="511">
        <f t="shared" si="16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4">
        <f t="shared" si="13"/>
        <v>0</v>
      </c>
      <c r="H65" s="491">
        <f t="shared" si="14"/>
        <v>0</v>
      </c>
      <c r="I65" s="511">
        <f t="shared" si="16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4">
        <f t="shared" si="13"/>
        <v>0</v>
      </c>
      <c r="H66" s="491">
        <f t="shared" si="14"/>
        <v>0</v>
      </c>
      <c r="I66" s="511">
        <f t="shared" si="16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4">
        <f t="shared" si="13"/>
        <v>0</v>
      </c>
      <c r="H67" s="491">
        <f t="shared" si="14"/>
        <v>0</v>
      </c>
      <c r="I67" s="511">
        <f t="shared" si="16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4">
        <f t="shared" si="13"/>
        <v>0</v>
      </c>
      <c r="H68" s="491">
        <f t="shared" si="14"/>
        <v>0</v>
      </c>
      <c r="I68" s="511">
        <f t="shared" si="16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4">
        <f t="shared" si="13"/>
        <v>0</v>
      </c>
      <c r="H69" s="491">
        <f t="shared" si="14"/>
        <v>0</v>
      </c>
      <c r="I69" s="511">
        <f t="shared" si="16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4">
        <f t="shared" si="13"/>
        <v>0</v>
      </c>
      <c r="H70" s="491">
        <f t="shared" si="14"/>
        <v>0</v>
      </c>
      <c r="I70" s="511">
        <f t="shared" si="16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4">
        <f t="shared" si="13"/>
        <v>0</v>
      </c>
      <c r="H71" s="491">
        <f t="shared" si="14"/>
        <v>0</v>
      </c>
      <c r="I71" s="511">
        <f t="shared" si="16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24">
        <f t="shared" si="13"/>
        <v>0</v>
      </c>
      <c r="H72" s="491">
        <f t="shared" si="14"/>
        <v>0</v>
      </c>
      <c r="I72" s="531">
        <f t="shared" si="16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11580311.000000002</v>
      </c>
      <c r="F73" s="375"/>
      <c r="G73" s="375">
        <f>SUM(G17:G72)</f>
        <v>40373426.621973604</v>
      </c>
      <c r="H73" s="375">
        <f>SUM(H17:H72)</f>
        <v>40373426.621973604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4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1159599.7805450819</v>
      </c>
      <c r="N87" s="546">
        <f>IF(J92&lt;D11,0,VLOOKUP(J92,C17:O72,11))</f>
        <v>1159599.7805450819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1194290.3823298137</v>
      </c>
      <c r="N88" s="550">
        <f>IF(J92&lt;D11,0,VLOOKUP(J92,C99:P154,7))</f>
        <v>1194290.3823298137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Rebuild N. Magazine - Danville 161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34690.601784731727</v>
      </c>
      <c r="N89" s="555">
        <f>+N88-N87</f>
        <v>34690.601784731727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TP2007114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11580311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275721.69047619047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152372</v>
      </c>
      <c r="F99" s="515">
        <v>11427940</v>
      </c>
      <c r="G99" s="574">
        <v>5713970</v>
      </c>
      <c r="H99" s="575">
        <v>979399</v>
      </c>
      <c r="I99" s="576">
        <v>979399</v>
      </c>
      <c r="J99" s="514">
        <f t="shared" ref="J99:J130" si="20">+I99-H99</f>
        <v>0</v>
      </c>
      <c r="K99" s="514"/>
      <c r="L99" s="512">
        <f t="shared" ref="L99:L104" si="21">H99</f>
        <v>979399</v>
      </c>
      <c r="M99" s="513">
        <f t="shared" ref="M99:M130" si="22">IF(L99&lt;&gt;0,+H99-L99,0)</f>
        <v>0</v>
      </c>
      <c r="N99" s="512">
        <f t="shared" ref="N99:N104" si="23">I99</f>
        <v>979399</v>
      </c>
      <c r="O99" s="513">
        <f t="shared" ref="O99:O130" si="24">IF(N99&lt;&gt;0,+I99-N99,0)</f>
        <v>0</v>
      </c>
      <c r="P99" s="513">
        <f t="shared" ref="P99:P130" si="25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11427940.940000001</v>
      </c>
      <c r="E100" s="516">
        <v>282446.65707317076</v>
      </c>
      <c r="F100" s="515">
        <v>11145494.282926831</v>
      </c>
      <c r="G100" s="515">
        <v>11286717.611463416</v>
      </c>
      <c r="H100" s="516">
        <v>2145726.6474616765</v>
      </c>
      <c r="I100" s="510">
        <v>2145726.6474616765</v>
      </c>
      <c r="J100" s="514">
        <f t="shared" si="20"/>
        <v>0</v>
      </c>
      <c r="K100" s="514"/>
      <c r="L100" s="518">
        <f t="shared" si="21"/>
        <v>2145726.6474616765</v>
      </c>
      <c r="M100" s="519">
        <f t="shared" si="22"/>
        <v>0</v>
      </c>
      <c r="N100" s="518">
        <f t="shared" si="23"/>
        <v>2145726.6474616765</v>
      </c>
      <c r="O100" s="514">
        <f t="shared" si="24"/>
        <v>0</v>
      </c>
      <c r="P100" s="514">
        <f t="shared" si="25"/>
        <v>0</v>
      </c>
      <c r="Q100" s="269"/>
    </row>
    <row r="101" spans="1:17" ht="12.5">
      <c r="B101" s="195" t="str">
        <f t="shared" ref="B101:B154" si="26">IF(D101=F100,"","IU")</f>
        <v/>
      </c>
      <c r="C101" s="507">
        <f>IF(D93="","-",+C100+1)</f>
        <v>2011</v>
      </c>
      <c r="D101" s="508">
        <v>11145494.282926831</v>
      </c>
      <c r="E101" s="520">
        <v>275721.73666666669</v>
      </c>
      <c r="F101" s="515">
        <v>10869772.546260165</v>
      </c>
      <c r="G101" s="515">
        <v>11007633.414593499</v>
      </c>
      <c r="H101" s="516">
        <v>1931048.5627447576</v>
      </c>
      <c r="I101" s="510">
        <v>1931048.5627447576</v>
      </c>
      <c r="J101" s="514">
        <f t="shared" si="20"/>
        <v>0</v>
      </c>
      <c r="K101" s="514"/>
      <c r="L101" s="518">
        <f t="shared" si="21"/>
        <v>1931048.5627447576</v>
      </c>
      <c r="M101" s="519">
        <f t="shared" si="22"/>
        <v>0</v>
      </c>
      <c r="N101" s="518">
        <f t="shared" si="23"/>
        <v>1931048.5627447576</v>
      </c>
      <c r="O101" s="514">
        <f t="shared" si="24"/>
        <v>0</v>
      </c>
      <c r="P101" s="514">
        <f t="shared" si="25"/>
        <v>0</v>
      </c>
      <c r="Q101" s="269"/>
    </row>
    <row r="102" spans="1:17" ht="12.5">
      <c r="B102" s="195" t="str">
        <f t="shared" si="26"/>
        <v/>
      </c>
      <c r="C102" s="507">
        <f>IF(D93="","-",+C101+1)</f>
        <v>2012</v>
      </c>
      <c r="D102" s="508">
        <v>10869772.546260165</v>
      </c>
      <c r="E102" s="516">
        <v>275721.73666666669</v>
      </c>
      <c r="F102" s="515">
        <v>10594050.809593499</v>
      </c>
      <c r="G102" s="515">
        <v>10731911.677926831</v>
      </c>
      <c r="H102" s="516">
        <v>1854964.7357626334</v>
      </c>
      <c r="I102" s="510">
        <v>1854964.7357626334</v>
      </c>
      <c r="J102" s="514">
        <f t="shared" si="20"/>
        <v>0</v>
      </c>
      <c r="K102" s="514"/>
      <c r="L102" s="518">
        <f t="shared" si="21"/>
        <v>1854964.7357626334</v>
      </c>
      <c r="M102" s="519">
        <f t="shared" si="22"/>
        <v>0</v>
      </c>
      <c r="N102" s="518">
        <f t="shared" si="23"/>
        <v>1854964.7357626334</v>
      </c>
      <c r="O102" s="514">
        <f t="shared" si="24"/>
        <v>0</v>
      </c>
      <c r="P102" s="514">
        <f t="shared" si="25"/>
        <v>0</v>
      </c>
      <c r="Q102" s="269"/>
    </row>
    <row r="103" spans="1:17" ht="12.5">
      <c r="B103" s="195" t="str">
        <f t="shared" si="26"/>
        <v/>
      </c>
      <c r="C103" s="507">
        <f>IF(D93="","-",+C102+1)</f>
        <v>2013</v>
      </c>
      <c r="D103" s="508">
        <v>10594050.809593499</v>
      </c>
      <c r="E103" s="516">
        <v>275721.73666666669</v>
      </c>
      <c r="F103" s="515">
        <v>10318329.072926832</v>
      </c>
      <c r="G103" s="515">
        <v>10456189.941260166</v>
      </c>
      <c r="H103" s="516">
        <v>1690357.4734906773</v>
      </c>
      <c r="I103" s="510">
        <v>1690357.4734906773</v>
      </c>
      <c r="J103" s="514">
        <v>0</v>
      </c>
      <c r="K103" s="514"/>
      <c r="L103" s="518">
        <f t="shared" si="21"/>
        <v>1690357.4734906773</v>
      </c>
      <c r="M103" s="519">
        <f t="shared" ref="M103:M108" si="27">IF(L103&lt;&gt;0,+H103-L103,0)</f>
        <v>0</v>
      </c>
      <c r="N103" s="518">
        <f t="shared" si="23"/>
        <v>1690357.4734906773</v>
      </c>
      <c r="O103" s="514">
        <f t="shared" ref="O103:O108" si="28">IF(N103&lt;&gt;0,+I103-N103,0)</f>
        <v>0</v>
      </c>
      <c r="P103" s="514">
        <f t="shared" ref="P103:P108" si="29">+O103-M103</f>
        <v>0</v>
      </c>
      <c r="Q103" s="269"/>
    </row>
    <row r="104" spans="1:17" ht="12.5">
      <c r="B104" s="195" t="str">
        <f t="shared" si="26"/>
        <v/>
      </c>
      <c r="C104" s="507">
        <f>IF(D93="","-",+C103+1)</f>
        <v>2014</v>
      </c>
      <c r="D104" s="508">
        <v>10318329.072926832</v>
      </c>
      <c r="E104" s="516">
        <v>275721.73666666669</v>
      </c>
      <c r="F104" s="515">
        <v>10042607.336260166</v>
      </c>
      <c r="G104" s="515">
        <v>10180468.204593498</v>
      </c>
      <c r="H104" s="516">
        <v>1659486.1970572667</v>
      </c>
      <c r="I104" s="510">
        <v>1659486.1970572667</v>
      </c>
      <c r="J104" s="514">
        <v>0</v>
      </c>
      <c r="K104" s="514"/>
      <c r="L104" s="518">
        <f t="shared" si="21"/>
        <v>1659486.1970572667</v>
      </c>
      <c r="M104" s="519">
        <f t="shared" si="27"/>
        <v>0</v>
      </c>
      <c r="N104" s="518">
        <f t="shared" si="23"/>
        <v>1659486.1970572667</v>
      </c>
      <c r="O104" s="514">
        <f t="shared" si="28"/>
        <v>0</v>
      </c>
      <c r="P104" s="514">
        <f t="shared" si="29"/>
        <v>0</v>
      </c>
      <c r="Q104" s="269"/>
    </row>
    <row r="105" spans="1:17" ht="12.5">
      <c r="B105" s="195" t="str">
        <f t="shared" si="26"/>
        <v>IU</v>
      </c>
      <c r="C105" s="507">
        <f>IF(D93="","-",+C104+1)</f>
        <v>2015</v>
      </c>
      <c r="D105" s="508">
        <v>10042605.396260163</v>
      </c>
      <c r="E105" s="516">
        <v>275721.69047619047</v>
      </c>
      <c r="F105" s="515">
        <v>9766883.7057839725</v>
      </c>
      <c r="G105" s="515">
        <v>9904744.5510220677</v>
      </c>
      <c r="H105" s="516">
        <v>1580858.7656028033</v>
      </c>
      <c r="I105" s="510">
        <v>1580858.7656028033</v>
      </c>
      <c r="J105" s="514">
        <f t="shared" si="20"/>
        <v>0</v>
      </c>
      <c r="K105" s="514"/>
      <c r="L105" s="518">
        <f>H105</f>
        <v>1580858.7656028033</v>
      </c>
      <c r="M105" s="519">
        <f t="shared" si="27"/>
        <v>0</v>
      </c>
      <c r="N105" s="518">
        <f>I105</f>
        <v>1580858.7656028033</v>
      </c>
      <c r="O105" s="514">
        <f t="shared" si="28"/>
        <v>0</v>
      </c>
      <c r="P105" s="514">
        <f t="shared" si="29"/>
        <v>0</v>
      </c>
      <c r="Q105" s="269"/>
    </row>
    <row r="106" spans="1:17" ht="12.5">
      <c r="B106" s="195" t="str">
        <f t="shared" si="26"/>
        <v/>
      </c>
      <c r="C106" s="507">
        <f>IF(D93="","-",+C105+1)</f>
        <v>2016</v>
      </c>
      <c r="D106" s="508">
        <v>9766883.7057839725</v>
      </c>
      <c r="E106" s="516">
        <v>269309.5581395349</v>
      </c>
      <c r="F106" s="515">
        <v>9497574.1476444378</v>
      </c>
      <c r="G106" s="515">
        <v>9632228.9267142043</v>
      </c>
      <c r="H106" s="516">
        <v>1492120.9075767242</v>
      </c>
      <c r="I106" s="510">
        <v>1492120.9075767242</v>
      </c>
      <c r="J106" s="514">
        <f t="shared" si="20"/>
        <v>0</v>
      </c>
      <c r="K106" s="514"/>
      <c r="L106" s="518">
        <f>H106</f>
        <v>1492120.9075767242</v>
      </c>
      <c r="M106" s="519">
        <f t="shared" si="27"/>
        <v>0</v>
      </c>
      <c r="N106" s="518">
        <f>I106</f>
        <v>1492120.9075767242</v>
      </c>
      <c r="O106" s="514">
        <f t="shared" si="28"/>
        <v>0</v>
      </c>
      <c r="P106" s="514">
        <f t="shared" si="29"/>
        <v>0</v>
      </c>
      <c r="Q106" s="269"/>
    </row>
    <row r="107" spans="1:17" ht="12.5">
      <c r="B107" s="195" t="str">
        <f t="shared" si="26"/>
        <v/>
      </c>
      <c r="C107" s="507">
        <f>IF(D93="","-",+C106+1)</f>
        <v>2017</v>
      </c>
      <c r="D107" s="508">
        <v>9497574.1476444378</v>
      </c>
      <c r="E107" s="516">
        <v>275721.69047619047</v>
      </c>
      <c r="F107" s="515">
        <v>9221852.4571682476</v>
      </c>
      <c r="G107" s="515">
        <v>9359713.3024063427</v>
      </c>
      <c r="H107" s="516">
        <v>1412659.7088236467</v>
      </c>
      <c r="I107" s="510">
        <v>1412659.7088236467</v>
      </c>
      <c r="J107" s="514">
        <f t="shared" si="20"/>
        <v>0</v>
      </c>
      <c r="K107" s="514"/>
      <c r="L107" s="518">
        <f>H107</f>
        <v>1412659.7088236467</v>
      </c>
      <c r="M107" s="519">
        <f t="shared" si="27"/>
        <v>0</v>
      </c>
      <c r="N107" s="518">
        <f>I107</f>
        <v>1412659.7088236467</v>
      </c>
      <c r="O107" s="514">
        <f t="shared" si="28"/>
        <v>0</v>
      </c>
      <c r="P107" s="514">
        <f t="shared" si="29"/>
        <v>0</v>
      </c>
      <c r="Q107" s="269"/>
    </row>
    <row r="108" spans="1:17" ht="12.5">
      <c r="B108" s="195" t="str">
        <f t="shared" si="26"/>
        <v/>
      </c>
      <c r="C108" s="507">
        <f>IF(D93="","-",+C107+1)</f>
        <v>2018</v>
      </c>
      <c r="D108" s="508">
        <v>9221852.4571682476</v>
      </c>
      <c r="E108" s="516">
        <v>275721.69047619047</v>
      </c>
      <c r="F108" s="515">
        <v>8946130.7666920573</v>
      </c>
      <c r="G108" s="515">
        <v>9083991.6119301524</v>
      </c>
      <c r="H108" s="516">
        <v>1235032.8622445145</v>
      </c>
      <c r="I108" s="510">
        <v>1235032.8622445145</v>
      </c>
      <c r="J108" s="514">
        <f t="shared" si="20"/>
        <v>0</v>
      </c>
      <c r="K108" s="514"/>
      <c r="L108" s="518">
        <f>H108</f>
        <v>1235032.8622445145</v>
      </c>
      <c r="M108" s="519">
        <f t="shared" si="27"/>
        <v>0</v>
      </c>
      <c r="N108" s="518">
        <f>I108</f>
        <v>1235032.8622445145</v>
      </c>
      <c r="O108" s="514">
        <f t="shared" si="28"/>
        <v>0</v>
      </c>
      <c r="P108" s="514">
        <f t="shared" si="29"/>
        <v>0</v>
      </c>
      <c r="Q108" s="269"/>
    </row>
    <row r="109" spans="1:17" ht="12.5">
      <c r="B109" s="195" t="str">
        <f t="shared" si="26"/>
        <v/>
      </c>
      <c r="C109" s="507">
        <f>IF(D93="","-",+C108+1)</f>
        <v>2019</v>
      </c>
      <c r="D109" s="508">
        <v>8946130.7666920573</v>
      </c>
      <c r="E109" s="516">
        <v>269309.5581395349</v>
      </c>
      <c r="F109" s="515">
        <v>8676821.2085525226</v>
      </c>
      <c r="G109" s="515">
        <v>8811475.9876222908</v>
      </c>
      <c r="H109" s="516">
        <v>1212494.7636968775</v>
      </c>
      <c r="I109" s="510">
        <v>1212494.7636968775</v>
      </c>
      <c r="J109" s="514">
        <f t="shared" si="20"/>
        <v>0</v>
      </c>
      <c r="K109" s="514"/>
      <c r="L109" s="518">
        <f>H109</f>
        <v>1212494.7636968775</v>
      </c>
      <c r="M109" s="519">
        <f t="shared" ref="M109" si="30">IF(L109&lt;&gt;0,+H109-L109,0)</f>
        <v>0</v>
      </c>
      <c r="N109" s="518">
        <f>I109</f>
        <v>1212494.7636968775</v>
      </c>
      <c r="O109" s="514">
        <f t="shared" si="24"/>
        <v>0</v>
      </c>
      <c r="P109" s="514">
        <f t="shared" si="25"/>
        <v>0</v>
      </c>
      <c r="Q109" s="269"/>
    </row>
    <row r="110" spans="1:17" ht="12.5">
      <c r="B110" s="195" t="str">
        <f t="shared" si="26"/>
        <v/>
      </c>
      <c r="C110" s="507">
        <f>IF(D93="","-",+C109+1)</f>
        <v>2020</v>
      </c>
      <c r="D110" s="374">
        <f>IF(F109+SUM(E$99:E109)=D$92,F109,D$92-SUM(E$99:E109))</f>
        <v>8676821.2085525226</v>
      </c>
      <c r="E110" s="522">
        <f>IF(+J96&lt;F109,J96,D110)</f>
        <v>275721.69047619047</v>
      </c>
      <c r="F110" s="523">
        <f t="shared" ref="F110:F130" si="31">+D110-E110</f>
        <v>8401099.5180763323</v>
      </c>
      <c r="G110" s="523">
        <f t="shared" ref="G110:G130" si="32">+(F110+D110)/2</f>
        <v>8538960.3633144274</v>
      </c>
      <c r="H110" s="526">
        <f>+J$94*G110+E110</f>
        <v>1194290.3823298137</v>
      </c>
      <c r="I110" s="577">
        <f>+J$95*G110+E110</f>
        <v>1194290.3823298137</v>
      </c>
      <c r="J110" s="514">
        <f t="shared" si="20"/>
        <v>0</v>
      </c>
      <c r="K110" s="514"/>
      <c r="L110" s="525"/>
      <c r="M110" s="514">
        <f t="shared" si="22"/>
        <v>0</v>
      </c>
      <c r="N110" s="525"/>
      <c r="O110" s="514">
        <f t="shared" si="24"/>
        <v>0</v>
      </c>
      <c r="P110" s="514">
        <f t="shared" si="25"/>
        <v>0</v>
      </c>
      <c r="Q110" s="269"/>
    </row>
    <row r="111" spans="1:17" ht="12.5">
      <c r="B111" s="195" t="str">
        <f t="shared" si="26"/>
        <v/>
      </c>
      <c r="C111" s="507">
        <f>IF(D93="","-",+C110+1)</f>
        <v>2021</v>
      </c>
      <c r="D111" s="374">
        <f>IF(F110+SUM(E$99:E110)=D$92,F110,D$92-SUM(E$99:E110))</f>
        <v>8401099.5180763323</v>
      </c>
      <c r="E111" s="522">
        <f>IF(+J96&lt;F110,J96,D111)</f>
        <v>275721.69047619047</v>
      </c>
      <c r="F111" s="523">
        <f t="shared" si="31"/>
        <v>8125377.827600142</v>
      </c>
      <c r="G111" s="523">
        <f t="shared" si="32"/>
        <v>8263238.6728382371</v>
      </c>
      <c r="H111" s="526">
        <f>+J$94*G111+E111</f>
        <v>1164629.9433817079</v>
      </c>
      <c r="I111" s="577">
        <f>+J$95*G111+E111</f>
        <v>1164629.9433817079</v>
      </c>
      <c r="J111" s="514">
        <f t="shared" si="20"/>
        <v>0</v>
      </c>
      <c r="K111" s="514"/>
      <c r="L111" s="525"/>
      <c r="M111" s="514">
        <f t="shared" si="22"/>
        <v>0</v>
      </c>
      <c r="N111" s="525"/>
      <c r="O111" s="514">
        <f t="shared" si="24"/>
        <v>0</v>
      </c>
      <c r="P111" s="514">
        <f t="shared" si="25"/>
        <v>0</v>
      </c>
      <c r="Q111" s="269"/>
    </row>
    <row r="112" spans="1:17" ht="12.5">
      <c r="B112" s="195" t="str">
        <f t="shared" si="26"/>
        <v/>
      </c>
      <c r="C112" s="507">
        <f>IF(D93="","-",+C111+1)</f>
        <v>2022</v>
      </c>
      <c r="D112" s="374">
        <f>IF(F111+SUM(E$99:E111)=D$92,F111,D$92-SUM(E$99:E111))</f>
        <v>8125377.827600142</v>
      </c>
      <c r="E112" s="522">
        <f>IF(+J96&lt;F111,J96,D112)</f>
        <v>275721.69047619047</v>
      </c>
      <c r="F112" s="523">
        <f t="shared" si="31"/>
        <v>7849656.1371239517</v>
      </c>
      <c r="G112" s="523">
        <f t="shared" si="32"/>
        <v>7987516.9823620468</v>
      </c>
      <c r="H112" s="526">
        <f>+J$94*G112+E112</f>
        <v>1134969.5044336019</v>
      </c>
      <c r="I112" s="577">
        <f>+J$95*G112+E112</f>
        <v>1134969.5044336019</v>
      </c>
      <c r="J112" s="514">
        <f t="shared" si="20"/>
        <v>0</v>
      </c>
      <c r="K112" s="514"/>
      <c r="L112" s="525"/>
      <c r="M112" s="514">
        <f t="shared" si="22"/>
        <v>0</v>
      </c>
      <c r="N112" s="525"/>
      <c r="O112" s="514">
        <f t="shared" si="24"/>
        <v>0</v>
      </c>
      <c r="P112" s="514">
        <f t="shared" si="25"/>
        <v>0</v>
      </c>
      <c r="Q112" s="269"/>
    </row>
    <row r="113" spans="2:17" ht="12.5">
      <c r="B113" s="195" t="str">
        <f t="shared" si="26"/>
        <v/>
      </c>
      <c r="C113" s="507">
        <f>IF(D93="","-",+C112+1)</f>
        <v>2023</v>
      </c>
      <c r="D113" s="374">
        <f>IF(F112+SUM(E$99:E112)=D$92,F112,D$92-SUM(E$99:E112))</f>
        <v>7849656.1371239517</v>
      </c>
      <c r="E113" s="522">
        <f>IF(+J96&lt;F112,J96,D113)</f>
        <v>275721.69047619047</v>
      </c>
      <c r="F113" s="523">
        <f t="shared" si="31"/>
        <v>7573934.4466477614</v>
      </c>
      <c r="G113" s="523">
        <f t="shared" si="32"/>
        <v>7711795.2918858565</v>
      </c>
      <c r="H113" s="526">
        <f t="shared" ref="H113:H154" si="33">+J$94*G113+E113</f>
        <v>1105309.0654854961</v>
      </c>
      <c r="I113" s="577">
        <f t="shared" ref="I113:I154" si="34">+J$95*G113+E113</f>
        <v>1105309.0654854961</v>
      </c>
      <c r="J113" s="514">
        <f t="shared" si="20"/>
        <v>0</v>
      </c>
      <c r="K113" s="514"/>
      <c r="L113" s="525"/>
      <c r="M113" s="514">
        <f t="shared" si="22"/>
        <v>0</v>
      </c>
      <c r="N113" s="525"/>
      <c r="O113" s="514">
        <f t="shared" si="24"/>
        <v>0</v>
      </c>
      <c r="P113" s="514">
        <f t="shared" si="25"/>
        <v>0</v>
      </c>
      <c r="Q113" s="269"/>
    </row>
    <row r="114" spans="2:17" ht="12.5">
      <c r="B114" s="195" t="str">
        <f t="shared" si="26"/>
        <v/>
      </c>
      <c r="C114" s="507">
        <f>IF(D93="","-",+C113+1)</f>
        <v>2024</v>
      </c>
      <c r="D114" s="374">
        <f>IF(F113+SUM(E$99:E113)=D$92,F113,D$92-SUM(E$99:E113))</f>
        <v>7573934.4466477614</v>
      </c>
      <c r="E114" s="522">
        <f>IF(+J96&lt;F113,J96,D114)</f>
        <v>275721.69047619047</v>
      </c>
      <c r="F114" s="523">
        <f t="shared" si="31"/>
        <v>7298212.7561715711</v>
      </c>
      <c r="G114" s="523">
        <f t="shared" si="32"/>
        <v>7436073.6014096662</v>
      </c>
      <c r="H114" s="526">
        <f t="shared" si="33"/>
        <v>1075648.6265373901</v>
      </c>
      <c r="I114" s="577">
        <f t="shared" si="34"/>
        <v>1075648.6265373901</v>
      </c>
      <c r="J114" s="514">
        <f t="shared" si="20"/>
        <v>0</v>
      </c>
      <c r="K114" s="514"/>
      <c r="L114" s="525"/>
      <c r="M114" s="514">
        <f t="shared" si="22"/>
        <v>0</v>
      </c>
      <c r="N114" s="525"/>
      <c r="O114" s="514">
        <f t="shared" si="24"/>
        <v>0</v>
      </c>
      <c r="P114" s="514">
        <f t="shared" si="25"/>
        <v>0</v>
      </c>
      <c r="Q114" s="269"/>
    </row>
    <row r="115" spans="2:17" ht="12.5">
      <c r="B115" s="195" t="str">
        <f t="shared" si="26"/>
        <v/>
      </c>
      <c r="C115" s="507">
        <f>IF(D93="","-",+C114+1)</f>
        <v>2025</v>
      </c>
      <c r="D115" s="374">
        <f>IF(F114+SUM(E$99:E114)=D$92,F114,D$92-SUM(E$99:E114))</f>
        <v>7298212.7561715711</v>
      </c>
      <c r="E115" s="522">
        <f>IF(+J96&lt;F114,J96,D115)</f>
        <v>275721.69047619047</v>
      </c>
      <c r="F115" s="523">
        <f t="shared" si="31"/>
        <v>7022491.0656953808</v>
      </c>
      <c r="G115" s="523">
        <f t="shared" si="32"/>
        <v>7160351.9109334759</v>
      </c>
      <c r="H115" s="526">
        <f t="shared" si="33"/>
        <v>1045988.1875892843</v>
      </c>
      <c r="I115" s="577">
        <f t="shared" si="34"/>
        <v>1045988.1875892843</v>
      </c>
      <c r="J115" s="514">
        <f t="shared" si="20"/>
        <v>0</v>
      </c>
      <c r="K115" s="514"/>
      <c r="L115" s="525"/>
      <c r="M115" s="514">
        <f t="shared" si="22"/>
        <v>0</v>
      </c>
      <c r="N115" s="525"/>
      <c r="O115" s="514">
        <f t="shared" si="24"/>
        <v>0</v>
      </c>
      <c r="P115" s="514">
        <f t="shared" si="25"/>
        <v>0</v>
      </c>
      <c r="Q115" s="269"/>
    </row>
    <row r="116" spans="2:17" ht="12.5">
      <c r="B116" s="195" t="str">
        <f t="shared" si="26"/>
        <v/>
      </c>
      <c r="C116" s="507">
        <f>IF(D93="","-",+C115+1)</f>
        <v>2026</v>
      </c>
      <c r="D116" s="374">
        <f>IF(F115+SUM(E$99:E115)=D$92,F115,D$92-SUM(E$99:E115))</f>
        <v>7022491.0656953808</v>
      </c>
      <c r="E116" s="522">
        <f>IF(+J96&lt;F115,J96,D116)</f>
        <v>275721.69047619047</v>
      </c>
      <c r="F116" s="523">
        <f t="shared" si="31"/>
        <v>6746769.3752191905</v>
      </c>
      <c r="G116" s="523">
        <f t="shared" si="32"/>
        <v>6884630.2204572856</v>
      </c>
      <c r="H116" s="526">
        <f t="shared" si="33"/>
        <v>1016327.7486411782</v>
      </c>
      <c r="I116" s="577">
        <f t="shared" si="34"/>
        <v>1016327.7486411782</v>
      </c>
      <c r="J116" s="514">
        <f t="shared" si="20"/>
        <v>0</v>
      </c>
      <c r="K116" s="514"/>
      <c r="L116" s="525"/>
      <c r="M116" s="514">
        <f t="shared" si="22"/>
        <v>0</v>
      </c>
      <c r="N116" s="525"/>
      <c r="O116" s="514">
        <f t="shared" si="24"/>
        <v>0</v>
      </c>
      <c r="P116" s="514">
        <f t="shared" si="25"/>
        <v>0</v>
      </c>
      <c r="Q116" s="269"/>
    </row>
    <row r="117" spans="2:17" ht="12.5">
      <c r="B117" s="195" t="str">
        <f t="shared" si="26"/>
        <v/>
      </c>
      <c r="C117" s="507">
        <f>IF(D93="","-",+C116+1)</f>
        <v>2027</v>
      </c>
      <c r="D117" s="374">
        <f>IF(F116+SUM(E$99:E116)=D$92,F116,D$92-SUM(E$99:E116))</f>
        <v>6746769.3752191905</v>
      </c>
      <c r="E117" s="522">
        <f>IF(+J96&lt;F116,J96,D117)</f>
        <v>275721.69047619047</v>
      </c>
      <c r="F117" s="523">
        <f t="shared" si="31"/>
        <v>6471047.6847430002</v>
      </c>
      <c r="G117" s="523">
        <f t="shared" si="32"/>
        <v>6608908.5299810953</v>
      </c>
      <c r="H117" s="526">
        <f t="shared" si="33"/>
        <v>986667.30969307246</v>
      </c>
      <c r="I117" s="577">
        <f t="shared" si="34"/>
        <v>986667.30969307246</v>
      </c>
      <c r="J117" s="514">
        <f t="shared" si="20"/>
        <v>0</v>
      </c>
      <c r="K117" s="514"/>
      <c r="L117" s="525"/>
      <c r="M117" s="514">
        <f t="shared" si="22"/>
        <v>0</v>
      </c>
      <c r="N117" s="525"/>
      <c r="O117" s="514">
        <f t="shared" si="24"/>
        <v>0</v>
      </c>
      <c r="P117" s="514">
        <f t="shared" si="25"/>
        <v>0</v>
      </c>
      <c r="Q117" s="269"/>
    </row>
    <row r="118" spans="2:17" ht="12.5">
      <c r="B118" s="195" t="str">
        <f t="shared" si="26"/>
        <v/>
      </c>
      <c r="C118" s="507">
        <f>IF(D93="","-",+C117+1)</f>
        <v>2028</v>
      </c>
      <c r="D118" s="374">
        <f>IF(F117+SUM(E$99:E117)=D$92,F117,D$92-SUM(E$99:E117))</f>
        <v>6471047.6847430002</v>
      </c>
      <c r="E118" s="522">
        <f>IF(+J96&lt;F117,J96,D118)</f>
        <v>275721.69047619047</v>
      </c>
      <c r="F118" s="523">
        <f t="shared" si="31"/>
        <v>6195325.9942668099</v>
      </c>
      <c r="G118" s="523">
        <f t="shared" si="32"/>
        <v>6333186.839504905</v>
      </c>
      <c r="H118" s="526">
        <f t="shared" si="33"/>
        <v>957006.87074496644</v>
      </c>
      <c r="I118" s="577">
        <f t="shared" si="34"/>
        <v>957006.87074496644</v>
      </c>
      <c r="J118" s="514">
        <f t="shared" si="20"/>
        <v>0</v>
      </c>
      <c r="K118" s="514"/>
      <c r="L118" s="525"/>
      <c r="M118" s="514">
        <f t="shared" si="22"/>
        <v>0</v>
      </c>
      <c r="N118" s="525"/>
      <c r="O118" s="514">
        <f t="shared" si="24"/>
        <v>0</v>
      </c>
      <c r="P118" s="514">
        <f t="shared" si="25"/>
        <v>0</v>
      </c>
      <c r="Q118" s="269"/>
    </row>
    <row r="119" spans="2:17" ht="12.5">
      <c r="B119" s="195" t="str">
        <f t="shared" si="26"/>
        <v/>
      </c>
      <c r="C119" s="507">
        <f>IF(D93="","-",+C118+1)</f>
        <v>2029</v>
      </c>
      <c r="D119" s="374">
        <f>IF(F118+SUM(E$99:E118)=D$92,F118,D$92-SUM(E$99:E118))</f>
        <v>6195325.9942668099</v>
      </c>
      <c r="E119" s="522">
        <f>IF(+J96&lt;F118,J96,D119)</f>
        <v>275721.69047619047</v>
      </c>
      <c r="F119" s="523">
        <f t="shared" si="31"/>
        <v>5919604.3037906196</v>
      </c>
      <c r="G119" s="523">
        <f t="shared" si="32"/>
        <v>6057465.1490287147</v>
      </c>
      <c r="H119" s="526">
        <f t="shared" si="33"/>
        <v>927346.43179686065</v>
      </c>
      <c r="I119" s="577">
        <f t="shared" si="34"/>
        <v>927346.43179686065</v>
      </c>
      <c r="J119" s="514">
        <f t="shared" si="20"/>
        <v>0</v>
      </c>
      <c r="K119" s="514"/>
      <c r="L119" s="525"/>
      <c r="M119" s="514">
        <f t="shared" si="22"/>
        <v>0</v>
      </c>
      <c r="N119" s="525"/>
      <c r="O119" s="514">
        <f t="shared" si="24"/>
        <v>0</v>
      </c>
      <c r="P119" s="514">
        <f t="shared" si="25"/>
        <v>0</v>
      </c>
      <c r="Q119" s="269"/>
    </row>
    <row r="120" spans="2:17" ht="12.5">
      <c r="B120" s="195" t="str">
        <f t="shared" si="26"/>
        <v/>
      </c>
      <c r="C120" s="507">
        <f>IF(D93="","-",+C119+1)</f>
        <v>2030</v>
      </c>
      <c r="D120" s="374">
        <f>IF(F119+SUM(E$99:E119)=D$92,F119,D$92-SUM(E$99:E119))</f>
        <v>5919604.3037906196</v>
      </c>
      <c r="E120" s="522">
        <f>IF(+J96&lt;F119,J96,D120)</f>
        <v>275721.69047619047</v>
      </c>
      <c r="F120" s="523">
        <f t="shared" si="31"/>
        <v>5643882.6133144293</v>
      </c>
      <c r="G120" s="523">
        <f t="shared" si="32"/>
        <v>5781743.4585525244</v>
      </c>
      <c r="H120" s="526">
        <f t="shared" si="33"/>
        <v>897685.99284875463</v>
      </c>
      <c r="I120" s="577">
        <f t="shared" si="34"/>
        <v>897685.99284875463</v>
      </c>
      <c r="J120" s="514">
        <f t="shared" si="20"/>
        <v>0</v>
      </c>
      <c r="K120" s="514"/>
      <c r="L120" s="525"/>
      <c r="M120" s="514">
        <f t="shared" si="22"/>
        <v>0</v>
      </c>
      <c r="N120" s="525"/>
      <c r="O120" s="514">
        <f t="shared" si="24"/>
        <v>0</v>
      </c>
      <c r="P120" s="514">
        <f t="shared" si="25"/>
        <v>0</v>
      </c>
      <c r="Q120" s="269"/>
    </row>
    <row r="121" spans="2:17" ht="12.5">
      <c r="B121" s="195" t="str">
        <f t="shared" si="26"/>
        <v/>
      </c>
      <c r="C121" s="507">
        <f>IF(D93="","-",+C120+1)</f>
        <v>2031</v>
      </c>
      <c r="D121" s="374">
        <f>IF(F120+SUM(E$99:E120)=D$92,F120,D$92-SUM(E$99:E120))</f>
        <v>5643882.6133144293</v>
      </c>
      <c r="E121" s="522">
        <f>IF(+J96&lt;F120,J96,D121)</f>
        <v>275721.69047619047</v>
      </c>
      <c r="F121" s="523">
        <f t="shared" si="31"/>
        <v>5368160.922838239</v>
      </c>
      <c r="G121" s="523">
        <f t="shared" si="32"/>
        <v>5506021.7680763341</v>
      </c>
      <c r="H121" s="526">
        <f t="shared" si="33"/>
        <v>868025.55390064884</v>
      </c>
      <c r="I121" s="577">
        <f t="shared" si="34"/>
        <v>868025.55390064884</v>
      </c>
      <c r="J121" s="514">
        <f t="shared" si="20"/>
        <v>0</v>
      </c>
      <c r="K121" s="514"/>
      <c r="L121" s="525"/>
      <c r="M121" s="514">
        <f t="shared" si="22"/>
        <v>0</v>
      </c>
      <c r="N121" s="525"/>
      <c r="O121" s="514">
        <f t="shared" si="24"/>
        <v>0</v>
      </c>
      <c r="P121" s="514">
        <f t="shared" si="25"/>
        <v>0</v>
      </c>
      <c r="Q121" s="269"/>
    </row>
    <row r="122" spans="2:17" ht="12.5">
      <c r="B122" s="195" t="str">
        <f t="shared" si="26"/>
        <v/>
      </c>
      <c r="C122" s="507">
        <f>IF(D93="","-",+C121+1)</f>
        <v>2032</v>
      </c>
      <c r="D122" s="374">
        <f>IF(F121+SUM(E$99:E121)=D$92,F121,D$92-SUM(E$99:E121))</f>
        <v>5368160.922838239</v>
      </c>
      <c r="E122" s="522">
        <f>IF(+J96&lt;F121,J96,D122)</f>
        <v>275721.69047619047</v>
      </c>
      <c r="F122" s="523">
        <f t="shared" si="31"/>
        <v>5092439.2323620487</v>
      </c>
      <c r="G122" s="523">
        <f t="shared" si="32"/>
        <v>5230300.0776001438</v>
      </c>
      <c r="H122" s="526">
        <f t="shared" si="33"/>
        <v>838365.11495254282</v>
      </c>
      <c r="I122" s="577">
        <f t="shared" si="34"/>
        <v>838365.11495254282</v>
      </c>
      <c r="J122" s="514">
        <f t="shared" si="20"/>
        <v>0</v>
      </c>
      <c r="K122" s="514"/>
      <c r="L122" s="525"/>
      <c r="M122" s="514">
        <f t="shared" si="22"/>
        <v>0</v>
      </c>
      <c r="N122" s="525"/>
      <c r="O122" s="514">
        <f t="shared" si="24"/>
        <v>0</v>
      </c>
      <c r="P122" s="514">
        <f t="shared" si="25"/>
        <v>0</v>
      </c>
      <c r="Q122" s="269"/>
    </row>
    <row r="123" spans="2:17" ht="12.5">
      <c r="B123" s="195" t="str">
        <f t="shared" si="26"/>
        <v/>
      </c>
      <c r="C123" s="507">
        <f>IF(D93="","-",+C122+1)</f>
        <v>2033</v>
      </c>
      <c r="D123" s="374">
        <f>IF(F122+SUM(E$99:E122)=D$92,F122,D$92-SUM(E$99:E122))</f>
        <v>5092439.2323620487</v>
      </c>
      <c r="E123" s="522">
        <f>IF(+J96&lt;F122,J96,D123)</f>
        <v>275721.69047619047</v>
      </c>
      <c r="F123" s="523">
        <f t="shared" si="31"/>
        <v>4816717.5418858584</v>
      </c>
      <c r="G123" s="523">
        <f t="shared" si="32"/>
        <v>4954578.3871239536</v>
      </c>
      <c r="H123" s="526">
        <f t="shared" si="33"/>
        <v>808704.67600443703</v>
      </c>
      <c r="I123" s="577">
        <f t="shared" si="34"/>
        <v>808704.67600443703</v>
      </c>
      <c r="J123" s="514">
        <f t="shared" si="20"/>
        <v>0</v>
      </c>
      <c r="K123" s="514"/>
      <c r="L123" s="525"/>
      <c r="M123" s="514">
        <f t="shared" si="22"/>
        <v>0</v>
      </c>
      <c r="N123" s="525"/>
      <c r="O123" s="514">
        <f t="shared" si="24"/>
        <v>0</v>
      </c>
      <c r="P123" s="514">
        <f t="shared" si="25"/>
        <v>0</v>
      </c>
      <c r="Q123" s="269"/>
    </row>
    <row r="124" spans="2:17" ht="12.5">
      <c r="B124" s="195" t="str">
        <f t="shared" si="26"/>
        <v/>
      </c>
      <c r="C124" s="507">
        <f>IF(D93="","-",+C123+1)</f>
        <v>2034</v>
      </c>
      <c r="D124" s="374">
        <f>IF(F123+SUM(E$99:E123)=D$92,F123,D$92-SUM(E$99:E123))</f>
        <v>4816717.5418858584</v>
      </c>
      <c r="E124" s="522">
        <f>IF(+J96&lt;F123,J96,D124)</f>
        <v>275721.69047619047</v>
      </c>
      <c r="F124" s="523">
        <f t="shared" si="31"/>
        <v>4540995.8514096681</v>
      </c>
      <c r="G124" s="523">
        <f t="shared" si="32"/>
        <v>4678856.6966477633</v>
      </c>
      <c r="H124" s="526">
        <f t="shared" si="33"/>
        <v>779044.23705633113</v>
      </c>
      <c r="I124" s="577">
        <f t="shared" si="34"/>
        <v>779044.23705633113</v>
      </c>
      <c r="J124" s="514">
        <f t="shared" si="20"/>
        <v>0</v>
      </c>
      <c r="K124" s="514"/>
      <c r="L124" s="525"/>
      <c r="M124" s="514">
        <f t="shared" si="22"/>
        <v>0</v>
      </c>
      <c r="N124" s="525"/>
      <c r="O124" s="514">
        <f t="shared" si="24"/>
        <v>0</v>
      </c>
      <c r="P124" s="514">
        <f t="shared" si="25"/>
        <v>0</v>
      </c>
      <c r="Q124" s="269"/>
    </row>
    <row r="125" spans="2:17" ht="12.5">
      <c r="B125" s="195" t="str">
        <f t="shared" si="26"/>
        <v/>
      </c>
      <c r="C125" s="507">
        <f>IF(D93="","-",+C124+1)</f>
        <v>2035</v>
      </c>
      <c r="D125" s="374">
        <f>IF(F124+SUM(E$99:E124)=D$92,F124,D$92-SUM(E$99:E124))</f>
        <v>4540995.8514096681</v>
      </c>
      <c r="E125" s="522">
        <f>IF(+J96&lt;F124,J96,D125)</f>
        <v>275721.69047619047</v>
      </c>
      <c r="F125" s="523">
        <f t="shared" si="31"/>
        <v>4265274.1609334778</v>
      </c>
      <c r="G125" s="523">
        <f t="shared" si="32"/>
        <v>4403135.006171573</v>
      </c>
      <c r="H125" s="526">
        <f t="shared" si="33"/>
        <v>749383.79810822522</v>
      </c>
      <c r="I125" s="577">
        <f t="shared" si="34"/>
        <v>749383.79810822522</v>
      </c>
      <c r="J125" s="514">
        <f t="shared" si="20"/>
        <v>0</v>
      </c>
      <c r="K125" s="514"/>
      <c r="L125" s="525"/>
      <c r="M125" s="514">
        <f t="shared" si="22"/>
        <v>0</v>
      </c>
      <c r="N125" s="525"/>
      <c r="O125" s="514">
        <f t="shared" si="24"/>
        <v>0</v>
      </c>
      <c r="P125" s="514">
        <f t="shared" si="25"/>
        <v>0</v>
      </c>
      <c r="Q125" s="269"/>
    </row>
    <row r="126" spans="2:17" ht="12.5">
      <c r="B126" s="195" t="str">
        <f t="shared" si="26"/>
        <v/>
      </c>
      <c r="C126" s="507">
        <f>IF(D93="","-",+C125+1)</f>
        <v>2036</v>
      </c>
      <c r="D126" s="374">
        <f>IF(F125+SUM(E$99:E125)=D$92,F125,D$92-SUM(E$99:E125))</f>
        <v>4265274.1609334778</v>
      </c>
      <c r="E126" s="522">
        <f>IF(+J96&lt;F125,J96,D126)</f>
        <v>275721.69047619047</v>
      </c>
      <c r="F126" s="523">
        <f t="shared" si="31"/>
        <v>3989552.4704572875</v>
      </c>
      <c r="G126" s="523">
        <f t="shared" si="32"/>
        <v>4127413.3156953827</v>
      </c>
      <c r="H126" s="526">
        <f t="shared" si="33"/>
        <v>719723.35916011932</v>
      </c>
      <c r="I126" s="577">
        <f t="shared" si="34"/>
        <v>719723.35916011932</v>
      </c>
      <c r="J126" s="514">
        <f t="shared" si="20"/>
        <v>0</v>
      </c>
      <c r="K126" s="514"/>
      <c r="L126" s="525"/>
      <c r="M126" s="514">
        <f t="shared" si="22"/>
        <v>0</v>
      </c>
      <c r="N126" s="525"/>
      <c r="O126" s="514">
        <f t="shared" si="24"/>
        <v>0</v>
      </c>
      <c r="P126" s="514">
        <f t="shared" si="25"/>
        <v>0</v>
      </c>
      <c r="Q126" s="269"/>
    </row>
    <row r="127" spans="2:17" ht="12.5">
      <c r="B127" s="195" t="str">
        <f t="shared" si="26"/>
        <v/>
      </c>
      <c r="C127" s="507">
        <f>IF(D93="","-",+C126+1)</f>
        <v>2037</v>
      </c>
      <c r="D127" s="374">
        <f>IF(F126+SUM(E$99:E126)=D$92,F126,D$92-SUM(E$99:E126))</f>
        <v>3989552.4704572875</v>
      </c>
      <c r="E127" s="522">
        <f>IF(+J96&lt;F126,J96,D127)</f>
        <v>275721.69047619047</v>
      </c>
      <c r="F127" s="523">
        <f t="shared" si="31"/>
        <v>3713830.7799810972</v>
      </c>
      <c r="G127" s="523">
        <f t="shared" si="32"/>
        <v>3851691.6252191924</v>
      </c>
      <c r="H127" s="526">
        <f t="shared" si="33"/>
        <v>690062.92021201341</v>
      </c>
      <c r="I127" s="577">
        <f t="shared" si="34"/>
        <v>690062.92021201341</v>
      </c>
      <c r="J127" s="514">
        <f t="shared" si="20"/>
        <v>0</v>
      </c>
      <c r="K127" s="514"/>
      <c r="L127" s="525"/>
      <c r="M127" s="514">
        <f t="shared" si="22"/>
        <v>0</v>
      </c>
      <c r="N127" s="525"/>
      <c r="O127" s="514">
        <f t="shared" si="24"/>
        <v>0</v>
      </c>
      <c r="P127" s="514">
        <f t="shared" si="25"/>
        <v>0</v>
      </c>
      <c r="Q127" s="269"/>
    </row>
    <row r="128" spans="2:17" ht="12.5">
      <c r="B128" s="195" t="str">
        <f t="shared" si="26"/>
        <v/>
      </c>
      <c r="C128" s="507">
        <f>IF(D93="","-",+C127+1)</f>
        <v>2038</v>
      </c>
      <c r="D128" s="374">
        <f>IF(F127+SUM(E$99:E127)=D$92,F127,D$92-SUM(E$99:E127))</f>
        <v>3713830.7799810972</v>
      </c>
      <c r="E128" s="522">
        <f>IF(+J96&lt;F127,J96,D128)</f>
        <v>275721.69047619047</v>
      </c>
      <c r="F128" s="523">
        <f t="shared" si="31"/>
        <v>3438109.0895049069</v>
      </c>
      <c r="G128" s="523">
        <f t="shared" si="32"/>
        <v>3575969.9347430021</v>
      </c>
      <c r="H128" s="526">
        <f t="shared" si="33"/>
        <v>660402.48126390751</v>
      </c>
      <c r="I128" s="577">
        <f t="shared" si="34"/>
        <v>660402.48126390751</v>
      </c>
      <c r="J128" s="514">
        <f t="shared" si="20"/>
        <v>0</v>
      </c>
      <c r="K128" s="514"/>
      <c r="L128" s="525"/>
      <c r="M128" s="514">
        <f t="shared" si="22"/>
        <v>0</v>
      </c>
      <c r="N128" s="525"/>
      <c r="O128" s="514">
        <f t="shared" si="24"/>
        <v>0</v>
      </c>
      <c r="P128" s="514">
        <f t="shared" si="25"/>
        <v>0</v>
      </c>
      <c r="Q128" s="269"/>
    </row>
    <row r="129" spans="2:17" ht="12.5">
      <c r="B129" s="195" t="str">
        <f t="shared" si="26"/>
        <v/>
      </c>
      <c r="C129" s="507">
        <f>IF(D93="","-",+C128+1)</f>
        <v>2039</v>
      </c>
      <c r="D129" s="374">
        <f>IF(F128+SUM(E$99:E128)=D$92,F128,D$92-SUM(E$99:E128))</f>
        <v>3438109.0895049069</v>
      </c>
      <c r="E129" s="522">
        <f>IF(+J96&lt;F128,J96,D129)</f>
        <v>275721.69047619047</v>
      </c>
      <c r="F129" s="523">
        <f t="shared" si="31"/>
        <v>3162387.3990287166</v>
      </c>
      <c r="G129" s="523">
        <f t="shared" si="32"/>
        <v>3300248.2442668118</v>
      </c>
      <c r="H129" s="526">
        <f t="shared" si="33"/>
        <v>630742.04231580161</v>
      </c>
      <c r="I129" s="577">
        <f t="shared" si="34"/>
        <v>630742.04231580161</v>
      </c>
      <c r="J129" s="514">
        <f t="shared" si="20"/>
        <v>0</v>
      </c>
      <c r="K129" s="514"/>
      <c r="L129" s="525"/>
      <c r="M129" s="514">
        <f t="shared" si="22"/>
        <v>0</v>
      </c>
      <c r="N129" s="525"/>
      <c r="O129" s="514">
        <f t="shared" si="24"/>
        <v>0</v>
      </c>
      <c r="P129" s="514">
        <f t="shared" si="25"/>
        <v>0</v>
      </c>
      <c r="Q129" s="269"/>
    </row>
    <row r="130" spans="2:17" ht="12.5">
      <c r="B130" s="195" t="str">
        <f t="shared" si="26"/>
        <v/>
      </c>
      <c r="C130" s="507">
        <f>IF(D93="","-",+C129+1)</f>
        <v>2040</v>
      </c>
      <c r="D130" s="374">
        <f>IF(F129+SUM(E$99:E129)=D$92,F129,D$92-SUM(E$99:E129))</f>
        <v>3162387.3990287166</v>
      </c>
      <c r="E130" s="522">
        <f>IF(+J96&lt;F129,J96,D130)</f>
        <v>275721.69047619047</v>
      </c>
      <c r="F130" s="523">
        <f t="shared" si="31"/>
        <v>2886665.7085525263</v>
      </c>
      <c r="G130" s="523">
        <f t="shared" si="32"/>
        <v>3024526.5537906215</v>
      </c>
      <c r="H130" s="526">
        <f t="shared" si="33"/>
        <v>601081.60336769582</v>
      </c>
      <c r="I130" s="577">
        <f t="shared" si="34"/>
        <v>601081.60336769582</v>
      </c>
      <c r="J130" s="514">
        <f t="shared" si="20"/>
        <v>0</v>
      </c>
      <c r="K130" s="514"/>
      <c r="L130" s="525"/>
      <c r="M130" s="514">
        <f t="shared" si="22"/>
        <v>0</v>
      </c>
      <c r="N130" s="525"/>
      <c r="O130" s="514">
        <f t="shared" si="24"/>
        <v>0</v>
      </c>
      <c r="P130" s="514">
        <f t="shared" si="25"/>
        <v>0</v>
      </c>
      <c r="Q130" s="269"/>
    </row>
    <row r="131" spans="2:17" ht="12.5">
      <c r="B131" s="195" t="str">
        <f t="shared" si="26"/>
        <v/>
      </c>
      <c r="C131" s="507">
        <f>IF(D93="","-",+C130+1)</f>
        <v>2041</v>
      </c>
      <c r="D131" s="374">
        <f>IF(F130+SUM(E$99:E130)=D$92,F130,D$92-SUM(E$99:E130))</f>
        <v>2886665.7085525263</v>
      </c>
      <c r="E131" s="522">
        <f>IF(+J96&lt;F130,J96,D131)</f>
        <v>275721.69047619047</v>
      </c>
      <c r="F131" s="523">
        <f t="shared" ref="F131:F154" si="35">+D131-E131</f>
        <v>2610944.018076336</v>
      </c>
      <c r="G131" s="523">
        <f t="shared" ref="G131:G154" si="36">+(F131+D131)/2</f>
        <v>2748804.8633144312</v>
      </c>
      <c r="H131" s="526">
        <f t="shared" si="33"/>
        <v>571421.1644195898</v>
      </c>
      <c r="I131" s="577">
        <f t="shared" si="34"/>
        <v>571421.1644195898</v>
      </c>
      <c r="J131" s="514">
        <f t="shared" ref="J131:J154" si="37">+I131-H131</f>
        <v>0</v>
      </c>
      <c r="K131" s="514"/>
      <c r="L131" s="525"/>
      <c r="M131" s="514">
        <f t="shared" ref="M131:M154" si="38">IF(L131&lt;&gt;0,+H131-L131,0)</f>
        <v>0</v>
      </c>
      <c r="N131" s="525"/>
      <c r="O131" s="514">
        <f t="shared" ref="O131:O154" si="39">IF(N131&lt;&gt;0,+I131-N131,0)</f>
        <v>0</v>
      </c>
      <c r="P131" s="514">
        <f t="shared" ref="P131:P154" si="40">+O131-M131</f>
        <v>0</v>
      </c>
      <c r="Q131" s="269"/>
    </row>
    <row r="132" spans="2:17" ht="12.5">
      <c r="B132" s="195" t="str">
        <f t="shared" si="26"/>
        <v/>
      </c>
      <c r="C132" s="507">
        <f>IF(D93="","-",+C131+1)</f>
        <v>2042</v>
      </c>
      <c r="D132" s="374">
        <f>IF(F131+SUM(E$99:E131)=D$92,F131,D$92-SUM(E$99:E131))</f>
        <v>2610944.018076336</v>
      </c>
      <c r="E132" s="522">
        <f>IF(+J96&lt;F131,J96,D132)</f>
        <v>275721.69047619047</v>
      </c>
      <c r="F132" s="523">
        <f t="shared" si="35"/>
        <v>2335222.3276001457</v>
      </c>
      <c r="G132" s="523">
        <f t="shared" si="36"/>
        <v>2473083.1728382409</v>
      </c>
      <c r="H132" s="526">
        <f t="shared" si="33"/>
        <v>541760.72547148401</v>
      </c>
      <c r="I132" s="577">
        <f t="shared" si="34"/>
        <v>541760.72547148401</v>
      </c>
      <c r="J132" s="514">
        <f t="shared" si="37"/>
        <v>0</v>
      </c>
      <c r="K132" s="514"/>
      <c r="L132" s="525"/>
      <c r="M132" s="514">
        <f t="shared" si="38"/>
        <v>0</v>
      </c>
      <c r="N132" s="525"/>
      <c r="O132" s="514">
        <f t="shared" si="39"/>
        <v>0</v>
      </c>
      <c r="P132" s="514">
        <f t="shared" si="40"/>
        <v>0</v>
      </c>
      <c r="Q132" s="269"/>
    </row>
    <row r="133" spans="2:17" ht="12.5">
      <c r="B133" s="195" t="str">
        <f t="shared" si="26"/>
        <v/>
      </c>
      <c r="C133" s="507">
        <f>IF(D93="","-",+C132+1)</f>
        <v>2043</v>
      </c>
      <c r="D133" s="374">
        <f>IF(F132+SUM(E$99:E132)=D$92,F132,D$92-SUM(E$99:E132))</f>
        <v>2335222.3276001457</v>
      </c>
      <c r="E133" s="522">
        <f>IF(+J96&lt;F132,J96,D133)</f>
        <v>275721.69047619047</v>
      </c>
      <c r="F133" s="523">
        <f t="shared" si="35"/>
        <v>2059500.6371239552</v>
      </c>
      <c r="G133" s="523">
        <f t="shared" si="36"/>
        <v>2197361.4823620506</v>
      </c>
      <c r="H133" s="526">
        <f t="shared" si="33"/>
        <v>512100.28652337805</v>
      </c>
      <c r="I133" s="577">
        <f t="shared" si="34"/>
        <v>512100.28652337805</v>
      </c>
      <c r="J133" s="514">
        <f t="shared" si="37"/>
        <v>0</v>
      </c>
      <c r="K133" s="514"/>
      <c r="L133" s="525"/>
      <c r="M133" s="514">
        <f t="shared" si="38"/>
        <v>0</v>
      </c>
      <c r="N133" s="525"/>
      <c r="O133" s="514">
        <f t="shared" si="39"/>
        <v>0</v>
      </c>
      <c r="P133" s="514">
        <f t="shared" si="40"/>
        <v>0</v>
      </c>
      <c r="Q133" s="269"/>
    </row>
    <row r="134" spans="2:17" ht="12.5">
      <c r="B134" s="195" t="str">
        <f t="shared" si="26"/>
        <v/>
      </c>
      <c r="C134" s="507">
        <f>IF(D93="","-",+C133+1)</f>
        <v>2044</v>
      </c>
      <c r="D134" s="374">
        <f>IF(F133+SUM(E$99:E133)=D$92,F133,D$92-SUM(E$99:E133))</f>
        <v>2059500.6371239552</v>
      </c>
      <c r="E134" s="522">
        <f>IF(+J96&lt;F133,J96,D134)</f>
        <v>275721.69047619047</v>
      </c>
      <c r="F134" s="523">
        <f t="shared" si="35"/>
        <v>1783778.9466477646</v>
      </c>
      <c r="G134" s="523">
        <f t="shared" si="36"/>
        <v>1921639.7918858598</v>
      </c>
      <c r="H134" s="526">
        <f t="shared" si="33"/>
        <v>482439.84757527208</v>
      </c>
      <c r="I134" s="577">
        <f t="shared" si="34"/>
        <v>482439.84757527208</v>
      </c>
      <c r="J134" s="514">
        <f t="shared" si="37"/>
        <v>0</v>
      </c>
      <c r="K134" s="514"/>
      <c r="L134" s="525"/>
      <c r="M134" s="514">
        <f t="shared" si="38"/>
        <v>0</v>
      </c>
      <c r="N134" s="525"/>
      <c r="O134" s="514">
        <f t="shared" si="39"/>
        <v>0</v>
      </c>
      <c r="P134" s="514">
        <f t="shared" si="40"/>
        <v>0</v>
      </c>
      <c r="Q134" s="269"/>
    </row>
    <row r="135" spans="2:17" ht="12.5">
      <c r="B135" s="195" t="str">
        <f t="shared" si="26"/>
        <v/>
      </c>
      <c r="C135" s="507">
        <f>IF(D93="","-",+C134+1)</f>
        <v>2045</v>
      </c>
      <c r="D135" s="374">
        <f>IF(F134+SUM(E$99:E134)=D$92,F134,D$92-SUM(E$99:E134))</f>
        <v>1783778.9466477646</v>
      </c>
      <c r="E135" s="522">
        <f>IF(+J96&lt;F134,J96,D135)</f>
        <v>275721.69047619047</v>
      </c>
      <c r="F135" s="523">
        <f t="shared" si="35"/>
        <v>1508057.2561715741</v>
      </c>
      <c r="G135" s="523">
        <f t="shared" si="36"/>
        <v>1645918.1014096695</v>
      </c>
      <c r="H135" s="526">
        <f t="shared" si="33"/>
        <v>452779.40862716618</v>
      </c>
      <c r="I135" s="577">
        <f t="shared" si="34"/>
        <v>452779.40862716618</v>
      </c>
      <c r="J135" s="514">
        <f t="shared" si="37"/>
        <v>0</v>
      </c>
      <c r="K135" s="514"/>
      <c r="L135" s="525"/>
      <c r="M135" s="514">
        <f t="shared" si="38"/>
        <v>0</v>
      </c>
      <c r="N135" s="525"/>
      <c r="O135" s="514">
        <f t="shared" si="39"/>
        <v>0</v>
      </c>
      <c r="P135" s="514">
        <f t="shared" si="40"/>
        <v>0</v>
      </c>
      <c r="Q135" s="269"/>
    </row>
    <row r="136" spans="2:17" ht="12.5">
      <c r="B136" s="195" t="str">
        <f t="shared" si="26"/>
        <v/>
      </c>
      <c r="C136" s="507">
        <f>IF(D93="","-",+C135+1)</f>
        <v>2046</v>
      </c>
      <c r="D136" s="374">
        <f>IF(F135+SUM(E$99:E135)=D$92,F135,D$92-SUM(E$99:E135))</f>
        <v>1508057.2561715741</v>
      </c>
      <c r="E136" s="522">
        <f>IF(+J96&lt;F135,J96,D136)</f>
        <v>275721.69047619047</v>
      </c>
      <c r="F136" s="523">
        <f t="shared" si="35"/>
        <v>1232335.5656953836</v>
      </c>
      <c r="G136" s="523">
        <f t="shared" si="36"/>
        <v>1370196.4109334787</v>
      </c>
      <c r="H136" s="526">
        <f t="shared" si="33"/>
        <v>423118.96967906028</v>
      </c>
      <c r="I136" s="577">
        <f t="shared" si="34"/>
        <v>423118.96967906028</v>
      </c>
      <c r="J136" s="514">
        <f t="shared" si="37"/>
        <v>0</v>
      </c>
      <c r="K136" s="514"/>
      <c r="L136" s="525"/>
      <c r="M136" s="514">
        <f t="shared" si="38"/>
        <v>0</v>
      </c>
      <c r="N136" s="525"/>
      <c r="O136" s="514">
        <f t="shared" si="39"/>
        <v>0</v>
      </c>
      <c r="P136" s="514">
        <f t="shared" si="40"/>
        <v>0</v>
      </c>
      <c r="Q136" s="269"/>
    </row>
    <row r="137" spans="2:17" ht="12.5">
      <c r="B137" s="195" t="str">
        <f t="shared" si="26"/>
        <v/>
      </c>
      <c r="C137" s="507">
        <f>IF(D93="","-",+C136+1)</f>
        <v>2047</v>
      </c>
      <c r="D137" s="374">
        <f>IF(F136+SUM(E$99:E136)=D$92,F136,D$92-SUM(E$99:E136))</f>
        <v>1232335.5656953836</v>
      </c>
      <c r="E137" s="522">
        <f>IF(+J96&lt;F136,J96,D137)</f>
        <v>275721.69047619047</v>
      </c>
      <c r="F137" s="523">
        <f t="shared" si="35"/>
        <v>956613.87521919305</v>
      </c>
      <c r="G137" s="523">
        <f t="shared" si="36"/>
        <v>1094474.7204572884</v>
      </c>
      <c r="H137" s="526">
        <f t="shared" si="33"/>
        <v>393458.53073095437</v>
      </c>
      <c r="I137" s="577">
        <f t="shared" si="34"/>
        <v>393458.53073095437</v>
      </c>
      <c r="J137" s="514">
        <f t="shared" si="37"/>
        <v>0</v>
      </c>
      <c r="K137" s="514"/>
      <c r="L137" s="525"/>
      <c r="M137" s="514">
        <f t="shared" si="38"/>
        <v>0</v>
      </c>
      <c r="N137" s="525"/>
      <c r="O137" s="514">
        <f t="shared" si="39"/>
        <v>0</v>
      </c>
      <c r="P137" s="514">
        <f t="shared" si="40"/>
        <v>0</v>
      </c>
      <c r="Q137" s="269"/>
    </row>
    <row r="138" spans="2:17" ht="12.5">
      <c r="B138" s="195" t="str">
        <f t="shared" si="26"/>
        <v/>
      </c>
      <c r="C138" s="507">
        <f>IF(D93="","-",+C137+1)</f>
        <v>2048</v>
      </c>
      <c r="D138" s="374">
        <f>IF(F137+SUM(E$99:E137)=D$92,F137,D$92-SUM(E$99:E137))</f>
        <v>956613.87521919305</v>
      </c>
      <c r="E138" s="522">
        <f>IF(+J96&lt;F137,J96,D138)</f>
        <v>275721.69047619047</v>
      </c>
      <c r="F138" s="523">
        <f t="shared" si="35"/>
        <v>680892.18474300252</v>
      </c>
      <c r="G138" s="523">
        <f t="shared" si="36"/>
        <v>818753.02998109779</v>
      </c>
      <c r="H138" s="526">
        <f t="shared" si="33"/>
        <v>363798.09178284841</v>
      </c>
      <c r="I138" s="577">
        <f t="shared" si="34"/>
        <v>363798.09178284841</v>
      </c>
      <c r="J138" s="514">
        <f t="shared" si="37"/>
        <v>0</v>
      </c>
      <c r="K138" s="514"/>
      <c r="L138" s="525"/>
      <c r="M138" s="514">
        <f t="shared" si="38"/>
        <v>0</v>
      </c>
      <c r="N138" s="525"/>
      <c r="O138" s="514">
        <f t="shared" si="39"/>
        <v>0</v>
      </c>
      <c r="P138" s="514">
        <f t="shared" si="40"/>
        <v>0</v>
      </c>
      <c r="Q138" s="269"/>
    </row>
    <row r="139" spans="2:17" ht="12.5">
      <c r="B139" s="195" t="str">
        <f t="shared" si="26"/>
        <v/>
      </c>
      <c r="C139" s="507">
        <f>IF(D93="","-",+C138+1)</f>
        <v>2049</v>
      </c>
      <c r="D139" s="374">
        <f>IF(F138+SUM(E$99:E138)=D$92,F138,D$92-SUM(E$99:E138))</f>
        <v>680892.18474300252</v>
      </c>
      <c r="E139" s="522">
        <f>IF(+J96&lt;F138,J96,D139)</f>
        <v>275721.69047619047</v>
      </c>
      <c r="F139" s="523">
        <f t="shared" si="35"/>
        <v>405170.49426681205</v>
      </c>
      <c r="G139" s="523">
        <f t="shared" si="36"/>
        <v>543031.33950490726</v>
      </c>
      <c r="H139" s="526">
        <f t="shared" si="33"/>
        <v>334137.6528347425</v>
      </c>
      <c r="I139" s="577">
        <f t="shared" si="34"/>
        <v>334137.6528347425</v>
      </c>
      <c r="J139" s="514">
        <f t="shared" si="37"/>
        <v>0</v>
      </c>
      <c r="K139" s="514"/>
      <c r="L139" s="525"/>
      <c r="M139" s="514">
        <f t="shared" si="38"/>
        <v>0</v>
      </c>
      <c r="N139" s="525"/>
      <c r="O139" s="514">
        <f t="shared" si="39"/>
        <v>0</v>
      </c>
      <c r="P139" s="514">
        <f t="shared" si="40"/>
        <v>0</v>
      </c>
      <c r="Q139" s="269"/>
    </row>
    <row r="140" spans="2:17" ht="12.5">
      <c r="B140" s="195" t="str">
        <f t="shared" si="26"/>
        <v/>
      </c>
      <c r="C140" s="507">
        <f>IF(D93="","-",+C139+1)</f>
        <v>2050</v>
      </c>
      <c r="D140" s="374">
        <f>IF(F139+SUM(E$99:E139)=D$92,F139,D$92-SUM(E$99:E139))</f>
        <v>405170.49426681205</v>
      </c>
      <c r="E140" s="522">
        <f>IF(+J96&lt;F139,J96,D140)</f>
        <v>275721.69047619047</v>
      </c>
      <c r="F140" s="523">
        <f t="shared" si="35"/>
        <v>129448.80379062158</v>
      </c>
      <c r="G140" s="523">
        <f t="shared" si="36"/>
        <v>267309.64902871684</v>
      </c>
      <c r="H140" s="526">
        <f t="shared" si="33"/>
        <v>304477.2138866366</v>
      </c>
      <c r="I140" s="577">
        <f t="shared" si="34"/>
        <v>304477.2138866366</v>
      </c>
      <c r="J140" s="514">
        <f t="shared" si="37"/>
        <v>0</v>
      </c>
      <c r="K140" s="514"/>
      <c r="L140" s="525"/>
      <c r="M140" s="514">
        <f t="shared" si="38"/>
        <v>0</v>
      </c>
      <c r="N140" s="525"/>
      <c r="O140" s="514">
        <f t="shared" si="39"/>
        <v>0</v>
      </c>
      <c r="P140" s="514">
        <f t="shared" si="40"/>
        <v>0</v>
      </c>
      <c r="Q140" s="269"/>
    </row>
    <row r="141" spans="2:17" ht="12.5">
      <c r="B141" s="195" t="str">
        <f t="shared" si="26"/>
        <v/>
      </c>
      <c r="C141" s="507">
        <f>IF(D93="","-",+C140+1)</f>
        <v>2051</v>
      </c>
      <c r="D141" s="374">
        <f>IF(F140+SUM(E$99:E140)=D$92,F140,D$92-SUM(E$99:E140))</f>
        <v>129448.80379062158</v>
      </c>
      <c r="E141" s="522">
        <f>IF(+J96&lt;F140,J96,D141)</f>
        <v>129448.80379062158</v>
      </c>
      <c r="F141" s="523">
        <f t="shared" si="35"/>
        <v>0</v>
      </c>
      <c r="G141" s="523">
        <f t="shared" si="36"/>
        <v>64724.401895310788</v>
      </c>
      <c r="H141" s="526">
        <f t="shared" si="33"/>
        <v>136411.45575881816</v>
      </c>
      <c r="I141" s="577">
        <f t="shared" si="34"/>
        <v>136411.45575881816</v>
      </c>
      <c r="J141" s="514">
        <f t="shared" si="37"/>
        <v>0</v>
      </c>
      <c r="K141" s="514"/>
      <c r="L141" s="525"/>
      <c r="M141" s="514">
        <f t="shared" si="38"/>
        <v>0</v>
      </c>
      <c r="N141" s="525"/>
      <c r="O141" s="514">
        <f t="shared" si="39"/>
        <v>0</v>
      </c>
      <c r="P141" s="514">
        <f t="shared" si="40"/>
        <v>0</v>
      </c>
      <c r="Q141" s="269"/>
    </row>
    <row r="142" spans="2:17" ht="12.5">
      <c r="B142" s="195" t="str">
        <f t="shared" si="26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5"/>
        <v>0</v>
      </c>
      <c r="G142" s="523">
        <f t="shared" si="36"/>
        <v>0</v>
      </c>
      <c r="H142" s="526">
        <f t="shared" si="33"/>
        <v>0</v>
      </c>
      <c r="I142" s="577">
        <f t="shared" si="34"/>
        <v>0</v>
      </c>
      <c r="J142" s="514">
        <f t="shared" si="37"/>
        <v>0</v>
      </c>
      <c r="K142" s="514"/>
      <c r="L142" s="525"/>
      <c r="M142" s="514">
        <f t="shared" si="38"/>
        <v>0</v>
      </c>
      <c r="N142" s="525"/>
      <c r="O142" s="514">
        <f t="shared" si="39"/>
        <v>0</v>
      </c>
      <c r="P142" s="514">
        <f t="shared" si="40"/>
        <v>0</v>
      </c>
      <c r="Q142" s="269"/>
    </row>
    <row r="143" spans="2:17" ht="12.5">
      <c r="B143" s="195" t="str">
        <f t="shared" si="26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5"/>
        <v>0</v>
      </c>
      <c r="G143" s="523">
        <f t="shared" si="36"/>
        <v>0</v>
      </c>
      <c r="H143" s="526">
        <f t="shared" si="33"/>
        <v>0</v>
      </c>
      <c r="I143" s="577">
        <f t="shared" si="34"/>
        <v>0</v>
      </c>
      <c r="J143" s="514">
        <f t="shared" si="37"/>
        <v>0</v>
      </c>
      <c r="K143" s="514"/>
      <c r="L143" s="525"/>
      <c r="M143" s="514">
        <f t="shared" si="38"/>
        <v>0</v>
      </c>
      <c r="N143" s="525"/>
      <c r="O143" s="514">
        <f t="shared" si="39"/>
        <v>0</v>
      </c>
      <c r="P143" s="514">
        <f t="shared" si="40"/>
        <v>0</v>
      </c>
      <c r="Q143" s="269"/>
    </row>
    <row r="144" spans="2:17" ht="12.5">
      <c r="B144" s="195" t="str">
        <f t="shared" si="26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5"/>
        <v>0</v>
      </c>
      <c r="G144" s="523">
        <f t="shared" si="36"/>
        <v>0</v>
      </c>
      <c r="H144" s="526">
        <f t="shared" si="33"/>
        <v>0</v>
      </c>
      <c r="I144" s="577">
        <f t="shared" si="34"/>
        <v>0</v>
      </c>
      <c r="J144" s="514">
        <f t="shared" si="37"/>
        <v>0</v>
      </c>
      <c r="K144" s="514"/>
      <c r="L144" s="525"/>
      <c r="M144" s="514">
        <f t="shared" si="38"/>
        <v>0</v>
      </c>
      <c r="N144" s="525"/>
      <c r="O144" s="514">
        <f t="shared" si="39"/>
        <v>0</v>
      </c>
      <c r="P144" s="514">
        <f t="shared" si="40"/>
        <v>0</v>
      </c>
      <c r="Q144" s="269"/>
    </row>
    <row r="145" spans="2:17" ht="12.5">
      <c r="B145" s="195" t="str">
        <f t="shared" si="26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5"/>
        <v>0</v>
      </c>
      <c r="G145" s="523">
        <f t="shared" si="36"/>
        <v>0</v>
      </c>
      <c r="H145" s="526">
        <f t="shared" si="33"/>
        <v>0</v>
      </c>
      <c r="I145" s="577">
        <f t="shared" si="34"/>
        <v>0</v>
      </c>
      <c r="J145" s="514">
        <f t="shared" si="37"/>
        <v>0</v>
      </c>
      <c r="K145" s="514"/>
      <c r="L145" s="525"/>
      <c r="M145" s="514">
        <f t="shared" si="38"/>
        <v>0</v>
      </c>
      <c r="N145" s="525"/>
      <c r="O145" s="514">
        <f t="shared" si="39"/>
        <v>0</v>
      </c>
      <c r="P145" s="514">
        <f t="shared" si="40"/>
        <v>0</v>
      </c>
      <c r="Q145" s="269"/>
    </row>
    <row r="146" spans="2:17" ht="12.5">
      <c r="B146" s="195" t="str">
        <f t="shared" si="26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5"/>
        <v>0</v>
      </c>
      <c r="G146" s="523">
        <f t="shared" si="36"/>
        <v>0</v>
      </c>
      <c r="H146" s="526">
        <f t="shared" si="33"/>
        <v>0</v>
      </c>
      <c r="I146" s="577">
        <f t="shared" si="34"/>
        <v>0</v>
      </c>
      <c r="J146" s="514">
        <f t="shared" si="37"/>
        <v>0</v>
      </c>
      <c r="K146" s="514"/>
      <c r="L146" s="525"/>
      <c r="M146" s="514">
        <f t="shared" si="38"/>
        <v>0</v>
      </c>
      <c r="N146" s="525"/>
      <c r="O146" s="514">
        <f t="shared" si="39"/>
        <v>0</v>
      </c>
      <c r="P146" s="514">
        <f t="shared" si="40"/>
        <v>0</v>
      </c>
      <c r="Q146" s="269"/>
    </row>
    <row r="147" spans="2:17" ht="12.5">
      <c r="B147" s="195" t="str">
        <f t="shared" si="26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5"/>
        <v>0</v>
      </c>
      <c r="G147" s="523">
        <f t="shared" si="36"/>
        <v>0</v>
      </c>
      <c r="H147" s="526">
        <f t="shared" si="33"/>
        <v>0</v>
      </c>
      <c r="I147" s="577">
        <f t="shared" si="34"/>
        <v>0</v>
      </c>
      <c r="J147" s="514">
        <f t="shared" si="37"/>
        <v>0</v>
      </c>
      <c r="K147" s="514"/>
      <c r="L147" s="525"/>
      <c r="M147" s="514">
        <f t="shared" si="38"/>
        <v>0</v>
      </c>
      <c r="N147" s="525"/>
      <c r="O147" s="514">
        <f t="shared" si="39"/>
        <v>0</v>
      </c>
      <c r="P147" s="514">
        <f t="shared" si="40"/>
        <v>0</v>
      </c>
      <c r="Q147" s="269"/>
    </row>
    <row r="148" spans="2:17" ht="12.5">
      <c r="B148" s="195" t="str">
        <f t="shared" si="26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5"/>
        <v>0</v>
      </c>
      <c r="G148" s="523">
        <f t="shared" si="36"/>
        <v>0</v>
      </c>
      <c r="H148" s="526">
        <f t="shared" si="33"/>
        <v>0</v>
      </c>
      <c r="I148" s="577">
        <f t="shared" si="34"/>
        <v>0</v>
      </c>
      <c r="J148" s="514">
        <f t="shared" si="37"/>
        <v>0</v>
      </c>
      <c r="K148" s="514"/>
      <c r="L148" s="525"/>
      <c r="M148" s="514">
        <f t="shared" si="38"/>
        <v>0</v>
      </c>
      <c r="N148" s="525"/>
      <c r="O148" s="514">
        <f t="shared" si="39"/>
        <v>0</v>
      </c>
      <c r="P148" s="514">
        <f t="shared" si="40"/>
        <v>0</v>
      </c>
      <c r="Q148" s="269"/>
    </row>
    <row r="149" spans="2:17" ht="12.5">
      <c r="B149" s="195" t="str">
        <f t="shared" si="26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5"/>
        <v>0</v>
      </c>
      <c r="G149" s="523">
        <f t="shared" si="36"/>
        <v>0</v>
      </c>
      <c r="H149" s="526">
        <f t="shared" si="33"/>
        <v>0</v>
      </c>
      <c r="I149" s="577">
        <f t="shared" si="34"/>
        <v>0</v>
      </c>
      <c r="J149" s="514">
        <f t="shared" si="37"/>
        <v>0</v>
      </c>
      <c r="K149" s="514"/>
      <c r="L149" s="525"/>
      <c r="M149" s="514">
        <f t="shared" si="38"/>
        <v>0</v>
      </c>
      <c r="N149" s="525"/>
      <c r="O149" s="514">
        <f t="shared" si="39"/>
        <v>0</v>
      </c>
      <c r="P149" s="514">
        <f t="shared" si="40"/>
        <v>0</v>
      </c>
      <c r="Q149" s="269"/>
    </row>
    <row r="150" spans="2:17" ht="12.5">
      <c r="B150" s="195" t="str">
        <f t="shared" si="26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5"/>
        <v>0</v>
      </c>
      <c r="G150" s="523">
        <f t="shared" si="36"/>
        <v>0</v>
      </c>
      <c r="H150" s="526">
        <f t="shared" si="33"/>
        <v>0</v>
      </c>
      <c r="I150" s="577">
        <f t="shared" si="34"/>
        <v>0</v>
      </c>
      <c r="J150" s="514">
        <f t="shared" si="37"/>
        <v>0</v>
      </c>
      <c r="K150" s="514"/>
      <c r="L150" s="525"/>
      <c r="M150" s="514">
        <f t="shared" si="38"/>
        <v>0</v>
      </c>
      <c r="N150" s="525"/>
      <c r="O150" s="514">
        <f t="shared" si="39"/>
        <v>0</v>
      </c>
      <c r="P150" s="514">
        <f t="shared" si="40"/>
        <v>0</v>
      </c>
      <c r="Q150" s="269"/>
    </row>
    <row r="151" spans="2:17" ht="12.5">
      <c r="B151" s="195" t="str">
        <f t="shared" si="26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5"/>
        <v>0</v>
      </c>
      <c r="G151" s="523">
        <f t="shared" si="36"/>
        <v>0</v>
      </c>
      <c r="H151" s="526">
        <f t="shared" si="33"/>
        <v>0</v>
      </c>
      <c r="I151" s="577">
        <f t="shared" si="34"/>
        <v>0</v>
      </c>
      <c r="J151" s="514">
        <f t="shared" si="37"/>
        <v>0</v>
      </c>
      <c r="K151" s="514"/>
      <c r="L151" s="525"/>
      <c r="M151" s="514">
        <f t="shared" si="38"/>
        <v>0</v>
      </c>
      <c r="N151" s="525"/>
      <c r="O151" s="514">
        <f t="shared" si="39"/>
        <v>0</v>
      </c>
      <c r="P151" s="514">
        <f t="shared" si="40"/>
        <v>0</v>
      </c>
      <c r="Q151" s="269"/>
    </row>
    <row r="152" spans="2:17" ht="12.5">
      <c r="B152" s="195" t="str">
        <f t="shared" si="26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5"/>
        <v>0</v>
      </c>
      <c r="G152" s="523">
        <f t="shared" si="36"/>
        <v>0</v>
      </c>
      <c r="H152" s="526">
        <f t="shared" si="33"/>
        <v>0</v>
      </c>
      <c r="I152" s="577">
        <f t="shared" si="34"/>
        <v>0</v>
      </c>
      <c r="J152" s="514">
        <f t="shared" si="37"/>
        <v>0</v>
      </c>
      <c r="K152" s="514"/>
      <c r="L152" s="525"/>
      <c r="M152" s="514">
        <f t="shared" si="38"/>
        <v>0</v>
      </c>
      <c r="N152" s="525"/>
      <c r="O152" s="514">
        <f t="shared" si="39"/>
        <v>0</v>
      </c>
      <c r="P152" s="514">
        <f t="shared" si="40"/>
        <v>0</v>
      </c>
      <c r="Q152" s="269"/>
    </row>
    <row r="153" spans="2:17" ht="12.5">
      <c r="B153" s="195" t="str">
        <f t="shared" si="26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5"/>
        <v>0</v>
      </c>
      <c r="G153" s="523">
        <f t="shared" si="36"/>
        <v>0</v>
      </c>
      <c r="H153" s="526">
        <f t="shared" si="33"/>
        <v>0</v>
      </c>
      <c r="I153" s="577">
        <f t="shared" si="34"/>
        <v>0</v>
      </c>
      <c r="J153" s="514">
        <f t="shared" si="37"/>
        <v>0</v>
      </c>
      <c r="K153" s="514"/>
      <c r="L153" s="525"/>
      <c r="M153" s="514">
        <f t="shared" si="38"/>
        <v>0</v>
      </c>
      <c r="N153" s="525"/>
      <c r="O153" s="514">
        <f t="shared" si="39"/>
        <v>0</v>
      </c>
      <c r="P153" s="514">
        <f t="shared" si="40"/>
        <v>0</v>
      </c>
      <c r="Q153" s="269"/>
    </row>
    <row r="154" spans="2:17" ht="13" thickBot="1">
      <c r="B154" s="195" t="str">
        <f t="shared" si="26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5"/>
        <v>0</v>
      </c>
      <c r="G154" s="528">
        <f t="shared" si="36"/>
        <v>0</v>
      </c>
      <c r="H154" s="530">
        <f t="shared" si="33"/>
        <v>0</v>
      </c>
      <c r="I154" s="579">
        <f t="shared" si="34"/>
        <v>0</v>
      </c>
      <c r="J154" s="533">
        <f t="shared" si="37"/>
        <v>0</v>
      </c>
      <c r="K154" s="514"/>
      <c r="L154" s="532"/>
      <c r="M154" s="533">
        <f t="shared" si="38"/>
        <v>0</v>
      </c>
      <c r="N154" s="532"/>
      <c r="O154" s="533">
        <f t="shared" si="39"/>
        <v>0</v>
      </c>
      <c r="P154" s="533">
        <f t="shared" si="40"/>
        <v>0</v>
      </c>
      <c r="Q154" s="269"/>
    </row>
    <row r="155" spans="2:17" ht="12.5">
      <c r="C155" s="374" t="s">
        <v>78</v>
      </c>
      <c r="D155" s="375"/>
      <c r="E155" s="375">
        <f>SUM(E99:E154)</f>
        <v>11580311</v>
      </c>
      <c r="F155" s="375"/>
      <c r="G155" s="375"/>
      <c r="H155" s="375">
        <f>SUM(H99:H154)</f>
        <v>40561458.821575359</v>
      </c>
      <c r="I155" s="375">
        <f>SUM(I99:I154)</f>
        <v>40561458.821575359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3" priority="1" stopIfTrue="1" operator="equal">
      <formula>$I$10</formula>
    </cfRule>
  </conditionalFormatting>
  <conditionalFormatting sqref="C99:C154">
    <cfRule type="cellIs" dxfId="15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P162"/>
  <sheetViews>
    <sheetView view="pageBreakPreview" zoomScale="80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67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1276491.1744003529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1276491.1744003529</v>
      </c>
      <c r="O6" s="269"/>
      <c r="P6" s="269"/>
    </row>
    <row r="7" spans="1:16" ht="13.5" thickBot="1">
      <c r="C7" s="467" t="s">
        <v>48</v>
      </c>
      <c r="D7" s="624" t="s">
        <v>391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421</v>
      </c>
      <c r="E9" s="637" t="s">
        <v>422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10668801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254019.07142857142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31">
        <v>0</v>
      </c>
      <c r="E17" s="630">
        <v>160574.56395348837</v>
      </c>
      <c r="F17" s="631">
        <v>9045700.4360465109</v>
      </c>
      <c r="G17" s="630">
        <v>720921.93663194391</v>
      </c>
      <c r="H17" s="639">
        <v>720921.93663194391</v>
      </c>
      <c r="I17" s="511">
        <f t="shared" ref="I17:I72" si="0">H17-G17</f>
        <v>0</v>
      </c>
      <c r="J17" s="511"/>
      <c r="K17" s="512">
        <f>+G17</f>
        <v>720921.93663194391</v>
      </c>
      <c r="L17" s="513">
        <f t="shared" ref="L17:L72" si="1">IF(K17&lt;&gt;0,+G17-K17,0)</f>
        <v>0</v>
      </c>
      <c r="M17" s="512">
        <f>+H17</f>
        <v>720921.93663194391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9045700.4360465109</v>
      </c>
      <c r="E18" s="630">
        <v>224543.29268292684</v>
      </c>
      <c r="F18" s="631">
        <v>8821157.1433635838</v>
      </c>
      <c r="G18" s="630">
        <v>1359929.3750502607</v>
      </c>
      <c r="H18" s="639">
        <v>1359929.3750502607</v>
      </c>
      <c r="I18" s="511">
        <f t="shared" si="0"/>
        <v>0</v>
      </c>
      <c r="J18" s="511"/>
      <c r="K18" s="518">
        <f>+G18</f>
        <v>1359929.3750502607</v>
      </c>
      <c r="L18" s="519">
        <f t="shared" si="1"/>
        <v>0</v>
      </c>
      <c r="M18" s="518">
        <f>+H18</f>
        <v>1359929.3750502607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8821157.1433635838</v>
      </c>
      <c r="E19" s="630">
        <v>224543.29268292684</v>
      </c>
      <c r="F19" s="631">
        <v>8596613.8506806567</v>
      </c>
      <c r="G19" s="630">
        <v>1331391.2475963396</v>
      </c>
      <c r="H19" s="639">
        <v>1331391.2475963396</v>
      </c>
      <c r="I19" s="511">
        <f t="shared" si="0"/>
        <v>0</v>
      </c>
      <c r="J19" s="511"/>
      <c r="K19" s="518">
        <f>+G19</f>
        <v>1331391.2475963396</v>
      </c>
      <c r="L19" s="519">
        <f t="shared" ref="L19" si="4">IF(K19&lt;&gt;0,+G19-K19,0)</f>
        <v>0</v>
      </c>
      <c r="M19" s="518">
        <f>+H19</f>
        <v>1331391.2475963396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2020</v>
      </c>
      <c r="D20" s="631">
        <v>10060609.850680659</v>
      </c>
      <c r="E20" s="630">
        <v>260250.51219512196</v>
      </c>
      <c r="F20" s="631">
        <v>9800359.3384855371</v>
      </c>
      <c r="G20" s="630">
        <v>1276491.1744003529</v>
      </c>
      <c r="H20" s="639">
        <v>1276491.1744003529</v>
      </c>
      <c r="I20" s="511">
        <f t="shared" si="0"/>
        <v>0</v>
      </c>
      <c r="J20" s="511"/>
      <c r="K20" s="518">
        <f>+G20</f>
        <v>1276491.1744003529</v>
      </c>
      <c r="L20" s="519">
        <f t="shared" ref="L20" si="6">IF(K20&lt;&gt;0,+G20-K20,0)</f>
        <v>0</v>
      </c>
      <c r="M20" s="518">
        <f>+H20</f>
        <v>1276491.1744003529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>IU</v>
      </c>
      <c r="C21" s="507">
        <f>IF(D11="","-",+C20+1)</f>
        <v>2021</v>
      </c>
      <c r="D21" s="523">
        <f>IF(F20+SUM(E$17:E20)=D$10,F20,D$10-SUM(E$17:E20))</f>
        <v>9798889.3384855352</v>
      </c>
      <c r="E21" s="522">
        <f>IF(+I14&lt;F20,I14,D21)</f>
        <v>254019.07142857142</v>
      </c>
      <c r="F21" s="523">
        <f t="shared" ref="F21:F72" si="7">+D21-E21</f>
        <v>9544870.2670569643</v>
      </c>
      <c r="G21" s="524">
        <f t="shared" ref="G21:G48" si="8">+I$12*((D21+F21)/2)+E21</f>
        <v>1287149.6744157148</v>
      </c>
      <c r="H21" s="491">
        <f t="shared" ref="H21:H48" si="9">+I$13*((D21+F21)/2)+E21</f>
        <v>1287149.6744157148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2022</v>
      </c>
      <c r="D22" s="523">
        <f>IF(F21+SUM(E$17:E21)=D$10,F21,D$10-SUM(E$17:E21))</f>
        <v>9544870.2670569643</v>
      </c>
      <c r="E22" s="522">
        <f>IF(+I14&lt;F21,I14,D22)</f>
        <v>254019.07142857142</v>
      </c>
      <c r="F22" s="523">
        <f t="shared" si="7"/>
        <v>9290851.1956283934</v>
      </c>
      <c r="G22" s="524">
        <f t="shared" si="8"/>
        <v>1260015.8719091909</v>
      </c>
      <c r="H22" s="491">
        <f t="shared" si="9"/>
        <v>1260015.8719091909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9290851.1956283934</v>
      </c>
      <c r="E23" s="522">
        <f>IF(+I14&lt;F22,I14,D23)</f>
        <v>254019.07142857142</v>
      </c>
      <c r="F23" s="523">
        <f t="shared" si="7"/>
        <v>9036832.1241998225</v>
      </c>
      <c r="G23" s="524">
        <f t="shared" si="8"/>
        <v>1232882.0694026668</v>
      </c>
      <c r="H23" s="491">
        <f t="shared" si="9"/>
        <v>1232882.0694026668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9036832.1241998225</v>
      </c>
      <c r="E24" s="522">
        <f>IF(+I14&lt;F23,I14,D24)</f>
        <v>254019.07142857142</v>
      </c>
      <c r="F24" s="523">
        <f t="shared" si="7"/>
        <v>8782813.0527712516</v>
      </c>
      <c r="G24" s="524">
        <f t="shared" si="8"/>
        <v>1205748.2668961429</v>
      </c>
      <c r="H24" s="491">
        <f t="shared" si="9"/>
        <v>1205748.2668961429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8782813.0527712516</v>
      </c>
      <c r="E25" s="522">
        <f>IF(+I14&lt;F24,I14,D25)</f>
        <v>254019.07142857142</v>
      </c>
      <c r="F25" s="523">
        <f t="shared" si="7"/>
        <v>8528793.9813426808</v>
      </c>
      <c r="G25" s="524">
        <f t="shared" si="8"/>
        <v>1178614.4643896187</v>
      </c>
      <c r="H25" s="491">
        <f t="shared" si="9"/>
        <v>1178614.4643896187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8528793.9813426808</v>
      </c>
      <c r="E26" s="522">
        <f>IF(+I14&lt;F25,I14,D26)</f>
        <v>254019.07142857142</v>
      </c>
      <c r="F26" s="523">
        <f t="shared" si="7"/>
        <v>8274774.9099141089</v>
      </c>
      <c r="G26" s="524">
        <f t="shared" si="8"/>
        <v>1151480.6618830946</v>
      </c>
      <c r="H26" s="491">
        <f t="shared" si="9"/>
        <v>1151480.6618830946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8274774.9099141089</v>
      </c>
      <c r="E27" s="522">
        <f>IF(+I14&lt;F26,I14,D27)</f>
        <v>254019.07142857142</v>
      </c>
      <c r="F27" s="523">
        <f t="shared" si="7"/>
        <v>8020755.8384855371</v>
      </c>
      <c r="G27" s="524">
        <f t="shared" si="8"/>
        <v>1124346.8593765704</v>
      </c>
      <c r="H27" s="491">
        <f t="shared" si="9"/>
        <v>1124346.8593765704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8020755.8384855371</v>
      </c>
      <c r="E28" s="522">
        <f>IF(+I14&lt;F27,I14,D28)</f>
        <v>254019.07142857142</v>
      </c>
      <c r="F28" s="523">
        <f t="shared" si="7"/>
        <v>7766736.7670569653</v>
      </c>
      <c r="G28" s="524">
        <f t="shared" si="8"/>
        <v>1097213.0568700465</v>
      </c>
      <c r="H28" s="491">
        <f t="shared" si="9"/>
        <v>1097213.0568700465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7766736.7670569653</v>
      </c>
      <c r="E29" s="522">
        <f>IF(+I14&lt;F28,I14,D29)</f>
        <v>254019.07142857142</v>
      </c>
      <c r="F29" s="523">
        <f t="shared" si="7"/>
        <v>7512717.6956283934</v>
      </c>
      <c r="G29" s="524">
        <f t="shared" si="8"/>
        <v>1070079.2543635222</v>
      </c>
      <c r="H29" s="491">
        <f t="shared" si="9"/>
        <v>1070079.2543635222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7512717.6956283934</v>
      </c>
      <c r="E30" s="522">
        <f>IF(+I14&lt;F29,I14,D30)</f>
        <v>254019.07142857142</v>
      </c>
      <c r="F30" s="523">
        <f t="shared" si="7"/>
        <v>7258698.6241998216</v>
      </c>
      <c r="G30" s="524">
        <f t="shared" si="8"/>
        <v>1042945.4518569983</v>
      </c>
      <c r="H30" s="491">
        <f t="shared" si="9"/>
        <v>1042945.4518569983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7258698.6241998216</v>
      </c>
      <c r="E31" s="522">
        <f>IF(+I14&lt;F30,I14,D31)</f>
        <v>254019.07142857142</v>
      </c>
      <c r="F31" s="523">
        <f t="shared" si="7"/>
        <v>7004679.5527712498</v>
      </c>
      <c r="G31" s="524">
        <f t="shared" si="8"/>
        <v>1015811.6493504739</v>
      </c>
      <c r="H31" s="491">
        <f t="shared" si="9"/>
        <v>1015811.6493504739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7004679.5527712498</v>
      </c>
      <c r="E32" s="522">
        <f>IF(+I14&lt;F31,I14,D32)</f>
        <v>254019.07142857142</v>
      </c>
      <c r="F32" s="523">
        <f t="shared" si="7"/>
        <v>6750660.481342678</v>
      </c>
      <c r="G32" s="524">
        <f t="shared" si="8"/>
        <v>988677.84684394998</v>
      </c>
      <c r="H32" s="491">
        <f t="shared" si="9"/>
        <v>988677.84684394998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6750660.481342678</v>
      </c>
      <c r="E33" s="522">
        <f>IF(+I14&lt;F32,I14,D33)</f>
        <v>254019.07142857142</v>
      </c>
      <c r="F33" s="523">
        <f t="shared" si="7"/>
        <v>6496641.4099141061</v>
      </c>
      <c r="G33" s="524">
        <f t="shared" si="8"/>
        <v>961544.04433742561</v>
      </c>
      <c r="H33" s="491">
        <f t="shared" si="9"/>
        <v>961544.04433742561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6496641.4099141061</v>
      </c>
      <c r="E34" s="522">
        <f>IF(+I14&lt;F33,I14,D34)</f>
        <v>254019.07142857142</v>
      </c>
      <c r="F34" s="523">
        <f t="shared" si="7"/>
        <v>6242622.3384855343</v>
      </c>
      <c r="G34" s="524">
        <f t="shared" si="8"/>
        <v>934410.24183090171</v>
      </c>
      <c r="H34" s="491">
        <f t="shared" si="9"/>
        <v>934410.24183090171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6242622.3384855343</v>
      </c>
      <c r="E35" s="522">
        <f>IF(+I14&lt;F34,I14,D35)</f>
        <v>254019.07142857142</v>
      </c>
      <c r="F35" s="523">
        <f t="shared" si="7"/>
        <v>5988603.2670569625</v>
      </c>
      <c r="G35" s="524">
        <f t="shared" si="8"/>
        <v>907276.43932437734</v>
      </c>
      <c r="H35" s="491">
        <f t="shared" si="9"/>
        <v>907276.43932437734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5988603.2670569625</v>
      </c>
      <c r="E36" s="522">
        <f>IF(+I14&lt;F35,I14,D36)</f>
        <v>254019.07142857142</v>
      </c>
      <c r="F36" s="523">
        <f t="shared" si="7"/>
        <v>5734584.1956283906</v>
      </c>
      <c r="G36" s="524">
        <f t="shared" si="8"/>
        <v>880142.63681785343</v>
      </c>
      <c r="H36" s="491">
        <f t="shared" si="9"/>
        <v>880142.63681785343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5734584.1956283906</v>
      </c>
      <c r="E37" s="522">
        <f>IF(+I14&lt;F36,I14,D37)</f>
        <v>254019.07142857142</v>
      </c>
      <c r="F37" s="523">
        <f t="shared" si="7"/>
        <v>5480565.1241998188</v>
      </c>
      <c r="G37" s="524">
        <f t="shared" si="8"/>
        <v>853008.83431132906</v>
      </c>
      <c r="H37" s="491">
        <f t="shared" si="9"/>
        <v>853008.83431132906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5480565.1241998188</v>
      </c>
      <c r="E38" s="522">
        <f>IF(+I14&lt;F37,I14,D38)</f>
        <v>254019.07142857142</v>
      </c>
      <c r="F38" s="523">
        <f t="shared" si="7"/>
        <v>5226546.052771247</v>
      </c>
      <c r="G38" s="524">
        <f t="shared" si="8"/>
        <v>825875.03180480516</v>
      </c>
      <c r="H38" s="491">
        <f t="shared" si="9"/>
        <v>825875.03180480516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5226546.052771247</v>
      </c>
      <c r="E39" s="522">
        <f>IF(+I14&lt;F38,I14,D39)</f>
        <v>254019.07142857142</v>
      </c>
      <c r="F39" s="523">
        <f t="shared" si="7"/>
        <v>4972526.9813426752</v>
      </c>
      <c r="G39" s="524">
        <f t="shared" si="8"/>
        <v>798741.22929828078</v>
      </c>
      <c r="H39" s="491">
        <f t="shared" si="9"/>
        <v>798741.22929828078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4972526.9813426752</v>
      </c>
      <c r="E40" s="522">
        <f>IF(+I14&lt;F39,I14,D40)</f>
        <v>254019.07142857142</v>
      </c>
      <c r="F40" s="523">
        <f t="shared" si="7"/>
        <v>4718507.9099141033</v>
      </c>
      <c r="G40" s="524">
        <f t="shared" si="8"/>
        <v>771607.42679175688</v>
      </c>
      <c r="H40" s="491">
        <f t="shared" si="9"/>
        <v>771607.42679175688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4718507.9099141033</v>
      </c>
      <c r="E41" s="522">
        <f>IF(+I14&lt;F40,I14,D41)</f>
        <v>254019.07142857142</v>
      </c>
      <c r="F41" s="523">
        <f t="shared" si="7"/>
        <v>4464488.8384855315</v>
      </c>
      <c r="G41" s="524">
        <f t="shared" si="8"/>
        <v>744473.62428523262</v>
      </c>
      <c r="H41" s="491">
        <f t="shared" si="9"/>
        <v>744473.62428523262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4464488.8384855315</v>
      </c>
      <c r="E42" s="522">
        <f>IF(+I14&lt;F41,I14,D42)</f>
        <v>254019.07142857142</v>
      </c>
      <c r="F42" s="523">
        <f t="shared" si="7"/>
        <v>4210469.7670569597</v>
      </c>
      <c r="G42" s="524">
        <f t="shared" si="8"/>
        <v>717339.8217787086</v>
      </c>
      <c r="H42" s="491">
        <f t="shared" si="9"/>
        <v>717339.8217787086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4210469.7670569597</v>
      </c>
      <c r="E43" s="522">
        <f>IF(+I14&lt;F42,I14,D43)</f>
        <v>254019.07142857142</v>
      </c>
      <c r="F43" s="523">
        <f t="shared" si="7"/>
        <v>3956450.6956283883</v>
      </c>
      <c r="G43" s="524">
        <f t="shared" si="8"/>
        <v>690206.01927218447</v>
      </c>
      <c r="H43" s="491">
        <f t="shared" si="9"/>
        <v>690206.01927218447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3956450.6956283883</v>
      </c>
      <c r="E44" s="522">
        <f>IF(+I14&lt;F43,I14,D44)</f>
        <v>254019.07142857142</v>
      </c>
      <c r="F44" s="523">
        <f t="shared" si="7"/>
        <v>3702431.624199817</v>
      </c>
      <c r="G44" s="524">
        <f t="shared" si="8"/>
        <v>663072.21676566033</v>
      </c>
      <c r="H44" s="491">
        <f t="shared" si="9"/>
        <v>663072.21676566033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3702431.624199817</v>
      </c>
      <c r="E45" s="522">
        <f>IF(+I14&lt;F44,I14,D45)</f>
        <v>254019.07142857142</v>
      </c>
      <c r="F45" s="523">
        <f t="shared" si="7"/>
        <v>3448412.5527712456</v>
      </c>
      <c r="G45" s="524">
        <f t="shared" si="8"/>
        <v>635938.41425913619</v>
      </c>
      <c r="H45" s="491">
        <f t="shared" si="9"/>
        <v>635938.41425913619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3448412.5527712456</v>
      </c>
      <c r="E46" s="522">
        <f>IF(+I14&lt;F45,I14,D46)</f>
        <v>254019.07142857142</v>
      </c>
      <c r="F46" s="523">
        <f t="shared" si="7"/>
        <v>3194393.4813426742</v>
      </c>
      <c r="G46" s="524">
        <f t="shared" si="8"/>
        <v>608804.61175261205</v>
      </c>
      <c r="H46" s="491">
        <f t="shared" si="9"/>
        <v>608804.61175261205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3194393.4813426742</v>
      </c>
      <c r="E47" s="522">
        <f>IF(+I14&lt;F46,I14,D47)</f>
        <v>254019.07142857142</v>
      </c>
      <c r="F47" s="523">
        <f t="shared" si="7"/>
        <v>2940374.4099141029</v>
      </c>
      <c r="G47" s="524">
        <f t="shared" si="8"/>
        <v>581670.80924608815</v>
      </c>
      <c r="H47" s="491">
        <f t="shared" si="9"/>
        <v>581670.80924608815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2940374.4099141029</v>
      </c>
      <c r="E48" s="522">
        <f>IF(+I14&lt;F47,I14,D48)</f>
        <v>254019.07142857142</v>
      </c>
      <c r="F48" s="523">
        <f t="shared" si="7"/>
        <v>2686355.3384855315</v>
      </c>
      <c r="G48" s="524">
        <f t="shared" si="8"/>
        <v>554537.00673956401</v>
      </c>
      <c r="H48" s="491">
        <f t="shared" si="9"/>
        <v>554537.00673956401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2686355.3384855315</v>
      </c>
      <c r="E49" s="522">
        <f>IF(+I14&lt;F48,I14,D49)</f>
        <v>254019.07142857142</v>
      </c>
      <c r="F49" s="523">
        <f t="shared" si="7"/>
        <v>2432336.2670569601</v>
      </c>
      <c r="G49" s="524">
        <f t="shared" ref="G49:G72" si="10">+I$12*((D49+F49)/2)+E49</f>
        <v>527403.20423303987</v>
      </c>
      <c r="H49" s="491">
        <f t="shared" ref="H49:H72" si="11">+I$13*((D49+F49)/2)+E49</f>
        <v>527403.20423303987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2432336.2670569601</v>
      </c>
      <c r="E50" s="522">
        <f>IF(+I14&lt;F49,I14,D50)</f>
        <v>254019.07142857142</v>
      </c>
      <c r="F50" s="523">
        <f t="shared" si="7"/>
        <v>2178317.1956283888</v>
      </c>
      <c r="G50" s="524">
        <f t="shared" si="10"/>
        <v>500269.40172651585</v>
      </c>
      <c r="H50" s="491">
        <f t="shared" si="11"/>
        <v>500269.40172651585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2178317.1956283888</v>
      </c>
      <c r="E51" s="522">
        <f>IF(+I14&lt;F50,I14,D51)</f>
        <v>254019.07142857142</v>
      </c>
      <c r="F51" s="523">
        <f t="shared" si="7"/>
        <v>1924298.1241998174</v>
      </c>
      <c r="G51" s="524">
        <f t="shared" si="10"/>
        <v>473135.59921999171</v>
      </c>
      <c r="H51" s="491">
        <f t="shared" si="11"/>
        <v>473135.59921999171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1924298.1241998174</v>
      </c>
      <c r="E52" s="522">
        <f>IF(+I14&lt;F51,I14,D52)</f>
        <v>254019.07142857142</v>
      </c>
      <c r="F52" s="523">
        <f t="shared" si="7"/>
        <v>1670279.0527712461</v>
      </c>
      <c r="G52" s="524">
        <f t="shared" si="10"/>
        <v>446001.79671346769</v>
      </c>
      <c r="H52" s="491">
        <f t="shared" si="11"/>
        <v>446001.79671346769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1670279.0527712461</v>
      </c>
      <c r="E53" s="522">
        <f>IF(+I14&lt;F52,I14,D53)</f>
        <v>254019.07142857142</v>
      </c>
      <c r="F53" s="523">
        <f t="shared" si="7"/>
        <v>1416259.9813426747</v>
      </c>
      <c r="G53" s="524">
        <f t="shared" si="10"/>
        <v>418867.99420694355</v>
      </c>
      <c r="H53" s="491">
        <f t="shared" si="11"/>
        <v>418867.99420694355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1416259.9813426747</v>
      </c>
      <c r="E54" s="522">
        <f>IF(+I14&lt;F53,I14,D54)</f>
        <v>254019.07142857142</v>
      </c>
      <c r="F54" s="523">
        <f t="shared" si="7"/>
        <v>1162240.9099141033</v>
      </c>
      <c r="G54" s="524">
        <f t="shared" si="10"/>
        <v>391734.19170041953</v>
      </c>
      <c r="H54" s="491">
        <f t="shared" si="11"/>
        <v>391734.19170041953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1162240.9099141033</v>
      </c>
      <c r="E55" s="522">
        <f>IF(+I14&lt;F54,I14,D55)</f>
        <v>254019.07142857142</v>
      </c>
      <c r="F55" s="523">
        <f t="shared" si="7"/>
        <v>908221.83848553197</v>
      </c>
      <c r="G55" s="524">
        <f t="shared" si="10"/>
        <v>364600.38919389539</v>
      </c>
      <c r="H55" s="491">
        <f t="shared" si="11"/>
        <v>364600.38919389539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908221.83848553197</v>
      </c>
      <c r="E56" s="522">
        <f>IF(+I14&lt;F55,I14,D56)</f>
        <v>254019.07142857142</v>
      </c>
      <c r="F56" s="523">
        <f t="shared" si="7"/>
        <v>654202.76705696061</v>
      </c>
      <c r="G56" s="524">
        <f t="shared" si="10"/>
        <v>337466.58668737137</v>
      </c>
      <c r="H56" s="491">
        <f t="shared" si="11"/>
        <v>337466.58668737137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654202.76705696061</v>
      </c>
      <c r="E57" s="522">
        <f>IF(+I14&lt;F56,I14,D57)</f>
        <v>254019.07142857142</v>
      </c>
      <c r="F57" s="523">
        <f t="shared" si="7"/>
        <v>400183.69562838919</v>
      </c>
      <c r="G57" s="524">
        <f t="shared" si="10"/>
        <v>310332.78418084723</v>
      </c>
      <c r="H57" s="491">
        <f t="shared" si="11"/>
        <v>310332.78418084723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400183.69562838919</v>
      </c>
      <c r="E58" s="522">
        <f>IF(+I14&lt;F57,I14,D58)</f>
        <v>254019.07142857142</v>
      </c>
      <c r="F58" s="523">
        <f t="shared" si="7"/>
        <v>146164.62419981777</v>
      </c>
      <c r="G58" s="524">
        <f t="shared" si="10"/>
        <v>283198.98167432315</v>
      </c>
      <c r="H58" s="491">
        <f t="shared" si="11"/>
        <v>283198.98167432315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146164.62419981777</v>
      </c>
      <c r="E59" s="522">
        <f>IF(+I14&lt;F58,I14,D59)</f>
        <v>146164.62419981777</v>
      </c>
      <c r="F59" s="523">
        <f t="shared" si="7"/>
        <v>0</v>
      </c>
      <c r="G59" s="524">
        <f t="shared" si="10"/>
        <v>153971.12869606263</v>
      </c>
      <c r="H59" s="491">
        <f t="shared" si="11"/>
        <v>153971.12869606263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10"/>
        <v>0</v>
      </c>
      <c r="H60" s="491">
        <f t="shared" si="11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10668800.999999996</v>
      </c>
      <c r="F73" s="375"/>
      <c r="G73" s="375">
        <f>SUM(G17:G72)</f>
        <v>34679329.328085683</v>
      </c>
      <c r="H73" s="375">
        <f>SUM(H17:H72)</f>
        <v>34679329.328085683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67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1276491.1744003529</v>
      </c>
      <c r="N87" s="546">
        <f>IF(J92&lt;D11,0,VLOOKUP(J92,C17:O72,11))</f>
        <v>1276491.1744003529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1313727.2655246886</v>
      </c>
      <c r="N88" s="550">
        <f>IF(J92&lt;D11,0,VLOOKUP(J92,C99:P154,7))</f>
        <v>1313727.2655246886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Farmington 161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37236.09112433577</v>
      </c>
      <c r="N89" s="555">
        <f>+N88-N87</f>
        <v>37236.09112433577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TP2011147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10668801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3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254019.07142857142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29">
        <v>0</v>
      </c>
      <c r="E99" s="630">
        <v>188640.89285714284</v>
      </c>
      <c r="F99" s="631">
        <v>10375249.107142856</v>
      </c>
      <c r="G99" s="631">
        <v>5187624.5535714282</v>
      </c>
      <c r="H99" s="633">
        <v>818789.20929668087</v>
      </c>
      <c r="I99" s="634">
        <v>818789.20929668087</v>
      </c>
      <c r="J99" s="514">
        <f t="shared" ref="J99:J130" si="12">+I99-H99</f>
        <v>0</v>
      </c>
      <c r="K99" s="514"/>
      <c r="L99" s="512">
        <f>+H99</f>
        <v>818789.20929668087</v>
      </c>
      <c r="M99" s="513">
        <f t="shared" ref="M99:M130" si="13">IF(L99&lt;&gt;0,+H99-L99,0)</f>
        <v>0</v>
      </c>
      <c r="N99" s="512">
        <f>+I99</f>
        <v>818789.20929668087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10481630.107142856</v>
      </c>
      <c r="E100" s="630">
        <v>254054.07142857142</v>
      </c>
      <c r="F100" s="631">
        <v>10227576.035714285</v>
      </c>
      <c r="G100" s="631">
        <v>10354603.071428571</v>
      </c>
      <c r="H100" s="633">
        <v>1347547.6401151039</v>
      </c>
      <c r="I100" s="634">
        <v>1347547.6401151039</v>
      </c>
      <c r="J100" s="514">
        <f t="shared" si="12"/>
        <v>0</v>
      </c>
      <c r="K100" s="514"/>
      <c r="L100" s="655">
        <f>+H100</f>
        <v>1347547.6401151039</v>
      </c>
      <c r="M100" s="514">
        <f t="shared" si="13"/>
        <v>0</v>
      </c>
      <c r="N100" s="655">
        <f>+I100</f>
        <v>1347547.6401151039</v>
      </c>
      <c r="O100" s="514">
        <f t="shared" si="14"/>
        <v>0</v>
      </c>
      <c r="P100" s="514">
        <f t="shared" si="15"/>
        <v>0</v>
      </c>
    </row>
    <row r="101" spans="1:16" ht="12.5">
      <c r="B101" s="195" t="str">
        <f t="shared" ref="B101:B154" si="16">IF(D101=F100,"","IU")</f>
        <v>IU</v>
      </c>
      <c r="C101" s="507">
        <f>IF(D93="","-",+C100+1)</f>
        <v>2019</v>
      </c>
      <c r="D101" s="629">
        <v>10226106.035714285</v>
      </c>
      <c r="E101" s="630">
        <v>248111.65116279069</v>
      </c>
      <c r="F101" s="631">
        <v>9977994.3845514953</v>
      </c>
      <c r="G101" s="631">
        <v>10102050.210132889</v>
      </c>
      <c r="H101" s="633">
        <v>1329440.626850764</v>
      </c>
      <c r="I101" s="634">
        <v>1329440.626850764</v>
      </c>
      <c r="J101" s="514">
        <f t="shared" si="12"/>
        <v>0</v>
      </c>
      <c r="K101" s="514"/>
      <c r="L101" s="655">
        <f>+H101</f>
        <v>1329440.626850764</v>
      </c>
      <c r="M101" s="514">
        <f t="shared" ref="M101" si="17">IF(L101&lt;&gt;0,+H101-L101,0)</f>
        <v>0</v>
      </c>
      <c r="N101" s="655">
        <f>+I101</f>
        <v>1329440.626850764</v>
      </c>
      <c r="O101" s="514">
        <f t="shared" si="14"/>
        <v>0</v>
      </c>
      <c r="P101" s="514">
        <f t="shared" si="15"/>
        <v>0</v>
      </c>
    </row>
    <row r="102" spans="1:16" ht="12.5">
      <c r="B102" s="195" t="str">
        <f t="shared" si="16"/>
        <v/>
      </c>
      <c r="C102" s="507">
        <f>IF(D93="","-",+C101+1)</f>
        <v>2020</v>
      </c>
      <c r="D102" s="374">
        <f>IF(F101+SUM(E$99:E101)=D$92,F101,D$92-SUM(E$99:E101))</f>
        <v>9977994.3845514953</v>
      </c>
      <c r="E102" s="522">
        <f>IF(+J96&lt;F101,J96,D102)</f>
        <v>254019.07142857142</v>
      </c>
      <c r="F102" s="523">
        <f t="shared" ref="F102:F130" si="18">+D102-E102</f>
        <v>9723975.3131229244</v>
      </c>
      <c r="G102" s="523">
        <f t="shared" ref="G102:G130" si="19">+(F102+D102)/2</f>
        <v>9850984.8488372099</v>
      </c>
      <c r="H102" s="526">
        <f t="shared" ref="H102:H154" si="20">+J$94*G102+E102</f>
        <v>1313727.2655246886</v>
      </c>
      <c r="I102" s="577">
        <f t="shared" ref="I102:I154" si="21">+J$95*G102+E102</f>
        <v>1313727.2655246886</v>
      </c>
      <c r="J102" s="514">
        <f t="shared" si="12"/>
        <v>0</v>
      </c>
      <c r="K102" s="514"/>
      <c r="L102" s="525"/>
      <c r="M102" s="514">
        <f t="shared" si="13"/>
        <v>0</v>
      </c>
      <c r="N102" s="525"/>
      <c r="O102" s="514">
        <f t="shared" si="14"/>
        <v>0</v>
      </c>
      <c r="P102" s="514">
        <f t="shared" si="15"/>
        <v>0</v>
      </c>
    </row>
    <row r="103" spans="1:16" ht="12.5">
      <c r="B103" s="195" t="str">
        <f t="shared" si="16"/>
        <v/>
      </c>
      <c r="C103" s="507">
        <f>IF(D93="","-",+C102+1)</f>
        <v>2021</v>
      </c>
      <c r="D103" s="374">
        <f>IF(F102+SUM(E$99:E102)=D$92,F102,D$92-SUM(E$99:E102))</f>
        <v>9723975.3131229244</v>
      </c>
      <c r="E103" s="522">
        <f>IF(+J96&lt;F102,J96,D103)</f>
        <v>254019.07142857142</v>
      </c>
      <c r="F103" s="523">
        <f t="shared" si="18"/>
        <v>9469956.2416943535</v>
      </c>
      <c r="G103" s="523">
        <f t="shared" si="19"/>
        <v>9596965.777408639</v>
      </c>
      <c r="H103" s="526">
        <f t="shared" si="20"/>
        <v>1286401.4604828388</v>
      </c>
      <c r="I103" s="577">
        <f t="shared" si="21"/>
        <v>1286401.4604828388</v>
      </c>
      <c r="J103" s="514">
        <f t="shared" si="12"/>
        <v>0</v>
      </c>
      <c r="K103" s="514"/>
      <c r="L103" s="525"/>
      <c r="M103" s="514">
        <f t="shared" si="13"/>
        <v>0</v>
      </c>
      <c r="N103" s="525"/>
      <c r="O103" s="514">
        <f t="shared" si="14"/>
        <v>0</v>
      </c>
      <c r="P103" s="514">
        <f t="shared" si="15"/>
        <v>0</v>
      </c>
    </row>
    <row r="104" spans="1:16" ht="12.5">
      <c r="B104" s="195" t="str">
        <f t="shared" si="16"/>
        <v/>
      </c>
      <c r="C104" s="507">
        <f>IF(D93="","-",+C103+1)</f>
        <v>2022</v>
      </c>
      <c r="D104" s="374">
        <f>IF(F103+SUM(E$99:E103)=D$92,F103,D$92-SUM(E$99:E103))</f>
        <v>9469956.2416943535</v>
      </c>
      <c r="E104" s="522">
        <f>IF(+J96&lt;F103,J96,D104)</f>
        <v>254019.07142857142</v>
      </c>
      <c r="F104" s="523">
        <f t="shared" si="18"/>
        <v>9215937.1702657826</v>
      </c>
      <c r="G104" s="523">
        <f t="shared" si="19"/>
        <v>9342946.7059800681</v>
      </c>
      <c r="H104" s="526">
        <f t="shared" si="20"/>
        <v>1259075.655440989</v>
      </c>
      <c r="I104" s="577">
        <f t="shared" si="21"/>
        <v>1259075.655440989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 ht="12.5">
      <c r="B105" s="195" t="str">
        <f t="shared" si="16"/>
        <v/>
      </c>
      <c r="C105" s="507">
        <f>IF(D93="","-",+C104+1)</f>
        <v>2023</v>
      </c>
      <c r="D105" s="374">
        <f>IF(F104+SUM(E$99:E104)=D$92,F104,D$92-SUM(E$99:E104))</f>
        <v>9215937.1702657826</v>
      </c>
      <c r="E105" s="522">
        <f>IF(+J96&lt;F104,J96,D105)</f>
        <v>254019.07142857142</v>
      </c>
      <c r="F105" s="523">
        <f t="shared" si="18"/>
        <v>8961918.0988372117</v>
      </c>
      <c r="G105" s="523">
        <f t="shared" si="19"/>
        <v>9088927.6345514972</v>
      </c>
      <c r="H105" s="526">
        <f t="shared" si="20"/>
        <v>1231749.8503991389</v>
      </c>
      <c r="I105" s="577">
        <f t="shared" si="21"/>
        <v>1231749.8503991389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 ht="12.5">
      <c r="B106" s="195" t="str">
        <f t="shared" si="16"/>
        <v/>
      </c>
      <c r="C106" s="507">
        <f>IF(D93="","-",+C105+1)</f>
        <v>2024</v>
      </c>
      <c r="D106" s="374">
        <f>IF(F105+SUM(E$99:E105)=D$92,F105,D$92-SUM(E$99:E105))</f>
        <v>8961918.0988372117</v>
      </c>
      <c r="E106" s="522">
        <f>IF(+J96&lt;F105,J96,D106)</f>
        <v>254019.07142857142</v>
      </c>
      <c r="F106" s="523">
        <f t="shared" si="18"/>
        <v>8707899.0274086408</v>
      </c>
      <c r="G106" s="523">
        <f t="shared" si="19"/>
        <v>8834908.5631229263</v>
      </c>
      <c r="H106" s="526">
        <f t="shared" si="20"/>
        <v>1204424.0453572888</v>
      </c>
      <c r="I106" s="577">
        <f t="shared" si="21"/>
        <v>1204424.0453572888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 ht="12.5">
      <c r="B107" s="195" t="str">
        <f t="shared" si="16"/>
        <v/>
      </c>
      <c r="C107" s="507">
        <f>IF(D93="","-",+C106+1)</f>
        <v>2025</v>
      </c>
      <c r="D107" s="374">
        <f>IF(F106+SUM(E$99:E106)=D$92,F106,D$92-SUM(E$99:E106))</f>
        <v>8707899.0274086408</v>
      </c>
      <c r="E107" s="522">
        <f>IF(+J96&lt;F106,J96,D107)</f>
        <v>254019.07142857142</v>
      </c>
      <c r="F107" s="523">
        <f t="shared" si="18"/>
        <v>8453879.9559800699</v>
      </c>
      <c r="G107" s="523">
        <f t="shared" si="19"/>
        <v>8580889.4916943554</v>
      </c>
      <c r="H107" s="526">
        <f t="shared" si="20"/>
        <v>1177098.2403154389</v>
      </c>
      <c r="I107" s="577">
        <f t="shared" si="21"/>
        <v>1177098.2403154389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 ht="12.5">
      <c r="B108" s="195" t="str">
        <f t="shared" si="16"/>
        <v/>
      </c>
      <c r="C108" s="507">
        <f>IF(D93="","-",+C107+1)</f>
        <v>2026</v>
      </c>
      <c r="D108" s="374">
        <f>IF(F107+SUM(E$99:E107)=D$92,F107,D$92-SUM(E$99:E107))</f>
        <v>8453879.9559800699</v>
      </c>
      <c r="E108" s="522">
        <f>IF(+J96&lt;F107,J96,D108)</f>
        <v>254019.07142857142</v>
      </c>
      <c r="F108" s="523">
        <f t="shared" si="18"/>
        <v>8199860.8845514981</v>
      </c>
      <c r="G108" s="523">
        <f t="shared" si="19"/>
        <v>8326870.4202657845</v>
      </c>
      <c r="H108" s="526">
        <f t="shared" si="20"/>
        <v>1149772.4352735889</v>
      </c>
      <c r="I108" s="577">
        <f t="shared" si="21"/>
        <v>1149772.4352735889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 ht="12.5">
      <c r="B109" s="195" t="str">
        <f t="shared" si="16"/>
        <v/>
      </c>
      <c r="C109" s="507">
        <f>IF(D93="","-",+C108+1)</f>
        <v>2027</v>
      </c>
      <c r="D109" s="374">
        <f>IF(F108+SUM(E$99:E108)=D$92,F108,D$92-SUM(E$99:E108))</f>
        <v>8199860.8845514981</v>
      </c>
      <c r="E109" s="522">
        <f>IF(+J96&lt;F108,J96,D109)</f>
        <v>254019.07142857142</v>
      </c>
      <c r="F109" s="523">
        <f t="shared" si="18"/>
        <v>7945841.8131229263</v>
      </c>
      <c r="G109" s="523">
        <f t="shared" si="19"/>
        <v>8072851.3488372117</v>
      </c>
      <c r="H109" s="526">
        <f t="shared" si="20"/>
        <v>1122446.6302317388</v>
      </c>
      <c r="I109" s="577">
        <f t="shared" si="21"/>
        <v>1122446.6302317388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 ht="12.5">
      <c r="B110" s="195" t="str">
        <f t="shared" si="16"/>
        <v/>
      </c>
      <c r="C110" s="507">
        <f>IF(D93="","-",+C109+1)</f>
        <v>2028</v>
      </c>
      <c r="D110" s="374">
        <f>IF(F109+SUM(E$99:E109)=D$92,F109,D$92-SUM(E$99:E109))</f>
        <v>7945841.8131229263</v>
      </c>
      <c r="E110" s="522">
        <f>IF(+J96&lt;F109,J96,D110)</f>
        <v>254019.07142857142</v>
      </c>
      <c r="F110" s="523">
        <f t="shared" si="18"/>
        <v>7691822.7416943545</v>
      </c>
      <c r="G110" s="523">
        <f t="shared" si="19"/>
        <v>7818832.2774086408</v>
      </c>
      <c r="H110" s="526">
        <f t="shared" si="20"/>
        <v>1095120.8251898887</v>
      </c>
      <c r="I110" s="577">
        <f t="shared" si="21"/>
        <v>1095120.8251898887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 ht="12.5">
      <c r="B111" s="195" t="str">
        <f t="shared" si="16"/>
        <v/>
      </c>
      <c r="C111" s="507">
        <f>IF(D93="","-",+C110+1)</f>
        <v>2029</v>
      </c>
      <c r="D111" s="374">
        <f>IF(F110+SUM(E$99:E110)=D$92,F110,D$92-SUM(E$99:E110))</f>
        <v>7691822.7416943545</v>
      </c>
      <c r="E111" s="522">
        <f>IF(+J96&lt;F110,J96,D111)</f>
        <v>254019.07142857142</v>
      </c>
      <c r="F111" s="523">
        <f t="shared" si="18"/>
        <v>7437803.6702657826</v>
      </c>
      <c r="G111" s="523">
        <f t="shared" si="19"/>
        <v>7564813.2059800681</v>
      </c>
      <c r="H111" s="526">
        <f t="shared" si="20"/>
        <v>1067795.0201480386</v>
      </c>
      <c r="I111" s="577">
        <f t="shared" si="21"/>
        <v>1067795.0201480386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 ht="12.5">
      <c r="B112" s="195" t="str">
        <f t="shared" si="16"/>
        <v/>
      </c>
      <c r="C112" s="507">
        <f>IF(D93="","-",+C111+1)</f>
        <v>2030</v>
      </c>
      <c r="D112" s="374">
        <f>IF(F111+SUM(E$99:E111)=D$92,F111,D$92-SUM(E$99:E111))</f>
        <v>7437803.6702657826</v>
      </c>
      <c r="E112" s="522">
        <f>IF(+J96&lt;F111,J96,D112)</f>
        <v>254019.07142857142</v>
      </c>
      <c r="F112" s="523">
        <f t="shared" si="18"/>
        <v>7183784.5988372108</v>
      </c>
      <c r="G112" s="523">
        <f t="shared" si="19"/>
        <v>7310794.1345514972</v>
      </c>
      <c r="H112" s="526">
        <f t="shared" si="20"/>
        <v>1040469.2151061886</v>
      </c>
      <c r="I112" s="577">
        <f t="shared" si="21"/>
        <v>1040469.2151061886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 ht="12.5">
      <c r="B113" s="195" t="str">
        <f t="shared" si="16"/>
        <v/>
      </c>
      <c r="C113" s="507">
        <f>IF(D93="","-",+C112+1)</f>
        <v>2031</v>
      </c>
      <c r="D113" s="374">
        <f>IF(F112+SUM(E$99:E112)=D$92,F112,D$92-SUM(E$99:E112))</f>
        <v>7183784.5988372108</v>
      </c>
      <c r="E113" s="522">
        <f>IF(+J96&lt;F112,J96,D113)</f>
        <v>254019.07142857142</v>
      </c>
      <c r="F113" s="523">
        <f t="shared" si="18"/>
        <v>6929765.527408639</v>
      </c>
      <c r="G113" s="523">
        <f t="shared" si="19"/>
        <v>7056775.0631229244</v>
      </c>
      <c r="H113" s="526">
        <f t="shared" si="20"/>
        <v>1013143.4100643385</v>
      </c>
      <c r="I113" s="577">
        <f t="shared" si="21"/>
        <v>1013143.4100643385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 ht="12.5">
      <c r="B114" s="195" t="str">
        <f t="shared" si="16"/>
        <v/>
      </c>
      <c r="C114" s="507">
        <f>IF(D93="","-",+C113+1)</f>
        <v>2032</v>
      </c>
      <c r="D114" s="374">
        <f>IF(F113+SUM(E$99:E113)=D$92,F113,D$92-SUM(E$99:E113))</f>
        <v>6929765.527408639</v>
      </c>
      <c r="E114" s="522">
        <f>IF(+J96&lt;F113,J96,D114)</f>
        <v>254019.07142857142</v>
      </c>
      <c r="F114" s="523">
        <f t="shared" si="18"/>
        <v>6675746.4559800671</v>
      </c>
      <c r="G114" s="523">
        <f t="shared" si="19"/>
        <v>6802755.9916943535</v>
      </c>
      <c r="H114" s="526">
        <f t="shared" si="20"/>
        <v>985817.60502248863</v>
      </c>
      <c r="I114" s="577">
        <f t="shared" si="21"/>
        <v>985817.60502248863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 ht="12.5">
      <c r="B115" s="195" t="str">
        <f t="shared" si="16"/>
        <v/>
      </c>
      <c r="C115" s="507">
        <f>IF(D93="","-",+C114+1)</f>
        <v>2033</v>
      </c>
      <c r="D115" s="374">
        <f>IF(F114+SUM(E$99:E114)=D$92,F114,D$92-SUM(E$99:E114))</f>
        <v>6675746.4559800671</v>
      </c>
      <c r="E115" s="522">
        <f>IF(+J96&lt;F114,J96,D115)</f>
        <v>254019.07142857142</v>
      </c>
      <c r="F115" s="523">
        <f t="shared" si="18"/>
        <v>6421727.3845514953</v>
      </c>
      <c r="G115" s="523">
        <f t="shared" si="19"/>
        <v>6548736.9202657808</v>
      </c>
      <c r="H115" s="526">
        <f t="shared" si="20"/>
        <v>958491.79998063832</v>
      </c>
      <c r="I115" s="577">
        <f t="shared" si="21"/>
        <v>958491.79998063832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 ht="12.5">
      <c r="B116" s="195" t="str">
        <f t="shared" si="16"/>
        <v/>
      </c>
      <c r="C116" s="507">
        <f>IF(D93="","-",+C115+1)</f>
        <v>2034</v>
      </c>
      <c r="D116" s="374">
        <f>IF(F115+SUM(E$99:E115)=D$92,F115,D$92-SUM(E$99:E115))</f>
        <v>6421727.3845514953</v>
      </c>
      <c r="E116" s="522">
        <f>IF(+J96&lt;F115,J96,D116)</f>
        <v>254019.07142857142</v>
      </c>
      <c r="F116" s="523">
        <f t="shared" si="18"/>
        <v>6167708.3131229235</v>
      </c>
      <c r="G116" s="523">
        <f t="shared" si="19"/>
        <v>6294717.8488372099</v>
      </c>
      <c r="H116" s="526">
        <f t="shared" si="20"/>
        <v>931165.99493878847</v>
      </c>
      <c r="I116" s="577">
        <f t="shared" si="21"/>
        <v>931165.99493878847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 ht="12.5">
      <c r="B117" s="195" t="str">
        <f t="shared" si="16"/>
        <v/>
      </c>
      <c r="C117" s="507">
        <f>IF(D93="","-",+C116+1)</f>
        <v>2035</v>
      </c>
      <c r="D117" s="374">
        <f>IF(F116+SUM(E$99:E116)=D$92,F116,D$92-SUM(E$99:E116))</f>
        <v>6167708.3131229235</v>
      </c>
      <c r="E117" s="522">
        <f>IF(+J96&lt;F116,J96,D117)</f>
        <v>254019.07142857142</v>
      </c>
      <c r="F117" s="523">
        <f t="shared" si="18"/>
        <v>5913689.2416943517</v>
      </c>
      <c r="G117" s="523">
        <f t="shared" si="19"/>
        <v>6040698.7774086371</v>
      </c>
      <c r="H117" s="526">
        <f t="shared" si="20"/>
        <v>903840.18989693816</v>
      </c>
      <c r="I117" s="577">
        <f t="shared" si="21"/>
        <v>903840.18989693816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 ht="12.5">
      <c r="B118" s="195" t="str">
        <f t="shared" si="16"/>
        <v/>
      </c>
      <c r="C118" s="507">
        <f>IF(D93="","-",+C117+1)</f>
        <v>2036</v>
      </c>
      <c r="D118" s="374">
        <f>IF(F117+SUM(E$99:E117)=D$92,F117,D$92-SUM(E$99:E117))</f>
        <v>5913689.2416943517</v>
      </c>
      <c r="E118" s="522">
        <f>IF(+J96&lt;F117,J96,D118)</f>
        <v>254019.07142857142</v>
      </c>
      <c r="F118" s="523">
        <f t="shared" si="18"/>
        <v>5659670.1702657798</v>
      </c>
      <c r="G118" s="523">
        <f t="shared" si="19"/>
        <v>5786679.7059800662</v>
      </c>
      <c r="H118" s="526">
        <f t="shared" si="20"/>
        <v>876514.38485508831</v>
      </c>
      <c r="I118" s="577">
        <f t="shared" si="21"/>
        <v>876514.38485508831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 ht="12.5">
      <c r="B119" s="195" t="str">
        <f t="shared" si="16"/>
        <v/>
      </c>
      <c r="C119" s="507">
        <f>IF(D93="","-",+C118+1)</f>
        <v>2037</v>
      </c>
      <c r="D119" s="374">
        <f>IF(F118+SUM(E$99:E118)=D$92,F118,D$92-SUM(E$99:E118))</f>
        <v>5659670.1702657798</v>
      </c>
      <c r="E119" s="522">
        <f>IF(+J96&lt;F118,J96,D119)</f>
        <v>254019.07142857142</v>
      </c>
      <c r="F119" s="523">
        <f t="shared" si="18"/>
        <v>5405651.098837208</v>
      </c>
      <c r="G119" s="523">
        <f t="shared" si="19"/>
        <v>5532660.6345514935</v>
      </c>
      <c r="H119" s="526">
        <f t="shared" si="20"/>
        <v>849188.579813238</v>
      </c>
      <c r="I119" s="577">
        <f t="shared" si="21"/>
        <v>849188.579813238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 ht="12.5">
      <c r="B120" s="195" t="str">
        <f t="shared" si="16"/>
        <v/>
      </c>
      <c r="C120" s="507">
        <f>IF(D93="","-",+C119+1)</f>
        <v>2038</v>
      </c>
      <c r="D120" s="374">
        <f>IF(F119+SUM(E$99:E119)=D$92,F119,D$92-SUM(E$99:E119))</f>
        <v>5405651.098837208</v>
      </c>
      <c r="E120" s="522">
        <f>IF(+J96&lt;F119,J96,D120)</f>
        <v>254019.07142857142</v>
      </c>
      <c r="F120" s="523">
        <f t="shared" si="18"/>
        <v>5151632.0274086362</v>
      </c>
      <c r="G120" s="523">
        <f t="shared" si="19"/>
        <v>5278641.5631229226</v>
      </c>
      <c r="H120" s="526">
        <f t="shared" si="20"/>
        <v>821862.77477138815</v>
      </c>
      <c r="I120" s="577">
        <f t="shared" si="21"/>
        <v>821862.77477138815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 ht="12.5">
      <c r="B121" s="195" t="str">
        <f t="shared" si="16"/>
        <v/>
      </c>
      <c r="C121" s="507">
        <f>IF(D93="","-",+C120+1)</f>
        <v>2039</v>
      </c>
      <c r="D121" s="374">
        <f>IF(F120+SUM(E$99:E120)=D$92,F120,D$92-SUM(E$99:E120))</f>
        <v>5151632.0274086362</v>
      </c>
      <c r="E121" s="522">
        <f>IF(+J96&lt;F120,J96,D121)</f>
        <v>254019.07142857142</v>
      </c>
      <c r="F121" s="523">
        <f t="shared" si="18"/>
        <v>4897612.9559800643</v>
      </c>
      <c r="G121" s="523">
        <f t="shared" si="19"/>
        <v>5024622.4916943498</v>
      </c>
      <c r="H121" s="526">
        <f t="shared" si="20"/>
        <v>794536.96972953784</v>
      </c>
      <c r="I121" s="577">
        <f t="shared" si="21"/>
        <v>794536.96972953784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 ht="12.5">
      <c r="B122" s="195" t="str">
        <f t="shared" si="16"/>
        <v/>
      </c>
      <c r="C122" s="507">
        <f>IF(D93="","-",+C121+1)</f>
        <v>2040</v>
      </c>
      <c r="D122" s="374">
        <f>IF(F121+SUM(E$99:E121)=D$92,F121,D$92-SUM(E$99:E121))</f>
        <v>4897612.9559800643</v>
      </c>
      <c r="E122" s="522">
        <f>IF(+J96&lt;F121,J96,D122)</f>
        <v>254019.07142857142</v>
      </c>
      <c r="F122" s="523">
        <f t="shared" si="18"/>
        <v>4643593.8845514925</v>
      </c>
      <c r="G122" s="523">
        <f t="shared" si="19"/>
        <v>4770603.4202657789</v>
      </c>
      <c r="H122" s="526">
        <f t="shared" si="20"/>
        <v>767211.164687688</v>
      </c>
      <c r="I122" s="577">
        <f t="shared" si="21"/>
        <v>767211.164687688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 ht="12.5">
      <c r="B123" s="195" t="str">
        <f t="shared" si="16"/>
        <v/>
      </c>
      <c r="C123" s="507">
        <f>IF(D93="","-",+C122+1)</f>
        <v>2041</v>
      </c>
      <c r="D123" s="374">
        <f>IF(F122+SUM(E$99:E122)=D$92,F122,D$92-SUM(E$99:E122))</f>
        <v>4643593.8845514925</v>
      </c>
      <c r="E123" s="522">
        <f>IF(+J96&lt;F122,J96,D123)</f>
        <v>254019.07142857142</v>
      </c>
      <c r="F123" s="523">
        <f t="shared" si="18"/>
        <v>4389574.8131229207</v>
      </c>
      <c r="G123" s="523">
        <f t="shared" si="19"/>
        <v>4516584.3488372061</v>
      </c>
      <c r="H123" s="526">
        <f t="shared" si="20"/>
        <v>739885.3596458378</v>
      </c>
      <c r="I123" s="577">
        <f t="shared" si="21"/>
        <v>739885.3596458378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 ht="12.5">
      <c r="B124" s="195" t="str">
        <f t="shared" si="16"/>
        <v/>
      </c>
      <c r="C124" s="507">
        <f>IF(D93="","-",+C123+1)</f>
        <v>2042</v>
      </c>
      <c r="D124" s="374">
        <f>IF(F123+SUM(E$99:E123)=D$92,F123,D$92-SUM(E$99:E123))</f>
        <v>4389574.8131229207</v>
      </c>
      <c r="E124" s="522">
        <f>IF(+J96&lt;F123,J96,D124)</f>
        <v>254019.07142857142</v>
      </c>
      <c r="F124" s="523">
        <f t="shared" si="18"/>
        <v>4135555.7416943493</v>
      </c>
      <c r="G124" s="523">
        <f t="shared" si="19"/>
        <v>4262565.2774086352</v>
      </c>
      <c r="H124" s="526">
        <f t="shared" si="20"/>
        <v>712559.55460398784</v>
      </c>
      <c r="I124" s="577">
        <f t="shared" si="21"/>
        <v>712559.55460398784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 ht="12.5">
      <c r="B125" s="195" t="str">
        <f t="shared" si="16"/>
        <v/>
      </c>
      <c r="C125" s="507">
        <f>IF(D93="","-",+C124+1)</f>
        <v>2043</v>
      </c>
      <c r="D125" s="374">
        <f>IF(F124+SUM(E$99:E124)=D$92,F124,D$92-SUM(E$99:E124))</f>
        <v>4135555.7416943493</v>
      </c>
      <c r="E125" s="522">
        <f>IF(+J96&lt;F124,J96,D125)</f>
        <v>254019.07142857142</v>
      </c>
      <c r="F125" s="523">
        <f t="shared" si="18"/>
        <v>3881536.670265778</v>
      </c>
      <c r="G125" s="523">
        <f t="shared" si="19"/>
        <v>4008546.2059800634</v>
      </c>
      <c r="H125" s="526">
        <f t="shared" si="20"/>
        <v>685233.74956213776</v>
      </c>
      <c r="I125" s="577">
        <f t="shared" si="21"/>
        <v>685233.74956213776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 ht="12.5">
      <c r="B126" s="195" t="str">
        <f t="shared" si="16"/>
        <v/>
      </c>
      <c r="C126" s="507">
        <f>IF(D93="","-",+C125+1)</f>
        <v>2044</v>
      </c>
      <c r="D126" s="374">
        <f>IF(F125+SUM(E$99:E125)=D$92,F125,D$92-SUM(E$99:E125))</f>
        <v>3881536.670265778</v>
      </c>
      <c r="E126" s="522">
        <f>IF(+J96&lt;F125,J96,D126)</f>
        <v>254019.07142857142</v>
      </c>
      <c r="F126" s="523">
        <f t="shared" si="18"/>
        <v>3627517.5988372066</v>
      </c>
      <c r="G126" s="523">
        <f t="shared" si="19"/>
        <v>3754527.1345514925</v>
      </c>
      <c r="H126" s="526">
        <f t="shared" si="20"/>
        <v>657907.94452028768</v>
      </c>
      <c r="I126" s="577">
        <f t="shared" si="21"/>
        <v>657907.94452028768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 ht="12.5">
      <c r="B127" s="195" t="str">
        <f t="shared" si="16"/>
        <v/>
      </c>
      <c r="C127" s="507">
        <f>IF(D93="","-",+C126+1)</f>
        <v>2045</v>
      </c>
      <c r="D127" s="374">
        <f>IF(F126+SUM(E$99:E126)=D$92,F126,D$92-SUM(E$99:E126))</f>
        <v>3627517.5988372066</v>
      </c>
      <c r="E127" s="522">
        <f>IF(+J96&lt;F126,J96,D127)</f>
        <v>254019.07142857142</v>
      </c>
      <c r="F127" s="523">
        <f t="shared" si="18"/>
        <v>3373498.5274086352</v>
      </c>
      <c r="G127" s="523">
        <f t="shared" si="19"/>
        <v>3500508.0631229207</v>
      </c>
      <c r="H127" s="526">
        <f t="shared" si="20"/>
        <v>630582.13947843772</v>
      </c>
      <c r="I127" s="577">
        <f t="shared" si="21"/>
        <v>630582.13947843772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 ht="12.5">
      <c r="B128" s="195" t="str">
        <f t="shared" si="16"/>
        <v/>
      </c>
      <c r="C128" s="507">
        <f>IF(D93="","-",+C127+1)</f>
        <v>2046</v>
      </c>
      <c r="D128" s="374">
        <f>IF(F127+SUM(E$99:E127)=D$92,F127,D$92-SUM(E$99:E127))</f>
        <v>3373498.5274086352</v>
      </c>
      <c r="E128" s="522">
        <f>IF(+J96&lt;F127,J96,D128)</f>
        <v>254019.07142857142</v>
      </c>
      <c r="F128" s="523">
        <f t="shared" si="18"/>
        <v>3119479.4559800639</v>
      </c>
      <c r="G128" s="523">
        <f t="shared" si="19"/>
        <v>3246488.9916943498</v>
      </c>
      <c r="H128" s="526">
        <f t="shared" si="20"/>
        <v>603256.33443658776</v>
      </c>
      <c r="I128" s="577">
        <f t="shared" si="21"/>
        <v>603256.33443658776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 ht="12.5">
      <c r="B129" s="195" t="str">
        <f t="shared" si="16"/>
        <v/>
      </c>
      <c r="C129" s="507">
        <f>IF(D93="","-",+C128+1)</f>
        <v>2047</v>
      </c>
      <c r="D129" s="374">
        <f>IF(F128+SUM(E$99:E128)=D$92,F128,D$92-SUM(E$99:E128))</f>
        <v>3119479.4559800639</v>
      </c>
      <c r="E129" s="522">
        <f>IF(+J96&lt;F128,J96,D129)</f>
        <v>254019.07142857142</v>
      </c>
      <c r="F129" s="523">
        <f t="shared" si="18"/>
        <v>2865460.3845514925</v>
      </c>
      <c r="G129" s="523">
        <f t="shared" si="19"/>
        <v>2992469.920265778</v>
      </c>
      <c r="H129" s="526">
        <f t="shared" si="20"/>
        <v>575930.52939473768</v>
      </c>
      <c r="I129" s="577">
        <f t="shared" si="21"/>
        <v>575930.52939473768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 ht="12.5">
      <c r="B130" s="195" t="str">
        <f t="shared" si="16"/>
        <v/>
      </c>
      <c r="C130" s="507">
        <f>IF(D93="","-",+C129+1)</f>
        <v>2048</v>
      </c>
      <c r="D130" s="374">
        <f>IF(F129+SUM(E$99:E129)=D$92,F129,D$92-SUM(E$99:E129))</f>
        <v>2865460.3845514925</v>
      </c>
      <c r="E130" s="522">
        <f>IF(+J96&lt;F129,J96,D130)</f>
        <v>254019.07142857142</v>
      </c>
      <c r="F130" s="523">
        <f t="shared" si="18"/>
        <v>2611441.3131229212</v>
      </c>
      <c r="G130" s="523">
        <f t="shared" si="19"/>
        <v>2738450.8488372071</v>
      </c>
      <c r="H130" s="526">
        <f t="shared" si="20"/>
        <v>548604.7243528876</v>
      </c>
      <c r="I130" s="577">
        <f t="shared" si="21"/>
        <v>548604.7243528876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 ht="12.5">
      <c r="B131" s="195" t="str">
        <f t="shared" si="16"/>
        <v/>
      </c>
      <c r="C131" s="507">
        <f>IF(D93="","-",+C130+1)</f>
        <v>2049</v>
      </c>
      <c r="D131" s="374">
        <f>IF(F130+SUM(E$99:E130)=D$92,F130,D$92-SUM(E$99:E130))</f>
        <v>2611441.3131229212</v>
      </c>
      <c r="E131" s="522">
        <f>IF(+J96&lt;F130,J96,D131)</f>
        <v>254019.07142857142</v>
      </c>
      <c r="F131" s="523">
        <f t="shared" ref="F131:F154" si="22">+D131-E131</f>
        <v>2357422.2416943498</v>
      </c>
      <c r="G131" s="523">
        <f t="shared" ref="G131:G154" si="23">+(F131+D131)/2</f>
        <v>2484431.7774086352</v>
      </c>
      <c r="H131" s="526">
        <f t="shared" si="20"/>
        <v>521278.91931103758</v>
      </c>
      <c r="I131" s="577">
        <f t="shared" si="21"/>
        <v>521278.91931103758</v>
      </c>
      <c r="J131" s="514">
        <f t="shared" ref="J131:J154" si="24">+I541-H541</f>
        <v>0</v>
      </c>
      <c r="K131" s="514"/>
      <c r="L131" s="525"/>
      <c r="M131" s="514">
        <f t="shared" ref="M131:M154" si="25">IF(L541&lt;&gt;0,+H541-L541,0)</f>
        <v>0</v>
      </c>
      <c r="N131" s="525"/>
      <c r="O131" s="514">
        <f t="shared" ref="O131:O154" si="26">IF(N541&lt;&gt;0,+I541-N541,0)</f>
        <v>0</v>
      </c>
      <c r="P131" s="514">
        <f t="shared" ref="P131:P154" si="27">+O541-M541</f>
        <v>0</v>
      </c>
    </row>
    <row r="132" spans="2:16" ht="12.5">
      <c r="B132" s="195" t="str">
        <f t="shared" si="16"/>
        <v/>
      </c>
      <c r="C132" s="507">
        <f>IF(D93="","-",+C131+1)</f>
        <v>2050</v>
      </c>
      <c r="D132" s="374">
        <f>IF(F131+SUM(E$99:E131)=D$92,F131,D$92-SUM(E$99:E131))</f>
        <v>2357422.2416943498</v>
      </c>
      <c r="E132" s="522">
        <f>IF(+J96&lt;F131,J96,D132)</f>
        <v>254019.07142857142</v>
      </c>
      <c r="F132" s="523">
        <f t="shared" si="22"/>
        <v>2103403.1702657784</v>
      </c>
      <c r="G132" s="523">
        <f t="shared" si="23"/>
        <v>2230412.7059800643</v>
      </c>
      <c r="H132" s="526">
        <f t="shared" si="20"/>
        <v>493953.11426918767</v>
      </c>
      <c r="I132" s="577">
        <f t="shared" si="21"/>
        <v>493953.11426918767</v>
      </c>
      <c r="J132" s="514">
        <f t="shared" si="24"/>
        <v>0</v>
      </c>
      <c r="K132" s="514"/>
      <c r="L132" s="525"/>
      <c r="M132" s="514">
        <f t="shared" si="25"/>
        <v>0</v>
      </c>
      <c r="N132" s="525"/>
      <c r="O132" s="514">
        <f t="shared" si="26"/>
        <v>0</v>
      </c>
      <c r="P132" s="514">
        <f t="shared" si="27"/>
        <v>0</v>
      </c>
    </row>
    <row r="133" spans="2:16" ht="12.5">
      <c r="B133" s="195" t="str">
        <f t="shared" si="16"/>
        <v/>
      </c>
      <c r="C133" s="507">
        <f>IF(D93="","-",+C132+1)</f>
        <v>2051</v>
      </c>
      <c r="D133" s="374">
        <f>IF(F132+SUM(E$99:E132)=D$92,F132,D$92-SUM(E$99:E132))</f>
        <v>2103403.1702657784</v>
      </c>
      <c r="E133" s="522">
        <f>IF(+J96&lt;F132,J96,D133)</f>
        <v>254019.07142857142</v>
      </c>
      <c r="F133" s="523">
        <f t="shared" si="22"/>
        <v>1849384.0988372071</v>
      </c>
      <c r="G133" s="523">
        <f t="shared" si="23"/>
        <v>1976393.6345514928</v>
      </c>
      <c r="H133" s="526">
        <f t="shared" si="20"/>
        <v>466627.3092273376</v>
      </c>
      <c r="I133" s="577">
        <f t="shared" si="21"/>
        <v>466627.3092273376</v>
      </c>
      <c r="J133" s="514">
        <f t="shared" si="24"/>
        <v>0</v>
      </c>
      <c r="K133" s="514"/>
      <c r="L133" s="525"/>
      <c r="M133" s="514">
        <f t="shared" si="25"/>
        <v>0</v>
      </c>
      <c r="N133" s="525"/>
      <c r="O133" s="514">
        <f t="shared" si="26"/>
        <v>0</v>
      </c>
      <c r="P133" s="514">
        <f t="shared" si="27"/>
        <v>0</v>
      </c>
    </row>
    <row r="134" spans="2:16" ht="12.5">
      <c r="B134" s="195" t="str">
        <f t="shared" si="16"/>
        <v/>
      </c>
      <c r="C134" s="507">
        <f>IF(D93="","-",+C133+1)</f>
        <v>2052</v>
      </c>
      <c r="D134" s="374">
        <f>IF(F133+SUM(E$99:E133)=D$92,F133,D$92-SUM(E$99:E133))</f>
        <v>1849384.0988372071</v>
      </c>
      <c r="E134" s="522">
        <f>IF(+J96&lt;F133,J96,D134)</f>
        <v>254019.07142857142</v>
      </c>
      <c r="F134" s="523">
        <f t="shared" si="22"/>
        <v>1595365.0274086357</v>
      </c>
      <c r="G134" s="523">
        <f t="shared" si="23"/>
        <v>1722374.5631229214</v>
      </c>
      <c r="H134" s="526">
        <f t="shared" si="20"/>
        <v>439301.50418548757</v>
      </c>
      <c r="I134" s="577">
        <f t="shared" si="21"/>
        <v>439301.50418548757</v>
      </c>
      <c r="J134" s="514">
        <f t="shared" si="24"/>
        <v>0</v>
      </c>
      <c r="K134" s="514"/>
      <c r="L134" s="525"/>
      <c r="M134" s="514">
        <f t="shared" si="25"/>
        <v>0</v>
      </c>
      <c r="N134" s="525"/>
      <c r="O134" s="514">
        <f t="shared" si="26"/>
        <v>0</v>
      </c>
      <c r="P134" s="514">
        <f t="shared" si="27"/>
        <v>0</v>
      </c>
    </row>
    <row r="135" spans="2:16" ht="12.5">
      <c r="B135" s="195" t="str">
        <f t="shared" si="16"/>
        <v/>
      </c>
      <c r="C135" s="507">
        <f>IF(D93="","-",+C134+1)</f>
        <v>2053</v>
      </c>
      <c r="D135" s="374">
        <f>IF(F134+SUM(E$99:E134)=D$92,F134,D$92-SUM(E$99:E134))</f>
        <v>1595365.0274086357</v>
      </c>
      <c r="E135" s="522">
        <f>IF(+J96&lt;F134,J96,D135)</f>
        <v>254019.07142857142</v>
      </c>
      <c r="F135" s="523">
        <f t="shared" si="22"/>
        <v>1341345.9559800643</v>
      </c>
      <c r="G135" s="523">
        <f t="shared" si="23"/>
        <v>1468355.49169435</v>
      </c>
      <c r="H135" s="526">
        <f t="shared" si="20"/>
        <v>411975.69914363755</v>
      </c>
      <c r="I135" s="577">
        <f t="shared" si="21"/>
        <v>411975.69914363755</v>
      </c>
      <c r="J135" s="514">
        <f t="shared" si="24"/>
        <v>0</v>
      </c>
      <c r="K135" s="514"/>
      <c r="L135" s="525"/>
      <c r="M135" s="514">
        <f t="shared" si="25"/>
        <v>0</v>
      </c>
      <c r="N135" s="525"/>
      <c r="O135" s="514">
        <f t="shared" si="26"/>
        <v>0</v>
      </c>
      <c r="P135" s="514">
        <f t="shared" si="27"/>
        <v>0</v>
      </c>
    </row>
    <row r="136" spans="2:16" ht="12.5">
      <c r="B136" s="195" t="str">
        <f t="shared" si="16"/>
        <v/>
      </c>
      <c r="C136" s="507">
        <f>IF(D93="","-",+C135+1)</f>
        <v>2054</v>
      </c>
      <c r="D136" s="374">
        <f>IF(F135+SUM(E$99:E135)=D$92,F135,D$92-SUM(E$99:E135))</f>
        <v>1341345.9559800643</v>
      </c>
      <c r="E136" s="522">
        <f>IF(+J96&lt;F135,J96,D136)</f>
        <v>254019.07142857142</v>
      </c>
      <c r="F136" s="523">
        <f t="shared" si="22"/>
        <v>1087326.884551493</v>
      </c>
      <c r="G136" s="523">
        <f t="shared" si="23"/>
        <v>1214336.4202657787</v>
      </c>
      <c r="H136" s="526">
        <f t="shared" si="20"/>
        <v>384649.89410178753</v>
      </c>
      <c r="I136" s="577">
        <f t="shared" si="21"/>
        <v>384649.89410178753</v>
      </c>
      <c r="J136" s="514">
        <f t="shared" si="24"/>
        <v>0</v>
      </c>
      <c r="K136" s="514"/>
      <c r="L136" s="525"/>
      <c r="M136" s="514">
        <f t="shared" si="25"/>
        <v>0</v>
      </c>
      <c r="N136" s="525"/>
      <c r="O136" s="514">
        <f t="shared" si="26"/>
        <v>0</v>
      </c>
      <c r="P136" s="514">
        <f t="shared" si="27"/>
        <v>0</v>
      </c>
    </row>
    <row r="137" spans="2:16" ht="12.5">
      <c r="B137" s="195" t="str">
        <f t="shared" si="16"/>
        <v/>
      </c>
      <c r="C137" s="507">
        <f>IF(D93="","-",+C136+1)</f>
        <v>2055</v>
      </c>
      <c r="D137" s="374">
        <f>IF(F136+SUM(E$99:E136)=D$92,F136,D$92-SUM(E$99:E136))</f>
        <v>1087326.884551493</v>
      </c>
      <c r="E137" s="522">
        <f>IF(+J96&lt;F136,J96,D137)</f>
        <v>254019.07142857142</v>
      </c>
      <c r="F137" s="523">
        <f t="shared" si="22"/>
        <v>833307.81312292162</v>
      </c>
      <c r="G137" s="523">
        <f t="shared" si="23"/>
        <v>960317.3488372073</v>
      </c>
      <c r="H137" s="526">
        <f t="shared" si="20"/>
        <v>357324.08905993751</v>
      </c>
      <c r="I137" s="577">
        <f t="shared" si="21"/>
        <v>357324.08905993751</v>
      </c>
      <c r="J137" s="514">
        <f t="shared" si="24"/>
        <v>0</v>
      </c>
      <c r="K137" s="514"/>
      <c r="L137" s="525"/>
      <c r="M137" s="514">
        <f t="shared" si="25"/>
        <v>0</v>
      </c>
      <c r="N137" s="525"/>
      <c r="O137" s="514">
        <f t="shared" si="26"/>
        <v>0</v>
      </c>
      <c r="P137" s="514">
        <f t="shared" si="27"/>
        <v>0</v>
      </c>
    </row>
    <row r="138" spans="2:16" ht="12.5">
      <c r="B138" s="195" t="str">
        <f t="shared" si="16"/>
        <v/>
      </c>
      <c r="C138" s="507">
        <f>IF(D93="","-",+C137+1)</f>
        <v>2056</v>
      </c>
      <c r="D138" s="374">
        <f>IF(F137+SUM(E$99:E137)=D$92,F137,D$92-SUM(E$99:E137))</f>
        <v>833307.81312292162</v>
      </c>
      <c r="E138" s="522">
        <f>IF(+J96&lt;F137,J96,D138)</f>
        <v>254019.07142857142</v>
      </c>
      <c r="F138" s="523">
        <f t="shared" si="22"/>
        <v>579288.74169435026</v>
      </c>
      <c r="G138" s="523">
        <f t="shared" si="23"/>
        <v>706298.27740863594</v>
      </c>
      <c r="H138" s="526">
        <f t="shared" si="20"/>
        <v>329998.28401808749</v>
      </c>
      <c r="I138" s="577">
        <f t="shared" si="21"/>
        <v>329998.28401808749</v>
      </c>
      <c r="J138" s="514">
        <f t="shared" si="24"/>
        <v>0</v>
      </c>
      <c r="K138" s="514"/>
      <c r="L138" s="525"/>
      <c r="M138" s="514">
        <f t="shared" si="25"/>
        <v>0</v>
      </c>
      <c r="N138" s="525"/>
      <c r="O138" s="514">
        <f t="shared" si="26"/>
        <v>0</v>
      </c>
      <c r="P138" s="514">
        <f t="shared" si="27"/>
        <v>0</v>
      </c>
    </row>
    <row r="139" spans="2:16" ht="12.5">
      <c r="B139" s="195" t="str">
        <f t="shared" si="16"/>
        <v/>
      </c>
      <c r="C139" s="507">
        <f>IF(D93="","-",+C138+1)</f>
        <v>2057</v>
      </c>
      <c r="D139" s="374">
        <f>IF(F138+SUM(E$99:E138)=D$92,F138,D$92-SUM(E$99:E138))</f>
        <v>579288.74169435026</v>
      </c>
      <c r="E139" s="522">
        <f>IF(+J96&lt;F138,J96,D139)</f>
        <v>254019.07142857142</v>
      </c>
      <c r="F139" s="523">
        <f t="shared" si="22"/>
        <v>325269.67026577884</v>
      </c>
      <c r="G139" s="523">
        <f t="shared" si="23"/>
        <v>452279.20598006458</v>
      </c>
      <c r="H139" s="526">
        <f t="shared" si="20"/>
        <v>302672.47897623747</v>
      </c>
      <c r="I139" s="577">
        <f t="shared" si="21"/>
        <v>302672.47897623747</v>
      </c>
      <c r="J139" s="514">
        <f t="shared" si="24"/>
        <v>0</v>
      </c>
      <c r="K139" s="514"/>
      <c r="L139" s="525"/>
      <c r="M139" s="514">
        <f t="shared" si="25"/>
        <v>0</v>
      </c>
      <c r="N139" s="525"/>
      <c r="O139" s="514">
        <f t="shared" si="26"/>
        <v>0</v>
      </c>
      <c r="P139" s="514">
        <f t="shared" si="27"/>
        <v>0</v>
      </c>
    </row>
    <row r="140" spans="2:16" ht="12.5">
      <c r="B140" s="195" t="str">
        <f t="shared" si="16"/>
        <v/>
      </c>
      <c r="C140" s="507">
        <f>IF(D93="","-",+C139+1)</f>
        <v>2058</v>
      </c>
      <c r="D140" s="374">
        <f>IF(F139+SUM(E$99:E139)=D$92,F139,D$92-SUM(E$99:E139))</f>
        <v>325269.67026577884</v>
      </c>
      <c r="E140" s="522">
        <f>IF(+J96&lt;F139,J96,D140)</f>
        <v>254019.07142857142</v>
      </c>
      <c r="F140" s="523">
        <f t="shared" si="22"/>
        <v>71250.598837207421</v>
      </c>
      <c r="G140" s="523">
        <f t="shared" si="23"/>
        <v>198260.13455149313</v>
      </c>
      <c r="H140" s="526">
        <f t="shared" si="20"/>
        <v>275346.67393438745</v>
      </c>
      <c r="I140" s="577">
        <f t="shared" si="21"/>
        <v>275346.67393438745</v>
      </c>
      <c r="J140" s="514">
        <f t="shared" si="24"/>
        <v>0</v>
      </c>
      <c r="K140" s="514"/>
      <c r="L140" s="525"/>
      <c r="M140" s="514">
        <f t="shared" si="25"/>
        <v>0</v>
      </c>
      <c r="N140" s="525"/>
      <c r="O140" s="514">
        <f t="shared" si="26"/>
        <v>0</v>
      </c>
      <c r="P140" s="514">
        <f t="shared" si="27"/>
        <v>0</v>
      </c>
    </row>
    <row r="141" spans="2:16" ht="12.5">
      <c r="B141" s="195" t="str">
        <f t="shared" si="16"/>
        <v/>
      </c>
      <c r="C141" s="507">
        <f>IF(D93="","-",+C140+1)</f>
        <v>2059</v>
      </c>
      <c r="D141" s="374">
        <f>IF(F140+SUM(E$99:E140)=D$92,F140,D$92-SUM(E$99:E140))</f>
        <v>71250.598837207421</v>
      </c>
      <c r="E141" s="522">
        <f>IF(+J96&lt;F140,J96,D141)</f>
        <v>71250.598837207421</v>
      </c>
      <c r="F141" s="523">
        <f t="shared" si="22"/>
        <v>0</v>
      </c>
      <c r="G141" s="523">
        <f t="shared" si="23"/>
        <v>35625.29941860371</v>
      </c>
      <c r="H141" s="526">
        <f t="shared" si="20"/>
        <v>75082.948829652916</v>
      </c>
      <c r="I141" s="577">
        <f t="shared" si="21"/>
        <v>75082.948829652916</v>
      </c>
      <c r="J141" s="514">
        <f t="shared" si="24"/>
        <v>0</v>
      </c>
      <c r="K141" s="514"/>
      <c r="L141" s="525"/>
      <c r="M141" s="514">
        <f t="shared" si="25"/>
        <v>0</v>
      </c>
      <c r="N141" s="525"/>
      <c r="O141" s="514">
        <f t="shared" si="26"/>
        <v>0</v>
      </c>
      <c r="P141" s="514">
        <f t="shared" si="27"/>
        <v>0</v>
      </c>
    </row>
    <row r="142" spans="2:16" ht="12.5">
      <c r="B142" s="195" t="str">
        <f t="shared" si="16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2"/>
        <v>0</v>
      </c>
      <c r="G142" s="523">
        <f t="shared" si="23"/>
        <v>0</v>
      </c>
      <c r="H142" s="526">
        <f t="shared" si="20"/>
        <v>0</v>
      </c>
      <c r="I142" s="577">
        <f t="shared" si="21"/>
        <v>0</v>
      </c>
      <c r="J142" s="514">
        <f t="shared" si="24"/>
        <v>0</v>
      </c>
      <c r="K142" s="514"/>
      <c r="L142" s="525"/>
      <c r="M142" s="514">
        <f t="shared" si="25"/>
        <v>0</v>
      </c>
      <c r="N142" s="525"/>
      <c r="O142" s="514">
        <f t="shared" si="26"/>
        <v>0</v>
      </c>
      <c r="P142" s="514">
        <f t="shared" si="27"/>
        <v>0</v>
      </c>
    </row>
    <row r="143" spans="2:16" ht="12.5">
      <c r="B143" s="195" t="str">
        <f t="shared" si="16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2"/>
        <v>0</v>
      </c>
      <c r="G143" s="523">
        <f t="shared" si="23"/>
        <v>0</v>
      </c>
      <c r="H143" s="526">
        <f t="shared" si="20"/>
        <v>0</v>
      </c>
      <c r="I143" s="577">
        <f t="shared" si="21"/>
        <v>0</v>
      </c>
      <c r="J143" s="514">
        <f t="shared" si="24"/>
        <v>0</v>
      </c>
      <c r="K143" s="514"/>
      <c r="L143" s="525"/>
      <c r="M143" s="514">
        <f t="shared" si="25"/>
        <v>0</v>
      </c>
      <c r="N143" s="525"/>
      <c r="O143" s="514">
        <f t="shared" si="26"/>
        <v>0</v>
      </c>
      <c r="P143" s="514">
        <f t="shared" si="27"/>
        <v>0</v>
      </c>
    </row>
    <row r="144" spans="2:16" ht="12.5">
      <c r="B144" s="195" t="str">
        <f t="shared" si="16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2"/>
        <v>0</v>
      </c>
      <c r="G144" s="523">
        <f t="shared" si="23"/>
        <v>0</v>
      </c>
      <c r="H144" s="526">
        <f t="shared" si="20"/>
        <v>0</v>
      </c>
      <c r="I144" s="577">
        <f t="shared" si="21"/>
        <v>0</v>
      </c>
      <c r="J144" s="514">
        <f t="shared" si="24"/>
        <v>0</v>
      </c>
      <c r="K144" s="514"/>
      <c r="L144" s="525"/>
      <c r="M144" s="514">
        <f t="shared" si="25"/>
        <v>0</v>
      </c>
      <c r="N144" s="525"/>
      <c r="O144" s="514">
        <f t="shared" si="26"/>
        <v>0</v>
      </c>
      <c r="P144" s="514">
        <f t="shared" si="27"/>
        <v>0</v>
      </c>
    </row>
    <row r="145" spans="2:16" ht="12.5">
      <c r="B145" s="195" t="str">
        <f t="shared" si="16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2"/>
        <v>0</v>
      </c>
      <c r="G145" s="523">
        <f t="shared" si="23"/>
        <v>0</v>
      </c>
      <c r="H145" s="526">
        <f t="shared" si="20"/>
        <v>0</v>
      </c>
      <c r="I145" s="577">
        <f t="shared" si="21"/>
        <v>0</v>
      </c>
      <c r="J145" s="514">
        <f t="shared" si="24"/>
        <v>0</v>
      </c>
      <c r="K145" s="514"/>
      <c r="L145" s="525"/>
      <c r="M145" s="514">
        <f t="shared" si="25"/>
        <v>0</v>
      </c>
      <c r="N145" s="525"/>
      <c r="O145" s="514">
        <f t="shared" si="26"/>
        <v>0</v>
      </c>
      <c r="P145" s="514">
        <f t="shared" si="27"/>
        <v>0</v>
      </c>
    </row>
    <row r="146" spans="2:16" ht="12.5">
      <c r="B146" s="195" t="str">
        <f t="shared" si="16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2"/>
        <v>0</v>
      </c>
      <c r="G146" s="523">
        <f t="shared" si="23"/>
        <v>0</v>
      </c>
      <c r="H146" s="526">
        <f t="shared" si="20"/>
        <v>0</v>
      </c>
      <c r="I146" s="577">
        <f t="shared" si="21"/>
        <v>0</v>
      </c>
      <c r="J146" s="514">
        <f t="shared" si="24"/>
        <v>0</v>
      </c>
      <c r="K146" s="514"/>
      <c r="L146" s="525"/>
      <c r="M146" s="514">
        <f t="shared" si="25"/>
        <v>0</v>
      </c>
      <c r="N146" s="525"/>
      <c r="O146" s="514">
        <f t="shared" si="26"/>
        <v>0</v>
      </c>
      <c r="P146" s="514">
        <f t="shared" si="27"/>
        <v>0</v>
      </c>
    </row>
    <row r="147" spans="2:16" ht="12.5">
      <c r="B147" s="195" t="str">
        <f t="shared" si="16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2"/>
        <v>0</v>
      </c>
      <c r="G147" s="523">
        <f t="shared" si="23"/>
        <v>0</v>
      </c>
      <c r="H147" s="526">
        <f t="shared" si="20"/>
        <v>0</v>
      </c>
      <c r="I147" s="577">
        <f t="shared" si="21"/>
        <v>0</v>
      </c>
      <c r="J147" s="514">
        <f t="shared" si="24"/>
        <v>0</v>
      </c>
      <c r="K147" s="514"/>
      <c r="L147" s="525"/>
      <c r="M147" s="514">
        <f t="shared" si="25"/>
        <v>0</v>
      </c>
      <c r="N147" s="525"/>
      <c r="O147" s="514">
        <f t="shared" si="26"/>
        <v>0</v>
      </c>
      <c r="P147" s="514">
        <f t="shared" si="27"/>
        <v>0</v>
      </c>
    </row>
    <row r="148" spans="2:16" ht="12.5">
      <c r="B148" s="195" t="str">
        <f t="shared" si="16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2"/>
        <v>0</v>
      </c>
      <c r="G148" s="523">
        <f t="shared" si="23"/>
        <v>0</v>
      </c>
      <c r="H148" s="526">
        <f t="shared" si="20"/>
        <v>0</v>
      </c>
      <c r="I148" s="577">
        <f t="shared" si="21"/>
        <v>0</v>
      </c>
      <c r="J148" s="514">
        <f t="shared" si="24"/>
        <v>0</v>
      </c>
      <c r="K148" s="514"/>
      <c r="L148" s="525"/>
      <c r="M148" s="514">
        <f t="shared" si="25"/>
        <v>0</v>
      </c>
      <c r="N148" s="525"/>
      <c r="O148" s="514">
        <f t="shared" si="26"/>
        <v>0</v>
      </c>
      <c r="P148" s="514">
        <f t="shared" si="27"/>
        <v>0</v>
      </c>
    </row>
    <row r="149" spans="2:16" ht="12.5">
      <c r="B149" s="195" t="str">
        <f t="shared" si="16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2"/>
        <v>0</v>
      </c>
      <c r="G149" s="523">
        <f t="shared" si="23"/>
        <v>0</v>
      </c>
      <c r="H149" s="526">
        <f t="shared" si="20"/>
        <v>0</v>
      </c>
      <c r="I149" s="577">
        <f t="shared" si="21"/>
        <v>0</v>
      </c>
      <c r="J149" s="514">
        <f t="shared" si="24"/>
        <v>0</v>
      </c>
      <c r="K149" s="514"/>
      <c r="L149" s="525"/>
      <c r="M149" s="514">
        <f t="shared" si="25"/>
        <v>0</v>
      </c>
      <c r="N149" s="525"/>
      <c r="O149" s="514">
        <f t="shared" si="26"/>
        <v>0</v>
      </c>
      <c r="P149" s="514">
        <f t="shared" si="27"/>
        <v>0</v>
      </c>
    </row>
    <row r="150" spans="2:16" ht="12.5">
      <c r="B150" s="195" t="str">
        <f t="shared" si="16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2"/>
        <v>0</v>
      </c>
      <c r="G150" s="523">
        <f t="shared" si="23"/>
        <v>0</v>
      </c>
      <c r="H150" s="526">
        <f t="shared" si="20"/>
        <v>0</v>
      </c>
      <c r="I150" s="577">
        <f t="shared" si="21"/>
        <v>0</v>
      </c>
      <c r="J150" s="514">
        <f t="shared" si="24"/>
        <v>0</v>
      </c>
      <c r="K150" s="514"/>
      <c r="L150" s="525"/>
      <c r="M150" s="514">
        <f t="shared" si="25"/>
        <v>0</v>
      </c>
      <c r="N150" s="525"/>
      <c r="O150" s="514">
        <f t="shared" si="26"/>
        <v>0</v>
      </c>
      <c r="P150" s="514">
        <f t="shared" si="27"/>
        <v>0</v>
      </c>
    </row>
    <row r="151" spans="2:16" ht="12.5">
      <c r="B151" s="195" t="str">
        <f t="shared" si="16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2"/>
        <v>0</v>
      </c>
      <c r="G151" s="523">
        <f t="shared" si="23"/>
        <v>0</v>
      </c>
      <c r="H151" s="526">
        <f t="shared" si="20"/>
        <v>0</v>
      </c>
      <c r="I151" s="577">
        <f t="shared" si="21"/>
        <v>0</v>
      </c>
      <c r="J151" s="514">
        <f t="shared" si="24"/>
        <v>0</v>
      </c>
      <c r="K151" s="514"/>
      <c r="L151" s="525"/>
      <c r="M151" s="514">
        <f t="shared" si="25"/>
        <v>0</v>
      </c>
      <c r="N151" s="525"/>
      <c r="O151" s="514">
        <f t="shared" si="26"/>
        <v>0</v>
      </c>
      <c r="P151" s="514">
        <f t="shared" si="27"/>
        <v>0</v>
      </c>
    </row>
    <row r="152" spans="2:16" ht="12.5">
      <c r="B152" s="195" t="str">
        <f t="shared" si="16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2"/>
        <v>0</v>
      </c>
      <c r="G152" s="523">
        <f t="shared" si="23"/>
        <v>0</v>
      </c>
      <c r="H152" s="526">
        <f t="shared" si="20"/>
        <v>0</v>
      </c>
      <c r="I152" s="577">
        <f t="shared" si="21"/>
        <v>0</v>
      </c>
      <c r="J152" s="514">
        <f t="shared" si="24"/>
        <v>0</v>
      </c>
      <c r="K152" s="514"/>
      <c r="L152" s="525"/>
      <c r="M152" s="514">
        <f t="shared" si="25"/>
        <v>0</v>
      </c>
      <c r="N152" s="525"/>
      <c r="O152" s="514">
        <f t="shared" si="26"/>
        <v>0</v>
      </c>
      <c r="P152" s="514">
        <f t="shared" si="27"/>
        <v>0</v>
      </c>
    </row>
    <row r="153" spans="2:16" ht="12.5">
      <c r="B153" s="195" t="str">
        <f t="shared" si="16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2"/>
        <v>0</v>
      </c>
      <c r="G153" s="523">
        <f t="shared" si="23"/>
        <v>0</v>
      </c>
      <c r="H153" s="526">
        <f t="shared" si="20"/>
        <v>0</v>
      </c>
      <c r="I153" s="577">
        <f t="shared" si="21"/>
        <v>0</v>
      </c>
      <c r="J153" s="514">
        <f t="shared" si="24"/>
        <v>0</v>
      </c>
      <c r="K153" s="514"/>
      <c r="L153" s="525"/>
      <c r="M153" s="514">
        <f t="shared" si="25"/>
        <v>0</v>
      </c>
      <c r="N153" s="525"/>
      <c r="O153" s="514">
        <f t="shared" si="26"/>
        <v>0</v>
      </c>
      <c r="P153" s="514">
        <f t="shared" si="27"/>
        <v>0</v>
      </c>
    </row>
    <row r="154" spans="2:16" ht="13" thickBot="1">
      <c r="B154" s="195" t="str">
        <f t="shared" si="16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2"/>
        <v>0</v>
      </c>
      <c r="G154" s="528">
        <f t="shared" si="23"/>
        <v>0</v>
      </c>
      <c r="H154" s="530">
        <f t="shared" si="20"/>
        <v>0</v>
      </c>
      <c r="I154" s="579">
        <f t="shared" si="21"/>
        <v>0</v>
      </c>
      <c r="J154" s="533">
        <f t="shared" si="24"/>
        <v>0</v>
      </c>
      <c r="K154" s="514"/>
      <c r="L154" s="532"/>
      <c r="M154" s="533">
        <f t="shared" si="25"/>
        <v>0</v>
      </c>
      <c r="N154" s="532"/>
      <c r="O154" s="533">
        <f t="shared" si="26"/>
        <v>0</v>
      </c>
      <c r="P154" s="533">
        <f t="shared" si="27"/>
        <v>0</v>
      </c>
    </row>
    <row r="155" spans="2:16" ht="12.5">
      <c r="C155" s="374" t="s">
        <v>78</v>
      </c>
      <c r="D155" s="375"/>
      <c r="E155" s="375">
        <f>SUM(E99:E154)</f>
        <v>10668801</v>
      </c>
      <c r="F155" s="375"/>
      <c r="G155" s="375"/>
      <c r="H155" s="375">
        <f>SUM(H99:H154)</f>
        <v>34557802.244544171</v>
      </c>
      <c r="I155" s="375">
        <f>SUM(I99:I154)</f>
        <v>34557802.244544171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18" priority="2" stopIfTrue="1" operator="equal">
      <formula>$I$10</formula>
    </cfRule>
  </conditionalFormatting>
  <conditionalFormatting sqref="C99:C154">
    <cfRule type="cellIs" dxfId="17" priority="3" stopIfTrue="1" operator="equal">
      <formula>$J$92</formula>
    </cfRule>
  </conditionalFormatting>
  <conditionalFormatting sqref="C17">
    <cfRule type="cellIs" dxfId="16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zoomScale="80" zoomScaleNormal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68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1362917.8369081842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1362917.8369081842</v>
      </c>
      <c r="O6" s="269"/>
      <c r="P6" s="269"/>
    </row>
    <row r="7" spans="1:16" ht="13.5" thickBot="1">
      <c r="C7" s="467" t="s">
        <v>48</v>
      </c>
      <c r="D7" s="624" t="s">
        <v>425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423</v>
      </c>
      <c r="E9" s="637" t="s">
        <v>424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11171456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265987.04761904763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2018</v>
      </c>
      <c r="D17" s="631">
        <v>0</v>
      </c>
      <c r="E17" s="630">
        <v>138449.18699186991</v>
      </c>
      <c r="F17" s="631">
        <v>9592550.8130081296</v>
      </c>
      <c r="G17" s="630">
        <v>748027.48799327505</v>
      </c>
      <c r="H17" s="639">
        <v>748027.48799327505</v>
      </c>
      <c r="I17" s="511">
        <f t="shared" ref="I17:I72" si="0">H17-G17</f>
        <v>0</v>
      </c>
      <c r="J17" s="511"/>
      <c r="K17" s="512">
        <f>+G17</f>
        <v>748027.48799327505</v>
      </c>
      <c r="L17" s="513">
        <f t="shared" ref="L17:L72" si="1">IF(K17&lt;&gt;0,+G17-K17,0)</f>
        <v>0</v>
      </c>
      <c r="M17" s="512">
        <f>+H17</f>
        <v>748027.48799327505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2019</v>
      </c>
      <c r="D18" s="631">
        <v>9592550.8130081296</v>
      </c>
      <c r="E18" s="630">
        <v>237341.46341463414</v>
      </c>
      <c r="F18" s="631">
        <v>9355209.349593496</v>
      </c>
      <c r="G18" s="630">
        <v>1441415.7157019456</v>
      </c>
      <c r="H18" s="639">
        <v>1441415.7157019456</v>
      </c>
      <c r="I18" s="511">
        <f t="shared" si="0"/>
        <v>0</v>
      </c>
      <c r="J18" s="511"/>
      <c r="K18" s="518">
        <f>+G18</f>
        <v>1441415.7157019456</v>
      </c>
      <c r="L18" s="519">
        <f t="shared" si="1"/>
        <v>0</v>
      </c>
      <c r="M18" s="518">
        <f>+H18</f>
        <v>1441415.7157019456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2020</v>
      </c>
      <c r="D19" s="631">
        <v>10792524.349593496</v>
      </c>
      <c r="E19" s="630">
        <v>272397.92682926828</v>
      </c>
      <c r="F19" s="631">
        <v>10520126.422764227</v>
      </c>
      <c r="G19" s="630">
        <v>1362917.8369081842</v>
      </c>
      <c r="H19" s="639">
        <v>1362917.8369081842</v>
      </c>
      <c r="I19" s="511">
        <f t="shared" si="0"/>
        <v>0</v>
      </c>
      <c r="J19" s="511"/>
      <c r="K19" s="518">
        <f>+G19</f>
        <v>1362917.8369081842</v>
      </c>
      <c r="L19" s="519">
        <f t="shared" ref="L19" si="4">IF(K19&lt;&gt;0,+G19-K19,0)</f>
        <v>0</v>
      </c>
      <c r="M19" s="518">
        <f>+H19</f>
        <v>1362917.8369081842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2021</v>
      </c>
      <c r="D20" s="523">
        <f>IF(F19+SUM(E$17:E19)=D$10,F19,D$10-SUM(E$17:E19))</f>
        <v>10523267.422764227</v>
      </c>
      <c r="E20" s="522">
        <f>IF(+I14&lt;F19,I14,D20)</f>
        <v>265987.04761904763</v>
      </c>
      <c r="F20" s="523">
        <f t="shared" ref="F20:F72" si="6">+D20-E20</f>
        <v>10257280.375145178</v>
      </c>
      <c r="G20" s="524">
        <f t="shared" ref="G20:G72" si="7">+I$12*((D20+F20)/2)+E20</f>
        <v>1375855.0523220142</v>
      </c>
      <c r="H20" s="491">
        <f t="shared" ref="H20:H72" si="8">+I$13*((D20+F20)/2)+E20</f>
        <v>1375855.0523220142</v>
      </c>
      <c r="I20" s="511">
        <f t="shared" si="0"/>
        <v>0</v>
      </c>
      <c r="J20" s="511"/>
      <c r="K20" s="525"/>
      <c r="L20" s="514">
        <f t="shared" si="1"/>
        <v>0</v>
      </c>
      <c r="M20" s="525"/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/>
      </c>
      <c r="C21" s="507">
        <f>IF(D11="","-",+C20+1)</f>
        <v>2022</v>
      </c>
      <c r="D21" s="523">
        <f>IF(F20+SUM(E$17:E20)=D$10,F20,D$10-SUM(E$17:E20))</f>
        <v>10257280.375145178</v>
      </c>
      <c r="E21" s="522">
        <f>IF(+I14&lt;F20,I14,D21)</f>
        <v>265987.04761904763</v>
      </c>
      <c r="F21" s="523">
        <f t="shared" si="6"/>
        <v>9991293.3275261298</v>
      </c>
      <c r="G21" s="524">
        <f t="shared" si="7"/>
        <v>1347442.8548488095</v>
      </c>
      <c r="H21" s="491">
        <f t="shared" si="8"/>
        <v>1347442.8548488095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2023</v>
      </c>
      <c r="D22" s="523">
        <f>IF(F21+SUM(E$17:E21)=D$10,F21,D$10-SUM(E$17:E21))</f>
        <v>9991293.3275261298</v>
      </c>
      <c r="E22" s="522">
        <f>IF(+I14&lt;F21,I14,D22)</f>
        <v>265987.04761904763</v>
      </c>
      <c r="F22" s="523">
        <f t="shared" si="6"/>
        <v>9725306.2799070813</v>
      </c>
      <c r="G22" s="524">
        <f t="shared" si="7"/>
        <v>1319030.6573756046</v>
      </c>
      <c r="H22" s="491">
        <f t="shared" si="8"/>
        <v>1319030.6573756046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2024</v>
      </c>
      <c r="D23" s="523">
        <f>IF(F22+SUM(E$17:E22)=D$10,F22,D$10-SUM(E$17:E22))</f>
        <v>9725306.2799070813</v>
      </c>
      <c r="E23" s="522">
        <f>IF(+I14&lt;F22,I14,D23)</f>
        <v>265987.04761904763</v>
      </c>
      <c r="F23" s="523">
        <f t="shared" si="6"/>
        <v>9459319.2322880328</v>
      </c>
      <c r="G23" s="524">
        <f t="shared" si="7"/>
        <v>1290618.4599023999</v>
      </c>
      <c r="H23" s="491">
        <f t="shared" si="8"/>
        <v>1290618.4599023999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2025</v>
      </c>
      <c r="D24" s="523">
        <f>IF(F23+SUM(E$17:E23)=D$10,F23,D$10-SUM(E$17:E23))</f>
        <v>9459319.2322880328</v>
      </c>
      <c r="E24" s="522">
        <f>IF(+I14&lt;F23,I14,D24)</f>
        <v>265987.04761904763</v>
      </c>
      <c r="F24" s="523">
        <f t="shared" si="6"/>
        <v>9193332.1846689843</v>
      </c>
      <c r="G24" s="524">
        <f t="shared" si="7"/>
        <v>1262206.2624291952</v>
      </c>
      <c r="H24" s="491">
        <f t="shared" si="8"/>
        <v>1262206.2624291952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2026</v>
      </c>
      <c r="D25" s="523">
        <f>IF(F24+SUM(E$17:E24)=D$10,F24,D$10-SUM(E$17:E24))</f>
        <v>9193332.1846689843</v>
      </c>
      <c r="E25" s="522">
        <f>IF(+I14&lt;F24,I14,D25)</f>
        <v>265987.04761904763</v>
      </c>
      <c r="F25" s="523">
        <f t="shared" si="6"/>
        <v>8927345.1370499358</v>
      </c>
      <c r="G25" s="524">
        <f t="shared" si="7"/>
        <v>1233794.0649559903</v>
      </c>
      <c r="H25" s="491">
        <f t="shared" si="8"/>
        <v>1233794.0649559903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2027</v>
      </c>
      <c r="D26" s="523">
        <f>IF(F25+SUM(E$17:E25)=D$10,F25,D$10-SUM(E$17:E25))</f>
        <v>8927345.1370499358</v>
      </c>
      <c r="E26" s="522">
        <f>IF(+I14&lt;F25,I14,D26)</f>
        <v>265987.04761904763</v>
      </c>
      <c r="F26" s="523">
        <f t="shared" si="6"/>
        <v>8661358.0894308873</v>
      </c>
      <c r="G26" s="524">
        <f t="shared" si="7"/>
        <v>1205381.8674827856</v>
      </c>
      <c r="H26" s="491">
        <f t="shared" si="8"/>
        <v>1205381.8674827856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2028</v>
      </c>
      <c r="D27" s="523">
        <f>IF(F26+SUM(E$17:E26)=D$10,F26,D$10-SUM(E$17:E26))</f>
        <v>8661358.0894308873</v>
      </c>
      <c r="E27" s="522">
        <f>IF(+I14&lt;F26,I14,D27)</f>
        <v>265987.04761904763</v>
      </c>
      <c r="F27" s="523">
        <f t="shared" si="6"/>
        <v>8395371.0418118387</v>
      </c>
      <c r="G27" s="524">
        <f t="shared" si="7"/>
        <v>1176969.6700095809</v>
      </c>
      <c r="H27" s="491">
        <f t="shared" si="8"/>
        <v>1176969.6700095809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2029</v>
      </c>
      <c r="D28" s="523">
        <f>IF(F27+SUM(E$17:E27)=D$10,F27,D$10-SUM(E$17:E27))</f>
        <v>8395371.0418118387</v>
      </c>
      <c r="E28" s="522">
        <f>IF(+I14&lt;F27,I14,D28)</f>
        <v>265987.04761904763</v>
      </c>
      <c r="F28" s="523">
        <f t="shared" si="6"/>
        <v>8129383.9941927912</v>
      </c>
      <c r="G28" s="524">
        <f t="shared" si="7"/>
        <v>1148557.472536376</v>
      </c>
      <c r="H28" s="491">
        <f t="shared" si="8"/>
        <v>1148557.472536376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2030</v>
      </c>
      <c r="D29" s="523">
        <f>IF(F28+SUM(E$17:E28)=D$10,F28,D$10-SUM(E$17:E28))</f>
        <v>8129383.9941927912</v>
      </c>
      <c r="E29" s="522">
        <f>IF(+I14&lt;F28,I14,D29)</f>
        <v>265987.04761904763</v>
      </c>
      <c r="F29" s="523">
        <f t="shared" si="6"/>
        <v>7863396.9465737436</v>
      </c>
      <c r="G29" s="524">
        <f t="shared" si="7"/>
        <v>1120145.2750631715</v>
      </c>
      <c r="H29" s="491">
        <f t="shared" si="8"/>
        <v>1120145.2750631715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2031</v>
      </c>
      <c r="D30" s="523">
        <f>IF(F29+SUM(E$17:E29)=D$10,F29,D$10-SUM(E$17:E29))</f>
        <v>7863396.9465737436</v>
      </c>
      <c r="E30" s="522">
        <f>IF(+I14&lt;F29,I14,D30)</f>
        <v>265987.04761904763</v>
      </c>
      <c r="F30" s="523">
        <f t="shared" si="6"/>
        <v>7597409.898954696</v>
      </c>
      <c r="G30" s="524">
        <f t="shared" si="7"/>
        <v>1091733.0775899668</v>
      </c>
      <c r="H30" s="491">
        <f t="shared" si="8"/>
        <v>1091733.0775899668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2032</v>
      </c>
      <c r="D31" s="523">
        <f>IF(F30+SUM(E$17:E30)=D$10,F30,D$10-SUM(E$17:E30))</f>
        <v>7597409.898954696</v>
      </c>
      <c r="E31" s="522">
        <f>IF(+I14&lt;F30,I14,D31)</f>
        <v>265987.04761904763</v>
      </c>
      <c r="F31" s="523">
        <f t="shared" si="6"/>
        <v>7331422.8513356484</v>
      </c>
      <c r="G31" s="524">
        <f t="shared" si="7"/>
        <v>1063320.8801167621</v>
      </c>
      <c r="H31" s="491">
        <f t="shared" si="8"/>
        <v>1063320.8801167621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2033</v>
      </c>
      <c r="D32" s="523">
        <f>IF(F31+SUM(E$17:E31)=D$10,F31,D$10-SUM(E$17:E31))</f>
        <v>7331422.8513356484</v>
      </c>
      <c r="E32" s="522">
        <f>IF(+I14&lt;F31,I14,D32)</f>
        <v>265987.04761904763</v>
      </c>
      <c r="F32" s="523">
        <f t="shared" si="6"/>
        <v>7065435.8037166009</v>
      </c>
      <c r="G32" s="524">
        <f t="shared" si="7"/>
        <v>1034908.6826435574</v>
      </c>
      <c r="H32" s="491">
        <f t="shared" si="8"/>
        <v>1034908.6826435574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2034</v>
      </c>
      <c r="D33" s="523">
        <f>IF(F32+SUM(E$17:E32)=D$10,F32,D$10-SUM(E$17:E32))</f>
        <v>7065435.8037166009</v>
      </c>
      <c r="E33" s="522">
        <f>IF(+I14&lt;F32,I14,D33)</f>
        <v>265987.04761904763</v>
      </c>
      <c r="F33" s="523">
        <f t="shared" si="6"/>
        <v>6799448.7560975533</v>
      </c>
      <c r="G33" s="524">
        <f t="shared" si="7"/>
        <v>1006496.4851703527</v>
      </c>
      <c r="H33" s="491">
        <f t="shared" si="8"/>
        <v>1006496.4851703527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2035</v>
      </c>
      <c r="D34" s="523">
        <f>IF(F33+SUM(E$17:E33)=D$10,F33,D$10-SUM(E$17:E33))</f>
        <v>6799448.7560975533</v>
      </c>
      <c r="E34" s="522">
        <f>IF(+I14&lt;F33,I14,D34)</f>
        <v>265987.04761904763</v>
      </c>
      <c r="F34" s="523">
        <f t="shared" si="6"/>
        <v>6533461.7084785057</v>
      </c>
      <c r="G34" s="524">
        <f t="shared" si="7"/>
        <v>978084.28769714804</v>
      </c>
      <c r="H34" s="491">
        <f t="shared" si="8"/>
        <v>978084.28769714804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2036</v>
      </c>
      <c r="D35" s="523">
        <f>IF(F34+SUM(E$17:E34)=D$10,F34,D$10-SUM(E$17:E34))</f>
        <v>6533461.7084785057</v>
      </c>
      <c r="E35" s="522">
        <f>IF(+I14&lt;F34,I14,D35)</f>
        <v>265987.04761904763</v>
      </c>
      <c r="F35" s="523">
        <f t="shared" si="6"/>
        <v>6267474.6608594581</v>
      </c>
      <c r="G35" s="524">
        <f t="shared" si="7"/>
        <v>949672.09022394335</v>
      </c>
      <c r="H35" s="491">
        <f t="shared" si="8"/>
        <v>949672.09022394335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2037</v>
      </c>
      <c r="D36" s="523">
        <f>IF(F35+SUM(E$17:E35)=D$10,F35,D$10-SUM(E$17:E35))</f>
        <v>6267474.6608594581</v>
      </c>
      <c r="E36" s="522">
        <f>IF(+I14&lt;F35,I14,D36)</f>
        <v>265987.04761904763</v>
      </c>
      <c r="F36" s="523">
        <f t="shared" si="6"/>
        <v>6001487.6132404106</v>
      </c>
      <c r="G36" s="524">
        <f t="shared" si="7"/>
        <v>921259.89275073865</v>
      </c>
      <c r="H36" s="491">
        <f t="shared" si="8"/>
        <v>921259.89275073865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2038</v>
      </c>
      <c r="D37" s="523">
        <f>IF(F36+SUM(E$17:E36)=D$10,F36,D$10-SUM(E$17:E36))</f>
        <v>6001487.6132404106</v>
      </c>
      <c r="E37" s="522">
        <f>IF(+I14&lt;F36,I14,D37)</f>
        <v>265987.04761904763</v>
      </c>
      <c r="F37" s="523">
        <f t="shared" si="6"/>
        <v>5735500.565621363</v>
      </c>
      <c r="G37" s="524">
        <f t="shared" si="7"/>
        <v>892847.69527753419</v>
      </c>
      <c r="H37" s="491">
        <f t="shared" si="8"/>
        <v>892847.69527753419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2039</v>
      </c>
      <c r="D38" s="523">
        <f>IF(F37+SUM(E$17:E37)=D$10,F37,D$10-SUM(E$17:E37))</f>
        <v>5735500.565621363</v>
      </c>
      <c r="E38" s="522">
        <f>IF(+I14&lt;F37,I14,D38)</f>
        <v>265987.04761904763</v>
      </c>
      <c r="F38" s="523">
        <f t="shared" si="6"/>
        <v>5469513.5180023154</v>
      </c>
      <c r="G38" s="524">
        <f t="shared" si="7"/>
        <v>864435.49780432926</v>
      </c>
      <c r="H38" s="491">
        <f t="shared" si="8"/>
        <v>864435.49780432926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2040</v>
      </c>
      <c r="D39" s="523">
        <f>IF(F38+SUM(E$17:E38)=D$10,F38,D$10-SUM(E$17:E38))</f>
        <v>5469513.5180023154</v>
      </c>
      <c r="E39" s="522">
        <f>IF(+I14&lt;F38,I14,D39)</f>
        <v>265987.04761904763</v>
      </c>
      <c r="F39" s="523">
        <f t="shared" si="6"/>
        <v>5203526.4703832678</v>
      </c>
      <c r="G39" s="524">
        <f t="shared" si="7"/>
        <v>836023.3003311248</v>
      </c>
      <c r="H39" s="491">
        <f t="shared" si="8"/>
        <v>836023.3003311248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2041</v>
      </c>
      <c r="D40" s="523">
        <f>IF(F39+SUM(E$17:E39)=D$10,F39,D$10-SUM(E$17:E39))</f>
        <v>5203526.4703832678</v>
      </c>
      <c r="E40" s="522">
        <f>IF(+I14&lt;F39,I14,D40)</f>
        <v>265987.04761904763</v>
      </c>
      <c r="F40" s="523">
        <f t="shared" si="6"/>
        <v>4937539.4227642203</v>
      </c>
      <c r="G40" s="524">
        <f t="shared" si="7"/>
        <v>807611.10285791988</v>
      </c>
      <c r="H40" s="491">
        <f t="shared" si="8"/>
        <v>807611.10285791988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2042</v>
      </c>
      <c r="D41" s="523">
        <f>IF(F40+SUM(E$17:E40)=D$10,F40,D$10-SUM(E$17:E40))</f>
        <v>4937539.4227642203</v>
      </c>
      <c r="E41" s="522">
        <f>IF(+I14&lt;F40,I14,D41)</f>
        <v>265987.04761904763</v>
      </c>
      <c r="F41" s="523">
        <f t="shared" si="6"/>
        <v>4671552.3751451727</v>
      </c>
      <c r="G41" s="524">
        <f t="shared" si="7"/>
        <v>779198.90538471541</v>
      </c>
      <c r="H41" s="491">
        <f t="shared" si="8"/>
        <v>779198.90538471541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2043</v>
      </c>
      <c r="D42" s="523">
        <f>IF(F41+SUM(E$17:E41)=D$10,F41,D$10-SUM(E$17:E41))</f>
        <v>4671552.3751451727</v>
      </c>
      <c r="E42" s="522">
        <f>IF(+I14&lt;F41,I14,D42)</f>
        <v>265987.04761904763</v>
      </c>
      <c r="F42" s="523">
        <f t="shared" si="6"/>
        <v>4405565.3275261251</v>
      </c>
      <c r="G42" s="524">
        <f t="shared" si="7"/>
        <v>750786.7079115106</v>
      </c>
      <c r="H42" s="491">
        <f t="shared" si="8"/>
        <v>750786.7079115106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2044</v>
      </c>
      <c r="D43" s="523">
        <f>IF(F42+SUM(E$17:E42)=D$10,F42,D$10-SUM(E$17:E42))</f>
        <v>4405565.3275261251</v>
      </c>
      <c r="E43" s="522">
        <f>IF(+I14&lt;F42,I14,D43)</f>
        <v>265987.04761904763</v>
      </c>
      <c r="F43" s="523">
        <f t="shared" si="6"/>
        <v>4139578.2799070776</v>
      </c>
      <c r="G43" s="524">
        <f t="shared" si="7"/>
        <v>722374.51043830602</v>
      </c>
      <c r="H43" s="491">
        <f t="shared" si="8"/>
        <v>722374.51043830602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2045</v>
      </c>
      <c r="D44" s="523">
        <f>IF(F43+SUM(E$17:E43)=D$10,F43,D$10-SUM(E$17:E43))</f>
        <v>4139578.2799070776</v>
      </c>
      <c r="E44" s="522">
        <f>IF(+I14&lt;F43,I14,D44)</f>
        <v>265987.04761904763</v>
      </c>
      <c r="F44" s="523">
        <f t="shared" si="6"/>
        <v>3873591.23228803</v>
      </c>
      <c r="G44" s="524">
        <f t="shared" si="7"/>
        <v>693962.31296510133</v>
      </c>
      <c r="H44" s="491">
        <f t="shared" si="8"/>
        <v>693962.31296510133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2046</v>
      </c>
      <c r="D45" s="523">
        <f>IF(F44+SUM(E$17:E44)=D$10,F44,D$10-SUM(E$17:E44))</f>
        <v>3873591.23228803</v>
      </c>
      <c r="E45" s="522">
        <f>IF(+I14&lt;F44,I14,D45)</f>
        <v>265987.04761904763</v>
      </c>
      <c r="F45" s="523">
        <f t="shared" si="6"/>
        <v>3607604.1846689824</v>
      </c>
      <c r="G45" s="524">
        <f t="shared" si="7"/>
        <v>665550.11549189663</v>
      </c>
      <c r="H45" s="491">
        <f t="shared" si="8"/>
        <v>665550.11549189663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2047</v>
      </c>
      <c r="D46" s="523">
        <f>IF(F45+SUM(E$17:E45)=D$10,F45,D$10-SUM(E$17:E45))</f>
        <v>3607604.1846689824</v>
      </c>
      <c r="E46" s="522">
        <f>IF(+I14&lt;F45,I14,D46)</f>
        <v>265987.04761904763</v>
      </c>
      <c r="F46" s="523">
        <f t="shared" si="6"/>
        <v>3341617.1370499348</v>
      </c>
      <c r="G46" s="524">
        <f t="shared" si="7"/>
        <v>637137.91801869194</v>
      </c>
      <c r="H46" s="491">
        <f t="shared" si="8"/>
        <v>637137.91801869194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2048</v>
      </c>
      <c r="D47" s="523">
        <f>IF(F46+SUM(E$17:E46)=D$10,F46,D$10-SUM(E$17:E46))</f>
        <v>3341617.1370499348</v>
      </c>
      <c r="E47" s="522">
        <f>IF(+I14&lt;F46,I14,D47)</f>
        <v>265987.04761904763</v>
      </c>
      <c r="F47" s="523">
        <f t="shared" si="6"/>
        <v>3075630.0894308873</v>
      </c>
      <c r="G47" s="524">
        <f t="shared" si="7"/>
        <v>608725.72054548725</v>
      </c>
      <c r="H47" s="491">
        <f t="shared" si="8"/>
        <v>608725.72054548725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2049</v>
      </c>
      <c r="D48" s="523">
        <f>IF(F47+SUM(E$17:E47)=D$10,F47,D$10-SUM(E$17:E47))</f>
        <v>3075630.0894308873</v>
      </c>
      <c r="E48" s="522">
        <f>IF(+I14&lt;F47,I14,D48)</f>
        <v>265987.04761904763</v>
      </c>
      <c r="F48" s="523">
        <f t="shared" si="6"/>
        <v>2809643.0418118397</v>
      </c>
      <c r="G48" s="524">
        <f t="shared" si="7"/>
        <v>580313.52307228255</v>
      </c>
      <c r="H48" s="491">
        <f t="shared" si="8"/>
        <v>580313.52307228255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2050</v>
      </c>
      <c r="D49" s="523">
        <f>IF(F48+SUM(E$17:E48)=D$10,F48,D$10-SUM(E$17:E48))</f>
        <v>2809643.0418118397</v>
      </c>
      <c r="E49" s="522">
        <f>IF(+I14&lt;F48,I14,D49)</f>
        <v>265987.04761904763</v>
      </c>
      <c r="F49" s="523">
        <f t="shared" si="6"/>
        <v>2543655.9941927921</v>
      </c>
      <c r="G49" s="524">
        <f t="shared" si="7"/>
        <v>551901.32559907786</v>
      </c>
      <c r="H49" s="491">
        <f t="shared" si="8"/>
        <v>551901.32559907786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2051</v>
      </c>
      <c r="D50" s="523">
        <f>IF(F49+SUM(E$17:E49)=D$10,F49,D$10-SUM(E$17:E49))</f>
        <v>2543655.9941927921</v>
      </c>
      <c r="E50" s="522">
        <f>IF(+I14&lt;F49,I14,D50)</f>
        <v>265987.04761904763</v>
      </c>
      <c r="F50" s="523">
        <f t="shared" si="6"/>
        <v>2277668.9465737445</v>
      </c>
      <c r="G50" s="524">
        <f t="shared" si="7"/>
        <v>523489.12812587322</v>
      </c>
      <c r="H50" s="491">
        <f t="shared" si="8"/>
        <v>523489.12812587322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2052</v>
      </c>
      <c r="D51" s="523">
        <f>IF(F50+SUM(E$17:E50)=D$10,F50,D$10-SUM(E$17:E50))</f>
        <v>2277668.9465737445</v>
      </c>
      <c r="E51" s="522">
        <f>IF(+I14&lt;F50,I14,D51)</f>
        <v>265987.04761904763</v>
      </c>
      <c r="F51" s="523">
        <f t="shared" si="6"/>
        <v>2011681.898954697</v>
      </c>
      <c r="G51" s="524">
        <f t="shared" si="7"/>
        <v>495076.93065266858</v>
      </c>
      <c r="H51" s="491">
        <f t="shared" si="8"/>
        <v>495076.93065266858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2053</v>
      </c>
      <c r="D52" s="523">
        <f>IF(F51+SUM(E$17:E51)=D$10,F51,D$10-SUM(E$17:E51))</f>
        <v>2011681.898954697</v>
      </c>
      <c r="E52" s="522">
        <f>IF(+I14&lt;F51,I14,D52)</f>
        <v>265987.04761904763</v>
      </c>
      <c r="F52" s="523">
        <f t="shared" si="6"/>
        <v>1745694.8513356494</v>
      </c>
      <c r="G52" s="524">
        <f t="shared" si="7"/>
        <v>466664.73317946389</v>
      </c>
      <c r="H52" s="491">
        <f t="shared" si="8"/>
        <v>466664.73317946389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2054</v>
      </c>
      <c r="D53" s="523">
        <f>IF(F52+SUM(E$17:E52)=D$10,F52,D$10-SUM(E$17:E52))</f>
        <v>1745694.8513356494</v>
      </c>
      <c r="E53" s="522">
        <f>IF(+I14&lt;F52,I14,D53)</f>
        <v>265987.04761904763</v>
      </c>
      <c r="F53" s="523">
        <f t="shared" si="6"/>
        <v>1479707.8037166018</v>
      </c>
      <c r="G53" s="524">
        <f t="shared" si="7"/>
        <v>438252.53570625919</v>
      </c>
      <c r="H53" s="491">
        <f t="shared" si="8"/>
        <v>438252.53570625919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2055</v>
      </c>
      <c r="D54" s="523">
        <f>IF(F53+SUM(E$17:E53)=D$10,F53,D$10-SUM(E$17:E53))</f>
        <v>1479707.8037166018</v>
      </c>
      <c r="E54" s="522">
        <f>IF(+I14&lt;F53,I14,D54)</f>
        <v>265987.04761904763</v>
      </c>
      <c r="F54" s="523">
        <f t="shared" si="6"/>
        <v>1213720.7560975542</v>
      </c>
      <c r="G54" s="524">
        <f t="shared" si="7"/>
        <v>409840.3382330545</v>
      </c>
      <c r="H54" s="491">
        <f t="shared" si="8"/>
        <v>409840.3382330545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2056</v>
      </c>
      <c r="D55" s="523">
        <f>IF(F54+SUM(E$17:E54)=D$10,F54,D$10-SUM(E$17:E54))</f>
        <v>1213720.7560975542</v>
      </c>
      <c r="E55" s="522">
        <f>IF(+I14&lt;F54,I14,D55)</f>
        <v>265987.04761904763</v>
      </c>
      <c r="F55" s="523">
        <f t="shared" si="6"/>
        <v>947733.70847850665</v>
      </c>
      <c r="G55" s="524">
        <f t="shared" si="7"/>
        <v>381428.1407598498</v>
      </c>
      <c r="H55" s="491">
        <f t="shared" si="8"/>
        <v>381428.1407598498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2057</v>
      </c>
      <c r="D56" s="523">
        <f>IF(F55+SUM(E$17:E55)=D$10,F55,D$10-SUM(E$17:E55))</f>
        <v>947733.70847850665</v>
      </c>
      <c r="E56" s="522">
        <f>IF(+I14&lt;F55,I14,D56)</f>
        <v>265987.04761904763</v>
      </c>
      <c r="F56" s="523">
        <f t="shared" si="6"/>
        <v>681746.66085945908</v>
      </c>
      <c r="G56" s="524">
        <f t="shared" si="7"/>
        <v>353015.94328664517</v>
      </c>
      <c r="H56" s="491">
        <f t="shared" si="8"/>
        <v>353015.94328664517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2058</v>
      </c>
      <c r="D57" s="523">
        <f>IF(F56+SUM(E$17:E56)=D$10,F56,D$10-SUM(E$17:E56))</f>
        <v>681746.66085945908</v>
      </c>
      <c r="E57" s="522">
        <f>IF(+I14&lt;F56,I14,D57)</f>
        <v>265987.04761904763</v>
      </c>
      <c r="F57" s="523">
        <f t="shared" si="6"/>
        <v>415759.61324041145</v>
      </c>
      <c r="G57" s="524">
        <f t="shared" si="7"/>
        <v>324603.74581344047</v>
      </c>
      <c r="H57" s="491">
        <f t="shared" si="8"/>
        <v>324603.74581344047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2059</v>
      </c>
      <c r="D58" s="523">
        <f>IF(F57+SUM(E$17:E57)=D$10,F57,D$10-SUM(E$17:E57))</f>
        <v>415759.61324041145</v>
      </c>
      <c r="E58" s="522">
        <f>IF(+I14&lt;F57,I14,D58)</f>
        <v>265987.04761904763</v>
      </c>
      <c r="F58" s="523">
        <f t="shared" si="6"/>
        <v>149772.56562136381</v>
      </c>
      <c r="G58" s="524">
        <f t="shared" si="7"/>
        <v>296191.54834023578</v>
      </c>
      <c r="H58" s="491">
        <f t="shared" si="8"/>
        <v>296191.54834023578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2060</v>
      </c>
      <c r="D59" s="523">
        <f>IF(F58+SUM(E$17:E58)=D$10,F58,D$10-SUM(E$17:E58))</f>
        <v>149772.56562136381</v>
      </c>
      <c r="E59" s="522">
        <f>IF(+I14&lt;F58,I14,D59)</f>
        <v>149772.56562136381</v>
      </c>
      <c r="F59" s="523">
        <f t="shared" si="6"/>
        <v>0</v>
      </c>
      <c r="G59" s="524">
        <f t="shared" si="7"/>
        <v>157771.76661365671</v>
      </c>
      <c r="H59" s="491">
        <f t="shared" si="8"/>
        <v>157771.76661365671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6"/>
        <v>0</v>
      </c>
      <c r="G60" s="524">
        <f t="shared" si="7"/>
        <v>0</v>
      </c>
      <c r="H60" s="491">
        <f t="shared" si="8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6"/>
        <v>0</v>
      </c>
      <c r="G61" s="526">
        <f t="shared" si="7"/>
        <v>0</v>
      </c>
      <c r="H61" s="491">
        <f t="shared" si="8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6"/>
        <v>0</v>
      </c>
      <c r="G62" s="526">
        <f t="shared" si="7"/>
        <v>0</v>
      </c>
      <c r="H62" s="491">
        <f t="shared" si="8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6"/>
        <v>0</v>
      </c>
      <c r="G63" s="526">
        <f t="shared" si="7"/>
        <v>0</v>
      </c>
      <c r="H63" s="491">
        <f t="shared" si="8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6"/>
        <v>0</v>
      </c>
      <c r="G64" s="526">
        <f t="shared" si="7"/>
        <v>0</v>
      </c>
      <c r="H64" s="491">
        <f t="shared" si="8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6"/>
        <v>0</v>
      </c>
      <c r="G65" s="526">
        <f t="shared" si="7"/>
        <v>0</v>
      </c>
      <c r="H65" s="491">
        <f t="shared" si="8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6"/>
        <v>0</v>
      </c>
      <c r="G66" s="526">
        <f t="shared" si="7"/>
        <v>0</v>
      </c>
      <c r="H66" s="491">
        <f t="shared" si="8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6"/>
        <v>0</v>
      </c>
      <c r="G67" s="526">
        <f t="shared" si="7"/>
        <v>0</v>
      </c>
      <c r="H67" s="491">
        <f t="shared" si="8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6"/>
        <v>0</v>
      </c>
      <c r="G68" s="526">
        <f t="shared" si="7"/>
        <v>0</v>
      </c>
      <c r="H68" s="491">
        <f t="shared" si="8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6"/>
        <v>0</v>
      </c>
      <c r="G69" s="526">
        <f t="shared" si="7"/>
        <v>0</v>
      </c>
      <c r="H69" s="491">
        <f t="shared" si="8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6"/>
        <v>0</v>
      </c>
      <c r="G70" s="526">
        <f t="shared" si="7"/>
        <v>0</v>
      </c>
      <c r="H70" s="491">
        <f t="shared" si="8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6"/>
        <v>0</v>
      </c>
      <c r="G71" s="526">
        <f t="shared" si="7"/>
        <v>0</v>
      </c>
      <c r="H71" s="491">
        <f t="shared" si="8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6"/>
        <v>0</v>
      </c>
      <c r="G72" s="530">
        <f t="shared" si="7"/>
        <v>0</v>
      </c>
      <c r="H72" s="471">
        <f t="shared" si="8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11171456</v>
      </c>
      <c r="F73" s="375"/>
      <c r="G73" s="375">
        <f>SUM(G17:G72)</f>
        <v>36315041.520130917</v>
      </c>
      <c r="H73" s="375">
        <f>SUM(H17:H72)</f>
        <v>36315041.520130917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68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1362917.8369081842</v>
      </c>
      <c r="N87" s="546">
        <f>IF(J92&lt;D11,0,VLOOKUP(J92,C17:O72,11))</f>
        <v>1362917.8369081842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1408802.5719974055</v>
      </c>
      <c r="N88" s="550">
        <f>IF(J92&lt;D11,0,VLOOKUP(J92,C99:P154,7))</f>
        <v>1408802.5719974055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Evenside - Northwest Henderson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45884.735089221271</v>
      </c>
      <c r="N89" s="555">
        <f>+N88-N87</f>
        <v>45884.735089221271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TP2010100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11171456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5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265987.04761904763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2018</v>
      </c>
      <c r="D99" s="629">
        <v>0</v>
      </c>
      <c r="E99" s="630">
        <v>155115.48611111112</v>
      </c>
      <c r="F99" s="631">
        <v>11013199.513888888</v>
      </c>
      <c r="G99" s="631">
        <v>5506599.756944444</v>
      </c>
      <c r="H99" s="633">
        <v>736637.67271858163</v>
      </c>
      <c r="I99" s="634">
        <v>736637.67271858163</v>
      </c>
      <c r="J99" s="514">
        <f t="shared" ref="J99:J130" si="9">+I99-H99</f>
        <v>0</v>
      </c>
      <c r="K99" s="514"/>
      <c r="L99" s="512">
        <f>+H99</f>
        <v>736637.67271858163</v>
      </c>
      <c r="M99" s="513">
        <f t="shared" ref="M99:M100" si="10">IF(L99&lt;&gt;0,+H99-L99,0)</f>
        <v>0</v>
      </c>
      <c r="N99" s="512">
        <f>+I99</f>
        <v>736637.67271858163</v>
      </c>
      <c r="O99" s="513">
        <f t="shared" ref="O99:O130" si="11">IF(N99&lt;&gt;0,+I99-N99,0)</f>
        <v>0</v>
      </c>
      <c r="P99" s="513">
        <f t="shared" ref="P99:P130" si="12">+O99-M99</f>
        <v>0</v>
      </c>
    </row>
    <row r="100" spans="1:16" ht="12.5">
      <c r="B100" s="195" t="str">
        <f>IF(D100=F99,"","IU")</f>
        <v>IU</v>
      </c>
      <c r="C100" s="507">
        <f>IF(D93="","-",+C99+1)</f>
        <v>2019</v>
      </c>
      <c r="D100" s="629">
        <v>11016340.513888888</v>
      </c>
      <c r="E100" s="630">
        <v>259801.3023255814</v>
      </c>
      <c r="F100" s="631">
        <v>10756539.211563306</v>
      </c>
      <c r="G100" s="631">
        <v>10886439.862726096</v>
      </c>
      <c r="H100" s="633">
        <v>1425091.7751290696</v>
      </c>
      <c r="I100" s="634">
        <v>1425091.7751290696</v>
      </c>
      <c r="J100" s="514">
        <f t="shared" si="9"/>
        <v>0</v>
      </c>
      <c r="K100" s="514"/>
      <c r="L100" s="655">
        <f>+H100</f>
        <v>1425091.7751290696</v>
      </c>
      <c r="M100" s="514">
        <f t="shared" si="10"/>
        <v>0</v>
      </c>
      <c r="N100" s="655">
        <f>+I100</f>
        <v>1425091.7751290696</v>
      </c>
      <c r="O100" s="514">
        <f t="shared" si="11"/>
        <v>0</v>
      </c>
      <c r="P100" s="514">
        <f t="shared" si="12"/>
        <v>0</v>
      </c>
    </row>
    <row r="101" spans="1:16" ht="12.5">
      <c r="B101" s="195" t="str">
        <f t="shared" ref="B101:B154" si="13">IF(D101=F100,"","IU")</f>
        <v/>
      </c>
      <c r="C101" s="507">
        <f>IF(D93="","-",+C100+1)</f>
        <v>2020</v>
      </c>
      <c r="D101" s="374">
        <f>IF(F100+SUM(E$99:E100)=D$92,F100,D$92-SUM(E$99:E100))</f>
        <v>10756539.211563306</v>
      </c>
      <c r="E101" s="522">
        <f>IF(+J96&lt;F100,J96,D101)</f>
        <v>265987.04761904763</v>
      </c>
      <c r="F101" s="523">
        <f t="shared" ref="F101:F154" si="14">+D101-E101</f>
        <v>10490552.163944257</v>
      </c>
      <c r="G101" s="523">
        <f t="shared" ref="G101:G154" si="15">+(F101+D101)/2</f>
        <v>10623545.687753782</v>
      </c>
      <c r="H101" s="526">
        <f t="shared" ref="H101:H154" si="16">+J$94*G101+E101</f>
        <v>1408802.5719974055</v>
      </c>
      <c r="I101" s="577">
        <f t="shared" ref="I101:I154" si="17">+J$95*G101+E101</f>
        <v>1408802.5719974055</v>
      </c>
      <c r="J101" s="514">
        <f t="shared" si="9"/>
        <v>0</v>
      </c>
      <c r="K101" s="514"/>
      <c r="L101" s="525"/>
      <c r="M101" s="514">
        <f t="shared" ref="M101:M130" si="18">IF(L101&lt;&gt;0,+H101-L101,0)</f>
        <v>0</v>
      </c>
      <c r="N101" s="525"/>
      <c r="O101" s="514">
        <f t="shared" si="11"/>
        <v>0</v>
      </c>
      <c r="P101" s="514">
        <f t="shared" si="12"/>
        <v>0</v>
      </c>
    </row>
    <row r="102" spans="1:16" ht="12.5">
      <c r="B102" s="195" t="str">
        <f t="shared" si="13"/>
        <v/>
      </c>
      <c r="C102" s="507">
        <f>IF(D93="","-",+C101+1)</f>
        <v>2021</v>
      </c>
      <c r="D102" s="374">
        <f>IF(F101+SUM(E$99:E101)=D$92,F101,D$92-SUM(E$99:E101))</f>
        <v>10490552.163944257</v>
      </c>
      <c r="E102" s="522">
        <f>IF(+J96&lt;F101,J96,D102)</f>
        <v>265987.04761904763</v>
      </c>
      <c r="F102" s="523">
        <f t="shared" si="14"/>
        <v>10224565.116325209</v>
      </c>
      <c r="G102" s="523">
        <f t="shared" si="15"/>
        <v>10357558.640134733</v>
      </c>
      <c r="H102" s="526">
        <f t="shared" si="16"/>
        <v>1380189.3258894682</v>
      </c>
      <c r="I102" s="577">
        <f t="shared" si="17"/>
        <v>1380189.3258894682</v>
      </c>
      <c r="J102" s="514">
        <f t="shared" si="9"/>
        <v>0</v>
      </c>
      <c r="K102" s="514"/>
      <c r="L102" s="525"/>
      <c r="M102" s="514">
        <f t="shared" si="18"/>
        <v>0</v>
      </c>
      <c r="N102" s="525"/>
      <c r="O102" s="514">
        <f t="shared" si="11"/>
        <v>0</v>
      </c>
      <c r="P102" s="514">
        <f t="shared" si="12"/>
        <v>0</v>
      </c>
    </row>
    <row r="103" spans="1:16" ht="12.5">
      <c r="B103" s="195" t="str">
        <f t="shared" si="13"/>
        <v/>
      </c>
      <c r="C103" s="507">
        <f>IF(D93="","-",+C102+1)</f>
        <v>2022</v>
      </c>
      <c r="D103" s="374">
        <f>IF(F102+SUM(E$99:E102)=D$92,F102,D$92-SUM(E$99:E102))</f>
        <v>10224565.116325209</v>
      </c>
      <c r="E103" s="522">
        <f>IF(+J96&lt;F102,J96,D103)</f>
        <v>265987.04761904763</v>
      </c>
      <c r="F103" s="523">
        <f t="shared" si="14"/>
        <v>9958578.0687061604</v>
      </c>
      <c r="G103" s="523">
        <f t="shared" si="15"/>
        <v>10091571.592515685</v>
      </c>
      <c r="H103" s="526">
        <f t="shared" si="16"/>
        <v>1351576.0797815311</v>
      </c>
      <c r="I103" s="577">
        <f t="shared" si="17"/>
        <v>1351576.0797815311</v>
      </c>
      <c r="J103" s="514">
        <f t="shared" si="9"/>
        <v>0</v>
      </c>
      <c r="K103" s="514"/>
      <c r="L103" s="525"/>
      <c r="M103" s="514">
        <f t="shared" si="18"/>
        <v>0</v>
      </c>
      <c r="N103" s="525"/>
      <c r="O103" s="514">
        <f t="shared" si="11"/>
        <v>0</v>
      </c>
      <c r="P103" s="514">
        <f t="shared" si="12"/>
        <v>0</v>
      </c>
    </row>
    <row r="104" spans="1:16" ht="12.5">
      <c r="B104" s="195" t="str">
        <f t="shared" si="13"/>
        <v/>
      </c>
      <c r="C104" s="507">
        <f>IF(D93="","-",+C103+1)</f>
        <v>2023</v>
      </c>
      <c r="D104" s="374">
        <f>IF(F103+SUM(E$99:E103)=D$92,F103,D$92-SUM(E$99:E103))</f>
        <v>9958578.0687061604</v>
      </c>
      <c r="E104" s="522">
        <f>IF(+J96&lt;F103,J96,D104)</f>
        <v>265987.04761904763</v>
      </c>
      <c r="F104" s="523">
        <f t="shared" si="14"/>
        <v>9692591.0210871119</v>
      </c>
      <c r="G104" s="523">
        <f t="shared" si="15"/>
        <v>9825584.5448966362</v>
      </c>
      <c r="H104" s="526">
        <f t="shared" si="16"/>
        <v>1322962.8336735938</v>
      </c>
      <c r="I104" s="577">
        <f t="shared" si="17"/>
        <v>1322962.8336735938</v>
      </c>
      <c r="J104" s="514">
        <f t="shared" si="9"/>
        <v>0</v>
      </c>
      <c r="K104" s="514"/>
      <c r="L104" s="525"/>
      <c r="M104" s="514">
        <f t="shared" si="18"/>
        <v>0</v>
      </c>
      <c r="N104" s="525"/>
      <c r="O104" s="514">
        <f t="shared" si="11"/>
        <v>0</v>
      </c>
      <c r="P104" s="514">
        <f t="shared" si="12"/>
        <v>0</v>
      </c>
    </row>
    <row r="105" spans="1:16" ht="12.5">
      <c r="B105" s="195" t="str">
        <f t="shared" si="13"/>
        <v/>
      </c>
      <c r="C105" s="507">
        <f>IF(D93="","-",+C104+1)</f>
        <v>2024</v>
      </c>
      <c r="D105" s="374">
        <f>IF(F104+SUM(E$99:E104)=D$92,F104,D$92-SUM(E$99:E104))</f>
        <v>9692591.0210871119</v>
      </c>
      <c r="E105" s="522">
        <f>IF(+J96&lt;F104,J96,D105)</f>
        <v>265987.04761904763</v>
      </c>
      <c r="F105" s="523">
        <f t="shared" si="14"/>
        <v>9426603.9734680634</v>
      </c>
      <c r="G105" s="523">
        <f t="shared" si="15"/>
        <v>9559597.4972775877</v>
      </c>
      <c r="H105" s="526">
        <f t="shared" si="16"/>
        <v>1294349.5875656568</v>
      </c>
      <c r="I105" s="577">
        <f t="shared" si="17"/>
        <v>1294349.5875656568</v>
      </c>
      <c r="J105" s="514">
        <f t="shared" si="9"/>
        <v>0</v>
      </c>
      <c r="K105" s="514"/>
      <c r="L105" s="525"/>
      <c r="M105" s="514">
        <f t="shared" si="18"/>
        <v>0</v>
      </c>
      <c r="N105" s="525"/>
      <c r="O105" s="514">
        <f t="shared" si="11"/>
        <v>0</v>
      </c>
      <c r="P105" s="514">
        <f t="shared" si="12"/>
        <v>0</v>
      </c>
    </row>
    <row r="106" spans="1:16" ht="12.5">
      <c r="B106" s="195" t="str">
        <f t="shared" si="13"/>
        <v/>
      </c>
      <c r="C106" s="507">
        <f>IF(D93="","-",+C105+1)</f>
        <v>2025</v>
      </c>
      <c r="D106" s="374">
        <f>IF(F105+SUM(E$99:E105)=D$92,F105,D$92-SUM(E$99:E105))</f>
        <v>9426603.9734680634</v>
      </c>
      <c r="E106" s="522">
        <f>IF(+J96&lt;F105,J96,D106)</f>
        <v>265987.04761904763</v>
      </c>
      <c r="F106" s="523">
        <f t="shared" si="14"/>
        <v>9160616.9258490149</v>
      </c>
      <c r="G106" s="523">
        <f t="shared" si="15"/>
        <v>9293610.4496585391</v>
      </c>
      <c r="H106" s="526">
        <f t="shared" si="16"/>
        <v>1265736.3414577194</v>
      </c>
      <c r="I106" s="577">
        <f t="shared" si="17"/>
        <v>1265736.3414577194</v>
      </c>
      <c r="J106" s="514">
        <f t="shared" si="9"/>
        <v>0</v>
      </c>
      <c r="K106" s="514"/>
      <c r="L106" s="525"/>
      <c r="M106" s="514">
        <f t="shared" si="18"/>
        <v>0</v>
      </c>
      <c r="N106" s="525"/>
      <c r="O106" s="514">
        <f t="shared" si="11"/>
        <v>0</v>
      </c>
      <c r="P106" s="514">
        <f t="shared" si="12"/>
        <v>0</v>
      </c>
    </row>
    <row r="107" spans="1:16" ht="12.5">
      <c r="B107" s="195" t="str">
        <f t="shared" si="13"/>
        <v/>
      </c>
      <c r="C107" s="507">
        <f>IF(D93="","-",+C106+1)</f>
        <v>2026</v>
      </c>
      <c r="D107" s="374">
        <f>IF(F106+SUM(E$99:E106)=D$92,F106,D$92-SUM(E$99:E106))</f>
        <v>9160616.9258490149</v>
      </c>
      <c r="E107" s="522">
        <f>IF(+J96&lt;F106,J96,D107)</f>
        <v>265987.04761904763</v>
      </c>
      <c r="F107" s="523">
        <f t="shared" si="14"/>
        <v>8894629.8782299664</v>
      </c>
      <c r="G107" s="523">
        <f t="shared" si="15"/>
        <v>9027623.4020394906</v>
      </c>
      <c r="H107" s="526">
        <f t="shared" si="16"/>
        <v>1237123.0953497821</v>
      </c>
      <c r="I107" s="577">
        <f t="shared" si="17"/>
        <v>1237123.0953497821</v>
      </c>
      <c r="J107" s="514">
        <f t="shared" si="9"/>
        <v>0</v>
      </c>
      <c r="K107" s="514"/>
      <c r="L107" s="525"/>
      <c r="M107" s="514">
        <f t="shared" si="18"/>
        <v>0</v>
      </c>
      <c r="N107" s="525"/>
      <c r="O107" s="514">
        <f t="shared" si="11"/>
        <v>0</v>
      </c>
      <c r="P107" s="514">
        <f t="shared" si="12"/>
        <v>0</v>
      </c>
    </row>
    <row r="108" spans="1:16" ht="12.5">
      <c r="B108" s="195" t="str">
        <f t="shared" si="13"/>
        <v/>
      </c>
      <c r="C108" s="507">
        <f>IF(D93="","-",+C107+1)</f>
        <v>2027</v>
      </c>
      <c r="D108" s="374">
        <f>IF(F107+SUM(E$99:E107)=D$92,F107,D$92-SUM(E$99:E107))</f>
        <v>8894629.8782299664</v>
      </c>
      <c r="E108" s="522">
        <f>IF(+J96&lt;F107,J96,D108)</f>
        <v>265987.04761904763</v>
      </c>
      <c r="F108" s="523">
        <f t="shared" si="14"/>
        <v>8628642.8306109179</v>
      </c>
      <c r="G108" s="523">
        <f t="shared" si="15"/>
        <v>8761636.3544204421</v>
      </c>
      <c r="H108" s="526">
        <f t="shared" si="16"/>
        <v>1208509.8492418451</v>
      </c>
      <c r="I108" s="577">
        <f t="shared" si="17"/>
        <v>1208509.8492418451</v>
      </c>
      <c r="J108" s="514">
        <f t="shared" si="9"/>
        <v>0</v>
      </c>
      <c r="K108" s="514"/>
      <c r="L108" s="525"/>
      <c r="M108" s="514">
        <f t="shared" si="18"/>
        <v>0</v>
      </c>
      <c r="N108" s="525"/>
      <c r="O108" s="514">
        <f t="shared" si="11"/>
        <v>0</v>
      </c>
      <c r="P108" s="514">
        <f t="shared" si="12"/>
        <v>0</v>
      </c>
    </row>
    <row r="109" spans="1:16" ht="12.5">
      <c r="B109" s="195" t="str">
        <f t="shared" si="13"/>
        <v/>
      </c>
      <c r="C109" s="507">
        <f>IF(D93="","-",+C108+1)</f>
        <v>2028</v>
      </c>
      <c r="D109" s="374">
        <f>IF(F108+SUM(E$99:E108)=D$92,F108,D$92-SUM(E$99:E108))</f>
        <v>8628642.8306109179</v>
      </c>
      <c r="E109" s="522">
        <f>IF(+J96&lt;F108,J96,D109)</f>
        <v>265987.04761904763</v>
      </c>
      <c r="F109" s="523">
        <f t="shared" si="14"/>
        <v>8362655.7829918703</v>
      </c>
      <c r="G109" s="523">
        <f t="shared" si="15"/>
        <v>8495649.3068013936</v>
      </c>
      <c r="H109" s="526">
        <f t="shared" si="16"/>
        <v>1179896.6031339078</v>
      </c>
      <c r="I109" s="577">
        <f t="shared" si="17"/>
        <v>1179896.6031339078</v>
      </c>
      <c r="J109" s="514">
        <f t="shared" si="9"/>
        <v>0</v>
      </c>
      <c r="K109" s="514"/>
      <c r="L109" s="525"/>
      <c r="M109" s="514">
        <f t="shared" si="18"/>
        <v>0</v>
      </c>
      <c r="N109" s="525"/>
      <c r="O109" s="514">
        <f t="shared" si="11"/>
        <v>0</v>
      </c>
      <c r="P109" s="514">
        <f t="shared" si="12"/>
        <v>0</v>
      </c>
    </row>
    <row r="110" spans="1:16" ht="12.5">
      <c r="B110" s="195" t="str">
        <f t="shared" si="13"/>
        <v/>
      </c>
      <c r="C110" s="507">
        <f>IF(D93="","-",+C109+1)</f>
        <v>2029</v>
      </c>
      <c r="D110" s="374">
        <f>IF(F109+SUM(E$99:E109)=D$92,F109,D$92-SUM(E$99:E109))</f>
        <v>8362655.7829918703</v>
      </c>
      <c r="E110" s="522">
        <f>IF(+J96&lt;F109,J96,D110)</f>
        <v>265987.04761904763</v>
      </c>
      <c r="F110" s="523">
        <f t="shared" si="14"/>
        <v>8096668.7353728227</v>
      </c>
      <c r="G110" s="523">
        <f t="shared" si="15"/>
        <v>8229662.259182347</v>
      </c>
      <c r="H110" s="526">
        <f t="shared" si="16"/>
        <v>1151283.3570259707</v>
      </c>
      <c r="I110" s="577">
        <f t="shared" si="17"/>
        <v>1151283.3570259707</v>
      </c>
      <c r="J110" s="514">
        <f t="shared" si="9"/>
        <v>0</v>
      </c>
      <c r="K110" s="514"/>
      <c r="L110" s="525"/>
      <c r="M110" s="514">
        <f t="shared" si="18"/>
        <v>0</v>
      </c>
      <c r="N110" s="525"/>
      <c r="O110" s="514">
        <f t="shared" si="11"/>
        <v>0</v>
      </c>
      <c r="P110" s="514">
        <f t="shared" si="12"/>
        <v>0</v>
      </c>
    </row>
    <row r="111" spans="1:16" ht="12.5">
      <c r="B111" s="195" t="str">
        <f t="shared" si="13"/>
        <v/>
      </c>
      <c r="C111" s="507">
        <f>IF(D93="","-",+C110+1)</f>
        <v>2030</v>
      </c>
      <c r="D111" s="374">
        <f>IF(F110+SUM(E$99:E110)=D$92,F110,D$92-SUM(E$99:E110))</f>
        <v>8096668.7353728227</v>
      </c>
      <c r="E111" s="522">
        <f>IF(+J96&lt;F110,J96,D111)</f>
        <v>265987.04761904763</v>
      </c>
      <c r="F111" s="523">
        <f t="shared" si="14"/>
        <v>7830681.6877537752</v>
      </c>
      <c r="G111" s="523">
        <f t="shared" si="15"/>
        <v>7963675.2115632985</v>
      </c>
      <c r="H111" s="526">
        <f t="shared" si="16"/>
        <v>1122670.1109180334</v>
      </c>
      <c r="I111" s="577">
        <f t="shared" si="17"/>
        <v>1122670.1109180334</v>
      </c>
      <c r="J111" s="514">
        <f t="shared" si="9"/>
        <v>0</v>
      </c>
      <c r="K111" s="514"/>
      <c r="L111" s="525"/>
      <c r="M111" s="514">
        <f t="shared" si="18"/>
        <v>0</v>
      </c>
      <c r="N111" s="525"/>
      <c r="O111" s="514">
        <f t="shared" si="11"/>
        <v>0</v>
      </c>
      <c r="P111" s="514">
        <f t="shared" si="12"/>
        <v>0</v>
      </c>
    </row>
    <row r="112" spans="1:16" ht="12.5">
      <c r="B112" s="195" t="str">
        <f t="shared" si="13"/>
        <v/>
      </c>
      <c r="C112" s="507">
        <f>IF(D93="","-",+C111+1)</f>
        <v>2031</v>
      </c>
      <c r="D112" s="374">
        <f>IF(F111+SUM(E$99:E111)=D$92,F111,D$92-SUM(E$99:E111))</f>
        <v>7830681.6877537752</v>
      </c>
      <c r="E112" s="522">
        <f>IF(+J96&lt;F111,J96,D112)</f>
        <v>265987.04761904763</v>
      </c>
      <c r="F112" s="523">
        <f t="shared" si="14"/>
        <v>7564694.6401347276</v>
      </c>
      <c r="G112" s="523">
        <f t="shared" si="15"/>
        <v>7697688.1639442518</v>
      </c>
      <c r="H112" s="526">
        <f t="shared" si="16"/>
        <v>1094056.8648100966</v>
      </c>
      <c r="I112" s="577">
        <f t="shared" si="17"/>
        <v>1094056.8648100966</v>
      </c>
      <c r="J112" s="514">
        <f t="shared" si="9"/>
        <v>0</v>
      </c>
      <c r="K112" s="514"/>
      <c r="L112" s="525"/>
      <c r="M112" s="514">
        <f t="shared" si="18"/>
        <v>0</v>
      </c>
      <c r="N112" s="525"/>
      <c r="O112" s="514">
        <f t="shared" si="11"/>
        <v>0</v>
      </c>
      <c r="P112" s="514">
        <f t="shared" si="12"/>
        <v>0</v>
      </c>
    </row>
    <row r="113" spans="2:16" ht="12.5">
      <c r="B113" s="195" t="str">
        <f t="shared" si="13"/>
        <v/>
      </c>
      <c r="C113" s="507">
        <f>IF(D93="","-",+C112+1)</f>
        <v>2032</v>
      </c>
      <c r="D113" s="374">
        <f>IF(F112+SUM(E$99:E112)=D$92,F112,D$92-SUM(E$99:E112))</f>
        <v>7564694.6401347276</v>
      </c>
      <c r="E113" s="522">
        <f>IF(+J96&lt;F112,J96,D113)</f>
        <v>265987.04761904763</v>
      </c>
      <c r="F113" s="523">
        <f t="shared" si="14"/>
        <v>7298707.59251568</v>
      </c>
      <c r="G113" s="523">
        <f t="shared" si="15"/>
        <v>7431701.1163252033</v>
      </c>
      <c r="H113" s="526">
        <f t="shared" si="16"/>
        <v>1065443.6187021593</v>
      </c>
      <c r="I113" s="577">
        <f t="shared" si="17"/>
        <v>1065443.6187021593</v>
      </c>
      <c r="J113" s="514">
        <f t="shared" si="9"/>
        <v>0</v>
      </c>
      <c r="K113" s="514"/>
      <c r="L113" s="525"/>
      <c r="M113" s="514">
        <f t="shared" si="18"/>
        <v>0</v>
      </c>
      <c r="N113" s="525"/>
      <c r="O113" s="514">
        <f t="shared" si="11"/>
        <v>0</v>
      </c>
      <c r="P113" s="514">
        <f t="shared" si="12"/>
        <v>0</v>
      </c>
    </row>
    <row r="114" spans="2:16" ht="12.5">
      <c r="B114" s="195" t="str">
        <f t="shared" si="13"/>
        <v/>
      </c>
      <c r="C114" s="507">
        <f>IF(D93="","-",+C113+1)</f>
        <v>2033</v>
      </c>
      <c r="D114" s="374">
        <f>IF(F113+SUM(E$99:E113)=D$92,F113,D$92-SUM(E$99:E113))</f>
        <v>7298707.59251568</v>
      </c>
      <c r="E114" s="522">
        <f>IF(+J96&lt;F113,J96,D114)</f>
        <v>265987.04761904763</v>
      </c>
      <c r="F114" s="523">
        <f t="shared" si="14"/>
        <v>7032720.5448966324</v>
      </c>
      <c r="G114" s="523">
        <f t="shared" si="15"/>
        <v>7165714.0687061567</v>
      </c>
      <c r="H114" s="526">
        <f t="shared" si="16"/>
        <v>1036830.3725942222</v>
      </c>
      <c r="I114" s="577">
        <f t="shared" si="17"/>
        <v>1036830.3725942222</v>
      </c>
      <c r="J114" s="514">
        <f t="shared" si="9"/>
        <v>0</v>
      </c>
      <c r="K114" s="514"/>
      <c r="L114" s="525"/>
      <c r="M114" s="514">
        <f t="shared" si="18"/>
        <v>0</v>
      </c>
      <c r="N114" s="525"/>
      <c r="O114" s="514">
        <f t="shared" si="11"/>
        <v>0</v>
      </c>
      <c r="P114" s="514">
        <f t="shared" si="12"/>
        <v>0</v>
      </c>
    </row>
    <row r="115" spans="2:16" ht="12.5">
      <c r="B115" s="195" t="str">
        <f t="shared" si="13"/>
        <v/>
      </c>
      <c r="C115" s="507">
        <f>IF(D93="","-",+C114+1)</f>
        <v>2034</v>
      </c>
      <c r="D115" s="374">
        <f>IF(F114+SUM(E$99:E114)=D$92,F114,D$92-SUM(E$99:E114))</f>
        <v>7032720.5448966324</v>
      </c>
      <c r="E115" s="522">
        <f>IF(+J96&lt;F114,J96,D115)</f>
        <v>265987.04761904763</v>
      </c>
      <c r="F115" s="523">
        <f t="shared" si="14"/>
        <v>6766733.4972775849</v>
      </c>
      <c r="G115" s="523">
        <f t="shared" si="15"/>
        <v>6899727.0210871082</v>
      </c>
      <c r="H115" s="526">
        <f t="shared" si="16"/>
        <v>1008217.1264862851</v>
      </c>
      <c r="I115" s="577">
        <f t="shared" si="17"/>
        <v>1008217.1264862851</v>
      </c>
      <c r="J115" s="514">
        <f t="shared" si="9"/>
        <v>0</v>
      </c>
      <c r="K115" s="514"/>
      <c r="L115" s="525"/>
      <c r="M115" s="514">
        <f t="shared" si="18"/>
        <v>0</v>
      </c>
      <c r="N115" s="525"/>
      <c r="O115" s="514">
        <f t="shared" si="11"/>
        <v>0</v>
      </c>
      <c r="P115" s="514">
        <f t="shared" si="12"/>
        <v>0</v>
      </c>
    </row>
    <row r="116" spans="2:16" ht="12.5">
      <c r="B116" s="195" t="str">
        <f t="shared" si="13"/>
        <v/>
      </c>
      <c r="C116" s="507">
        <f>IF(D93="","-",+C115+1)</f>
        <v>2035</v>
      </c>
      <c r="D116" s="374">
        <f>IF(F115+SUM(E$99:E115)=D$92,F115,D$92-SUM(E$99:E115))</f>
        <v>6766733.4972775849</v>
      </c>
      <c r="E116" s="522">
        <f>IF(+J96&lt;F115,J96,D116)</f>
        <v>265987.04761904763</v>
      </c>
      <c r="F116" s="523">
        <f t="shared" si="14"/>
        <v>6500746.4496585373</v>
      </c>
      <c r="G116" s="523">
        <f t="shared" si="15"/>
        <v>6633739.9734680615</v>
      </c>
      <c r="H116" s="526">
        <f t="shared" si="16"/>
        <v>979603.88037834805</v>
      </c>
      <c r="I116" s="577">
        <f t="shared" si="17"/>
        <v>979603.88037834805</v>
      </c>
      <c r="J116" s="514">
        <f t="shared" si="9"/>
        <v>0</v>
      </c>
      <c r="K116" s="514"/>
      <c r="L116" s="525"/>
      <c r="M116" s="514">
        <f t="shared" si="18"/>
        <v>0</v>
      </c>
      <c r="N116" s="525"/>
      <c r="O116" s="514">
        <f t="shared" si="11"/>
        <v>0</v>
      </c>
      <c r="P116" s="514">
        <f t="shared" si="12"/>
        <v>0</v>
      </c>
    </row>
    <row r="117" spans="2:16" ht="12.5">
      <c r="B117" s="195" t="str">
        <f t="shared" si="13"/>
        <v/>
      </c>
      <c r="C117" s="507">
        <f>IF(D93="","-",+C116+1)</f>
        <v>2036</v>
      </c>
      <c r="D117" s="374">
        <f>IF(F116+SUM(E$99:E116)=D$92,F116,D$92-SUM(E$99:E116))</f>
        <v>6500746.4496585373</v>
      </c>
      <c r="E117" s="522">
        <f>IF(+J96&lt;F116,J96,D117)</f>
        <v>265987.04761904763</v>
      </c>
      <c r="F117" s="523">
        <f t="shared" si="14"/>
        <v>6234759.4020394897</v>
      </c>
      <c r="G117" s="523">
        <f t="shared" si="15"/>
        <v>6367752.925849013</v>
      </c>
      <c r="H117" s="526">
        <f t="shared" si="16"/>
        <v>950990.63427041075</v>
      </c>
      <c r="I117" s="577">
        <f t="shared" si="17"/>
        <v>950990.63427041075</v>
      </c>
      <c r="J117" s="514">
        <f t="shared" si="9"/>
        <v>0</v>
      </c>
      <c r="K117" s="514"/>
      <c r="L117" s="525"/>
      <c r="M117" s="514">
        <f t="shared" si="18"/>
        <v>0</v>
      </c>
      <c r="N117" s="525"/>
      <c r="O117" s="514">
        <f t="shared" si="11"/>
        <v>0</v>
      </c>
      <c r="P117" s="514">
        <f t="shared" si="12"/>
        <v>0</v>
      </c>
    </row>
    <row r="118" spans="2:16" ht="12.5">
      <c r="B118" s="195" t="str">
        <f t="shared" si="13"/>
        <v/>
      </c>
      <c r="C118" s="507">
        <f>IF(D93="","-",+C117+1)</f>
        <v>2037</v>
      </c>
      <c r="D118" s="374">
        <f>IF(F117+SUM(E$99:E117)=D$92,F117,D$92-SUM(E$99:E117))</f>
        <v>6234759.4020394897</v>
      </c>
      <c r="E118" s="522">
        <f>IF(+J96&lt;F117,J96,D118)</f>
        <v>265987.04761904763</v>
      </c>
      <c r="F118" s="523">
        <f t="shared" si="14"/>
        <v>5968772.3544204421</v>
      </c>
      <c r="G118" s="523">
        <f t="shared" si="15"/>
        <v>6101765.8782299664</v>
      </c>
      <c r="H118" s="526">
        <f t="shared" si="16"/>
        <v>922377.38816247368</v>
      </c>
      <c r="I118" s="577">
        <f t="shared" si="17"/>
        <v>922377.38816247368</v>
      </c>
      <c r="J118" s="514">
        <f t="shared" si="9"/>
        <v>0</v>
      </c>
      <c r="K118" s="514"/>
      <c r="L118" s="525"/>
      <c r="M118" s="514">
        <f t="shared" si="18"/>
        <v>0</v>
      </c>
      <c r="N118" s="525"/>
      <c r="O118" s="514">
        <f t="shared" si="11"/>
        <v>0</v>
      </c>
      <c r="P118" s="514">
        <f t="shared" si="12"/>
        <v>0</v>
      </c>
    </row>
    <row r="119" spans="2:16" ht="12.5">
      <c r="B119" s="195" t="str">
        <f t="shared" si="13"/>
        <v/>
      </c>
      <c r="C119" s="507">
        <f>IF(D93="","-",+C118+1)</f>
        <v>2038</v>
      </c>
      <c r="D119" s="374">
        <f>IF(F118+SUM(E$99:E118)=D$92,F118,D$92-SUM(E$99:E118))</f>
        <v>5968772.3544204421</v>
      </c>
      <c r="E119" s="522">
        <f>IF(+J96&lt;F118,J96,D119)</f>
        <v>265987.04761904763</v>
      </c>
      <c r="F119" s="523">
        <f t="shared" si="14"/>
        <v>5702785.3068013946</v>
      </c>
      <c r="G119" s="523">
        <f t="shared" si="15"/>
        <v>5835778.8306109179</v>
      </c>
      <c r="H119" s="526">
        <f t="shared" si="16"/>
        <v>893764.14205453661</v>
      </c>
      <c r="I119" s="577">
        <f t="shared" si="17"/>
        <v>893764.14205453661</v>
      </c>
      <c r="J119" s="514">
        <f t="shared" si="9"/>
        <v>0</v>
      </c>
      <c r="K119" s="514"/>
      <c r="L119" s="525"/>
      <c r="M119" s="514">
        <f t="shared" si="18"/>
        <v>0</v>
      </c>
      <c r="N119" s="525"/>
      <c r="O119" s="514">
        <f t="shared" si="11"/>
        <v>0</v>
      </c>
      <c r="P119" s="514">
        <f t="shared" si="12"/>
        <v>0</v>
      </c>
    </row>
    <row r="120" spans="2:16" ht="12.5">
      <c r="B120" s="195" t="str">
        <f t="shared" si="13"/>
        <v/>
      </c>
      <c r="C120" s="507">
        <f>IF(D93="","-",+C119+1)</f>
        <v>2039</v>
      </c>
      <c r="D120" s="374">
        <f>IF(F119+SUM(E$99:E119)=D$92,F119,D$92-SUM(E$99:E119))</f>
        <v>5702785.3068013946</v>
      </c>
      <c r="E120" s="522">
        <f>IF(+J96&lt;F119,J96,D120)</f>
        <v>265987.04761904763</v>
      </c>
      <c r="F120" s="523">
        <f t="shared" si="14"/>
        <v>5436798.259182347</v>
      </c>
      <c r="G120" s="523">
        <f t="shared" si="15"/>
        <v>5569791.7829918712</v>
      </c>
      <c r="H120" s="526">
        <f t="shared" si="16"/>
        <v>865150.89594659954</v>
      </c>
      <c r="I120" s="577">
        <f t="shared" si="17"/>
        <v>865150.89594659954</v>
      </c>
      <c r="J120" s="514">
        <f t="shared" si="9"/>
        <v>0</v>
      </c>
      <c r="K120" s="514"/>
      <c r="L120" s="525"/>
      <c r="M120" s="514">
        <f t="shared" si="18"/>
        <v>0</v>
      </c>
      <c r="N120" s="525"/>
      <c r="O120" s="514">
        <f t="shared" si="11"/>
        <v>0</v>
      </c>
      <c r="P120" s="514">
        <f t="shared" si="12"/>
        <v>0</v>
      </c>
    </row>
    <row r="121" spans="2:16" ht="12.5">
      <c r="B121" s="195" t="str">
        <f t="shared" si="13"/>
        <v/>
      </c>
      <c r="C121" s="507">
        <f>IF(D93="","-",+C120+1)</f>
        <v>2040</v>
      </c>
      <c r="D121" s="374">
        <f>IF(F120+SUM(E$99:E120)=D$92,F120,D$92-SUM(E$99:E120))</f>
        <v>5436798.259182347</v>
      </c>
      <c r="E121" s="522">
        <f>IF(+J96&lt;F120,J96,D121)</f>
        <v>265987.04761904763</v>
      </c>
      <c r="F121" s="523">
        <f t="shared" si="14"/>
        <v>5170811.2115632994</v>
      </c>
      <c r="G121" s="523">
        <f t="shared" si="15"/>
        <v>5303804.7353728227</v>
      </c>
      <c r="H121" s="526">
        <f t="shared" si="16"/>
        <v>836537.64983866224</v>
      </c>
      <c r="I121" s="577">
        <f t="shared" si="17"/>
        <v>836537.64983866224</v>
      </c>
      <c r="J121" s="514">
        <f t="shared" si="9"/>
        <v>0</v>
      </c>
      <c r="K121" s="514"/>
      <c r="L121" s="525"/>
      <c r="M121" s="514">
        <f t="shared" si="18"/>
        <v>0</v>
      </c>
      <c r="N121" s="525"/>
      <c r="O121" s="514">
        <f t="shared" si="11"/>
        <v>0</v>
      </c>
      <c r="P121" s="514">
        <f t="shared" si="12"/>
        <v>0</v>
      </c>
    </row>
    <row r="122" spans="2:16" ht="12.5">
      <c r="B122" s="195" t="str">
        <f t="shared" si="13"/>
        <v/>
      </c>
      <c r="C122" s="507">
        <f>IF(D93="","-",+C121+1)</f>
        <v>2041</v>
      </c>
      <c r="D122" s="374">
        <f>IF(F121+SUM(E$99:E121)=D$92,F121,D$92-SUM(E$99:E121))</f>
        <v>5170811.2115632994</v>
      </c>
      <c r="E122" s="522">
        <f>IF(+J96&lt;F121,J96,D122)</f>
        <v>265987.04761904763</v>
      </c>
      <c r="F122" s="523">
        <f t="shared" si="14"/>
        <v>4904824.1639442518</v>
      </c>
      <c r="G122" s="523">
        <f t="shared" si="15"/>
        <v>5037817.6877537761</v>
      </c>
      <c r="H122" s="526">
        <f t="shared" si="16"/>
        <v>807924.40373072517</v>
      </c>
      <c r="I122" s="577">
        <f t="shared" si="17"/>
        <v>807924.40373072517</v>
      </c>
      <c r="J122" s="514">
        <f t="shared" si="9"/>
        <v>0</v>
      </c>
      <c r="K122" s="514"/>
      <c r="L122" s="525"/>
      <c r="M122" s="514">
        <f t="shared" si="18"/>
        <v>0</v>
      </c>
      <c r="N122" s="525"/>
      <c r="O122" s="514">
        <f t="shared" si="11"/>
        <v>0</v>
      </c>
      <c r="P122" s="514">
        <f t="shared" si="12"/>
        <v>0</v>
      </c>
    </row>
    <row r="123" spans="2:16" ht="12.5">
      <c r="B123" s="195" t="str">
        <f t="shared" si="13"/>
        <v/>
      </c>
      <c r="C123" s="507">
        <f>IF(D93="","-",+C122+1)</f>
        <v>2042</v>
      </c>
      <c r="D123" s="374">
        <f>IF(F122+SUM(E$99:E122)=D$92,F122,D$92-SUM(E$99:E122))</f>
        <v>4904824.1639442518</v>
      </c>
      <c r="E123" s="522">
        <f>IF(+J96&lt;F122,J96,D123)</f>
        <v>265987.04761904763</v>
      </c>
      <c r="F123" s="523">
        <f t="shared" si="14"/>
        <v>4638837.1163252043</v>
      </c>
      <c r="G123" s="523">
        <f t="shared" si="15"/>
        <v>4771830.6401347276</v>
      </c>
      <c r="H123" s="526">
        <f t="shared" si="16"/>
        <v>779311.1576227881</v>
      </c>
      <c r="I123" s="577">
        <f t="shared" si="17"/>
        <v>779311.1576227881</v>
      </c>
      <c r="J123" s="514">
        <f t="shared" si="9"/>
        <v>0</v>
      </c>
      <c r="K123" s="514"/>
      <c r="L123" s="525"/>
      <c r="M123" s="514">
        <f t="shared" si="18"/>
        <v>0</v>
      </c>
      <c r="N123" s="525"/>
      <c r="O123" s="514">
        <f t="shared" si="11"/>
        <v>0</v>
      </c>
      <c r="P123" s="514">
        <f t="shared" si="12"/>
        <v>0</v>
      </c>
    </row>
    <row r="124" spans="2:16" ht="12.5">
      <c r="B124" s="195" t="str">
        <f t="shared" si="13"/>
        <v/>
      </c>
      <c r="C124" s="507">
        <f>IF(D93="","-",+C123+1)</f>
        <v>2043</v>
      </c>
      <c r="D124" s="374">
        <f>IF(F123+SUM(E$99:E123)=D$92,F123,D$92-SUM(E$99:E123))</f>
        <v>4638837.1163252043</v>
      </c>
      <c r="E124" s="522">
        <f>IF(+J96&lt;F123,J96,D124)</f>
        <v>265987.04761904763</v>
      </c>
      <c r="F124" s="523">
        <f t="shared" si="14"/>
        <v>4372850.0687061567</v>
      </c>
      <c r="G124" s="523">
        <f t="shared" si="15"/>
        <v>4505843.5925156809</v>
      </c>
      <c r="H124" s="526">
        <f t="shared" si="16"/>
        <v>750697.91151485103</v>
      </c>
      <c r="I124" s="577">
        <f t="shared" si="17"/>
        <v>750697.91151485103</v>
      </c>
      <c r="J124" s="514">
        <f t="shared" si="9"/>
        <v>0</v>
      </c>
      <c r="K124" s="514"/>
      <c r="L124" s="525"/>
      <c r="M124" s="514">
        <f t="shared" si="18"/>
        <v>0</v>
      </c>
      <c r="N124" s="525"/>
      <c r="O124" s="514">
        <f t="shared" si="11"/>
        <v>0</v>
      </c>
      <c r="P124" s="514">
        <f t="shared" si="12"/>
        <v>0</v>
      </c>
    </row>
    <row r="125" spans="2:16" ht="12.5">
      <c r="B125" s="195" t="str">
        <f t="shared" si="13"/>
        <v/>
      </c>
      <c r="C125" s="507">
        <f>IF(D93="","-",+C124+1)</f>
        <v>2044</v>
      </c>
      <c r="D125" s="374">
        <f>IF(F124+SUM(E$99:E124)=D$92,F124,D$92-SUM(E$99:E124))</f>
        <v>4372850.0687061567</v>
      </c>
      <c r="E125" s="522">
        <f>IF(+J96&lt;F124,J96,D125)</f>
        <v>265987.04761904763</v>
      </c>
      <c r="F125" s="523">
        <f t="shared" si="14"/>
        <v>4106863.0210871091</v>
      </c>
      <c r="G125" s="523">
        <f t="shared" si="15"/>
        <v>4239856.5448966324</v>
      </c>
      <c r="H125" s="526">
        <f t="shared" si="16"/>
        <v>722084.66540691373</v>
      </c>
      <c r="I125" s="577">
        <f t="shared" si="17"/>
        <v>722084.66540691373</v>
      </c>
      <c r="J125" s="514">
        <f t="shared" si="9"/>
        <v>0</v>
      </c>
      <c r="K125" s="514"/>
      <c r="L125" s="525"/>
      <c r="M125" s="514">
        <f t="shared" si="18"/>
        <v>0</v>
      </c>
      <c r="N125" s="525"/>
      <c r="O125" s="514">
        <f t="shared" si="11"/>
        <v>0</v>
      </c>
      <c r="P125" s="514">
        <f t="shared" si="12"/>
        <v>0</v>
      </c>
    </row>
    <row r="126" spans="2:16" ht="12.5">
      <c r="B126" s="195" t="str">
        <f t="shared" si="13"/>
        <v/>
      </c>
      <c r="C126" s="507">
        <f>IF(D93="","-",+C125+1)</f>
        <v>2045</v>
      </c>
      <c r="D126" s="374">
        <f>IF(F125+SUM(E$99:E125)=D$92,F125,D$92-SUM(E$99:E125))</f>
        <v>4106863.0210871091</v>
      </c>
      <c r="E126" s="522">
        <f>IF(+J96&lt;F125,J96,D126)</f>
        <v>265987.04761904763</v>
      </c>
      <c r="F126" s="523">
        <f t="shared" si="14"/>
        <v>3840875.9734680615</v>
      </c>
      <c r="G126" s="523">
        <f t="shared" si="15"/>
        <v>3973869.4972775853</v>
      </c>
      <c r="H126" s="526">
        <f t="shared" si="16"/>
        <v>693471.41929897666</v>
      </c>
      <c r="I126" s="577">
        <f t="shared" si="17"/>
        <v>693471.41929897666</v>
      </c>
      <c r="J126" s="514">
        <f t="shared" si="9"/>
        <v>0</v>
      </c>
      <c r="K126" s="514"/>
      <c r="L126" s="525"/>
      <c r="M126" s="514">
        <f t="shared" si="18"/>
        <v>0</v>
      </c>
      <c r="N126" s="525"/>
      <c r="O126" s="514">
        <f t="shared" si="11"/>
        <v>0</v>
      </c>
      <c r="P126" s="514">
        <f t="shared" si="12"/>
        <v>0</v>
      </c>
    </row>
    <row r="127" spans="2:16" ht="12.5">
      <c r="B127" s="195" t="str">
        <f t="shared" si="13"/>
        <v/>
      </c>
      <c r="C127" s="507">
        <f>IF(D93="","-",+C126+1)</f>
        <v>2046</v>
      </c>
      <c r="D127" s="374">
        <f>IF(F126+SUM(E$99:E126)=D$92,F126,D$92-SUM(E$99:E126))</f>
        <v>3840875.9734680615</v>
      </c>
      <c r="E127" s="522">
        <f>IF(+J96&lt;F126,J96,D127)</f>
        <v>265987.04761904763</v>
      </c>
      <c r="F127" s="523">
        <f t="shared" si="14"/>
        <v>3574888.925849014</v>
      </c>
      <c r="G127" s="523">
        <f t="shared" si="15"/>
        <v>3707882.4496585377</v>
      </c>
      <c r="H127" s="526">
        <f t="shared" si="16"/>
        <v>664858.17319103959</v>
      </c>
      <c r="I127" s="577">
        <f t="shared" si="17"/>
        <v>664858.17319103959</v>
      </c>
      <c r="J127" s="514">
        <f t="shared" si="9"/>
        <v>0</v>
      </c>
      <c r="K127" s="514"/>
      <c r="L127" s="525"/>
      <c r="M127" s="514">
        <f t="shared" si="18"/>
        <v>0</v>
      </c>
      <c r="N127" s="525"/>
      <c r="O127" s="514">
        <f t="shared" si="11"/>
        <v>0</v>
      </c>
      <c r="P127" s="514">
        <f t="shared" si="12"/>
        <v>0</v>
      </c>
    </row>
    <row r="128" spans="2:16" ht="12.5">
      <c r="B128" s="195" t="str">
        <f t="shared" si="13"/>
        <v/>
      </c>
      <c r="C128" s="507">
        <f>IF(D93="","-",+C127+1)</f>
        <v>2047</v>
      </c>
      <c r="D128" s="374">
        <f>IF(F127+SUM(E$99:E127)=D$92,F127,D$92-SUM(E$99:E127))</f>
        <v>3574888.925849014</v>
      </c>
      <c r="E128" s="522">
        <f>IF(+J96&lt;F127,J96,D128)</f>
        <v>265987.04761904763</v>
      </c>
      <c r="F128" s="523">
        <f t="shared" si="14"/>
        <v>3308901.8782299664</v>
      </c>
      <c r="G128" s="523">
        <f t="shared" si="15"/>
        <v>3441895.4020394902</v>
      </c>
      <c r="H128" s="526">
        <f t="shared" si="16"/>
        <v>636244.92708310252</v>
      </c>
      <c r="I128" s="577">
        <f t="shared" si="17"/>
        <v>636244.92708310252</v>
      </c>
      <c r="J128" s="514">
        <f t="shared" si="9"/>
        <v>0</v>
      </c>
      <c r="K128" s="514"/>
      <c r="L128" s="525"/>
      <c r="M128" s="514">
        <f t="shared" si="18"/>
        <v>0</v>
      </c>
      <c r="N128" s="525"/>
      <c r="O128" s="514">
        <f t="shared" si="11"/>
        <v>0</v>
      </c>
      <c r="P128" s="514">
        <f t="shared" si="12"/>
        <v>0</v>
      </c>
    </row>
    <row r="129" spans="2:16" ht="12.5">
      <c r="B129" s="195" t="str">
        <f t="shared" si="13"/>
        <v/>
      </c>
      <c r="C129" s="507">
        <f>IF(D93="","-",+C128+1)</f>
        <v>2048</v>
      </c>
      <c r="D129" s="374">
        <f>IF(F128+SUM(E$99:E128)=D$92,F128,D$92-SUM(E$99:E128))</f>
        <v>3308901.8782299664</v>
      </c>
      <c r="E129" s="522">
        <f>IF(+J96&lt;F128,J96,D129)</f>
        <v>265987.04761904763</v>
      </c>
      <c r="F129" s="523">
        <f t="shared" si="14"/>
        <v>3042914.8306109188</v>
      </c>
      <c r="G129" s="523">
        <f t="shared" si="15"/>
        <v>3175908.3544204426</v>
      </c>
      <c r="H129" s="526">
        <f t="shared" si="16"/>
        <v>607631.68097516533</v>
      </c>
      <c r="I129" s="577">
        <f t="shared" si="17"/>
        <v>607631.68097516533</v>
      </c>
      <c r="J129" s="514">
        <f t="shared" si="9"/>
        <v>0</v>
      </c>
      <c r="K129" s="514"/>
      <c r="L129" s="525"/>
      <c r="M129" s="514">
        <f t="shared" si="18"/>
        <v>0</v>
      </c>
      <c r="N129" s="525"/>
      <c r="O129" s="514">
        <f t="shared" si="11"/>
        <v>0</v>
      </c>
      <c r="P129" s="514">
        <f t="shared" si="12"/>
        <v>0</v>
      </c>
    </row>
    <row r="130" spans="2:16" ht="12.5">
      <c r="B130" s="195" t="str">
        <f t="shared" si="13"/>
        <v/>
      </c>
      <c r="C130" s="507">
        <f>IF(D93="","-",+C129+1)</f>
        <v>2049</v>
      </c>
      <c r="D130" s="374">
        <f>IF(F129+SUM(E$99:E129)=D$92,F129,D$92-SUM(E$99:E129))</f>
        <v>3042914.8306109188</v>
      </c>
      <c r="E130" s="522">
        <f>IF(+J96&lt;F129,J96,D130)</f>
        <v>265987.04761904763</v>
      </c>
      <c r="F130" s="523">
        <f t="shared" si="14"/>
        <v>2776927.7829918712</v>
      </c>
      <c r="G130" s="523">
        <f t="shared" si="15"/>
        <v>2909921.306801395</v>
      </c>
      <c r="H130" s="526">
        <f t="shared" si="16"/>
        <v>579018.43486722815</v>
      </c>
      <c r="I130" s="577">
        <f t="shared" si="17"/>
        <v>579018.43486722815</v>
      </c>
      <c r="J130" s="514">
        <f t="shared" si="9"/>
        <v>0</v>
      </c>
      <c r="K130" s="514"/>
      <c r="L130" s="525"/>
      <c r="M130" s="514">
        <f t="shared" si="18"/>
        <v>0</v>
      </c>
      <c r="N130" s="525"/>
      <c r="O130" s="514">
        <f t="shared" si="11"/>
        <v>0</v>
      </c>
      <c r="P130" s="514">
        <f t="shared" si="12"/>
        <v>0</v>
      </c>
    </row>
    <row r="131" spans="2:16" ht="12.5">
      <c r="B131" s="195" t="str">
        <f t="shared" si="13"/>
        <v/>
      </c>
      <c r="C131" s="507">
        <f>IF(D93="","-",+C130+1)</f>
        <v>2050</v>
      </c>
      <c r="D131" s="374">
        <f>IF(F130+SUM(E$99:E130)=D$92,F130,D$92-SUM(E$99:E130))</f>
        <v>2776927.7829918712</v>
      </c>
      <c r="E131" s="522">
        <f>IF(+J96&lt;F130,J96,D131)</f>
        <v>265987.04761904763</v>
      </c>
      <c r="F131" s="523">
        <f t="shared" si="14"/>
        <v>2510940.7353728237</v>
      </c>
      <c r="G131" s="523">
        <f t="shared" si="15"/>
        <v>2643934.2591823475</v>
      </c>
      <c r="H131" s="526">
        <f t="shared" si="16"/>
        <v>550405.18875929108</v>
      </c>
      <c r="I131" s="577">
        <f t="shared" si="17"/>
        <v>550405.18875929108</v>
      </c>
      <c r="J131" s="514">
        <f t="shared" ref="J131:J154" si="19">+I541-H541</f>
        <v>0</v>
      </c>
      <c r="K131" s="514"/>
      <c r="L131" s="525"/>
      <c r="M131" s="514">
        <f t="shared" ref="M131:M154" si="20">IF(L541&lt;&gt;0,+H541-L541,0)</f>
        <v>0</v>
      </c>
      <c r="N131" s="525"/>
      <c r="O131" s="514">
        <f t="shared" ref="O131:O154" si="21">IF(N541&lt;&gt;0,+I541-N541,0)</f>
        <v>0</v>
      </c>
      <c r="P131" s="514">
        <f t="shared" ref="P131:P154" si="22">+O541-M541</f>
        <v>0</v>
      </c>
    </row>
    <row r="132" spans="2:16" ht="12.5">
      <c r="B132" s="195" t="str">
        <f t="shared" si="13"/>
        <v/>
      </c>
      <c r="C132" s="507">
        <f>IF(D93="","-",+C131+1)</f>
        <v>2051</v>
      </c>
      <c r="D132" s="374">
        <f>IF(F131+SUM(E$99:E131)=D$92,F131,D$92-SUM(E$99:E131))</f>
        <v>2510940.7353728237</v>
      </c>
      <c r="E132" s="522">
        <f>IF(+J96&lt;F131,J96,D132)</f>
        <v>265987.04761904763</v>
      </c>
      <c r="F132" s="523">
        <f t="shared" si="14"/>
        <v>2244953.6877537761</v>
      </c>
      <c r="G132" s="523">
        <f t="shared" si="15"/>
        <v>2377947.2115632999</v>
      </c>
      <c r="H132" s="526">
        <f t="shared" si="16"/>
        <v>521791.94265135395</v>
      </c>
      <c r="I132" s="577">
        <f t="shared" si="17"/>
        <v>521791.94265135395</v>
      </c>
      <c r="J132" s="514">
        <f t="shared" si="19"/>
        <v>0</v>
      </c>
      <c r="K132" s="514"/>
      <c r="L132" s="525"/>
      <c r="M132" s="514">
        <f t="shared" si="20"/>
        <v>0</v>
      </c>
      <c r="N132" s="525"/>
      <c r="O132" s="514">
        <f t="shared" si="21"/>
        <v>0</v>
      </c>
      <c r="P132" s="514">
        <f t="shared" si="22"/>
        <v>0</v>
      </c>
    </row>
    <row r="133" spans="2:16" ht="12.5">
      <c r="B133" s="195" t="str">
        <f t="shared" si="13"/>
        <v/>
      </c>
      <c r="C133" s="507">
        <f>IF(D93="","-",+C132+1)</f>
        <v>2052</v>
      </c>
      <c r="D133" s="374">
        <f>IF(F132+SUM(E$99:E132)=D$92,F132,D$92-SUM(E$99:E132))</f>
        <v>2244953.6877537761</v>
      </c>
      <c r="E133" s="522">
        <f>IF(+J96&lt;F132,J96,D133)</f>
        <v>265987.04761904763</v>
      </c>
      <c r="F133" s="523">
        <f t="shared" si="14"/>
        <v>1978966.6401347285</v>
      </c>
      <c r="G133" s="523">
        <f t="shared" si="15"/>
        <v>2111960.1639442523</v>
      </c>
      <c r="H133" s="526">
        <f t="shared" si="16"/>
        <v>493178.69654341682</v>
      </c>
      <c r="I133" s="577">
        <f t="shared" si="17"/>
        <v>493178.69654341682</v>
      </c>
      <c r="J133" s="514">
        <f t="shared" si="19"/>
        <v>0</v>
      </c>
      <c r="K133" s="514"/>
      <c r="L133" s="525"/>
      <c r="M133" s="514">
        <f t="shared" si="20"/>
        <v>0</v>
      </c>
      <c r="N133" s="525"/>
      <c r="O133" s="514">
        <f t="shared" si="21"/>
        <v>0</v>
      </c>
      <c r="P133" s="514">
        <f t="shared" si="22"/>
        <v>0</v>
      </c>
    </row>
    <row r="134" spans="2:16" ht="12.5">
      <c r="B134" s="195" t="str">
        <f t="shared" si="13"/>
        <v/>
      </c>
      <c r="C134" s="507">
        <f>IF(D93="","-",+C133+1)</f>
        <v>2053</v>
      </c>
      <c r="D134" s="374">
        <f>IF(F133+SUM(E$99:E133)=D$92,F133,D$92-SUM(E$99:E133))</f>
        <v>1978966.6401347285</v>
      </c>
      <c r="E134" s="522">
        <f>IF(+J96&lt;F133,J96,D134)</f>
        <v>265987.04761904763</v>
      </c>
      <c r="F134" s="523">
        <f t="shared" si="14"/>
        <v>1712979.5925156809</v>
      </c>
      <c r="G134" s="523">
        <f t="shared" si="15"/>
        <v>1845973.1163252047</v>
      </c>
      <c r="H134" s="526">
        <f t="shared" si="16"/>
        <v>464565.4504354797</v>
      </c>
      <c r="I134" s="577">
        <f t="shared" si="17"/>
        <v>464565.4504354797</v>
      </c>
      <c r="J134" s="514">
        <f t="shared" si="19"/>
        <v>0</v>
      </c>
      <c r="K134" s="514"/>
      <c r="L134" s="525"/>
      <c r="M134" s="514">
        <f t="shared" si="20"/>
        <v>0</v>
      </c>
      <c r="N134" s="525"/>
      <c r="O134" s="514">
        <f t="shared" si="21"/>
        <v>0</v>
      </c>
      <c r="P134" s="514">
        <f t="shared" si="22"/>
        <v>0</v>
      </c>
    </row>
    <row r="135" spans="2:16" ht="12.5">
      <c r="B135" s="195" t="str">
        <f t="shared" si="13"/>
        <v/>
      </c>
      <c r="C135" s="507">
        <f>IF(D93="","-",+C134+1)</f>
        <v>2054</v>
      </c>
      <c r="D135" s="374">
        <f>IF(F134+SUM(E$99:E134)=D$92,F134,D$92-SUM(E$99:E134))</f>
        <v>1712979.5925156809</v>
      </c>
      <c r="E135" s="522">
        <f>IF(+J96&lt;F134,J96,D135)</f>
        <v>265987.04761904763</v>
      </c>
      <c r="F135" s="523">
        <f t="shared" si="14"/>
        <v>1446992.5448966334</v>
      </c>
      <c r="G135" s="523">
        <f t="shared" si="15"/>
        <v>1579986.0687061572</v>
      </c>
      <c r="H135" s="526">
        <f t="shared" si="16"/>
        <v>435952.20432754257</v>
      </c>
      <c r="I135" s="577">
        <f t="shared" si="17"/>
        <v>435952.20432754257</v>
      </c>
      <c r="J135" s="514">
        <f t="shared" si="19"/>
        <v>0</v>
      </c>
      <c r="K135" s="514"/>
      <c r="L135" s="525"/>
      <c r="M135" s="514">
        <f t="shared" si="20"/>
        <v>0</v>
      </c>
      <c r="N135" s="525"/>
      <c r="O135" s="514">
        <f t="shared" si="21"/>
        <v>0</v>
      </c>
      <c r="P135" s="514">
        <f t="shared" si="22"/>
        <v>0</v>
      </c>
    </row>
    <row r="136" spans="2:16" ht="12.5">
      <c r="B136" s="195" t="str">
        <f t="shared" si="13"/>
        <v/>
      </c>
      <c r="C136" s="507">
        <f>IF(D93="","-",+C135+1)</f>
        <v>2055</v>
      </c>
      <c r="D136" s="374">
        <f>IF(F135+SUM(E$99:E135)=D$92,F135,D$92-SUM(E$99:E135))</f>
        <v>1446992.5448966334</v>
      </c>
      <c r="E136" s="522">
        <f>IF(+J96&lt;F135,J96,D136)</f>
        <v>265987.04761904763</v>
      </c>
      <c r="F136" s="523">
        <f t="shared" si="14"/>
        <v>1181005.4972775858</v>
      </c>
      <c r="G136" s="523">
        <f t="shared" si="15"/>
        <v>1313999.0210871096</v>
      </c>
      <c r="H136" s="526">
        <f t="shared" si="16"/>
        <v>407338.9582196055</v>
      </c>
      <c r="I136" s="577">
        <f t="shared" si="17"/>
        <v>407338.9582196055</v>
      </c>
      <c r="J136" s="514">
        <f t="shared" si="19"/>
        <v>0</v>
      </c>
      <c r="K136" s="514"/>
      <c r="L136" s="525"/>
      <c r="M136" s="514">
        <f t="shared" si="20"/>
        <v>0</v>
      </c>
      <c r="N136" s="525"/>
      <c r="O136" s="514">
        <f t="shared" si="21"/>
        <v>0</v>
      </c>
      <c r="P136" s="514">
        <f t="shared" si="22"/>
        <v>0</v>
      </c>
    </row>
    <row r="137" spans="2:16" ht="12.5">
      <c r="B137" s="195" t="str">
        <f t="shared" si="13"/>
        <v/>
      </c>
      <c r="C137" s="507">
        <f>IF(D93="","-",+C136+1)</f>
        <v>2056</v>
      </c>
      <c r="D137" s="374">
        <f>IF(F136+SUM(E$99:E136)=D$92,F136,D$92-SUM(E$99:E136))</f>
        <v>1181005.4972775858</v>
      </c>
      <c r="E137" s="522">
        <f>IF(+J96&lt;F136,J96,D137)</f>
        <v>265987.04761904763</v>
      </c>
      <c r="F137" s="523">
        <f t="shared" si="14"/>
        <v>915018.44965853821</v>
      </c>
      <c r="G137" s="523">
        <f t="shared" si="15"/>
        <v>1048011.973468062</v>
      </c>
      <c r="H137" s="526">
        <f t="shared" si="16"/>
        <v>378725.71211166831</v>
      </c>
      <c r="I137" s="577">
        <f t="shared" si="17"/>
        <v>378725.71211166831</v>
      </c>
      <c r="J137" s="514">
        <f t="shared" si="19"/>
        <v>0</v>
      </c>
      <c r="K137" s="514"/>
      <c r="L137" s="525"/>
      <c r="M137" s="514">
        <f t="shared" si="20"/>
        <v>0</v>
      </c>
      <c r="N137" s="525"/>
      <c r="O137" s="514">
        <f t="shared" si="21"/>
        <v>0</v>
      </c>
      <c r="P137" s="514">
        <f t="shared" si="22"/>
        <v>0</v>
      </c>
    </row>
    <row r="138" spans="2:16" ht="12.5">
      <c r="B138" s="195" t="str">
        <f t="shared" si="13"/>
        <v/>
      </c>
      <c r="C138" s="507">
        <f>IF(D93="","-",+C137+1)</f>
        <v>2057</v>
      </c>
      <c r="D138" s="374">
        <f>IF(F137+SUM(E$99:E137)=D$92,F137,D$92-SUM(E$99:E137))</f>
        <v>915018.44965853821</v>
      </c>
      <c r="E138" s="522">
        <f>IF(+J96&lt;F137,J96,D138)</f>
        <v>265987.04761904763</v>
      </c>
      <c r="F138" s="523">
        <f t="shared" si="14"/>
        <v>649031.40203949064</v>
      </c>
      <c r="G138" s="523">
        <f t="shared" si="15"/>
        <v>782024.92584901443</v>
      </c>
      <c r="H138" s="526">
        <f t="shared" si="16"/>
        <v>350112.46600373124</v>
      </c>
      <c r="I138" s="577">
        <f t="shared" si="17"/>
        <v>350112.46600373124</v>
      </c>
      <c r="J138" s="514">
        <f t="shared" si="19"/>
        <v>0</v>
      </c>
      <c r="K138" s="514"/>
      <c r="L138" s="525"/>
      <c r="M138" s="514">
        <f t="shared" si="20"/>
        <v>0</v>
      </c>
      <c r="N138" s="525"/>
      <c r="O138" s="514">
        <f t="shared" si="21"/>
        <v>0</v>
      </c>
      <c r="P138" s="514">
        <f t="shared" si="22"/>
        <v>0</v>
      </c>
    </row>
    <row r="139" spans="2:16" ht="12.5">
      <c r="B139" s="195" t="str">
        <f t="shared" si="13"/>
        <v/>
      </c>
      <c r="C139" s="507">
        <f>IF(D93="","-",+C138+1)</f>
        <v>2058</v>
      </c>
      <c r="D139" s="374">
        <f>IF(F138+SUM(E$99:E138)=D$92,F138,D$92-SUM(E$99:E138))</f>
        <v>649031.40203949064</v>
      </c>
      <c r="E139" s="522">
        <f>IF(+J96&lt;F138,J96,D139)</f>
        <v>265987.04761904763</v>
      </c>
      <c r="F139" s="523">
        <f t="shared" si="14"/>
        <v>383044.35442044301</v>
      </c>
      <c r="G139" s="523">
        <f t="shared" si="15"/>
        <v>516037.87822996685</v>
      </c>
      <c r="H139" s="526">
        <f t="shared" si="16"/>
        <v>321499.21989579406</v>
      </c>
      <c r="I139" s="577">
        <f t="shared" si="17"/>
        <v>321499.21989579406</v>
      </c>
      <c r="J139" s="514">
        <f t="shared" si="19"/>
        <v>0</v>
      </c>
      <c r="K139" s="514"/>
      <c r="L139" s="525"/>
      <c r="M139" s="514">
        <f t="shared" si="20"/>
        <v>0</v>
      </c>
      <c r="N139" s="525"/>
      <c r="O139" s="514">
        <f t="shared" si="21"/>
        <v>0</v>
      </c>
      <c r="P139" s="514">
        <f t="shared" si="22"/>
        <v>0</v>
      </c>
    </row>
    <row r="140" spans="2:16" ht="12.5">
      <c r="B140" s="195" t="str">
        <f t="shared" si="13"/>
        <v/>
      </c>
      <c r="C140" s="507">
        <f>IF(D93="","-",+C139+1)</f>
        <v>2059</v>
      </c>
      <c r="D140" s="374">
        <f>IF(F139+SUM(E$99:E139)=D$92,F139,D$92-SUM(E$99:E139))</f>
        <v>383044.35442044301</v>
      </c>
      <c r="E140" s="522">
        <f>IF(+J96&lt;F139,J96,D140)</f>
        <v>265987.04761904763</v>
      </c>
      <c r="F140" s="523">
        <f t="shared" si="14"/>
        <v>117057.30680139537</v>
      </c>
      <c r="G140" s="523">
        <f t="shared" si="15"/>
        <v>250050.83061091919</v>
      </c>
      <c r="H140" s="526">
        <f t="shared" si="16"/>
        <v>292885.97378785693</v>
      </c>
      <c r="I140" s="577">
        <f t="shared" si="17"/>
        <v>292885.97378785693</v>
      </c>
      <c r="J140" s="514">
        <f t="shared" si="19"/>
        <v>0</v>
      </c>
      <c r="K140" s="514"/>
      <c r="L140" s="525"/>
      <c r="M140" s="514">
        <f t="shared" si="20"/>
        <v>0</v>
      </c>
      <c r="N140" s="525"/>
      <c r="O140" s="514">
        <f t="shared" si="21"/>
        <v>0</v>
      </c>
      <c r="P140" s="514">
        <f t="shared" si="22"/>
        <v>0</v>
      </c>
    </row>
    <row r="141" spans="2:16" ht="12.5">
      <c r="B141" s="195" t="str">
        <f t="shared" si="13"/>
        <v/>
      </c>
      <c r="C141" s="507">
        <f>IF(D93="","-",+C140+1)</f>
        <v>2060</v>
      </c>
      <c r="D141" s="374">
        <f>IF(F140+SUM(E$99:E140)=D$92,F140,D$92-SUM(E$99:E140))</f>
        <v>117057.30680139537</v>
      </c>
      <c r="E141" s="522">
        <f>IF(+J96&lt;F140,J96,D141)</f>
        <v>117057.30680139537</v>
      </c>
      <c r="F141" s="523">
        <f t="shared" si="14"/>
        <v>0</v>
      </c>
      <c r="G141" s="523">
        <f t="shared" si="15"/>
        <v>58528.653400697687</v>
      </c>
      <c r="H141" s="526">
        <f t="shared" si="16"/>
        <v>123353.45835881575</v>
      </c>
      <c r="I141" s="577">
        <f t="shared" si="17"/>
        <v>123353.45835881575</v>
      </c>
      <c r="J141" s="514">
        <f t="shared" si="19"/>
        <v>0</v>
      </c>
      <c r="K141" s="514"/>
      <c r="L141" s="525"/>
      <c r="M141" s="514">
        <f t="shared" si="20"/>
        <v>0</v>
      </c>
      <c r="N141" s="525"/>
      <c r="O141" s="514">
        <f t="shared" si="21"/>
        <v>0</v>
      </c>
      <c r="P141" s="514">
        <f t="shared" si="22"/>
        <v>0</v>
      </c>
    </row>
    <row r="142" spans="2:16" ht="12.5">
      <c r="B142" s="195" t="str">
        <f t="shared" si="13"/>
        <v/>
      </c>
      <c r="C142" s="507">
        <f>IF(D93="","-",+C141+1)</f>
        <v>2061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4"/>
        <v>0</v>
      </c>
      <c r="G142" s="523">
        <f t="shared" si="15"/>
        <v>0</v>
      </c>
      <c r="H142" s="526">
        <f t="shared" si="16"/>
        <v>0</v>
      </c>
      <c r="I142" s="577">
        <f t="shared" si="17"/>
        <v>0</v>
      </c>
      <c r="J142" s="514">
        <f t="shared" si="19"/>
        <v>0</v>
      </c>
      <c r="K142" s="514"/>
      <c r="L142" s="525"/>
      <c r="M142" s="514">
        <f t="shared" si="20"/>
        <v>0</v>
      </c>
      <c r="N142" s="525"/>
      <c r="O142" s="514">
        <f t="shared" si="21"/>
        <v>0</v>
      </c>
      <c r="P142" s="514">
        <f t="shared" si="22"/>
        <v>0</v>
      </c>
    </row>
    <row r="143" spans="2:16" ht="12.5">
      <c r="B143" s="195" t="str">
        <f t="shared" si="13"/>
        <v/>
      </c>
      <c r="C143" s="507">
        <f>IF(D93="","-",+C142+1)</f>
        <v>2062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4"/>
        <v>0</v>
      </c>
      <c r="G143" s="523">
        <f t="shared" si="15"/>
        <v>0</v>
      </c>
      <c r="H143" s="526">
        <f t="shared" si="16"/>
        <v>0</v>
      </c>
      <c r="I143" s="577">
        <f t="shared" si="17"/>
        <v>0</v>
      </c>
      <c r="J143" s="514">
        <f t="shared" si="19"/>
        <v>0</v>
      </c>
      <c r="K143" s="514"/>
      <c r="L143" s="525"/>
      <c r="M143" s="514">
        <f t="shared" si="20"/>
        <v>0</v>
      </c>
      <c r="N143" s="525"/>
      <c r="O143" s="514">
        <f t="shared" si="21"/>
        <v>0</v>
      </c>
      <c r="P143" s="514">
        <f t="shared" si="22"/>
        <v>0</v>
      </c>
    </row>
    <row r="144" spans="2:16" ht="12.5">
      <c r="B144" s="195" t="str">
        <f t="shared" si="13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4"/>
        <v>0</v>
      </c>
      <c r="G144" s="523">
        <f t="shared" si="15"/>
        <v>0</v>
      </c>
      <c r="H144" s="526">
        <f t="shared" si="16"/>
        <v>0</v>
      </c>
      <c r="I144" s="577">
        <f t="shared" si="17"/>
        <v>0</v>
      </c>
      <c r="J144" s="514">
        <f t="shared" si="19"/>
        <v>0</v>
      </c>
      <c r="K144" s="514"/>
      <c r="L144" s="525"/>
      <c r="M144" s="514">
        <f t="shared" si="20"/>
        <v>0</v>
      </c>
      <c r="N144" s="525"/>
      <c r="O144" s="514">
        <f t="shared" si="21"/>
        <v>0</v>
      </c>
      <c r="P144" s="514">
        <f t="shared" si="22"/>
        <v>0</v>
      </c>
    </row>
    <row r="145" spans="2:16" ht="12.5">
      <c r="B145" s="195" t="str">
        <f t="shared" si="13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4"/>
        <v>0</v>
      </c>
      <c r="G145" s="523">
        <f t="shared" si="15"/>
        <v>0</v>
      </c>
      <c r="H145" s="526">
        <f t="shared" si="16"/>
        <v>0</v>
      </c>
      <c r="I145" s="577">
        <f t="shared" si="17"/>
        <v>0</v>
      </c>
      <c r="J145" s="514">
        <f t="shared" si="19"/>
        <v>0</v>
      </c>
      <c r="K145" s="514"/>
      <c r="L145" s="525"/>
      <c r="M145" s="514">
        <f t="shared" si="20"/>
        <v>0</v>
      </c>
      <c r="N145" s="525"/>
      <c r="O145" s="514">
        <f t="shared" si="21"/>
        <v>0</v>
      </c>
      <c r="P145" s="514">
        <f t="shared" si="22"/>
        <v>0</v>
      </c>
    </row>
    <row r="146" spans="2:16" ht="12.5">
      <c r="B146" s="195" t="str">
        <f t="shared" si="13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4"/>
        <v>0</v>
      </c>
      <c r="G146" s="523">
        <f t="shared" si="15"/>
        <v>0</v>
      </c>
      <c r="H146" s="526">
        <f t="shared" si="16"/>
        <v>0</v>
      </c>
      <c r="I146" s="577">
        <f t="shared" si="17"/>
        <v>0</v>
      </c>
      <c r="J146" s="514">
        <f t="shared" si="19"/>
        <v>0</v>
      </c>
      <c r="K146" s="514"/>
      <c r="L146" s="525"/>
      <c r="M146" s="514">
        <f t="shared" si="20"/>
        <v>0</v>
      </c>
      <c r="N146" s="525"/>
      <c r="O146" s="514">
        <f t="shared" si="21"/>
        <v>0</v>
      </c>
      <c r="P146" s="514">
        <f t="shared" si="22"/>
        <v>0</v>
      </c>
    </row>
    <row r="147" spans="2:16" ht="12.5">
      <c r="B147" s="195" t="str">
        <f t="shared" si="13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4"/>
        <v>0</v>
      </c>
      <c r="G147" s="523">
        <f t="shared" si="15"/>
        <v>0</v>
      </c>
      <c r="H147" s="526">
        <f t="shared" si="16"/>
        <v>0</v>
      </c>
      <c r="I147" s="577">
        <f t="shared" si="17"/>
        <v>0</v>
      </c>
      <c r="J147" s="514">
        <f t="shared" si="19"/>
        <v>0</v>
      </c>
      <c r="K147" s="514"/>
      <c r="L147" s="525"/>
      <c r="M147" s="514">
        <f t="shared" si="20"/>
        <v>0</v>
      </c>
      <c r="N147" s="525"/>
      <c r="O147" s="514">
        <f t="shared" si="21"/>
        <v>0</v>
      </c>
      <c r="P147" s="514">
        <f t="shared" si="22"/>
        <v>0</v>
      </c>
    </row>
    <row r="148" spans="2:16" ht="12.5">
      <c r="B148" s="195" t="str">
        <f t="shared" si="13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4"/>
        <v>0</v>
      </c>
      <c r="G148" s="523">
        <f t="shared" si="15"/>
        <v>0</v>
      </c>
      <c r="H148" s="526">
        <f t="shared" si="16"/>
        <v>0</v>
      </c>
      <c r="I148" s="577">
        <f t="shared" si="17"/>
        <v>0</v>
      </c>
      <c r="J148" s="514">
        <f t="shared" si="19"/>
        <v>0</v>
      </c>
      <c r="K148" s="514"/>
      <c r="L148" s="525"/>
      <c r="M148" s="514">
        <f t="shared" si="20"/>
        <v>0</v>
      </c>
      <c r="N148" s="525"/>
      <c r="O148" s="514">
        <f t="shared" si="21"/>
        <v>0</v>
      </c>
      <c r="P148" s="514">
        <f t="shared" si="22"/>
        <v>0</v>
      </c>
    </row>
    <row r="149" spans="2:16" ht="12.5">
      <c r="B149" s="195" t="str">
        <f t="shared" si="13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4"/>
        <v>0</v>
      </c>
      <c r="G149" s="523">
        <f t="shared" si="15"/>
        <v>0</v>
      </c>
      <c r="H149" s="526">
        <f t="shared" si="16"/>
        <v>0</v>
      </c>
      <c r="I149" s="577">
        <f t="shared" si="17"/>
        <v>0</v>
      </c>
      <c r="J149" s="514">
        <f t="shared" si="19"/>
        <v>0</v>
      </c>
      <c r="K149" s="514"/>
      <c r="L149" s="525"/>
      <c r="M149" s="514">
        <f t="shared" si="20"/>
        <v>0</v>
      </c>
      <c r="N149" s="525"/>
      <c r="O149" s="514">
        <f t="shared" si="21"/>
        <v>0</v>
      </c>
      <c r="P149" s="514">
        <f t="shared" si="22"/>
        <v>0</v>
      </c>
    </row>
    <row r="150" spans="2:16" ht="12.5">
      <c r="B150" s="195" t="str">
        <f t="shared" si="13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4"/>
        <v>0</v>
      </c>
      <c r="G150" s="523">
        <f t="shared" si="15"/>
        <v>0</v>
      </c>
      <c r="H150" s="526">
        <f t="shared" si="16"/>
        <v>0</v>
      </c>
      <c r="I150" s="577">
        <f t="shared" si="17"/>
        <v>0</v>
      </c>
      <c r="J150" s="514">
        <f t="shared" si="19"/>
        <v>0</v>
      </c>
      <c r="K150" s="514"/>
      <c r="L150" s="525"/>
      <c r="M150" s="514">
        <f t="shared" si="20"/>
        <v>0</v>
      </c>
      <c r="N150" s="525"/>
      <c r="O150" s="514">
        <f t="shared" si="21"/>
        <v>0</v>
      </c>
      <c r="P150" s="514">
        <f t="shared" si="22"/>
        <v>0</v>
      </c>
    </row>
    <row r="151" spans="2:16" ht="12.5">
      <c r="B151" s="195" t="str">
        <f t="shared" si="13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4"/>
        <v>0</v>
      </c>
      <c r="G151" s="523">
        <f t="shared" si="15"/>
        <v>0</v>
      </c>
      <c r="H151" s="526">
        <f t="shared" si="16"/>
        <v>0</v>
      </c>
      <c r="I151" s="577">
        <f t="shared" si="17"/>
        <v>0</v>
      </c>
      <c r="J151" s="514">
        <f t="shared" si="19"/>
        <v>0</v>
      </c>
      <c r="K151" s="514"/>
      <c r="L151" s="525"/>
      <c r="M151" s="514">
        <f t="shared" si="20"/>
        <v>0</v>
      </c>
      <c r="N151" s="525"/>
      <c r="O151" s="514">
        <f t="shared" si="21"/>
        <v>0</v>
      </c>
      <c r="P151" s="514">
        <f t="shared" si="22"/>
        <v>0</v>
      </c>
    </row>
    <row r="152" spans="2:16" ht="12.5">
      <c r="B152" s="195" t="str">
        <f t="shared" si="13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4"/>
        <v>0</v>
      </c>
      <c r="G152" s="523">
        <f t="shared" si="15"/>
        <v>0</v>
      </c>
      <c r="H152" s="526">
        <f t="shared" si="16"/>
        <v>0</v>
      </c>
      <c r="I152" s="577">
        <f t="shared" si="17"/>
        <v>0</v>
      </c>
      <c r="J152" s="514">
        <f t="shared" si="19"/>
        <v>0</v>
      </c>
      <c r="K152" s="514"/>
      <c r="L152" s="525"/>
      <c r="M152" s="514">
        <f t="shared" si="20"/>
        <v>0</v>
      </c>
      <c r="N152" s="525"/>
      <c r="O152" s="514">
        <f t="shared" si="21"/>
        <v>0</v>
      </c>
      <c r="P152" s="514">
        <f t="shared" si="22"/>
        <v>0</v>
      </c>
    </row>
    <row r="153" spans="2:16" ht="12.5">
      <c r="B153" s="195" t="str">
        <f t="shared" si="13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4"/>
        <v>0</v>
      </c>
      <c r="G153" s="523">
        <f t="shared" si="15"/>
        <v>0</v>
      </c>
      <c r="H153" s="526">
        <f t="shared" si="16"/>
        <v>0</v>
      </c>
      <c r="I153" s="577">
        <f t="shared" si="17"/>
        <v>0</v>
      </c>
      <c r="J153" s="514">
        <f t="shared" si="19"/>
        <v>0</v>
      </c>
      <c r="K153" s="514"/>
      <c r="L153" s="525"/>
      <c r="M153" s="514">
        <f t="shared" si="20"/>
        <v>0</v>
      </c>
      <c r="N153" s="525"/>
      <c r="O153" s="514">
        <f t="shared" si="21"/>
        <v>0</v>
      </c>
      <c r="P153" s="514">
        <f t="shared" si="22"/>
        <v>0</v>
      </c>
    </row>
    <row r="154" spans="2:16" ht="13" thickBot="1">
      <c r="B154" s="195" t="str">
        <f t="shared" si="13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4"/>
        <v>0</v>
      </c>
      <c r="G154" s="528">
        <f t="shared" si="15"/>
        <v>0</v>
      </c>
      <c r="H154" s="530">
        <f t="shared" si="16"/>
        <v>0</v>
      </c>
      <c r="I154" s="579">
        <f t="shared" si="17"/>
        <v>0</v>
      </c>
      <c r="J154" s="533">
        <f t="shared" si="19"/>
        <v>0</v>
      </c>
      <c r="K154" s="514"/>
      <c r="L154" s="532"/>
      <c r="M154" s="533">
        <f t="shared" si="20"/>
        <v>0</v>
      </c>
      <c r="N154" s="532"/>
      <c r="O154" s="533">
        <f t="shared" si="21"/>
        <v>0</v>
      </c>
      <c r="P154" s="533">
        <f t="shared" si="22"/>
        <v>0</v>
      </c>
    </row>
    <row r="155" spans="2:16" ht="12.5">
      <c r="C155" s="374" t="s">
        <v>78</v>
      </c>
      <c r="D155" s="375"/>
      <c r="E155" s="375">
        <f>SUM(E99:E154)</f>
        <v>11171456.000000002</v>
      </c>
      <c r="F155" s="375"/>
      <c r="G155" s="375"/>
      <c r="H155" s="375">
        <f>SUM(H99:H154)</f>
        <v>36318853.821911715</v>
      </c>
      <c r="I155" s="375">
        <f>SUM(I99:I154)</f>
        <v>36318853.821911715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5" priority="1" stopIfTrue="1" operator="equal">
      <formula>$I$10</formula>
    </cfRule>
  </conditionalFormatting>
  <conditionalFormatting sqref="C99:C154">
    <cfRule type="cellIs" dxfId="1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zoomScale="80" zoomScaleNormal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69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1206022.789326702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1206022.789326702</v>
      </c>
      <c r="O6" s="269"/>
      <c r="P6" s="269"/>
    </row>
    <row r="7" spans="1:16" ht="13.5" thickBot="1">
      <c r="C7" s="467" t="s">
        <v>48</v>
      </c>
      <c r="D7" s="624" t="s">
        <v>427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415</v>
      </c>
      <c r="E9" s="637" t="s">
        <v>426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9930039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236429.5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31">
        <v>0</v>
      </c>
      <c r="E17" s="630">
        <v>167414.63414634147</v>
      </c>
      <c r="F17" s="631">
        <v>8984585.3658536579</v>
      </c>
      <c r="G17" s="630">
        <v>738358.52480493963</v>
      </c>
      <c r="H17" s="639">
        <v>738358.52480493963</v>
      </c>
      <c r="I17" s="511">
        <f t="shared" ref="I17:I72" si="0">H17-G17</f>
        <v>0</v>
      </c>
      <c r="J17" s="511"/>
      <c r="K17" s="512">
        <f>+G17</f>
        <v>738358.52480493963</v>
      </c>
      <c r="L17" s="513">
        <f t="shared" ref="L17:L72" si="1">IF(K17&lt;&gt;0,+G17-K17,0)</f>
        <v>0</v>
      </c>
      <c r="M17" s="512">
        <f>+H17</f>
        <v>738358.52480493963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8984585.3658536579</v>
      </c>
      <c r="E18" s="630">
        <v>223219.51219512196</v>
      </c>
      <c r="F18" s="631">
        <v>8761365.8536585364</v>
      </c>
      <c r="G18" s="630">
        <v>1350922.3521294959</v>
      </c>
      <c r="H18" s="639">
        <v>1350922.3521294959</v>
      </c>
      <c r="I18" s="511">
        <f t="shared" si="0"/>
        <v>0</v>
      </c>
      <c r="J18" s="511"/>
      <c r="K18" s="518">
        <f>+G18</f>
        <v>1350922.3521294959</v>
      </c>
      <c r="L18" s="519">
        <f t="shared" si="1"/>
        <v>0</v>
      </c>
      <c r="M18" s="518">
        <f>+H18</f>
        <v>1350922.3521294959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2019</v>
      </c>
      <c r="D19" s="631">
        <v>9539404.8536585364</v>
      </c>
      <c r="E19" s="630">
        <v>242196.07317073172</v>
      </c>
      <c r="F19" s="631">
        <v>9297208.7804878056</v>
      </c>
      <c r="G19" s="630">
        <v>1206022.789326702</v>
      </c>
      <c r="H19" s="639">
        <v>1206022.789326702</v>
      </c>
      <c r="I19" s="511">
        <f t="shared" si="0"/>
        <v>0</v>
      </c>
      <c r="J19" s="511"/>
      <c r="K19" s="518">
        <f>+G19</f>
        <v>1206022.789326702</v>
      </c>
      <c r="L19" s="519">
        <f t="shared" ref="L19" si="4">IF(K19&lt;&gt;0,+G19-K19,0)</f>
        <v>0</v>
      </c>
      <c r="M19" s="518">
        <f>+H19</f>
        <v>1206022.789326702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2020</v>
      </c>
      <c r="D20" s="631">
        <v>9539404.8536585364</v>
      </c>
      <c r="E20" s="630">
        <v>242196.07317073172</v>
      </c>
      <c r="F20" s="631">
        <v>9297208.7804878056</v>
      </c>
      <c r="G20" s="630">
        <v>1206022.789326702</v>
      </c>
      <c r="H20" s="639">
        <v>1206022.789326702</v>
      </c>
      <c r="I20" s="511">
        <f t="shared" si="0"/>
        <v>0</v>
      </c>
      <c r="J20" s="511"/>
      <c r="K20" s="518">
        <f>+G20</f>
        <v>1206022.789326702</v>
      </c>
      <c r="L20" s="519">
        <f t="shared" ref="L20" si="6">IF(K20&lt;&gt;0,+G20-K20,0)</f>
        <v>0</v>
      </c>
      <c r="M20" s="518">
        <f>+H20</f>
        <v>1206022.789326702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>IU</v>
      </c>
      <c r="C21" s="507">
        <f>IF(D11="","-",+C20+1)</f>
        <v>2021</v>
      </c>
      <c r="D21" s="523">
        <f>IF(F20+SUM(E$17:E20)=D$10,F20,D$10-SUM(E$17:E20))</f>
        <v>9055012.7073170729</v>
      </c>
      <c r="E21" s="522">
        <f>IF(+I14&lt;F20,I14,D21)</f>
        <v>236429.5</v>
      </c>
      <c r="F21" s="523">
        <f t="shared" ref="F21:F72" si="7">+D21-E21</f>
        <v>8818583.2073170729</v>
      </c>
      <c r="G21" s="524">
        <f t="shared" ref="G21:G72" si="8">+I$12*((D21+F21)/2)+E21</f>
        <v>1191040.1497075981</v>
      </c>
      <c r="H21" s="491">
        <f t="shared" ref="H21:H72" si="9">+I$13*((D21+F21)/2)+E21</f>
        <v>1191040.1497075981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2022</v>
      </c>
      <c r="D22" s="523">
        <f>IF(F21+SUM(E$17:E21)=D$10,F21,D$10-SUM(E$17:E21))</f>
        <v>8818583.2073170729</v>
      </c>
      <c r="E22" s="522">
        <f>IF(+I14&lt;F21,I14,D22)</f>
        <v>236429.5</v>
      </c>
      <c r="F22" s="523">
        <f t="shared" si="7"/>
        <v>8582153.7073170729</v>
      </c>
      <c r="G22" s="524">
        <f t="shared" si="8"/>
        <v>1165785.2295803898</v>
      </c>
      <c r="H22" s="491">
        <f t="shared" si="9"/>
        <v>1165785.2295803898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8582153.7073170729</v>
      </c>
      <c r="E23" s="522">
        <f>IF(+I14&lt;F22,I14,D23)</f>
        <v>236429.5</v>
      </c>
      <c r="F23" s="523">
        <f t="shared" si="7"/>
        <v>8345724.2073170729</v>
      </c>
      <c r="G23" s="524">
        <f t="shared" si="8"/>
        <v>1140530.3094531812</v>
      </c>
      <c r="H23" s="491">
        <f t="shared" si="9"/>
        <v>1140530.3094531812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8345724.2073170729</v>
      </c>
      <c r="E24" s="522">
        <f>IF(+I14&lt;F23,I14,D24)</f>
        <v>236429.5</v>
      </c>
      <c r="F24" s="523">
        <f t="shared" si="7"/>
        <v>8109294.7073170729</v>
      </c>
      <c r="G24" s="524">
        <f t="shared" si="8"/>
        <v>1115275.3893259726</v>
      </c>
      <c r="H24" s="491">
        <f t="shared" si="9"/>
        <v>1115275.3893259726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8109294.7073170729</v>
      </c>
      <c r="E25" s="522">
        <f>IF(+I14&lt;F24,I14,D25)</f>
        <v>236429.5</v>
      </c>
      <c r="F25" s="523">
        <f t="shared" si="7"/>
        <v>7872865.2073170729</v>
      </c>
      <c r="G25" s="524">
        <f t="shared" si="8"/>
        <v>1090020.4691987643</v>
      </c>
      <c r="H25" s="491">
        <f t="shared" si="9"/>
        <v>1090020.4691987643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7872865.2073170729</v>
      </c>
      <c r="E26" s="522">
        <f>IF(+I14&lt;F25,I14,D26)</f>
        <v>236429.5</v>
      </c>
      <c r="F26" s="523">
        <f t="shared" si="7"/>
        <v>7636435.7073170729</v>
      </c>
      <c r="G26" s="524">
        <f t="shared" si="8"/>
        <v>1064765.5490715557</v>
      </c>
      <c r="H26" s="491">
        <f t="shared" si="9"/>
        <v>1064765.5490715557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7636435.7073170729</v>
      </c>
      <c r="E27" s="522">
        <f>IF(+I14&lt;F26,I14,D27)</f>
        <v>236429.5</v>
      </c>
      <c r="F27" s="523">
        <f t="shared" si="7"/>
        <v>7400006.2073170729</v>
      </c>
      <c r="G27" s="524">
        <f t="shared" si="8"/>
        <v>1039510.6289443473</v>
      </c>
      <c r="H27" s="491">
        <f t="shared" si="9"/>
        <v>1039510.6289443473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7400006.2073170729</v>
      </c>
      <c r="E28" s="522">
        <f>IF(+I14&lt;F27,I14,D28)</f>
        <v>236429.5</v>
      </c>
      <c r="F28" s="523">
        <f t="shared" si="7"/>
        <v>7163576.7073170729</v>
      </c>
      <c r="G28" s="524">
        <f t="shared" si="8"/>
        <v>1014255.7088171388</v>
      </c>
      <c r="H28" s="491">
        <f t="shared" si="9"/>
        <v>1014255.7088171388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7163576.7073170729</v>
      </c>
      <c r="E29" s="522">
        <f>IF(+I14&lt;F28,I14,D29)</f>
        <v>236429.5</v>
      </c>
      <c r="F29" s="523">
        <f t="shared" si="7"/>
        <v>6927147.2073170729</v>
      </c>
      <c r="G29" s="524">
        <f t="shared" si="8"/>
        <v>989000.78868993034</v>
      </c>
      <c r="H29" s="491">
        <f t="shared" si="9"/>
        <v>989000.78868993034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6927147.2073170729</v>
      </c>
      <c r="E30" s="522">
        <f>IF(+I14&lt;F29,I14,D30)</f>
        <v>236429.5</v>
      </c>
      <c r="F30" s="523">
        <f t="shared" si="7"/>
        <v>6690717.7073170729</v>
      </c>
      <c r="G30" s="524">
        <f t="shared" si="8"/>
        <v>963745.86856272188</v>
      </c>
      <c r="H30" s="491">
        <f t="shared" si="9"/>
        <v>963745.86856272188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6690717.7073170729</v>
      </c>
      <c r="E31" s="522">
        <f>IF(+I14&lt;F30,I14,D31)</f>
        <v>236429.5</v>
      </c>
      <c r="F31" s="523">
        <f t="shared" si="7"/>
        <v>6454288.2073170729</v>
      </c>
      <c r="G31" s="524">
        <f t="shared" si="8"/>
        <v>938490.94843551342</v>
      </c>
      <c r="H31" s="491">
        <f t="shared" si="9"/>
        <v>938490.94843551342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6454288.2073170729</v>
      </c>
      <c r="E32" s="522">
        <f>IF(+I14&lt;F31,I14,D32)</f>
        <v>236429.5</v>
      </c>
      <c r="F32" s="523">
        <f t="shared" si="7"/>
        <v>6217858.7073170729</v>
      </c>
      <c r="G32" s="524">
        <f t="shared" si="8"/>
        <v>913236.02830830484</v>
      </c>
      <c r="H32" s="491">
        <f t="shared" si="9"/>
        <v>913236.02830830484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6217858.7073170729</v>
      </c>
      <c r="E33" s="522">
        <f>IF(+I14&lt;F32,I14,D33)</f>
        <v>236429.5</v>
      </c>
      <c r="F33" s="523">
        <f t="shared" si="7"/>
        <v>5981429.2073170729</v>
      </c>
      <c r="G33" s="524">
        <f t="shared" si="8"/>
        <v>887981.10818109638</v>
      </c>
      <c r="H33" s="491">
        <f t="shared" si="9"/>
        <v>887981.10818109638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5981429.2073170729</v>
      </c>
      <c r="E34" s="522">
        <f>IF(+I14&lt;F33,I14,D34)</f>
        <v>236429.5</v>
      </c>
      <c r="F34" s="523">
        <f t="shared" si="7"/>
        <v>5744999.7073170729</v>
      </c>
      <c r="G34" s="524">
        <f t="shared" si="8"/>
        <v>862726.18805388792</v>
      </c>
      <c r="H34" s="491">
        <f t="shared" si="9"/>
        <v>862726.18805388792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5744999.7073170729</v>
      </c>
      <c r="E35" s="522">
        <f>IF(+I14&lt;F34,I14,D35)</f>
        <v>236429.5</v>
      </c>
      <c r="F35" s="523">
        <f t="shared" si="7"/>
        <v>5508570.2073170729</v>
      </c>
      <c r="G35" s="524">
        <f t="shared" si="8"/>
        <v>837471.26792667946</v>
      </c>
      <c r="H35" s="491">
        <f t="shared" si="9"/>
        <v>837471.26792667946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5508570.2073170729</v>
      </c>
      <c r="E36" s="522">
        <f>IF(+I14&lt;F35,I14,D36)</f>
        <v>236429.5</v>
      </c>
      <c r="F36" s="523">
        <f t="shared" si="7"/>
        <v>5272140.7073170729</v>
      </c>
      <c r="G36" s="524">
        <f t="shared" si="8"/>
        <v>812216.347799471</v>
      </c>
      <c r="H36" s="491">
        <f t="shared" si="9"/>
        <v>812216.347799471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5272140.7073170729</v>
      </c>
      <c r="E37" s="522">
        <f>IF(+I14&lt;F36,I14,D37)</f>
        <v>236429.5</v>
      </c>
      <c r="F37" s="523">
        <f t="shared" si="7"/>
        <v>5035711.2073170729</v>
      </c>
      <c r="G37" s="524">
        <f t="shared" si="8"/>
        <v>786961.42767226254</v>
      </c>
      <c r="H37" s="491">
        <f t="shared" si="9"/>
        <v>786961.42767226254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5035711.2073170729</v>
      </c>
      <c r="E38" s="522">
        <f>IF(+I14&lt;F37,I14,D38)</f>
        <v>236429.5</v>
      </c>
      <c r="F38" s="523">
        <f t="shared" si="7"/>
        <v>4799281.7073170729</v>
      </c>
      <c r="G38" s="524">
        <f t="shared" si="8"/>
        <v>761706.50754505396</v>
      </c>
      <c r="H38" s="491">
        <f t="shared" si="9"/>
        <v>761706.50754505396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4799281.7073170729</v>
      </c>
      <c r="E39" s="522">
        <f>IF(+I14&lt;F38,I14,D39)</f>
        <v>236429.5</v>
      </c>
      <c r="F39" s="523">
        <f t="shared" si="7"/>
        <v>4562852.2073170729</v>
      </c>
      <c r="G39" s="524">
        <f t="shared" si="8"/>
        <v>736451.5874178455</v>
      </c>
      <c r="H39" s="491">
        <f t="shared" si="9"/>
        <v>736451.5874178455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4562852.2073170729</v>
      </c>
      <c r="E40" s="522">
        <f>IF(+I14&lt;F39,I14,D40)</f>
        <v>236429.5</v>
      </c>
      <c r="F40" s="523">
        <f t="shared" si="7"/>
        <v>4326422.7073170729</v>
      </c>
      <c r="G40" s="524">
        <f t="shared" si="8"/>
        <v>711196.66729063704</v>
      </c>
      <c r="H40" s="491">
        <f t="shared" si="9"/>
        <v>711196.66729063704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4326422.7073170729</v>
      </c>
      <c r="E41" s="522">
        <f>IF(+I14&lt;F40,I14,D41)</f>
        <v>236429.5</v>
      </c>
      <c r="F41" s="523">
        <f t="shared" si="7"/>
        <v>4089993.2073170729</v>
      </c>
      <c r="G41" s="524">
        <f t="shared" si="8"/>
        <v>685941.74716342858</v>
      </c>
      <c r="H41" s="491">
        <f t="shared" si="9"/>
        <v>685941.74716342858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4089993.2073170729</v>
      </c>
      <c r="E42" s="522">
        <f>IF(+I14&lt;F41,I14,D42)</f>
        <v>236429.5</v>
      </c>
      <c r="F42" s="523">
        <f t="shared" si="7"/>
        <v>3853563.7073170729</v>
      </c>
      <c r="G42" s="524">
        <f t="shared" si="8"/>
        <v>660686.82703622011</v>
      </c>
      <c r="H42" s="491">
        <f t="shared" si="9"/>
        <v>660686.82703622011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3853563.7073170729</v>
      </c>
      <c r="E43" s="522">
        <f>IF(+I14&lt;F42,I14,D43)</f>
        <v>236429.5</v>
      </c>
      <c r="F43" s="523">
        <f t="shared" si="7"/>
        <v>3617134.2073170729</v>
      </c>
      <c r="G43" s="524">
        <f t="shared" si="8"/>
        <v>635431.90690901154</v>
      </c>
      <c r="H43" s="491">
        <f t="shared" si="9"/>
        <v>635431.90690901154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3617134.2073170729</v>
      </c>
      <c r="E44" s="522">
        <f>IF(+I14&lt;F43,I14,D44)</f>
        <v>236429.5</v>
      </c>
      <c r="F44" s="523">
        <f t="shared" si="7"/>
        <v>3380704.7073170729</v>
      </c>
      <c r="G44" s="524">
        <f t="shared" si="8"/>
        <v>610176.98678180319</v>
      </c>
      <c r="H44" s="491">
        <f t="shared" si="9"/>
        <v>610176.98678180319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3380704.7073170729</v>
      </c>
      <c r="E45" s="522">
        <f>IF(+I14&lt;F44,I14,D45)</f>
        <v>236429.5</v>
      </c>
      <c r="F45" s="523">
        <f t="shared" si="7"/>
        <v>3144275.2073170729</v>
      </c>
      <c r="G45" s="524">
        <f t="shared" si="8"/>
        <v>584922.06665459462</v>
      </c>
      <c r="H45" s="491">
        <f t="shared" si="9"/>
        <v>584922.06665459462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3144275.2073170729</v>
      </c>
      <c r="E46" s="522">
        <f>IF(+I14&lt;F45,I14,D46)</f>
        <v>236429.5</v>
      </c>
      <c r="F46" s="523">
        <f t="shared" si="7"/>
        <v>2907845.7073170729</v>
      </c>
      <c r="G46" s="524">
        <f t="shared" si="8"/>
        <v>559667.14652738615</v>
      </c>
      <c r="H46" s="491">
        <f t="shared" si="9"/>
        <v>559667.14652738615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2907845.7073170729</v>
      </c>
      <c r="E47" s="522">
        <f>IF(+I14&lt;F46,I14,D47)</f>
        <v>236429.5</v>
      </c>
      <c r="F47" s="523">
        <f t="shared" si="7"/>
        <v>2671416.2073170729</v>
      </c>
      <c r="G47" s="524">
        <f t="shared" si="8"/>
        <v>534412.22640017769</v>
      </c>
      <c r="H47" s="491">
        <f t="shared" si="9"/>
        <v>534412.22640017769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2671416.2073170729</v>
      </c>
      <c r="E48" s="522">
        <f>IF(+I14&lt;F47,I14,D48)</f>
        <v>236429.5</v>
      </c>
      <c r="F48" s="523">
        <f t="shared" si="7"/>
        <v>2434986.7073170729</v>
      </c>
      <c r="G48" s="524">
        <f t="shared" si="8"/>
        <v>509157.30627296917</v>
      </c>
      <c r="H48" s="491">
        <f t="shared" si="9"/>
        <v>509157.30627296917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2434986.7073170729</v>
      </c>
      <c r="E49" s="522">
        <f>IF(+I14&lt;F48,I14,D49)</f>
        <v>236429.5</v>
      </c>
      <c r="F49" s="523">
        <f t="shared" si="7"/>
        <v>2198557.2073170729</v>
      </c>
      <c r="G49" s="524">
        <f t="shared" si="8"/>
        <v>483902.38614576071</v>
      </c>
      <c r="H49" s="491">
        <f t="shared" si="9"/>
        <v>483902.38614576071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2198557.2073170729</v>
      </c>
      <c r="E50" s="522">
        <f>IF(+I14&lt;F49,I14,D50)</f>
        <v>236429.5</v>
      </c>
      <c r="F50" s="523">
        <f t="shared" si="7"/>
        <v>1962127.7073170729</v>
      </c>
      <c r="G50" s="524">
        <f t="shared" si="8"/>
        <v>458647.46601855219</v>
      </c>
      <c r="H50" s="491">
        <f t="shared" si="9"/>
        <v>458647.46601855219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1962127.7073170729</v>
      </c>
      <c r="E51" s="522">
        <f>IF(+I14&lt;F50,I14,D51)</f>
        <v>236429.5</v>
      </c>
      <c r="F51" s="523">
        <f t="shared" si="7"/>
        <v>1725698.2073170729</v>
      </c>
      <c r="G51" s="524">
        <f t="shared" si="8"/>
        <v>433392.54589134373</v>
      </c>
      <c r="H51" s="491">
        <f t="shared" si="9"/>
        <v>433392.54589134373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1725698.2073170729</v>
      </c>
      <c r="E52" s="522">
        <f>IF(+I14&lt;F51,I14,D52)</f>
        <v>236429.5</v>
      </c>
      <c r="F52" s="523">
        <f t="shared" si="7"/>
        <v>1489268.7073170729</v>
      </c>
      <c r="G52" s="524">
        <f t="shared" si="8"/>
        <v>408137.62576413527</v>
      </c>
      <c r="H52" s="491">
        <f t="shared" si="9"/>
        <v>408137.62576413527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1489268.7073170729</v>
      </c>
      <c r="E53" s="522">
        <f>IF(+I14&lt;F52,I14,D53)</f>
        <v>236429.5</v>
      </c>
      <c r="F53" s="523">
        <f t="shared" si="7"/>
        <v>1252839.2073170729</v>
      </c>
      <c r="G53" s="524">
        <f t="shared" si="8"/>
        <v>382882.70563692681</v>
      </c>
      <c r="H53" s="491">
        <f t="shared" si="9"/>
        <v>382882.70563692681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1252839.2073170729</v>
      </c>
      <c r="E54" s="522">
        <f>IF(+I14&lt;F53,I14,D54)</f>
        <v>236429.5</v>
      </c>
      <c r="F54" s="523">
        <f t="shared" si="7"/>
        <v>1016409.7073170729</v>
      </c>
      <c r="G54" s="524">
        <f t="shared" si="8"/>
        <v>357627.78550971829</v>
      </c>
      <c r="H54" s="491">
        <f t="shared" si="9"/>
        <v>357627.78550971829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1016409.7073170729</v>
      </c>
      <c r="E55" s="522">
        <f>IF(+I14&lt;F54,I14,D55)</f>
        <v>236429.5</v>
      </c>
      <c r="F55" s="523">
        <f t="shared" si="7"/>
        <v>779980.2073170729</v>
      </c>
      <c r="G55" s="524">
        <f t="shared" si="8"/>
        <v>332372.86538250983</v>
      </c>
      <c r="H55" s="491">
        <f t="shared" si="9"/>
        <v>332372.86538250983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779980.2073170729</v>
      </c>
      <c r="E56" s="522">
        <f>IF(+I14&lt;F55,I14,D56)</f>
        <v>236429.5</v>
      </c>
      <c r="F56" s="523">
        <f t="shared" si="7"/>
        <v>543550.7073170729</v>
      </c>
      <c r="G56" s="524">
        <f t="shared" si="8"/>
        <v>307117.94525530131</v>
      </c>
      <c r="H56" s="491">
        <f t="shared" si="9"/>
        <v>307117.94525530131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543550.7073170729</v>
      </c>
      <c r="E57" s="522">
        <f>IF(+I14&lt;F56,I14,D57)</f>
        <v>236429.5</v>
      </c>
      <c r="F57" s="523">
        <f t="shared" si="7"/>
        <v>307121.2073170729</v>
      </c>
      <c r="G57" s="524">
        <f t="shared" si="8"/>
        <v>281863.02512809285</v>
      </c>
      <c r="H57" s="491">
        <f t="shared" si="9"/>
        <v>281863.02512809285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307121.2073170729</v>
      </c>
      <c r="E58" s="522">
        <f>IF(+I14&lt;F57,I14,D58)</f>
        <v>236429.5</v>
      </c>
      <c r="F58" s="523">
        <f t="shared" si="7"/>
        <v>70691.707317072898</v>
      </c>
      <c r="G58" s="524">
        <f t="shared" si="8"/>
        <v>256608.10500088439</v>
      </c>
      <c r="H58" s="491">
        <f t="shared" si="9"/>
        <v>256608.10500088439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70691.707317072898</v>
      </c>
      <c r="E59" s="522">
        <f>IF(+I14&lt;F58,I14,D59)</f>
        <v>70691.707317072898</v>
      </c>
      <c r="F59" s="523">
        <f t="shared" si="7"/>
        <v>0</v>
      </c>
      <c r="G59" s="524">
        <f t="shared" si="8"/>
        <v>74467.279785712963</v>
      </c>
      <c r="H59" s="491">
        <f t="shared" si="9"/>
        <v>74467.279785712963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8"/>
        <v>0</v>
      </c>
      <c r="H60" s="491">
        <f t="shared" si="9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9930039</v>
      </c>
      <c r="F73" s="375"/>
      <c r="G73" s="375">
        <f>SUM(G17:G72)</f>
        <v>32081110.574834719</v>
      </c>
      <c r="H73" s="375">
        <f>SUM(H17:H72)</f>
        <v>32081110.574834719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69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1206022.789326702</v>
      </c>
      <c r="N87" s="546">
        <f>IF(J92&lt;D11,0,VLOOKUP(J92,C17:O72,11))</f>
        <v>1206022.789326702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1223165.5223756898</v>
      </c>
      <c r="N88" s="550">
        <f>IF(J92&lt;D11,0,VLOOKUP(J92,C99:P154,7))</f>
        <v>1223165.5223756898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Hallsville - Longview Heights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17142.733048987808</v>
      </c>
      <c r="N89" s="555">
        <f>+N88-N87</f>
        <v>17142.733048987808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9930039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4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236429.5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29">
        <v>0</v>
      </c>
      <c r="E99" s="630">
        <v>177322.125</v>
      </c>
      <c r="F99" s="631">
        <v>9752716.875</v>
      </c>
      <c r="G99" s="631">
        <v>4876358.4375</v>
      </c>
      <c r="H99" s="633">
        <v>692287.9381010225</v>
      </c>
      <c r="I99" s="634">
        <v>692287.9381010225</v>
      </c>
      <c r="J99" s="514">
        <f t="shared" ref="J99:J130" si="10">+I99-H99</f>
        <v>0</v>
      </c>
      <c r="K99" s="514"/>
      <c r="L99" s="512">
        <f>+H99</f>
        <v>692287.9381010225</v>
      </c>
      <c r="M99" s="513">
        <f t="shared" ref="M99:M100" si="11">IF(L99&lt;&gt;0,+H99-L99,0)</f>
        <v>0</v>
      </c>
      <c r="N99" s="512">
        <f>+I99</f>
        <v>692287.9381010225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 ht="12.5">
      <c r="B100" s="195" t="str">
        <f>IF(D100=F99,"","IU")</f>
        <v/>
      </c>
      <c r="C100" s="507">
        <f>IF(D93="","-",+C99+1)</f>
        <v>2018</v>
      </c>
      <c r="D100" s="629">
        <v>9752716.875</v>
      </c>
      <c r="E100" s="630">
        <v>230931.13953488372</v>
      </c>
      <c r="F100" s="631">
        <v>9521785.7354651168</v>
      </c>
      <c r="G100" s="631">
        <v>9637251.3052325584</v>
      </c>
      <c r="H100" s="633">
        <v>1262507.7864101741</v>
      </c>
      <c r="I100" s="634">
        <v>1262507.7864101741</v>
      </c>
      <c r="J100" s="514">
        <f t="shared" si="10"/>
        <v>0</v>
      </c>
      <c r="K100" s="514"/>
      <c r="L100" s="655">
        <f>+H100</f>
        <v>1262507.7864101741</v>
      </c>
      <c r="M100" s="514">
        <f t="shared" si="11"/>
        <v>0</v>
      </c>
      <c r="N100" s="655">
        <f>+I100</f>
        <v>1262507.7864101741</v>
      </c>
      <c r="O100" s="514">
        <f t="shared" si="12"/>
        <v>0</v>
      </c>
      <c r="P100" s="514">
        <f t="shared" si="13"/>
        <v>0</v>
      </c>
    </row>
    <row r="101" spans="1:16" ht="12.5">
      <c r="B101" s="195" t="str">
        <f t="shared" ref="B101:B154" si="14">IF(D101=F100,"","IU")</f>
        <v/>
      </c>
      <c r="C101" s="507">
        <f>IF(D93="","-",+C100+1)</f>
        <v>2019</v>
      </c>
      <c r="D101" s="629">
        <v>9521785.7354651168</v>
      </c>
      <c r="E101" s="630">
        <v>230931.13953488372</v>
      </c>
      <c r="F101" s="631">
        <v>9290854.5959302336</v>
      </c>
      <c r="G101" s="631">
        <v>9406320.1656976752</v>
      </c>
      <c r="H101" s="633">
        <v>1237788.7910207789</v>
      </c>
      <c r="I101" s="634">
        <v>1237788.7910207789</v>
      </c>
      <c r="J101" s="514">
        <f t="shared" si="10"/>
        <v>0</v>
      </c>
      <c r="K101" s="514"/>
      <c r="L101" s="655">
        <f>+H101</f>
        <v>1237788.7910207789</v>
      </c>
      <c r="M101" s="514">
        <f t="shared" ref="M101" si="15">IF(L101&lt;&gt;0,+H101-L101,0)</f>
        <v>0</v>
      </c>
      <c r="N101" s="655">
        <f>+I101</f>
        <v>1237788.7910207789</v>
      </c>
      <c r="O101" s="514">
        <f t="shared" si="12"/>
        <v>0</v>
      </c>
      <c r="P101" s="514">
        <f t="shared" si="13"/>
        <v>0</v>
      </c>
    </row>
    <row r="102" spans="1:16" ht="12.5">
      <c r="B102" s="195" t="str">
        <f t="shared" si="14"/>
        <v/>
      </c>
      <c r="C102" s="507">
        <f>IF(D93="","-",+C101+1)</f>
        <v>2020</v>
      </c>
      <c r="D102" s="374">
        <f>IF(F101+SUM(E$99:E101)=D$92,F101,D$92-SUM(E$99:E101))</f>
        <v>9290854.5959302336</v>
      </c>
      <c r="E102" s="522">
        <f>IF(+J96&lt;F101,J96,D102)</f>
        <v>236429.5</v>
      </c>
      <c r="F102" s="523">
        <f t="shared" ref="F102:F154" si="16">+D102-E102</f>
        <v>9054425.0959302336</v>
      </c>
      <c r="G102" s="523">
        <f t="shared" ref="G102:G154" si="17">+(F102+D102)/2</f>
        <v>9172639.8459302336</v>
      </c>
      <c r="H102" s="526">
        <f t="shared" ref="H102:H154" si="18">+J$94*G102+E102</f>
        <v>1223165.5223756898</v>
      </c>
      <c r="I102" s="577">
        <f t="shared" ref="I102:I154" si="19">+J$95*G102+E102</f>
        <v>1223165.5223756898</v>
      </c>
      <c r="J102" s="514">
        <f t="shared" si="10"/>
        <v>0</v>
      </c>
      <c r="K102" s="514"/>
      <c r="L102" s="525"/>
      <c r="M102" s="514">
        <f t="shared" ref="M102:M130" si="20">IF(L102&lt;&gt;0,+H102-L102,0)</f>
        <v>0</v>
      </c>
      <c r="N102" s="525"/>
      <c r="O102" s="514">
        <f t="shared" si="12"/>
        <v>0</v>
      </c>
      <c r="P102" s="514">
        <f t="shared" si="13"/>
        <v>0</v>
      </c>
    </row>
    <row r="103" spans="1:16" ht="12.5">
      <c r="B103" s="195" t="str">
        <f t="shared" si="14"/>
        <v/>
      </c>
      <c r="C103" s="507">
        <f>IF(D93="","-",+C102+1)</f>
        <v>2021</v>
      </c>
      <c r="D103" s="374">
        <f>IF(F102+SUM(E$99:E102)=D$92,F102,D$92-SUM(E$99:E102))</f>
        <v>9054425.0959302336</v>
      </c>
      <c r="E103" s="522">
        <f>IF(+J96&lt;F102,J96,D103)</f>
        <v>236429.5</v>
      </c>
      <c r="F103" s="523">
        <f t="shared" si="16"/>
        <v>8817995.5959302336</v>
      </c>
      <c r="G103" s="523">
        <f t="shared" si="17"/>
        <v>8936210.3459302336</v>
      </c>
      <c r="H103" s="526">
        <f t="shared" si="18"/>
        <v>1197731.8949444569</v>
      </c>
      <c r="I103" s="577">
        <f t="shared" si="19"/>
        <v>1197731.8949444569</v>
      </c>
      <c r="J103" s="514">
        <f t="shared" si="10"/>
        <v>0</v>
      </c>
      <c r="K103" s="514"/>
      <c r="L103" s="525"/>
      <c r="M103" s="514">
        <f t="shared" si="20"/>
        <v>0</v>
      </c>
      <c r="N103" s="525"/>
      <c r="O103" s="514">
        <f t="shared" si="12"/>
        <v>0</v>
      </c>
      <c r="P103" s="514">
        <f t="shared" si="13"/>
        <v>0</v>
      </c>
    </row>
    <row r="104" spans="1:16" ht="12.5">
      <c r="B104" s="195" t="str">
        <f t="shared" si="14"/>
        <v/>
      </c>
      <c r="C104" s="507">
        <f>IF(D93="","-",+C103+1)</f>
        <v>2022</v>
      </c>
      <c r="D104" s="374">
        <f>IF(F103+SUM(E$99:E103)=D$92,F103,D$92-SUM(E$99:E103))</f>
        <v>8817995.5959302336</v>
      </c>
      <c r="E104" s="522">
        <f>IF(+J96&lt;F103,J96,D104)</f>
        <v>236429.5</v>
      </c>
      <c r="F104" s="523">
        <f t="shared" si="16"/>
        <v>8581566.0959302336</v>
      </c>
      <c r="G104" s="523">
        <f t="shared" si="17"/>
        <v>8699780.8459302336</v>
      </c>
      <c r="H104" s="526">
        <f t="shared" si="18"/>
        <v>1172298.2675132237</v>
      </c>
      <c r="I104" s="577">
        <f t="shared" si="19"/>
        <v>1172298.2675132237</v>
      </c>
      <c r="J104" s="514">
        <f t="shared" si="10"/>
        <v>0</v>
      </c>
      <c r="K104" s="514"/>
      <c r="L104" s="525"/>
      <c r="M104" s="514">
        <f t="shared" si="20"/>
        <v>0</v>
      </c>
      <c r="N104" s="525"/>
      <c r="O104" s="514">
        <f t="shared" si="12"/>
        <v>0</v>
      </c>
      <c r="P104" s="514">
        <f t="shared" si="13"/>
        <v>0</v>
      </c>
    </row>
    <row r="105" spans="1:16" ht="12.5">
      <c r="B105" s="195" t="str">
        <f t="shared" si="14"/>
        <v/>
      </c>
      <c r="C105" s="507">
        <f>IF(D93="","-",+C104+1)</f>
        <v>2023</v>
      </c>
      <c r="D105" s="374">
        <f>IF(F104+SUM(E$99:E104)=D$92,F104,D$92-SUM(E$99:E104))</f>
        <v>8581566.0959302336</v>
      </c>
      <c r="E105" s="522">
        <f>IF(+J96&lt;F104,J96,D105)</f>
        <v>236429.5</v>
      </c>
      <c r="F105" s="523">
        <f t="shared" si="16"/>
        <v>8345136.5959302336</v>
      </c>
      <c r="G105" s="523">
        <f t="shared" si="17"/>
        <v>8463351.3459302336</v>
      </c>
      <c r="H105" s="526">
        <f t="shared" si="18"/>
        <v>1146864.6400819905</v>
      </c>
      <c r="I105" s="577">
        <f t="shared" si="19"/>
        <v>1146864.6400819905</v>
      </c>
      <c r="J105" s="514">
        <f t="shared" si="10"/>
        <v>0</v>
      </c>
      <c r="K105" s="514"/>
      <c r="L105" s="525"/>
      <c r="M105" s="514">
        <f t="shared" si="20"/>
        <v>0</v>
      </c>
      <c r="N105" s="525"/>
      <c r="O105" s="514">
        <f t="shared" si="12"/>
        <v>0</v>
      </c>
      <c r="P105" s="514">
        <f t="shared" si="13"/>
        <v>0</v>
      </c>
    </row>
    <row r="106" spans="1:16" ht="12.5">
      <c r="B106" s="195" t="str">
        <f t="shared" si="14"/>
        <v/>
      </c>
      <c r="C106" s="507">
        <f>IF(D93="","-",+C105+1)</f>
        <v>2024</v>
      </c>
      <c r="D106" s="374">
        <f>IF(F105+SUM(E$99:E105)=D$92,F105,D$92-SUM(E$99:E105))</f>
        <v>8345136.5959302336</v>
      </c>
      <c r="E106" s="522">
        <f>IF(+J96&lt;F105,J96,D106)</f>
        <v>236429.5</v>
      </c>
      <c r="F106" s="523">
        <f t="shared" si="16"/>
        <v>8108707.0959302336</v>
      </c>
      <c r="G106" s="523">
        <f t="shared" si="17"/>
        <v>8226921.8459302336</v>
      </c>
      <c r="H106" s="526">
        <f t="shared" si="18"/>
        <v>1121431.0126507576</v>
      </c>
      <c r="I106" s="577">
        <f t="shared" si="19"/>
        <v>1121431.0126507576</v>
      </c>
      <c r="J106" s="514">
        <f t="shared" si="10"/>
        <v>0</v>
      </c>
      <c r="K106" s="514"/>
      <c r="L106" s="525"/>
      <c r="M106" s="514">
        <f t="shared" si="20"/>
        <v>0</v>
      </c>
      <c r="N106" s="525"/>
      <c r="O106" s="514">
        <f t="shared" si="12"/>
        <v>0</v>
      </c>
      <c r="P106" s="514">
        <f t="shared" si="13"/>
        <v>0</v>
      </c>
    </row>
    <row r="107" spans="1:16" ht="12.5">
      <c r="B107" s="195" t="str">
        <f t="shared" si="14"/>
        <v/>
      </c>
      <c r="C107" s="507">
        <f>IF(D93="","-",+C106+1)</f>
        <v>2025</v>
      </c>
      <c r="D107" s="374">
        <f>IF(F106+SUM(E$99:E106)=D$92,F106,D$92-SUM(E$99:E106))</f>
        <v>8108707.0959302336</v>
      </c>
      <c r="E107" s="522">
        <f>IF(+J96&lt;F106,J96,D107)</f>
        <v>236429.5</v>
      </c>
      <c r="F107" s="523">
        <f t="shared" si="16"/>
        <v>7872277.5959302336</v>
      </c>
      <c r="G107" s="523">
        <f t="shared" si="17"/>
        <v>7990492.3459302336</v>
      </c>
      <c r="H107" s="526">
        <f t="shared" si="18"/>
        <v>1095997.3852195244</v>
      </c>
      <c r="I107" s="577">
        <f t="shared" si="19"/>
        <v>1095997.3852195244</v>
      </c>
      <c r="J107" s="514">
        <f t="shared" si="10"/>
        <v>0</v>
      </c>
      <c r="K107" s="514"/>
      <c r="L107" s="525"/>
      <c r="M107" s="514">
        <f t="shared" si="20"/>
        <v>0</v>
      </c>
      <c r="N107" s="525"/>
      <c r="O107" s="514">
        <f t="shared" si="12"/>
        <v>0</v>
      </c>
      <c r="P107" s="514">
        <f t="shared" si="13"/>
        <v>0</v>
      </c>
    </row>
    <row r="108" spans="1:16" ht="12.5">
      <c r="B108" s="195" t="str">
        <f t="shared" si="14"/>
        <v/>
      </c>
      <c r="C108" s="507">
        <f>IF(D93="","-",+C107+1)</f>
        <v>2026</v>
      </c>
      <c r="D108" s="374">
        <f>IF(F107+SUM(E$99:E107)=D$92,F107,D$92-SUM(E$99:E107))</f>
        <v>7872277.5959302336</v>
      </c>
      <c r="E108" s="522">
        <f>IF(+J96&lt;F107,J96,D108)</f>
        <v>236429.5</v>
      </c>
      <c r="F108" s="523">
        <f t="shared" si="16"/>
        <v>7635848.0959302336</v>
      </c>
      <c r="G108" s="523">
        <f t="shared" si="17"/>
        <v>7754062.8459302336</v>
      </c>
      <c r="H108" s="526">
        <f t="shared" si="18"/>
        <v>1070563.7577882912</v>
      </c>
      <c r="I108" s="577">
        <f t="shared" si="19"/>
        <v>1070563.7577882912</v>
      </c>
      <c r="J108" s="514">
        <f t="shared" si="10"/>
        <v>0</v>
      </c>
      <c r="K108" s="514"/>
      <c r="L108" s="525"/>
      <c r="M108" s="514">
        <f t="shared" si="20"/>
        <v>0</v>
      </c>
      <c r="N108" s="525"/>
      <c r="O108" s="514">
        <f t="shared" si="12"/>
        <v>0</v>
      </c>
      <c r="P108" s="514">
        <f t="shared" si="13"/>
        <v>0</v>
      </c>
    </row>
    <row r="109" spans="1:16" ht="12.5">
      <c r="B109" s="195" t="str">
        <f t="shared" si="14"/>
        <v/>
      </c>
      <c r="C109" s="507">
        <f>IF(D93="","-",+C108+1)</f>
        <v>2027</v>
      </c>
      <c r="D109" s="374">
        <f>IF(F108+SUM(E$99:E108)=D$92,F108,D$92-SUM(E$99:E108))</f>
        <v>7635848.0959302336</v>
      </c>
      <c r="E109" s="522">
        <f>IF(+J96&lt;F108,J96,D109)</f>
        <v>236429.5</v>
      </c>
      <c r="F109" s="523">
        <f t="shared" si="16"/>
        <v>7399418.5959302336</v>
      </c>
      <c r="G109" s="523">
        <f t="shared" si="17"/>
        <v>7517633.3459302336</v>
      </c>
      <c r="H109" s="526">
        <f t="shared" si="18"/>
        <v>1045130.1303570581</v>
      </c>
      <c r="I109" s="577">
        <f t="shared" si="19"/>
        <v>1045130.1303570581</v>
      </c>
      <c r="J109" s="514">
        <f t="shared" si="10"/>
        <v>0</v>
      </c>
      <c r="K109" s="514"/>
      <c r="L109" s="525"/>
      <c r="M109" s="514">
        <f t="shared" si="20"/>
        <v>0</v>
      </c>
      <c r="N109" s="525"/>
      <c r="O109" s="514">
        <f t="shared" si="12"/>
        <v>0</v>
      </c>
      <c r="P109" s="514">
        <f t="shared" si="13"/>
        <v>0</v>
      </c>
    </row>
    <row r="110" spans="1:16" ht="12.5">
      <c r="B110" s="195" t="str">
        <f t="shared" si="14"/>
        <v/>
      </c>
      <c r="C110" s="507">
        <f>IF(D93="","-",+C109+1)</f>
        <v>2028</v>
      </c>
      <c r="D110" s="374">
        <f>IF(F109+SUM(E$99:E109)=D$92,F109,D$92-SUM(E$99:E109))</f>
        <v>7399418.5959302336</v>
      </c>
      <c r="E110" s="522">
        <f>IF(+J96&lt;F109,J96,D110)</f>
        <v>236429.5</v>
      </c>
      <c r="F110" s="523">
        <f t="shared" si="16"/>
        <v>7162989.0959302336</v>
      </c>
      <c r="G110" s="523">
        <f t="shared" si="17"/>
        <v>7281203.8459302336</v>
      </c>
      <c r="H110" s="526">
        <f t="shared" si="18"/>
        <v>1019696.502925825</v>
      </c>
      <c r="I110" s="577">
        <f t="shared" si="19"/>
        <v>1019696.502925825</v>
      </c>
      <c r="J110" s="514">
        <f t="shared" si="10"/>
        <v>0</v>
      </c>
      <c r="K110" s="514"/>
      <c r="L110" s="525"/>
      <c r="M110" s="514">
        <f t="shared" si="20"/>
        <v>0</v>
      </c>
      <c r="N110" s="525"/>
      <c r="O110" s="514">
        <f t="shared" si="12"/>
        <v>0</v>
      </c>
      <c r="P110" s="514">
        <f t="shared" si="13"/>
        <v>0</v>
      </c>
    </row>
    <row r="111" spans="1:16" ht="12.5">
      <c r="B111" s="195" t="str">
        <f t="shared" si="14"/>
        <v/>
      </c>
      <c r="C111" s="507">
        <f>IF(D93="","-",+C110+1)</f>
        <v>2029</v>
      </c>
      <c r="D111" s="374">
        <f>IF(F110+SUM(E$99:E110)=D$92,F110,D$92-SUM(E$99:E110))</f>
        <v>7162989.0959302336</v>
      </c>
      <c r="E111" s="522">
        <f>IF(+J96&lt;F110,J96,D111)</f>
        <v>236429.5</v>
      </c>
      <c r="F111" s="523">
        <f t="shared" si="16"/>
        <v>6926559.5959302336</v>
      </c>
      <c r="G111" s="523">
        <f t="shared" si="17"/>
        <v>7044774.3459302336</v>
      </c>
      <c r="H111" s="526">
        <f t="shared" si="18"/>
        <v>994262.87549459178</v>
      </c>
      <c r="I111" s="577">
        <f t="shared" si="19"/>
        <v>994262.87549459178</v>
      </c>
      <c r="J111" s="514">
        <f t="shared" si="10"/>
        <v>0</v>
      </c>
      <c r="K111" s="514"/>
      <c r="L111" s="525"/>
      <c r="M111" s="514">
        <f t="shared" si="20"/>
        <v>0</v>
      </c>
      <c r="N111" s="525"/>
      <c r="O111" s="514">
        <f t="shared" si="12"/>
        <v>0</v>
      </c>
      <c r="P111" s="514">
        <f t="shared" si="13"/>
        <v>0</v>
      </c>
    </row>
    <row r="112" spans="1:16" ht="12.5">
      <c r="B112" s="195" t="str">
        <f t="shared" si="14"/>
        <v/>
      </c>
      <c r="C112" s="507">
        <f>IF(D93="","-",+C111+1)</f>
        <v>2030</v>
      </c>
      <c r="D112" s="374">
        <f>IF(F111+SUM(E$99:E111)=D$92,F111,D$92-SUM(E$99:E111))</f>
        <v>6926559.5959302336</v>
      </c>
      <c r="E112" s="522">
        <f>IF(+J96&lt;F111,J96,D112)</f>
        <v>236429.5</v>
      </c>
      <c r="F112" s="523">
        <f t="shared" si="16"/>
        <v>6690130.0959302336</v>
      </c>
      <c r="G112" s="523">
        <f t="shared" si="17"/>
        <v>6808344.8459302336</v>
      </c>
      <c r="H112" s="526">
        <f t="shared" si="18"/>
        <v>968829.24806335871</v>
      </c>
      <c r="I112" s="577">
        <f t="shared" si="19"/>
        <v>968829.24806335871</v>
      </c>
      <c r="J112" s="514">
        <f t="shared" si="10"/>
        <v>0</v>
      </c>
      <c r="K112" s="514"/>
      <c r="L112" s="525"/>
      <c r="M112" s="514">
        <f t="shared" si="20"/>
        <v>0</v>
      </c>
      <c r="N112" s="525"/>
      <c r="O112" s="514">
        <f t="shared" si="12"/>
        <v>0</v>
      </c>
      <c r="P112" s="514">
        <f t="shared" si="13"/>
        <v>0</v>
      </c>
    </row>
    <row r="113" spans="2:16" ht="12.5">
      <c r="B113" s="195" t="str">
        <f t="shared" si="14"/>
        <v/>
      </c>
      <c r="C113" s="507">
        <f>IF(D93="","-",+C112+1)</f>
        <v>2031</v>
      </c>
      <c r="D113" s="374">
        <f>IF(F112+SUM(E$99:E112)=D$92,F112,D$92-SUM(E$99:E112))</f>
        <v>6690130.0959302336</v>
      </c>
      <c r="E113" s="522">
        <f>IF(+J96&lt;F112,J96,D113)</f>
        <v>236429.5</v>
      </c>
      <c r="F113" s="523">
        <f t="shared" si="16"/>
        <v>6453700.5959302336</v>
      </c>
      <c r="G113" s="523">
        <f t="shared" si="17"/>
        <v>6571915.3459302336</v>
      </c>
      <c r="H113" s="526">
        <f t="shared" si="18"/>
        <v>943395.62063212553</v>
      </c>
      <c r="I113" s="577">
        <f t="shared" si="19"/>
        <v>943395.62063212553</v>
      </c>
      <c r="J113" s="514">
        <f t="shared" si="10"/>
        <v>0</v>
      </c>
      <c r="K113" s="514"/>
      <c r="L113" s="525"/>
      <c r="M113" s="514">
        <f t="shared" si="20"/>
        <v>0</v>
      </c>
      <c r="N113" s="525"/>
      <c r="O113" s="514">
        <f t="shared" si="12"/>
        <v>0</v>
      </c>
      <c r="P113" s="514">
        <f t="shared" si="13"/>
        <v>0</v>
      </c>
    </row>
    <row r="114" spans="2:16" ht="12.5">
      <c r="B114" s="195" t="str">
        <f t="shared" si="14"/>
        <v/>
      </c>
      <c r="C114" s="507">
        <f>IF(D93="","-",+C113+1)</f>
        <v>2032</v>
      </c>
      <c r="D114" s="374">
        <f>IF(F113+SUM(E$99:E113)=D$92,F113,D$92-SUM(E$99:E113))</f>
        <v>6453700.5959302336</v>
      </c>
      <c r="E114" s="522">
        <f>IF(+J96&lt;F113,J96,D114)</f>
        <v>236429.5</v>
      </c>
      <c r="F114" s="523">
        <f t="shared" si="16"/>
        <v>6217271.0959302336</v>
      </c>
      <c r="G114" s="523">
        <f t="shared" si="17"/>
        <v>6335485.8459302336</v>
      </c>
      <c r="H114" s="526">
        <f t="shared" si="18"/>
        <v>917961.99320089247</v>
      </c>
      <c r="I114" s="577">
        <f t="shared" si="19"/>
        <v>917961.99320089247</v>
      </c>
      <c r="J114" s="514">
        <f t="shared" si="10"/>
        <v>0</v>
      </c>
      <c r="K114" s="514"/>
      <c r="L114" s="525"/>
      <c r="M114" s="514">
        <f t="shared" si="20"/>
        <v>0</v>
      </c>
      <c r="N114" s="525"/>
      <c r="O114" s="514">
        <f t="shared" si="12"/>
        <v>0</v>
      </c>
      <c r="P114" s="514">
        <f t="shared" si="13"/>
        <v>0</v>
      </c>
    </row>
    <row r="115" spans="2:16" ht="12.5">
      <c r="B115" s="195" t="str">
        <f t="shared" si="14"/>
        <v/>
      </c>
      <c r="C115" s="507">
        <f>IF(D93="","-",+C114+1)</f>
        <v>2033</v>
      </c>
      <c r="D115" s="374">
        <f>IF(F114+SUM(E$99:E114)=D$92,F114,D$92-SUM(E$99:E114))</f>
        <v>6217271.0959302336</v>
      </c>
      <c r="E115" s="522">
        <f>IF(+J96&lt;F114,J96,D115)</f>
        <v>236429.5</v>
      </c>
      <c r="F115" s="523">
        <f t="shared" si="16"/>
        <v>5980841.5959302336</v>
      </c>
      <c r="G115" s="523">
        <f t="shared" si="17"/>
        <v>6099056.3459302336</v>
      </c>
      <c r="H115" s="526">
        <f t="shared" si="18"/>
        <v>892528.36576965929</v>
      </c>
      <c r="I115" s="577">
        <f t="shared" si="19"/>
        <v>892528.36576965929</v>
      </c>
      <c r="J115" s="514">
        <f t="shared" si="10"/>
        <v>0</v>
      </c>
      <c r="K115" s="514"/>
      <c r="L115" s="525"/>
      <c r="M115" s="514">
        <f t="shared" si="20"/>
        <v>0</v>
      </c>
      <c r="N115" s="525"/>
      <c r="O115" s="514">
        <f t="shared" si="12"/>
        <v>0</v>
      </c>
      <c r="P115" s="514">
        <f t="shared" si="13"/>
        <v>0</v>
      </c>
    </row>
    <row r="116" spans="2:16" ht="12.5">
      <c r="B116" s="195" t="str">
        <f t="shared" si="14"/>
        <v/>
      </c>
      <c r="C116" s="507">
        <f>IF(D93="","-",+C115+1)</f>
        <v>2034</v>
      </c>
      <c r="D116" s="374">
        <f>IF(F115+SUM(E$99:E115)=D$92,F115,D$92-SUM(E$99:E115))</f>
        <v>5980841.5959302336</v>
      </c>
      <c r="E116" s="522">
        <f>IF(+J96&lt;F115,J96,D116)</f>
        <v>236429.5</v>
      </c>
      <c r="F116" s="523">
        <f t="shared" si="16"/>
        <v>5744412.0959302336</v>
      </c>
      <c r="G116" s="523">
        <f t="shared" si="17"/>
        <v>5862626.8459302336</v>
      </c>
      <c r="H116" s="526">
        <f t="shared" si="18"/>
        <v>867094.73833842622</v>
      </c>
      <c r="I116" s="577">
        <f t="shared" si="19"/>
        <v>867094.73833842622</v>
      </c>
      <c r="J116" s="514">
        <f t="shared" si="10"/>
        <v>0</v>
      </c>
      <c r="K116" s="514"/>
      <c r="L116" s="525"/>
      <c r="M116" s="514">
        <f t="shared" si="20"/>
        <v>0</v>
      </c>
      <c r="N116" s="525"/>
      <c r="O116" s="514">
        <f t="shared" si="12"/>
        <v>0</v>
      </c>
      <c r="P116" s="514">
        <f t="shared" si="13"/>
        <v>0</v>
      </c>
    </row>
    <row r="117" spans="2:16" ht="12.5">
      <c r="B117" s="195" t="str">
        <f t="shared" si="14"/>
        <v/>
      </c>
      <c r="C117" s="507">
        <f>IF(D93="","-",+C116+1)</f>
        <v>2035</v>
      </c>
      <c r="D117" s="374">
        <f>IF(F116+SUM(E$99:E116)=D$92,F116,D$92-SUM(E$99:E116))</f>
        <v>5744412.0959302336</v>
      </c>
      <c r="E117" s="522">
        <f>IF(+J96&lt;F116,J96,D117)</f>
        <v>236429.5</v>
      </c>
      <c r="F117" s="523">
        <f t="shared" si="16"/>
        <v>5507982.5959302336</v>
      </c>
      <c r="G117" s="523">
        <f t="shared" si="17"/>
        <v>5626197.3459302336</v>
      </c>
      <c r="H117" s="526">
        <f t="shared" si="18"/>
        <v>841661.11090719304</v>
      </c>
      <c r="I117" s="577">
        <f t="shared" si="19"/>
        <v>841661.11090719304</v>
      </c>
      <c r="J117" s="514">
        <f t="shared" si="10"/>
        <v>0</v>
      </c>
      <c r="K117" s="514"/>
      <c r="L117" s="525"/>
      <c r="M117" s="514">
        <f t="shared" si="20"/>
        <v>0</v>
      </c>
      <c r="N117" s="525"/>
      <c r="O117" s="514">
        <f t="shared" si="12"/>
        <v>0</v>
      </c>
      <c r="P117" s="514">
        <f t="shared" si="13"/>
        <v>0</v>
      </c>
    </row>
    <row r="118" spans="2:16" ht="12.5">
      <c r="B118" s="195" t="str">
        <f t="shared" si="14"/>
        <v/>
      </c>
      <c r="C118" s="507">
        <f>IF(D93="","-",+C117+1)</f>
        <v>2036</v>
      </c>
      <c r="D118" s="374">
        <f>IF(F117+SUM(E$99:E117)=D$92,F117,D$92-SUM(E$99:E117))</f>
        <v>5507982.5959302336</v>
      </c>
      <c r="E118" s="522">
        <f>IF(+J96&lt;F117,J96,D118)</f>
        <v>236429.5</v>
      </c>
      <c r="F118" s="523">
        <f t="shared" si="16"/>
        <v>5271553.0959302336</v>
      </c>
      <c r="G118" s="523">
        <f t="shared" si="17"/>
        <v>5389767.8459302336</v>
      </c>
      <c r="H118" s="526">
        <f t="shared" si="18"/>
        <v>816227.48347595998</v>
      </c>
      <c r="I118" s="577">
        <f t="shared" si="19"/>
        <v>816227.48347595998</v>
      </c>
      <c r="J118" s="514">
        <f t="shared" si="10"/>
        <v>0</v>
      </c>
      <c r="K118" s="514"/>
      <c r="L118" s="525"/>
      <c r="M118" s="514">
        <f t="shared" si="20"/>
        <v>0</v>
      </c>
      <c r="N118" s="525"/>
      <c r="O118" s="514">
        <f t="shared" si="12"/>
        <v>0</v>
      </c>
      <c r="P118" s="514">
        <f t="shared" si="13"/>
        <v>0</v>
      </c>
    </row>
    <row r="119" spans="2:16" ht="12.5">
      <c r="B119" s="195" t="str">
        <f t="shared" si="14"/>
        <v/>
      </c>
      <c r="C119" s="507">
        <f>IF(D93="","-",+C118+1)</f>
        <v>2037</v>
      </c>
      <c r="D119" s="374">
        <f>IF(F118+SUM(E$99:E118)=D$92,F118,D$92-SUM(E$99:E118))</f>
        <v>5271553.0959302336</v>
      </c>
      <c r="E119" s="522">
        <f>IF(+J96&lt;F118,J96,D119)</f>
        <v>236429.5</v>
      </c>
      <c r="F119" s="523">
        <f t="shared" si="16"/>
        <v>5035123.5959302336</v>
      </c>
      <c r="G119" s="523">
        <f t="shared" si="17"/>
        <v>5153338.3459302336</v>
      </c>
      <c r="H119" s="526">
        <f t="shared" si="18"/>
        <v>790793.8560447268</v>
      </c>
      <c r="I119" s="577">
        <f t="shared" si="19"/>
        <v>790793.8560447268</v>
      </c>
      <c r="J119" s="514">
        <f t="shared" si="10"/>
        <v>0</v>
      </c>
      <c r="K119" s="514"/>
      <c r="L119" s="525"/>
      <c r="M119" s="514">
        <f t="shared" si="20"/>
        <v>0</v>
      </c>
      <c r="N119" s="525"/>
      <c r="O119" s="514">
        <f t="shared" si="12"/>
        <v>0</v>
      </c>
      <c r="P119" s="514">
        <f t="shared" si="13"/>
        <v>0</v>
      </c>
    </row>
    <row r="120" spans="2:16" ht="12.5">
      <c r="B120" s="195" t="str">
        <f t="shared" si="14"/>
        <v/>
      </c>
      <c r="C120" s="507">
        <f>IF(D93="","-",+C119+1)</f>
        <v>2038</v>
      </c>
      <c r="D120" s="374">
        <f>IF(F119+SUM(E$99:E119)=D$92,F119,D$92-SUM(E$99:E119))</f>
        <v>5035123.5959302336</v>
      </c>
      <c r="E120" s="522">
        <f>IF(+J96&lt;F119,J96,D120)</f>
        <v>236429.5</v>
      </c>
      <c r="F120" s="523">
        <f t="shared" si="16"/>
        <v>4798694.0959302336</v>
      </c>
      <c r="G120" s="523">
        <f t="shared" si="17"/>
        <v>4916908.8459302336</v>
      </c>
      <c r="H120" s="526">
        <f t="shared" si="18"/>
        <v>765360.22861349373</v>
      </c>
      <c r="I120" s="577">
        <f t="shared" si="19"/>
        <v>765360.22861349373</v>
      </c>
      <c r="J120" s="514">
        <f t="shared" si="10"/>
        <v>0</v>
      </c>
      <c r="K120" s="514"/>
      <c r="L120" s="525"/>
      <c r="M120" s="514">
        <f t="shared" si="20"/>
        <v>0</v>
      </c>
      <c r="N120" s="525"/>
      <c r="O120" s="514">
        <f t="shared" si="12"/>
        <v>0</v>
      </c>
      <c r="P120" s="514">
        <f t="shared" si="13"/>
        <v>0</v>
      </c>
    </row>
    <row r="121" spans="2:16" ht="12.5">
      <c r="B121" s="195" t="str">
        <f t="shared" si="14"/>
        <v/>
      </c>
      <c r="C121" s="507">
        <f>IF(D93="","-",+C120+1)</f>
        <v>2039</v>
      </c>
      <c r="D121" s="374">
        <f>IF(F120+SUM(E$99:E120)=D$92,F120,D$92-SUM(E$99:E120))</f>
        <v>4798694.0959302336</v>
      </c>
      <c r="E121" s="522">
        <f>IF(+J96&lt;F120,J96,D121)</f>
        <v>236429.5</v>
      </c>
      <c r="F121" s="523">
        <f t="shared" si="16"/>
        <v>4562264.5959302336</v>
      </c>
      <c r="G121" s="523">
        <f t="shared" si="17"/>
        <v>4680479.3459302336</v>
      </c>
      <c r="H121" s="526">
        <f t="shared" si="18"/>
        <v>739926.60118226055</v>
      </c>
      <c r="I121" s="577">
        <f t="shared" si="19"/>
        <v>739926.60118226055</v>
      </c>
      <c r="J121" s="514">
        <f t="shared" si="10"/>
        <v>0</v>
      </c>
      <c r="K121" s="514"/>
      <c r="L121" s="525"/>
      <c r="M121" s="514">
        <f t="shared" si="20"/>
        <v>0</v>
      </c>
      <c r="N121" s="525"/>
      <c r="O121" s="514">
        <f t="shared" si="12"/>
        <v>0</v>
      </c>
      <c r="P121" s="514">
        <f t="shared" si="13"/>
        <v>0</v>
      </c>
    </row>
    <row r="122" spans="2:16" ht="12.5">
      <c r="B122" s="195" t="str">
        <f t="shared" si="14"/>
        <v/>
      </c>
      <c r="C122" s="507">
        <f>IF(D93="","-",+C121+1)</f>
        <v>2040</v>
      </c>
      <c r="D122" s="374">
        <f>IF(F121+SUM(E$99:E121)=D$92,F121,D$92-SUM(E$99:E121))</f>
        <v>4562264.5959302336</v>
      </c>
      <c r="E122" s="522">
        <f>IF(+J96&lt;F121,J96,D122)</f>
        <v>236429.5</v>
      </c>
      <c r="F122" s="523">
        <f t="shared" si="16"/>
        <v>4325835.0959302336</v>
      </c>
      <c r="G122" s="523">
        <f t="shared" si="17"/>
        <v>4444049.8459302336</v>
      </c>
      <c r="H122" s="526">
        <f t="shared" si="18"/>
        <v>714492.97375102737</v>
      </c>
      <c r="I122" s="577">
        <f t="shared" si="19"/>
        <v>714492.97375102737</v>
      </c>
      <c r="J122" s="514">
        <f t="shared" si="10"/>
        <v>0</v>
      </c>
      <c r="K122" s="514"/>
      <c r="L122" s="525"/>
      <c r="M122" s="514">
        <f t="shared" si="20"/>
        <v>0</v>
      </c>
      <c r="N122" s="525"/>
      <c r="O122" s="514">
        <f t="shared" si="12"/>
        <v>0</v>
      </c>
      <c r="P122" s="514">
        <f t="shared" si="13"/>
        <v>0</v>
      </c>
    </row>
    <row r="123" spans="2:16" ht="12.5">
      <c r="B123" s="195" t="str">
        <f t="shared" si="14"/>
        <v/>
      </c>
      <c r="C123" s="507">
        <f>IF(D93="","-",+C122+1)</f>
        <v>2041</v>
      </c>
      <c r="D123" s="374">
        <f>IF(F122+SUM(E$99:E122)=D$92,F122,D$92-SUM(E$99:E122))</f>
        <v>4325835.0959302336</v>
      </c>
      <c r="E123" s="522">
        <f>IF(+J96&lt;F122,J96,D123)</f>
        <v>236429.5</v>
      </c>
      <c r="F123" s="523">
        <f t="shared" si="16"/>
        <v>4089405.5959302336</v>
      </c>
      <c r="G123" s="523">
        <f t="shared" si="17"/>
        <v>4207620.3459302336</v>
      </c>
      <c r="H123" s="526">
        <f t="shared" si="18"/>
        <v>689059.34631979431</v>
      </c>
      <c r="I123" s="577">
        <f t="shared" si="19"/>
        <v>689059.34631979431</v>
      </c>
      <c r="J123" s="514">
        <f t="shared" si="10"/>
        <v>0</v>
      </c>
      <c r="K123" s="514"/>
      <c r="L123" s="525"/>
      <c r="M123" s="514">
        <f t="shared" si="20"/>
        <v>0</v>
      </c>
      <c r="N123" s="525"/>
      <c r="O123" s="514">
        <f t="shared" si="12"/>
        <v>0</v>
      </c>
      <c r="P123" s="514">
        <f t="shared" si="13"/>
        <v>0</v>
      </c>
    </row>
    <row r="124" spans="2:16" ht="12.5">
      <c r="B124" s="195" t="str">
        <f t="shared" si="14"/>
        <v/>
      </c>
      <c r="C124" s="507">
        <f>IF(D93="","-",+C123+1)</f>
        <v>2042</v>
      </c>
      <c r="D124" s="374">
        <f>IF(F123+SUM(E$99:E123)=D$92,F123,D$92-SUM(E$99:E123))</f>
        <v>4089405.5959302336</v>
      </c>
      <c r="E124" s="522">
        <f>IF(+J96&lt;F123,J96,D124)</f>
        <v>236429.5</v>
      </c>
      <c r="F124" s="523">
        <f t="shared" si="16"/>
        <v>3852976.0959302336</v>
      </c>
      <c r="G124" s="523">
        <f t="shared" si="17"/>
        <v>3971190.8459302336</v>
      </c>
      <c r="H124" s="526">
        <f t="shared" si="18"/>
        <v>663625.71888856124</v>
      </c>
      <c r="I124" s="577">
        <f t="shared" si="19"/>
        <v>663625.71888856124</v>
      </c>
      <c r="J124" s="514">
        <f t="shared" si="10"/>
        <v>0</v>
      </c>
      <c r="K124" s="514"/>
      <c r="L124" s="525"/>
      <c r="M124" s="514">
        <f t="shared" si="20"/>
        <v>0</v>
      </c>
      <c r="N124" s="525"/>
      <c r="O124" s="514">
        <f t="shared" si="12"/>
        <v>0</v>
      </c>
      <c r="P124" s="514">
        <f t="shared" si="13"/>
        <v>0</v>
      </c>
    </row>
    <row r="125" spans="2:16" ht="12.5">
      <c r="B125" s="195" t="str">
        <f t="shared" si="14"/>
        <v/>
      </c>
      <c r="C125" s="507">
        <f>IF(D93="","-",+C124+1)</f>
        <v>2043</v>
      </c>
      <c r="D125" s="374">
        <f>IF(F124+SUM(E$99:E124)=D$92,F124,D$92-SUM(E$99:E124))</f>
        <v>3852976.0959302336</v>
      </c>
      <c r="E125" s="522">
        <f>IF(+J96&lt;F124,J96,D125)</f>
        <v>236429.5</v>
      </c>
      <c r="F125" s="523">
        <f t="shared" si="16"/>
        <v>3616546.5959302336</v>
      </c>
      <c r="G125" s="523">
        <f t="shared" si="17"/>
        <v>3734761.3459302336</v>
      </c>
      <c r="H125" s="526">
        <f t="shared" si="18"/>
        <v>638192.09145732806</v>
      </c>
      <c r="I125" s="577">
        <f t="shared" si="19"/>
        <v>638192.09145732806</v>
      </c>
      <c r="J125" s="514">
        <f t="shared" si="10"/>
        <v>0</v>
      </c>
      <c r="K125" s="514"/>
      <c r="L125" s="525"/>
      <c r="M125" s="514">
        <f t="shared" si="20"/>
        <v>0</v>
      </c>
      <c r="N125" s="525"/>
      <c r="O125" s="514">
        <f t="shared" si="12"/>
        <v>0</v>
      </c>
      <c r="P125" s="514">
        <f t="shared" si="13"/>
        <v>0</v>
      </c>
    </row>
    <row r="126" spans="2:16" ht="12.5">
      <c r="B126" s="195" t="str">
        <f t="shared" si="14"/>
        <v/>
      </c>
      <c r="C126" s="507">
        <f>IF(D93="","-",+C125+1)</f>
        <v>2044</v>
      </c>
      <c r="D126" s="374">
        <f>IF(F125+SUM(E$99:E125)=D$92,F125,D$92-SUM(E$99:E125))</f>
        <v>3616546.5959302336</v>
      </c>
      <c r="E126" s="522">
        <f>IF(+J96&lt;F125,J96,D126)</f>
        <v>236429.5</v>
      </c>
      <c r="F126" s="523">
        <f t="shared" si="16"/>
        <v>3380117.0959302336</v>
      </c>
      <c r="G126" s="523">
        <f t="shared" si="17"/>
        <v>3498331.8459302336</v>
      </c>
      <c r="H126" s="526">
        <f t="shared" si="18"/>
        <v>612758.46402609488</v>
      </c>
      <c r="I126" s="577">
        <f t="shared" si="19"/>
        <v>612758.46402609488</v>
      </c>
      <c r="J126" s="514">
        <f t="shared" si="10"/>
        <v>0</v>
      </c>
      <c r="K126" s="514"/>
      <c r="L126" s="525"/>
      <c r="M126" s="514">
        <f t="shared" si="20"/>
        <v>0</v>
      </c>
      <c r="N126" s="525"/>
      <c r="O126" s="514">
        <f t="shared" si="12"/>
        <v>0</v>
      </c>
      <c r="P126" s="514">
        <f t="shared" si="13"/>
        <v>0</v>
      </c>
    </row>
    <row r="127" spans="2:16" ht="12.5">
      <c r="B127" s="195" t="str">
        <f t="shared" si="14"/>
        <v/>
      </c>
      <c r="C127" s="507">
        <f>IF(D93="","-",+C126+1)</f>
        <v>2045</v>
      </c>
      <c r="D127" s="374">
        <f>IF(F126+SUM(E$99:E126)=D$92,F126,D$92-SUM(E$99:E126))</f>
        <v>3380117.0959302336</v>
      </c>
      <c r="E127" s="522">
        <f>IF(+J96&lt;F126,J96,D127)</f>
        <v>236429.5</v>
      </c>
      <c r="F127" s="523">
        <f t="shared" si="16"/>
        <v>3143687.5959302336</v>
      </c>
      <c r="G127" s="523">
        <f t="shared" si="17"/>
        <v>3261902.3459302336</v>
      </c>
      <c r="H127" s="526">
        <f t="shared" si="18"/>
        <v>587324.83659486182</v>
      </c>
      <c r="I127" s="577">
        <f t="shared" si="19"/>
        <v>587324.83659486182</v>
      </c>
      <c r="J127" s="514">
        <f t="shared" si="10"/>
        <v>0</v>
      </c>
      <c r="K127" s="514"/>
      <c r="L127" s="525"/>
      <c r="M127" s="514">
        <f t="shared" si="20"/>
        <v>0</v>
      </c>
      <c r="N127" s="525"/>
      <c r="O127" s="514">
        <f t="shared" si="12"/>
        <v>0</v>
      </c>
      <c r="P127" s="514">
        <f t="shared" si="13"/>
        <v>0</v>
      </c>
    </row>
    <row r="128" spans="2:16" ht="12.5">
      <c r="B128" s="195" t="str">
        <f t="shared" si="14"/>
        <v/>
      </c>
      <c r="C128" s="507">
        <f>IF(D93="","-",+C127+1)</f>
        <v>2046</v>
      </c>
      <c r="D128" s="374">
        <f>IF(F127+SUM(E$99:E127)=D$92,F127,D$92-SUM(E$99:E127))</f>
        <v>3143687.5959302336</v>
      </c>
      <c r="E128" s="522">
        <f>IF(+J96&lt;F127,J96,D128)</f>
        <v>236429.5</v>
      </c>
      <c r="F128" s="523">
        <f t="shared" si="16"/>
        <v>2907258.0959302336</v>
      </c>
      <c r="G128" s="523">
        <f t="shared" si="17"/>
        <v>3025472.8459302336</v>
      </c>
      <c r="H128" s="526">
        <f t="shared" si="18"/>
        <v>561891.20916362875</v>
      </c>
      <c r="I128" s="577">
        <f t="shared" si="19"/>
        <v>561891.20916362875</v>
      </c>
      <c r="J128" s="514">
        <f t="shared" si="10"/>
        <v>0</v>
      </c>
      <c r="K128" s="514"/>
      <c r="L128" s="525"/>
      <c r="M128" s="514">
        <f t="shared" si="20"/>
        <v>0</v>
      </c>
      <c r="N128" s="525"/>
      <c r="O128" s="514">
        <f t="shared" si="12"/>
        <v>0</v>
      </c>
      <c r="P128" s="514">
        <f t="shared" si="13"/>
        <v>0</v>
      </c>
    </row>
    <row r="129" spans="2:16" ht="12.5">
      <c r="B129" s="195" t="str">
        <f t="shared" si="14"/>
        <v/>
      </c>
      <c r="C129" s="507">
        <f>IF(D93="","-",+C128+1)</f>
        <v>2047</v>
      </c>
      <c r="D129" s="374">
        <f>IF(F128+SUM(E$99:E128)=D$92,F128,D$92-SUM(E$99:E128))</f>
        <v>2907258.0959302336</v>
      </c>
      <c r="E129" s="522">
        <f>IF(+J96&lt;F128,J96,D129)</f>
        <v>236429.5</v>
      </c>
      <c r="F129" s="523">
        <f t="shared" si="16"/>
        <v>2670828.5959302336</v>
      </c>
      <c r="G129" s="523">
        <f t="shared" si="17"/>
        <v>2789043.3459302336</v>
      </c>
      <c r="H129" s="526">
        <f t="shared" si="18"/>
        <v>536457.58173239557</v>
      </c>
      <c r="I129" s="577">
        <f t="shared" si="19"/>
        <v>536457.58173239557</v>
      </c>
      <c r="J129" s="514">
        <f t="shared" si="10"/>
        <v>0</v>
      </c>
      <c r="K129" s="514"/>
      <c r="L129" s="525"/>
      <c r="M129" s="514">
        <f t="shared" si="20"/>
        <v>0</v>
      </c>
      <c r="N129" s="525"/>
      <c r="O129" s="514">
        <f t="shared" si="12"/>
        <v>0</v>
      </c>
      <c r="P129" s="514">
        <f t="shared" si="13"/>
        <v>0</v>
      </c>
    </row>
    <row r="130" spans="2:16" ht="12.5">
      <c r="B130" s="195" t="str">
        <f t="shared" si="14"/>
        <v/>
      </c>
      <c r="C130" s="507">
        <f>IF(D93="","-",+C129+1)</f>
        <v>2048</v>
      </c>
      <c r="D130" s="374">
        <f>IF(F129+SUM(E$99:E129)=D$92,F129,D$92-SUM(E$99:E129))</f>
        <v>2670828.5959302336</v>
      </c>
      <c r="E130" s="522">
        <f>IF(+J96&lt;F129,J96,D130)</f>
        <v>236429.5</v>
      </c>
      <c r="F130" s="523">
        <f t="shared" si="16"/>
        <v>2434399.0959302336</v>
      </c>
      <c r="G130" s="523">
        <f t="shared" si="17"/>
        <v>2552613.8459302336</v>
      </c>
      <c r="H130" s="526">
        <f t="shared" si="18"/>
        <v>511023.95430116239</v>
      </c>
      <c r="I130" s="577">
        <f t="shared" si="19"/>
        <v>511023.95430116239</v>
      </c>
      <c r="J130" s="514">
        <f t="shared" si="10"/>
        <v>0</v>
      </c>
      <c r="K130" s="514"/>
      <c r="L130" s="525"/>
      <c r="M130" s="514">
        <f t="shared" si="20"/>
        <v>0</v>
      </c>
      <c r="N130" s="525"/>
      <c r="O130" s="514">
        <f t="shared" si="12"/>
        <v>0</v>
      </c>
      <c r="P130" s="514">
        <f t="shared" si="13"/>
        <v>0</v>
      </c>
    </row>
    <row r="131" spans="2:16" ht="12.5">
      <c r="B131" s="195" t="str">
        <f t="shared" si="14"/>
        <v/>
      </c>
      <c r="C131" s="507">
        <f>IF(D93="","-",+C130+1)</f>
        <v>2049</v>
      </c>
      <c r="D131" s="374">
        <f>IF(F130+SUM(E$99:E130)=D$92,F130,D$92-SUM(E$99:E130))</f>
        <v>2434399.0959302336</v>
      </c>
      <c r="E131" s="522">
        <f>IF(+J96&lt;F130,J96,D131)</f>
        <v>236429.5</v>
      </c>
      <c r="F131" s="523">
        <f t="shared" si="16"/>
        <v>2197969.5959302336</v>
      </c>
      <c r="G131" s="523">
        <f t="shared" si="17"/>
        <v>2316184.3459302336</v>
      </c>
      <c r="H131" s="526">
        <f t="shared" si="18"/>
        <v>485590.32686992933</v>
      </c>
      <c r="I131" s="577">
        <f t="shared" si="19"/>
        <v>485590.32686992933</v>
      </c>
      <c r="J131" s="514">
        <f t="shared" ref="J131:J154" si="21">+I541-H541</f>
        <v>0</v>
      </c>
      <c r="K131" s="514"/>
      <c r="L131" s="525"/>
      <c r="M131" s="514">
        <f t="shared" ref="M131:M154" si="22">IF(L541&lt;&gt;0,+H541-L541,0)</f>
        <v>0</v>
      </c>
      <c r="N131" s="525"/>
      <c r="O131" s="514">
        <f t="shared" ref="O131:O154" si="23">IF(N541&lt;&gt;0,+I541-N541,0)</f>
        <v>0</v>
      </c>
      <c r="P131" s="514">
        <f t="shared" ref="P131:P154" si="24">+O541-M541</f>
        <v>0</v>
      </c>
    </row>
    <row r="132" spans="2:16" ht="12.5">
      <c r="B132" s="195" t="str">
        <f t="shared" si="14"/>
        <v/>
      </c>
      <c r="C132" s="507">
        <f>IF(D93="","-",+C131+1)</f>
        <v>2050</v>
      </c>
      <c r="D132" s="374">
        <f>IF(F131+SUM(E$99:E131)=D$92,F131,D$92-SUM(E$99:E131))</f>
        <v>2197969.5959302336</v>
      </c>
      <c r="E132" s="522">
        <f>IF(+J96&lt;F131,J96,D132)</f>
        <v>236429.5</v>
      </c>
      <c r="F132" s="523">
        <f t="shared" si="16"/>
        <v>1961540.0959302336</v>
      </c>
      <c r="G132" s="523">
        <f t="shared" si="17"/>
        <v>2079754.8459302336</v>
      </c>
      <c r="H132" s="526">
        <f t="shared" si="18"/>
        <v>460156.69943869615</v>
      </c>
      <c r="I132" s="577">
        <f t="shared" si="19"/>
        <v>460156.69943869615</v>
      </c>
      <c r="J132" s="514">
        <f t="shared" si="21"/>
        <v>0</v>
      </c>
      <c r="K132" s="514"/>
      <c r="L132" s="525"/>
      <c r="M132" s="514">
        <f t="shared" si="22"/>
        <v>0</v>
      </c>
      <c r="N132" s="525"/>
      <c r="O132" s="514">
        <f t="shared" si="23"/>
        <v>0</v>
      </c>
      <c r="P132" s="514">
        <f t="shared" si="24"/>
        <v>0</v>
      </c>
    </row>
    <row r="133" spans="2:16" ht="12.5">
      <c r="B133" s="195" t="str">
        <f t="shared" si="14"/>
        <v/>
      </c>
      <c r="C133" s="507">
        <f>IF(D93="","-",+C132+1)</f>
        <v>2051</v>
      </c>
      <c r="D133" s="374">
        <f>IF(F132+SUM(E$99:E132)=D$92,F132,D$92-SUM(E$99:E132))</f>
        <v>1961540.0959302336</v>
      </c>
      <c r="E133" s="522">
        <f>IF(+J96&lt;F132,J96,D133)</f>
        <v>236429.5</v>
      </c>
      <c r="F133" s="523">
        <f t="shared" si="16"/>
        <v>1725110.5959302336</v>
      </c>
      <c r="G133" s="523">
        <f t="shared" si="17"/>
        <v>1843325.3459302336</v>
      </c>
      <c r="H133" s="526">
        <f t="shared" si="18"/>
        <v>434723.07200746308</v>
      </c>
      <c r="I133" s="577">
        <f t="shared" si="19"/>
        <v>434723.07200746308</v>
      </c>
      <c r="J133" s="514">
        <f t="shared" si="21"/>
        <v>0</v>
      </c>
      <c r="K133" s="514"/>
      <c r="L133" s="525"/>
      <c r="M133" s="514">
        <f t="shared" si="22"/>
        <v>0</v>
      </c>
      <c r="N133" s="525"/>
      <c r="O133" s="514">
        <f t="shared" si="23"/>
        <v>0</v>
      </c>
      <c r="P133" s="514">
        <f t="shared" si="24"/>
        <v>0</v>
      </c>
    </row>
    <row r="134" spans="2:16" ht="12.5">
      <c r="B134" s="195" t="str">
        <f t="shared" si="14"/>
        <v/>
      </c>
      <c r="C134" s="507">
        <f>IF(D93="","-",+C133+1)</f>
        <v>2052</v>
      </c>
      <c r="D134" s="374">
        <f>IF(F133+SUM(E$99:E133)=D$92,F133,D$92-SUM(E$99:E133))</f>
        <v>1725110.5959302336</v>
      </c>
      <c r="E134" s="522">
        <f>IF(+J96&lt;F133,J96,D134)</f>
        <v>236429.5</v>
      </c>
      <c r="F134" s="523">
        <f t="shared" si="16"/>
        <v>1488681.0959302336</v>
      </c>
      <c r="G134" s="523">
        <f t="shared" si="17"/>
        <v>1606895.8459302336</v>
      </c>
      <c r="H134" s="526">
        <f t="shared" si="18"/>
        <v>409289.4445762299</v>
      </c>
      <c r="I134" s="577">
        <f t="shared" si="19"/>
        <v>409289.4445762299</v>
      </c>
      <c r="J134" s="514">
        <f t="shared" si="21"/>
        <v>0</v>
      </c>
      <c r="K134" s="514"/>
      <c r="L134" s="525"/>
      <c r="M134" s="514">
        <f t="shared" si="22"/>
        <v>0</v>
      </c>
      <c r="N134" s="525"/>
      <c r="O134" s="514">
        <f t="shared" si="23"/>
        <v>0</v>
      </c>
      <c r="P134" s="514">
        <f t="shared" si="24"/>
        <v>0</v>
      </c>
    </row>
    <row r="135" spans="2:16" ht="12.5">
      <c r="B135" s="195" t="str">
        <f t="shared" si="14"/>
        <v/>
      </c>
      <c r="C135" s="507">
        <f>IF(D93="","-",+C134+1)</f>
        <v>2053</v>
      </c>
      <c r="D135" s="374">
        <f>IF(F134+SUM(E$99:E134)=D$92,F134,D$92-SUM(E$99:E134))</f>
        <v>1488681.0959302336</v>
      </c>
      <c r="E135" s="522">
        <f>IF(+J96&lt;F134,J96,D135)</f>
        <v>236429.5</v>
      </c>
      <c r="F135" s="523">
        <f t="shared" si="16"/>
        <v>1252251.5959302336</v>
      </c>
      <c r="G135" s="523">
        <f t="shared" si="17"/>
        <v>1370466.3459302336</v>
      </c>
      <c r="H135" s="526">
        <f t="shared" si="18"/>
        <v>383855.81714499678</v>
      </c>
      <c r="I135" s="577">
        <f t="shared" si="19"/>
        <v>383855.81714499678</v>
      </c>
      <c r="J135" s="514">
        <f t="shared" si="21"/>
        <v>0</v>
      </c>
      <c r="K135" s="514"/>
      <c r="L135" s="525"/>
      <c r="M135" s="514">
        <f t="shared" si="22"/>
        <v>0</v>
      </c>
      <c r="N135" s="525"/>
      <c r="O135" s="514">
        <f t="shared" si="23"/>
        <v>0</v>
      </c>
      <c r="P135" s="514">
        <f t="shared" si="24"/>
        <v>0</v>
      </c>
    </row>
    <row r="136" spans="2:16" ht="12.5">
      <c r="B136" s="195" t="str">
        <f t="shared" si="14"/>
        <v/>
      </c>
      <c r="C136" s="507">
        <f>IF(D93="","-",+C135+1)</f>
        <v>2054</v>
      </c>
      <c r="D136" s="374">
        <f>IF(F135+SUM(E$99:E135)=D$92,F135,D$92-SUM(E$99:E135))</f>
        <v>1252251.5959302336</v>
      </c>
      <c r="E136" s="522">
        <f>IF(+J96&lt;F135,J96,D136)</f>
        <v>236429.5</v>
      </c>
      <c r="F136" s="523">
        <f t="shared" si="16"/>
        <v>1015822.0959302336</v>
      </c>
      <c r="G136" s="523">
        <f t="shared" si="17"/>
        <v>1134036.8459302336</v>
      </c>
      <c r="H136" s="526">
        <f t="shared" si="18"/>
        <v>358422.18971376366</v>
      </c>
      <c r="I136" s="577">
        <f t="shared" si="19"/>
        <v>358422.18971376366</v>
      </c>
      <c r="J136" s="514">
        <f t="shared" si="21"/>
        <v>0</v>
      </c>
      <c r="K136" s="514"/>
      <c r="L136" s="525"/>
      <c r="M136" s="514">
        <f t="shared" si="22"/>
        <v>0</v>
      </c>
      <c r="N136" s="525"/>
      <c r="O136" s="514">
        <f t="shared" si="23"/>
        <v>0</v>
      </c>
      <c r="P136" s="514">
        <f t="shared" si="24"/>
        <v>0</v>
      </c>
    </row>
    <row r="137" spans="2:16" ht="12.5">
      <c r="B137" s="195" t="str">
        <f t="shared" si="14"/>
        <v/>
      </c>
      <c r="C137" s="507">
        <f>IF(D93="","-",+C136+1)</f>
        <v>2055</v>
      </c>
      <c r="D137" s="374">
        <f>IF(F136+SUM(E$99:E136)=D$92,F136,D$92-SUM(E$99:E136))</f>
        <v>1015822.0959302336</v>
      </c>
      <c r="E137" s="522">
        <f>IF(+J96&lt;F136,J96,D137)</f>
        <v>236429.5</v>
      </c>
      <c r="F137" s="523">
        <f t="shared" si="16"/>
        <v>779392.5959302336</v>
      </c>
      <c r="G137" s="523">
        <f t="shared" si="17"/>
        <v>897607.3459302336</v>
      </c>
      <c r="H137" s="526">
        <f t="shared" si="18"/>
        <v>332988.56228253053</v>
      </c>
      <c r="I137" s="577">
        <f t="shared" si="19"/>
        <v>332988.56228253053</v>
      </c>
      <c r="J137" s="514">
        <f t="shared" si="21"/>
        <v>0</v>
      </c>
      <c r="K137" s="514"/>
      <c r="L137" s="525"/>
      <c r="M137" s="514">
        <f t="shared" si="22"/>
        <v>0</v>
      </c>
      <c r="N137" s="525"/>
      <c r="O137" s="514">
        <f t="shared" si="23"/>
        <v>0</v>
      </c>
      <c r="P137" s="514">
        <f t="shared" si="24"/>
        <v>0</v>
      </c>
    </row>
    <row r="138" spans="2:16" ht="12.5">
      <c r="B138" s="195" t="str">
        <f t="shared" si="14"/>
        <v/>
      </c>
      <c r="C138" s="507">
        <f>IF(D93="","-",+C137+1)</f>
        <v>2056</v>
      </c>
      <c r="D138" s="374">
        <f>IF(F137+SUM(E$99:E137)=D$92,F137,D$92-SUM(E$99:E137))</f>
        <v>779392.5959302336</v>
      </c>
      <c r="E138" s="522">
        <f>IF(+J96&lt;F137,J96,D138)</f>
        <v>236429.5</v>
      </c>
      <c r="F138" s="523">
        <f t="shared" si="16"/>
        <v>542963.0959302336</v>
      </c>
      <c r="G138" s="523">
        <f t="shared" si="17"/>
        <v>661177.8459302336</v>
      </c>
      <c r="H138" s="526">
        <f t="shared" si="18"/>
        <v>307554.93485129741</v>
      </c>
      <c r="I138" s="577">
        <f t="shared" si="19"/>
        <v>307554.93485129741</v>
      </c>
      <c r="J138" s="514">
        <f t="shared" si="21"/>
        <v>0</v>
      </c>
      <c r="K138" s="514"/>
      <c r="L138" s="525"/>
      <c r="M138" s="514">
        <f t="shared" si="22"/>
        <v>0</v>
      </c>
      <c r="N138" s="525"/>
      <c r="O138" s="514">
        <f t="shared" si="23"/>
        <v>0</v>
      </c>
      <c r="P138" s="514">
        <f t="shared" si="24"/>
        <v>0</v>
      </c>
    </row>
    <row r="139" spans="2:16" ht="12.5">
      <c r="B139" s="195" t="str">
        <f t="shared" si="14"/>
        <v/>
      </c>
      <c r="C139" s="507">
        <f>IF(D93="","-",+C138+1)</f>
        <v>2057</v>
      </c>
      <c r="D139" s="374">
        <f>IF(F138+SUM(E$99:E138)=D$92,F138,D$92-SUM(E$99:E138))</f>
        <v>542963.0959302336</v>
      </c>
      <c r="E139" s="522">
        <f>IF(+J96&lt;F138,J96,D139)</f>
        <v>236429.5</v>
      </c>
      <c r="F139" s="523">
        <f t="shared" si="16"/>
        <v>306533.5959302336</v>
      </c>
      <c r="G139" s="523">
        <f t="shared" si="17"/>
        <v>424748.3459302336</v>
      </c>
      <c r="H139" s="526">
        <f t="shared" si="18"/>
        <v>282121.30742006429</v>
      </c>
      <c r="I139" s="577">
        <f t="shared" si="19"/>
        <v>282121.30742006429</v>
      </c>
      <c r="J139" s="514">
        <f t="shared" si="21"/>
        <v>0</v>
      </c>
      <c r="K139" s="514"/>
      <c r="L139" s="525"/>
      <c r="M139" s="514">
        <f t="shared" si="22"/>
        <v>0</v>
      </c>
      <c r="N139" s="525"/>
      <c r="O139" s="514">
        <f t="shared" si="23"/>
        <v>0</v>
      </c>
      <c r="P139" s="514">
        <f t="shared" si="24"/>
        <v>0</v>
      </c>
    </row>
    <row r="140" spans="2:16" ht="12.5">
      <c r="B140" s="195" t="str">
        <f t="shared" si="14"/>
        <v/>
      </c>
      <c r="C140" s="507">
        <f>IF(D93="","-",+C139+1)</f>
        <v>2058</v>
      </c>
      <c r="D140" s="374">
        <f>IF(F139+SUM(E$99:E139)=D$92,F139,D$92-SUM(E$99:E139))</f>
        <v>306533.5959302336</v>
      </c>
      <c r="E140" s="522">
        <f>IF(+J96&lt;F139,J96,D140)</f>
        <v>236429.5</v>
      </c>
      <c r="F140" s="523">
        <f t="shared" si="16"/>
        <v>70104.095930233598</v>
      </c>
      <c r="G140" s="523">
        <f t="shared" si="17"/>
        <v>188318.8459302336</v>
      </c>
      <c r="H140" s="526">
        <f t="shared" si="18"/>
        <v>256687.67998883117</v>
      </c>
      <c r="I140" s="577">
        <f t="shared" si="19"/>
        <v>256687.67998883117</v>
      </c>
      <c r="J140" s="514">
        <f t="shared" si="21"/>
        <v>0</v>
      </c>
      <c r="K140" s="514"/>
      <c r="L140" s="525"/>
      <c r="M140" s="514">
        <f t="shared" si="22"/>
        <v>0</v>
      </c>
      <c r="N140" s="525"/>
      <c r="O140" s="514">
        <f t="shared" si="23"/>
        <v>0</v>
      </c>
      <c r="P140" s="514">
        <f t="shared" si="24"/>
        <v>0</v>
      </c>
    </row>
    <row r="141" spans="2:16" ht="12.5">
      <c r="B141" s="195" t="str">
        <f t="shared" si="14"/>
        <v/>
      </c>
      <c r="C141" s="507">
        <f>IF(D93="","-",+C140+1)</f>
        <v>2059</v>
      </c>
      <c r="D141" s="374">
        <f>IF(F140+SUM(E$99:E140)=D$92,F140,D$92-SUM(E$99:E140))</f>
        <v>70104.095930233598</v>
      </c>
      <c r="E141" s="522">
        <f>IF(+J96&lt;F140,J96,D141)</f>
        <v>70104.095930233598</v>
      </c>
      <c r="F141" s="523">
        <f t="shared" si="16"/>
        <v>0</v>
      </c>
      <c r="G141" s="523">
        <f t="shared" si="17"/>
        <v>35052.047965116799</v>
      </c>
      <c r="H141" s="526">
        <f t="shared" si="18"/>
        <v>73874.779066840885</v>
      </c>
      <c r="I141" s="577">
        <f t="shared" si="19"/>
        <v>73874.779066840885</v>
      </c>
      <c r="J141" s="514">
        <f t="shared" si="21"/>
        <v>0</v>
      </c>
      <c r="K141" s="514"/>
      <c r="L141" s="525"/>
      <c r="M141" s="514">
        <f t="shared" si="22"/>
        <v>0</v>
      </c>
      <c r="N141" s="525"/>
      <c r="O141" s="514">
        <f t="shared" si="23"/>
        <v>0</v>
      </c>
      <c r="P141" s="514">
        <f t="shared" si="24"/>
        <v>0</v>
      </c>
    </row>
    <row r="142" spans="2:16" ht="12.5">
      <c r="B142" s="195" t="str">
        <f t="shared" si="14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6"/>
        <v>0</v>
      </c>
      <c r="G142" s="523">
        <f t="shared" si="17"/>
        <v>0</v>
      </c>
      <c r="H142" s="526">
        <f t="shared" si="18"/>
        <v>0</v>
      </c>
      <c r="I142" s="577">
        <f t="shared" si="19"/>
        <v>0</v>
      </c>
      <c r="J142" s="514">
        <f t="shared" si="21"/>
        <v>0</v>
      </c>
      <c r="K142" s="514"/>
      <c r="L142" s="525"/>
      <c r="M142" s="514">
        <f t="shared" si="22"/>
        <v>0</v>
      </c>
      <c r="N142" s="525"/>
      <c r="O142" s="514">
        <f t="shared" si="23"/>
        <v>0</v>
      </c>
      <c r="P142" s="514">
        <f t="shared" si="24"/>
        <v>0</v>
      </c>
    </row>
    <row r="143" spans="2:16" ht="12.5">
      <c r="B143" s="195" t="str">
        <f t="shared" si="14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6"/>
        <v>0</v>
      </c>
      <c r="G143" s="523">
        <f t="shared" si="17"/>
        <v>0</v>
      </c>
      <c r="H143" s="526">
        <f t="shared" si="18"/>
        <v>0</v>
      </c>
      <c r="I143" s="577">
        <f t="shared" si="19"/>
        <v>0</v>
      </c>
      <c r="J143" s="514">
        <f t="shared" si="21"/>
        <v>0</v>
      </c>
      <c r="K143" s="514"/>
      <c r="L143" s="525"/>
      <c r="M143" s="514">
        <f t="shared" si="22"/>
        <v>0</v>
      </c>
      <c r="N143" s="525"/>
      <c r="O143" s="514">
        <f t="shared" si="23"/>
        <v>0</v>
      </c>
      <c r="P143" s="514">
        <f t="shared" si="24"/>
        <v>0</v>
      </c>
    </row>
    <row r="144" spans="2:16" ht="12.5">
      <c r="B144" s="195" t="str">
        <f t="shared" si="14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6"/>
        <v>0</v>
      </c>
      <c r="G144" s="523">
        <f t="shared" si="17"/>
        <v>0</v>
      </c>
      <c r="H144" s="526">
        <f t="shared" si="18"/>
        <v>0</v>
      </c>
      <c r="I144" s="577">
        <f t="shared" si="19"/>
        <v>0</v>
      </c>
      <c r="J144" s="514">
        <f t="shared" si="21"/>
        <v>0</v>
      </c>
      <c r="K144" s="514"/>
      <c r="L144" s="525"/>
      <c r="M144" s="514">
        <f t="shared" si="22"/>
        <v>0</v>
      </c>
      <c r="N144" s="525"/>
      <c r="O144" s="514">
        <f t="shared" si="23"/>
        <v>0</v>
      </c>
      <c r="P144" s="514">
        <f t="shared" si="24"/>
        <v>0</v>
      </c>
    </row>
    <row r="145" spans="2:16" ht="12.5">
      <c r="B145" s="195" t="str">
        <f t="shared" si="14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6"/>
        <v>0</v>
      </c>
      <c r="G145" s="523">
        <f t="shared" si="17"/>
        <v>0</v>
      </c>
      <c r="H145" s="526">
        <f t="shared" si="18"/>
        <v>0</v>
      </c>
      <c r="I145" s="577">
        <f t="shared" si="19"/>
        <v>0</v>
      </c>
      <c r="J145" s="514">
        <f t="shared" si="21"/>
        <v>0</v>
      </c>
      <c r="K145" s="514"/>
      <c r="L145" s="525"/>
      <c r="M145" s="514">
        <f t="shared" si="22"/>
        <v>0</v>
      </c>
      <c r="N145" s="525"/>
      <c r="O145" s="514">
        <f t="shared" si="23"/>
        <v>0</v>
      </c>
      <c r="P145" s="514">
        <f t="shared" si="24"/>
        <v>0</v>
      </c>
    </row>
    <row r="146" spans="2:16" ht="12.5">
      <c r="B146" s="195" t="str">
        <f t="shared" si="14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6"/>
        <v>0</v>
      </c>
      <c r="G146" s="523">
        <f t="shared" si="17"/>
        <v>0</v>
      </c>
      <c r="H146" s="526">
        <f t="shared" si="18"/>
        <v>0</v>
      </c>
      <c r="I146" s="577">
        <f t="shared" si="19"/>
        <v>0</v>
      </c>
      <c r="J146" s="514">
        <f t="shared" si="21"/>
        <v>0</v>
      </c>
      <c r="K146" s="514"/>
      <c r="L146" s="525"/>
      <c r="M146" s="514">
        <f t="shared" si="22"/>
        <v>0</v>
      </c>
      <c r="N146" s="525"/>
      <c r="O146" s="514">
        <f t="shared" si="23"/>
        <v>0</v>
      </c>
      <c r="P146" s="514">
        <f t="shared" si="24"/>
        <v>0</v>
      </c>
    </row>
    <row r="147" spans="2:16" ht="12.5">
      <c r="B147" s="195" t="str">
        <f t="shared" si="14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6"/>
        <v>0</v>
      </c>
      <c r="G147" s="523">
        <f t="shared" si="17"/>
        <v>0</v>
      </c>
      <c r="H147" s="526">
        <f t="shared" si="18"/>
        <v>0</v>
      </c>
      <c r="I147" s="577">
        <f t="shared" si="19"/>
        <v>0</v>
      </c>
      <c r="J147" s="514">
        <f t="shared" si="21"/>
        <v>0</v>
      </c>
      <c r="K147" s="514"/>
      <c r="L147" s="525"/>
      <c r="M147" s="514">
        <f t="shared" si="22"/>
        <v>0</v>
      </c>
      <c r="N147" s="525"/>
      <c r="O147" s="514">
        <f t="shared" si="23"/>
        <v>0</v>
      </c>
      <c r="P147" s="514">
        <f t="shared" si="24"/>
        <v>0</v>
      </c>
    </row>
    <row r="148" spans="2:16" ht="12.5">
      <c r="B148" s="195" t="str">
        <f t="shared" si="14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6"/>
        <v>0</v>
      </c>
      <c r="G148" s="523">
        <f t="shared" si="17"/>
        <v>0</v>
      </c>
      <c r="H148" s="526">
        <f t="shared" si="18"/>
        <v>0</v>
      </c>
      <c r="I148" s="577">
        <f t="shared" si="19"/>
        <v>0</v>
      </c>
      <c r="J148" s="514">
        <f t="shared" si="21"/>
        <v>0</v>
      </c>
      <c r="K148" s="514"/>
      <c r="L148" s="525"/>
      <c r="M148" s="514">
        <f t="shared" si="22"/>
        <v>0</v>
      </c>
      <c r="N148" s="525"/>
      <c r="O148" s="514">
        <f t="shared" si="23"/>
        <v>0</v>
      </c>
      <c r="P148" s="514">
        <f t="shared" si="24"/>
        <v>0</v>
      </c>
    </row>
    <row r="149" spans="2:16" ht="12.5">
      <c r="B149" s="195" t="str">
        <f t="shared" si="14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6"/>
        <v>0</v>
      </c>
      <c r="G149" s="523">
        <f t="shared" si="17"/>
        <v>0</v>
      </c>
      <c r="H149" s="526">
        <f t="shared" si="18"/>
        <v>0</v>
      </c>
      <c r="I149" s="577">
        <f t="shared" si="19"/>
        <v>0</v>
      </c>
      <c r="J149" s="514">
        <f t="shared" si="21"/>
        <v>0</v>
      </c>
      <c r="K149" s="514"/>
      <c r="L149" s="525"/>
      <c r="M149" s="514">
        <f t="shared" si="22"/>
        <v>0</v>
      </c>
      <c r="N149" s="525"/>
      <c r="O149" s="514">
        <f t="shared" si="23"/>
        <v>0</v>
      </c>
      <c r="P149" s="514">
        <f t="shared" si="24"/>
        <v>0</v>
      </c>
    </row>
    <row r="150" spans="2:16" ht="12.5">
      <c r="B150" s="195" t="str">
        <f t="shared" si="14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6"/>
        <v>0</v>
      </c>
      <c r="G150" s="523">
        <f t="shared" si="17"/>
        <v>0</v>
      </c>
      <c r="H150" s="526">
        <f t="shared" si="18"/>
        <v>0</v>
      </c>
      <c r="I150" s="577">
        <f t="shared" si="19"/>
        <v>0</v>
      </c>
      <c r="J150" s="514">
        <f t="shared" si="21"/>
        <v>0</v>
      </c>
      <c r="K150" s="514"/>
      <c r="L150" s="525"/>
      <c r="M150" s="514">
        <f t="shared" si="22"/>
        <v>0</v>
      </c>
      <c r="N150" s="525"/>
      <c r="O150" s="514">
        <f t="shared" si="23"/>
        <v>0</v>
      </c>
      <c r="P150" s="514">
        <f t="shared" si="24"/>
        <v>0</v>
      </c>
    </row>
    <row r="151" spans="2:16" ht="12.5">
      <c r="B151" s="195" t="str">
        <f t="shared" si="14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6"/>
        <v>0</v>
      </c>
      <c r="G151" s="523">
        <f t="shared" si="17"/>
        <v>0</v>
      </c>
      <c r="H151" s="526">
        <f t="shared" si="18"/>
        <v>0</v>
      </c>
      <c r="I151" s="577">
        <f t="shared" si="19"/>
        <v>0</v>
      </c>
      <c r="J151" s="514">
        <f t="shared" si="21"/>
        <v>0</v>
      </c>
      <c r="K151" s="514"/>
      <c r="L151" s="525"/>
      <c r="M151" s="514">
        <f t="shared" si="22"/>
        <v>0</v>
      </c>
      <c r="N151" s="525"/>
      <c r="O151" s="514">
        <f t="shared" si="23"/>
        <v>0</v>
      </c>
      <c r="P151" s="514">
        <f t="shared" si="24"/>
        <v>0</v>
      </c>
    </row>
    <row r="152" spans="2:16" ht="12.5">
      <c r="B152" s="195" t="str">
        <f t="shared" si="14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6"/>
        <v>0</v>
      </c>
      <c r="G152" s="523">
        <f t="shared" si="17"/>
        <v>0</v>
      </c>
      <c r="H152" s="526">
        <f t="shared" si="18"/>
        <v>0</v>
      </c>
      <c r="I152" s="577">
        <f t="shared" si="19"/>
        <v>0</v>
      </c>
      <c r="J152" s="514">
        <f t="shared" si="21"/>
        <v>0</v>
      </c>
      <c r="K152" s="514"/>
      <c r="L152" s="525"/>
      <c r="M152" s="514">
        <f t="shared" si="22"/>
        <v>0</v>
      </c>
      <c r="N152" s="525"/>
      <c r="O152" s="514">
        <f t="shared" si="23"/>
        <v>0</v>
      </c>
      <c r="P152" s="514">
        <f t="shared" si="24"/>
        <v>0</v>
      </c>
    </row>
    <row r="153" spans="2:16" ht="12.5">
      <c r="B153" s="195" t="str">
        <f t="shared" si="14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6"/>
        <v>0</v>
      </c>
      <c r="G153" s="523">
        <f t="shared" si="17"/>
        <v>0</v>
      </c>
      <c r="H153" s="526">
        <f t="shared" si="18"/>
        <v>0</v>
      </c>
      <c r="I153" s="577">
        <f t="shared" si="19"/>
        <v>0</v>
      </c>
      <c r="J153" s="514">
        <f t="shared" si="21"/>
        <v>0</v>
      </c>
      <c r="K153" s="514"/>
      <c r="L153" s="525"/>
      <c r="M153" s="514">
        <f t="shared" si="22"/>
        <v>0</v>
      </c>
      <c r="N153" s="525"/>
      <c r="O153" s="514">
        <f t="shared" si="23"/>
        <v>0</v>
      </c>
      <c r="P153" s="514">
        <f t="shared" si="24"/>
        <v>0</v>
      </c>
    </row>
    <row r="154" spans="2:16" ht="13" thickBot="1">
      <c r="B154" s="195" t="str">
        <f t="shared" si="14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6"/>
        <v>0</v>
      </c>
      <c r="G154" s="528">
        <f t="shared" si="17"/>
        <v>0</v>
      </c>
      <c r="H154" s="530">
        <f t="shared" si="18"/>
        <v>0</v>
      </c>
      <c r="I154" s="579">
        <f t="shared" si="19"/>
        <v>0</v>
      </c>
      <c r="J154" s="533">
        <f t="shared" si="21"/>
        <v>0</v>
      </c>
      <c r="K154" s="514"/>
      <c r="L154" s="532"/>
      <c r="M154" s="533">
        <f t="shared" si="22"/>
        <v>0</v>
      </c>
      <c r="N154" s="532"/>
      <c r="O154" s="533">
        <f t="shared" si="23"/>
        <v>0</v>
      </c>
      <c r="P154" s="533">
        <f t="shared" si="24"/>
        <v>0</v>
      </c>
    </row>
    <row r="155" spans="2:16" ht="12.5">
      <c r="C155" s="374" t="s">
        <v>78</v>
      </c>
      <c r="D155" s="375"/>
      <c r="E155" s="375">
        <f>SUM(E99:E154)</f>
        <v>9930039</v>
      </c>
      <c r="F155" s="375"/>
      <c r="G155" s="375"/>
      <c r="H155" s="375">
        <f>SUM(H99:H154)</f>
        <v>32123596.740706977</v>
      </c>
      <c r="I155" s="375">
        <f>SUM(I99:I154)</f>
        <v>32123596.740706977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3" priority="1" stopIfTrue="1" operator="equal">
      <formula>$I$10</formula>
    </cfRule>
  </conditionalFormatting>
  <conditionalFormatting sqref="C99:C154">
    <cfRule type="cellIs" dxfId="1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topLeftCell="A4" zoomScale="80" zoomScaleNormal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70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873342.3819354173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873342.3819354173</v>
      </c>
      <c r="O6" s="269"/>
      <c r="P6" s="269"/>
    </row>
    <row r="7" spans="1:16" ht="13.5" thickBot="1">
      <c r="C7" s="467" t="s">
        <v>48</v>
      </c>
      <c r="D7" s="624" t="s">
        <v>436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428</v>
      </c>
      <c r="E9" s="637" t="s">
        <v>429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7196364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171342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2018</v>
      </c>
      <c r="D17" s="631">
        <v>0</v>
      </c>
      <c r="E17" s="630">
        <v>96158.536585365859</v>
      </c>
      <c r="F17" s="631">
        <v>7788841.4634146346</v>
      </c>
      <c r="G17" s="630">
        <v>591116.43032923993</v>
      </c>
      <c r="H17" s="639">
        <v>591116.43032923993</v>
      </c>
      <c r="I17" s="511">
        <f t="shared" ref="I17:I72" si="0">H17-G17</f>
        <v>0</v>
      </c>
      <c r="J17" s="511"/>
      <c r="K17" s="512">
        <f>+G17</f>
        <v>591116.43032923993</v>
      </c>
      <c r="L17" s="513">
        <f t="shared" ref="L17:L72" si="1">IF(K17&lt;&gt;0,+G17-K17,0)</f>
        <v>0</v>
      </c>
      <c r="M17" s="512">
        <f>+H17</f>
        <v>591116.43032923993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2019</v>
      </c>
      <c r="D18" s="631">
        <v>7788841.4634146346</v>
      </c>
      <c r="E18" s="630">
        <v>192317.07317073172</v>
      </c>
      <c r="F18" s="631">
        <v>7596524.3902439028</v>
      </c>
      <c r="G18" s="630">
        <v>1170011.6780969028</v>
      </c>
      <c r="H18" s="639">
        <v>1170011.6780969028</v>
      </c>
      <c r="I18" s="511">
        <f t="shared" si="0"/>
        <v>0</v>
      </c>
      <c r="J18" s="511"/>
      <c r="K18" s="518">
        <f>+G18</f>
        <v>1170011.6780969028</v>
      </c>
      <c r="L18" s="519">
        <f t="shared" si="1"/>
        <v>0</v>
      </c>
      <c r="M18" s="518">
        <f>+H18</f>
        <v>1170011.6780969028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2020</v>
      </c>
      <c r="D19" s="631">
        <v>6906935.3902439028</v>
      </c>
      <c r="E19" s="630">
        <v>175497.82926829267</v>
      </c>
      <c r="F19" s="631">
        <v>6731437.5609756103</v>
      </c>
      <c r="G19" s="630">
        <v>873342.3819354173</v>
      </c>
      <c r="H19" s="639">
        <v>873342.3819354173</v>
      </c>
      <c r="I19" s="511">
        <f t="shared" si="0"/>
        <v>0</v>
      </c>
      <c r="J19" s="511"/>
      <c r="K19" s="518">
        <f>+G19</f>
        <v>873342.3819354173</v>
      </c>
      <c r="L19" s="519">
        <f t="shared" ref="L19" si="4">IF(K19&lt;&gt;0,+G19-K19,0)</f>
        <v>0</v>
      </c>
      <c r="M19" s="518">
        <f>+H19</f>
        <v>873342.3819354173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2021</v>
      </c>
      <c r="D20" s="523">
        <f>IF(F19+SUM(E$17:E19)=D$10,F19,D$10-SUM(E$17:E19))</f>
        <v>6732390.5609756093</v>
      </c>
      <c r="E20" s="522">
        <f>IF(+I14&lt;F19,I14,D20)</f>
        <v>171342</v>
      </c>
      <c r="F20" s="523">
        <f t="shared" ref="F20:F72" si="6">+D20-E20</f>
        <v>6561048.5609756093</v>
      </c>
      <c r="G20" s="524">
        <f t="shared" ref="G20:G72" si="7">+I$12*((D20+F20)/2)+E20</f>
        <v>881331.11565770442</v>
      </c>
      <c r="H20" s="491">
        <f t="shared" ref="H20:H72" si="8">+I$13*((D20+F20)/2)+E20</f>
        <v>881331.11565770442</v>
      </c>
      <c r="I20" s="511">
        <f t="shared" si="0"/>
        <v>0</v>
      </c>
      <c r="J20" s="511"/>
      <c r="K20" s="525"/>
      <c r="L20" s="514">
        <f t="shared" si="1"/>
        <v>0</v>
      </c>
      <c r="M20" s="525"/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/>
      </c>
      <c r="C21" s="507">
        <f>IF(D11="","-",+C20+1)</f>
        <v>2022</v>
      </c>
      <c r="D21" s="523">
        <f>IF(F20+SUM(E$17:E20)=D$10,F20,D$10-SUM(E$17:E20))</f>
        <v>6561048.5609756093</v>
      </c>
      <c r="E21" s="522">
        <f>IF(+I14&lt;F20,I14,D21)</f>
        <v>171342</v>
      </c>
      <c r="F21" s="523">
        <f t="shared" si="6"/>
        <v>6389706.5609756093</v>
      </c>
      <c r="G21" s="524">
        <f t="shared" si="7"/>
        <v>863028.71039763256</v>
      </c>
      <c r="H21" s="491">
        <f t="shared" si="8"/>
        <v>863028.71039763256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2023</v>
      </c>
      <c r="D22" s="523">
        <f>IF(F21+SUM(E$17:E21)=D$10,F21,D$10-SUM(E$17:E21))</f>
        <v>6389706.5609756093</v>
      </c>
      <c r="E22" s="522">
        <f>IF(+I14&lt;F21,I14,D22)</f>
        <v>171342</v>
      </c>
      <c r="F22" s="523">
        <f t="shared" si="6"/>
        <v>6218364.5609756093</v>
      </c>
      <c r="G22" s="524">
        <f t="shared" si="7"/>
        <v>844726.30513756082</v>
      </c>
      <c r="H22" s="491">
        <f t="shared" si="8"/>
        <v>844726.30513756082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2024</v>
      </c>
      <c r="D23" s="523">
        <f>IF(F22+SUM(E$17:E22)=D$10,F22,D$10-SUM(E$17:E22))</f>
        <v>6218364.5609756093</v>
      </c>
      <c r="E23" s="522">
        <f>IF(+I14&lt;F22,I14,D23)</f>
        <v>171342</v>
      </c>
      <c r="F23" s="523">
        <f t="shared" si="6"/>
        <v>6047022.5609756093</v>
      </c>
      <c r="G23" s="524">
        <f t="shared" si="7"/>
        <v>826423.89987748896</v>
      </c>
      <c r="H23" s="491">
        <f t="shared" si="8"/>
        <v>826423.89987748896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2025</v>
      </c>
      <c r="D24" s="523">
        <f>IF(F23+SUM(E$17:E23)=D$10,F23,D$10-SUM(E$17:E23))</f>
        <v>6047022.5609756093</v>
      </c>
      <c r="E24" s="522">
        <f>IF(+I14&lt;F23,I14,D24)</f>
        <v>171342</v>
      </c>
      <c r="F24" s="523">
        <f t="shared" si="6"/>
        <v>5875680.5609756093</v>
      </c>
      <c r="G24" s="524">
        <f t="shared" si="7"/>
        <v>808121.49461741711</v>
      </c>
      <c r="H24" s="491">
        <f t="shared" si="8"/>
        <v>808121.49461741711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2026</v>
      </c>
      <c r="D25" s="523">
        <f>IF(F24+SUM(E$17:E24)=D$10,F24,D$10-SUM(E$17:E24))</f>
        <v>5875680.5609756093</v>
      </c>
      <c r="E25" s="522">
        <f>IF(+I14&lt;F24,I14,D25)</f>
        <v>171342</v>
      </c>
      <c r="F25" s="523">
        <f t="shared" si="6"/>
        <v>5704338.5609756093</v>
      </c>
      <c r="G25" s="524">
        <f t="shared" si="7"/>
        <v>789819.08935734525</v>
      </c>
      <c r="H25" s="491">
        <f t="shared" si="8"/>
        <v>789819.08935734525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2027</v>
      </c>
      <c r="D26" s="523">
        <f>IF(F25+SUM(E$17:E25)=D$10,F25,D$10-SUM(E$17:E25))</f>
        <v>5704338.5609756093</v>
      </c>
      <c r="E26" s="522">
        <f>IF(+I14&lt;F25,I14,D26)</f>
        <v>171342</v>
      </c>
      <c r="F26" s="523">
        <f t="shared" si="6"/>
        <v>5532996.5609756093</v>
      </c>
      <c r="G26" s="524">
        <f t="shared" si="7"/>
        <v>771516.68409727339</v>
      </c>
      <c r="H26" s="491">
        <f t="shared" si="8"/>
        <v>771516.68409727339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2028</v>
      </c>
      <c r="D27" s="523">
        <f>IF(F26+SUM(E$17:E26)=D$10,F26,D$10-SUM(E$17:E26))</f>
        <v>5532996.5609756093</v>
      </c>
      <c r="E27" s="522">
        <f>IF(+I14&lt;F26,I14,D27)</f>
        <v>171342</v>
      </c>
      <c r="F27" s="523">
        <f t="shared" si="6"/>
        <v>5361654.5609756093</v>
      </c>
      <c r="G27" s="524">
        <f t="shared" si="7"/>
        <v>753214.27883720153</v>
      </c>
      <c r="H27" s="491">
        <f t="shared" si="8"/>
        <v>753214.27883720153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2029</v>
      </c>
      <c r="D28" s="523">
        <f>IF(F27+SUM(E$17:E27)=D$10,F27,D$10-SUM(E$17:E27))</f>
        <v>5361654.5609756093</v>
      </c>
      <c r="E28" s="522">
        <f>IF(+I14&lt;F27,I14,D28)</f>
        <v>171342</v>
      </c>
      <c r="F28" s="523">
        <f t="shared" si="6"/>
        <v>5190312.5609756093</v>
      </c>
      <c r="G28" s="524">
        <f t="shared" si="7"/>
        <v>734911.87357712968</v>
      </c>
      <c r="H28" s="491">
        <f t="shared" si="8"/>
        <v>734911.87357712968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2030</v>
      </c>
      <c r="D29" s="523">
        <f>IF(F28+SUM(E$17:E28)=D$10,F28,D$10-SUM(E$17:E28))</f>
        <v>5190312.5609756093</v>
      </c>
      <c r="E29" s="522">
        <f>IF(+I14&lt;F28,I14,D29)</f>
        <v>171342</v>
      </c>
      <c r="F29" s="523">
        <f t="shared" si="6"/>
        <v>5018970.5609756093</v>
      </c>
      <c r="G29" s="524">
        <f t="shared" si="7"/>
        <v>716609.46831705782</v>
      </c>
      <c r="H29" s="491">
        <f t="shared" si="8"/>
        <v>716609.46831705782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2031</v>
      </c>
      <c r="D30" s="523">
        <f>IF(F29+SUM(E$17:E29)=D$10,F29,D$10-SUM(E$17:E29))</f>
        <v>5018970.5609756093</v>
      </c>
      <c r="E30" s="522">
        <f>IF(+I14&lt;F29,I14,D30)</f>
        <v>171342</v>
      </c>
      <c r="F30" s="523">
        <f t="shared" si="6"/>
        <v>4847628.5609756093</v>
      </c>
      <c r="G30" s="524">
        <f t="shared" si="7"/>
        <v>698307.06305698608</v>
      </c>
      <c r="H30" s="491">
        <f t="shared" si="8"/>
        <v>698307.06305698608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2032</v>
      </c>
      <c r="D31" s="523">
        <f>IF(F30+SUM(E$17:E30)=D$10,F30,D$10-SUM(E$17:E30))</f>
        <v>4847628.5609756093</v>
      </c>
      <c r="E31" s="522">
        <f>IF(+I14&lt;F30,I14,D31)</f>
        <v>171342</v>
      </c>
      <c r="F31" s="523">
        <f t="shared" si="6"/>
        <v>4676286.5609756093</v>
      </c>
      <c r="G31" s="524">
        <f t="shared" si="7"/>
        <v>680004.65779691422</v>
      </c>
      <c r="H31" s="491">
        <f t="shared" si="8"/>
        <v>680004.65779691422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2033</v>
      </c>
      <c r="D32" s="523">
        <f>IF(F31+SUM(E$17:E31)=D$10,F31,D$10-SUM(E$17:E31))</f>
        <v>4676286.5609756093</v>
      </c>
      <c r="E32" s="522">
        <f>IF(+I14&lt;F31,I14,D32)</f>
        <v>171342</v>
      </c>
      <c r="F32" s="523">
        <f t="shared" si="6"/>
        <v>4504944.5609756093</v>
      </c>
      <c r="G32" s="524">
        <f t="shared" si="7"/>
        <v>661702.25253684237</v>
      </c>
      <c r="H32" s="491">
        <f t="shared" si="8"/>
        <v>661702.25253684237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2034</v>
      </c>
      <c r="D33" s="523">
        <f>IF(F32+SUM(E$17:E32)=D$10,F32,D$10-SUM(E$17:E32))</f>
        <v>4504944.5609756093</v>
      </c>
      <c r="E33" s="522">
        <f>IF(+I14&lt;F32,I14,D33)</f>
        <v>171342</v>
      </c>
      <c r="F33" s="523">
        <f t="shared" si="6"/>
        <v>4333602.5609756093</v>
      </c>
      <c r="G33" s="524">
        <f t="shared" si="7"/>
        <v>643399.84727677051</v>
      </c>
      <c r="H33" s="491">
        <f t="shared" si="8"/>
        <v>643399.84727677051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2035</v>
      </c>
      <c r="D34" s="523">
        <f>IF(F33+SUM(E$17:E33)=D$10,F33,D$10-SUM(E$17:E33))</f>
        <v>4333602.5609756093</v>
      </c>
      <c r="E34" s="522">
        <f>IF(+I14&lt;F33,I14,D34)</f>
        <v>171342</v>
      </c>
      <c r="F34" s="523">
        <f t="shared" si="6"/>
        <v>4162260.5609756093</v>
      </c>
      <c r="G34" s="524">
        <f t="shared" si="7"/>
        <v>625097.44201669865</v>
      </c>
      <c r="H34" s="491">
        <f t="shared" si="8"/>
        <v>625097.44201669865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2036</v>
      </c>
      <c r="D35" s="523">
        <f>IF(F34+SUM(E$17:E34)=D$10,F34,D$10-SUM(E$17:E34))</f>
        <v>4162260.5609756093</v>
      </c>
      <c r="E35" s="522">
        <f>IF(+I14&lt;F34,I14,D35)</f>
        <v>171342</v>
      </c>
      <c r="F35" s="523">
        <f t="shared" si="6"/>
        <v>3990918.5609756093</v>
      </c>
      <c r="G35" s="524">
        <f t="shared" si="7"/>
        <v>606795.0367566268</v>
      </c>
      <c r="H35" s="491">
        <f t="shared" si="8"/>
        <v>606795.0367566268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2037</v>
      </c>
      <c r="D36" s="523">
        <f>IF(F35+SUM(E$17:E35)=D$10,F35,D$10-SUM(E$17:E35))</f>
        <v>3990918.5609756093</v>
      </c>
      <c r="E36" s="522">
        <f>IF(+I14&lt;F35,I14,D36)</f>
        <v>171342</v>
      </c>
      <c r="F36" s="523">
        <f t="shared" si="6"/>
        <v>3819576.5609756093</v>
      </c>
      <c r="G36" s="524">
        <f t="shared" si="7"/>
        <v>588492.63149655494</v>
      </c>
      <c r="H36" s="491">
        <f t="shared" si="8"/>
        <v>588492.63149655494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2038</v>
      </c>
      <c r="D37" s="523">
        <f>IF(F36+SUM(E$17:E36)=D$10,F36,D$10-SUM(E$17:E36))</f>
        <v>3819576.5609756093</v>
      </c>
      <c r="E37" s="522">
        <f>IF(+I14&lt;F36,I14,D37)</f>
        <v>171342</v>
      </c>
      <c r="F37" s="523">
        <f t="shared" si="6"/>
        <v>3648234.5609756093</v>
      </c>
      <c r="G37" s="524">
        <f t="shared" si="7"/>
        <v>570190.22623648308</v>
      </c>
      <c r="H37" s="491">
        <f t="shared" si="8"/>
        <v>570190.22623648308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2039</v>
      </c>
      <c r="D38" s="523">
        <f>IF(F37+SUM(E$17:E37)=D$10,F37,D$10-SUM(E$17:E37))</f>
        <v>3648234.5609756093</v>
      </c>
      <c r="E38" s="522">
        <f>IF(+I14&lt;F37,I14,D38)</f>
        <v>171342</v>
      </c>
      <c r="F38" s="523">
        <f t="shared" si="6"/>
        <v>3476892.5609756093</v>
      </c>
      <c r="G38" s="524">
        <f t="shared" si="7"/>
        <v>551887.82097641123</v>
      </c>
      <c r="H38" s="491">
        <f t="shared" si="8"/>
        <v>551887.82097641123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2040</v>
      </c>
      <c r="D39" s="523">
        <f>IF(F38+SUM(E$17:E38)=D$10,F38,D$10-SUM(E$17:E38))</f>
        <v>3476892.5609756093</v>
      </c>
      <c r="E39" s="522">
        <f>IF(+I14&lt;F38,I14,D39)</f>
        <v>171342</v>
      </c>
      <c r="F39" s="523">
        <f t="shared" si="6"/>
        <v>3305550.5609756093</v>
      </c>
      <c r="G39" s="524">
        <f t="shared" si="7"/>
        <v>533585.41571633937</v>
      </c>
      <c r="H39" s="491">
        <f t="shared" si="8"/>
        <v>533585.41571633937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2041</v>
      </c>
      <c r="D40" s="523">
        <f>IF(F39+SUM(E$17:E39)=D$10,F39,D$10-SUM(E$17:E39))</f>
        <v>3305550.5609756093</v>
      </c>
      <c r="E40" s="522">
        <f>IF(+I14&lt;F39,I14,D40)</f>
        <v>171342</v>
      </c>
      <c r="F40" s="523">
        <f t="shared" si="6"/>
        <v>3134208.5609756093</v>
      </c>
      <c r="G40" s="524">
        <f t="shared" si="7"/>
        <v>515283.01045626763</v>
      </c>
      <c r="H40" s="491">
        <f t="shared" si="8"/>
        <v>515283.01045626763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2042</v>
      </c>
      <c r="D41" s="523">
        <f>IF(F40+SUM(E$17:E40)=D$10,F40,D$10-SUM(E$17:E40))</f>
        <v>3134208.5609756093</v>
      </c>
      <c r="E41" s="522">
        <f>IF(+I14&lt;F40,I14,D41)</f>
        <v>171342</v>
      </c>
      <c r="F41" s="523">
        <f t="shared" si="6"/>
        <v>2962866.5609756093</v>
      </c>
      <c r="G41" s="524">
        <f t="shared" si="7"/>
        <v>496980.60519619577</v>
      </c>
      <c r="H41" s="491">
        <f t="shared" si="8"/>
        <v>496980.60519619577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2043</v>
      </c>
      <c r="D42" s="523">
        <f>IF(F41+SUM(E$17:E41)=D$10,F41,D$10-SUM(E$17:E41))</f>
        <v>2962866.5609756093</v>
      </c>
      <c r="E42" s="522">
        <f>IF(+I14&lt;F41,I14,D42)</f>
        <v>171342</v>
      </c>
      <c r="F42" s="523">
        <f t="shared" si="6"/>
        <v>2791524.5609756093</v>
      </c>
      <c r="G42" s="524">
        <f t="shared" si="7"/>
        <v>478678.19993612391</v>
      </c>
      <c r="H42" s="491">
        <f t="shared" si="8"/>
        <v>478678.19993612391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2044</v>
      </c>
      <c r="D43" s="523">
        <f>IF(F42+SUM(E$17:E42)=D$10,F42,D$10-SUM(E$17:E42))</f>
        <v>2791524.5609756093</v>
      </c>
      <c r="E43" s="522">
        <f>IF(+I14&lt;F42,I14,D43)</f>
        <v>171342</v>
      </c>
      <c r="F43" s="523">
        <f t="shared" si="6"/>
        <v>2620182.5609756093</v>
      </c>
      <c r="G43" s="524">
        <f t="shared" si="7"/>
        <v>460375.79467605212</v>
      </c>
      <c r="H43" s="491">
        <f t="shared" si="8"/>
        <v>460375.79467605212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2045</v>
      </c>
      <c r="D44" s="523">
        <f>IF(F43+SUM(E$17:E43)=D$10,F43,D$10-SUM(E$17:E43))</f>
        <v>2620182.5609756093</v>
      </c>
      <c r="E44" s="522">
        <f>IF(+I14&lt;F43,I14,D44)</f>
        <v>171342</v>
      </c>
      <c r="F44" s="523">
        <f t="shared" si="6"/>
        <v>2448840.5609756093</v>
      </c>
      <c r="G44" s="524">
        <f t="shared" si="7"/>
        <v>442073.38941598026</v>
      </c>
      <c r="H44" s="491">
        <f t="shared" si="8"/>
        <v>442073.38941598026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2046</v>
      </c>
      <c r="D45" s="523">
        <f>IF(F44+SUM(E$17:E44)=D$10,F44,D$10-SUM(E$17:E44))</f>
        <v>2448840.5609756093</v>
      </c>
      <c r="E45" s="522">
        <f>IF(+I14&lt;F44,I14,D45)</f>
        <v>171342</v>
      </c>
      <c r="F45" s="523">
        <f t="shared" si="6"/>
        <v>2277498.5609756093</v>
      </c>
      <c r="G45" s="524">
        <f t="shared" si="7"/>
        <v>423770.9841559084</v>
      </c>
      <c r="H45" s="491">
        <f t="shared" si="8"/>
        <v>423770.9841559084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2047</v>
      </c>
      <c r="D46" s="523">
        <f>IF(F45+SUM(E$17:E45)=D$10,F45,D$10-SUM(E$17:E45))</f>
        <v>2277498.5609756093</v>
      </c>
      <c r="E46" s="522">
        <f>IF(+I14&lt;F45,I14,D46)</f>
        <v>171342</v>
      </c>
      <c r="F46" s="523">
        <f t="shared" si="6"/>
        <v>2106156.5609756093</v>
      </c>
      <c r="G46" s="524">
        <f t="shared" si="7"/>
        <v>405468.5788958366</v>
      </c>
      <c r="H46" s="491">
        <f t="shared" si="8"/>
        <v>405468.5788958366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2048</v>
      </c>
      <c r="D47" s="523">
        <f>IF(F46+SUM(E$17:E46)=D$10,F46,D$10-SUM(E$17:E46))</f>
        <v>2106156.5609756093</v>
      </c>
      <c r="E47" s="522">
        <f>IF(+I14&lt;F46,I14,D47)</f>
        <v>171342</v>
      </c>
      <c r="F47" s="523">
        <f t="shared" si="6"/>
        <v>1934814.5609756093</v>
      </c>
      <c r="G47" s="524">
        <f t="shared" si="7"/>
        <v>387166.17363576475</v>
      </c>
      <c r="H47" s="491">
        <f t="shared" si="8"/>
        <v>387166.17363576475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2049</v>
      </c>
      <c r="D48" s="523">
        <f>IF(F47+SUM(E$17:E47)=D$10,F47,D$10-SUM(E$17:E47))</f>
        <v>1934814.5609756093</v>
      </c>
      <c r="E48" s="522">
        <f>IF(+I14&lt;F47,I14,D48)</f>
        <v>171342</v>
      </c>
      <c r="F48" s="523">
        <f t="shared" si="6"/>
        <v>1763472.5609756093</v>
      </c>
      <c r="G48" s="524">
        <f t="shared" si="7"/>
        <v>368863.76837569289</v>
      </c>
      <c r="H48" s="491">
        <f t="shared" si="8"/>
        <v>368863.76837569289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2050</v>
      </c>
      <c r="D49" s="523">
        <f>IF(F48+SUM(E$17:E48)=D$10,F48,D$10-SUM(E$17:E48))</f>
        <v>1763472.5609756093</v>
      </c>
      <c r="E49" s="522">
        <f>IF(+I14&lt;F48,I14,D49)</f>
        <v>171342</v>
      </c>
      <c r="F49" s="523">
        <f t="shared" si="6"/>
        <v>1592130.5609756093</v>
      </c>
      <c r="G49" s="524">
        <f t="shared" si="7"/>
        <v>350561.36311562103</v>
      </c>
      <c r="H49" s="491">
        <f t="shared" si="8"/>
        <v>350561.36311562103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2051</v>
      </c>
      <c r="D50" s="523">
        <f>IF(F49+SUM(E$17:E49)=D$10,F49,D$10-SUM(E$17:E49))</f>
        <v>1592130.5609756093</v>
      </c>
      <c r="E50" s="522">
        <f>IF(+I14&lt;F49,I14,D50)</f>
        <v>171342</v>
      </c>
      <c r="F50" s="523">
        <f t="shared" si="6"/>
        <v>1420788.5609756093</v>
      </c>
      <c r="G50" s="524">
        <f t="shared" si="7"/>
        <v>332258.95785554918</v>
      </c>
      <c r="H50" s="491">
        <f t="shared" si="8"/>
        <v>332258.95785554918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2052</v>
      </c>
      <c r="D51" s="523">
        <f>IF(F50+SUM(E$17:E50)=D$10,F50,D$10-SUM(E$17:E50))</f>
        <v>1420788.5609756093</v>
      </c>
      <c r="E51" s="522">
        <f>IF(+I14&lt;F50,I14,D51)</f>
        <v>171342</v>
      </c>
      <c r="F51" s="523">
        <f t="shared" si="6"/>
        <v>1249446.5609756093</v>
      </c>
      <c r="G51" s="524">
        <f t="shared" si="7"/>
        <v>313956.55259547732</v>
      </c>
      <c r="H51" s="491">
        <f t="shared" si="8"/>
        <v>313956.55259547732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2053</v>
      </c>
      <c r="D52" s="523">
        <f>IF(F51+SUM(E$17:E51)=D$10,F51,D$10-SUM(E$17:E51))</f>
        <v>1249446.5609756093</v>
      </c>
      <c r="E52" s="522">
        <f>IF(+I14&lt;F51,I14,D52)</f>
        <v>171342</v>
      </c>
      <c r="F52" s="523">
        <f t="shared" si="6"/>
        <v>1078104.5609756093</v>
      </c>
      <c r="G52" s="524">
        <f t="shared" si="7"/>
        <v>295654.14733540552</v>
      </c>
      <c r="H52" s="491">
        <f t="shared" si="8"/>
        <v>295654.14733540552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2054</v>
      </c>
      <c r="D53" s="523">
        <f>IF(F52+SUM(E$17:E52)=D$10,F52,D$10-SUM(E$17:E52))</f>
        <v>1078104.5609756093</v>
      </c>
      <c r="E53" s="522">
        <f>IF(+I14&lt;F52,I14,D53)</f>
        <v>171342</v>
      </c>
      <c r="F53" s="523">
        <f t="shared" si="6"/>
        <v>906762.56097560935</v>
      </c>
      <c r="G53" s="524">
        <f t="shared" si="7"/>
        <v>277351.74207533366</v>
      </c>
      <c r="H53" s="491">
        <f t="shared" si="8"/>
        <v>277351.74207533366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2055</v>
      </c>
      <c r="D54" s="523">
        <f>IF(F53+SUM(E$17:E53)=D$10,F53,D$10-SUM(E$17:E53))</f>
        <v>906762.56097560935</v>
      </c>
      <c r="E54" s="522">
        <f>IF(+I14&lt;F53,I14,D54)</f>
        <v>171342</v>
      </c>
      <c r="F54" s="523">
        <f t="shared" si="6"/>
        <v>735420.56097560935</v>
      </c>
      <c r="G54" s="524">
        <f t="shared" si="7"/>
        <v>259049.33681526181</v>
      </c>
      <c r="H54" s="491">
        <f t="shared" si="8"/>
        <v>259049.33681526181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2056</v>
      </c>
      <c r="D55" s="523">
        <f>IF(F54+SUM(E$17:E54)=D$10,F54,D$10-SUM(E$17:E54))</f>
        <v>735420.56097560935</v>
      </c>
      <c r="E55" s="522">
        <f>IF(+I14&lt;F54,I14,D55)</f>
        <v>171342</v>
      </c>
      <c r="F55" s="523">
        <f t="shared" si="6"/>
        <v>564078.56097560935</v>
      </c>
      <c r="G55" s="524">
        <f t="shared" si="7"/>
        <v>240746.93155518998</v>
      </c>
      <c r="H55" s="491">
        <f t="shared" si="8"/>
        <v>240746.93155518998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2057</v>
      </c>
      <c r="D56" s="523">
        <f>IF(F55+SUM(E$17:E55)=D$10,F55,D$10-SUM(E$17:E55))</f>
        <v>564078.56097560935</v>
      </c>
      <c r="E56" s="522">
        <f>IF(+I14&lt;F55,I14,D56)</f>
        <v>171342</v>
      </c>
      <c r="F56" s="523">
        <f t="shared" si="6"/>
        <v>392736.56097560935</v>
      </c>
      <c r="G56" s="524">
        <f t="shared" si="7"/>
        <v>222444.52629511815</v>
      </c>
      <c r="H56" s="491">
        <f t="shared" si="8"/>
        <v>222444.52629511815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2058</v>
      </c>
      <c r="D57" s="523">
        <f>IF(F56+SUM(E$17:E56)=D$10,F56,D$10-SUM(E$17:E56))</f>
        <v>392736.56097560935</v>
      </c>
      <c r="E57" s="522">
        <f>IF(+I14&lt;F56,I14,D57)</f>
        <v>171342</v>
      </c>
      <c r="F57" s="523">
        <f t="shared" si="6"/>
        <v>221394.56097560935</v>
      </c>
      <c r="G57" s="524">
        <f t="shared" si="7"/>
        <v>204142.12103504629</v>
      </c>
      <c r="H57" s="491">
        <f t="shared" si="8"/>
        <v>204142.12103504629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2059</v>
      </c>
      <c r="D58" s="523">
        <f>IF(F57+SUM(E$17:E57)=D$10,F57,D$10-SUM(E$17:E57))</f>
        <v>221394.56097560935</v>
      </c>
      <c r="E58" s="522">
        <f>IF(+I14&lt;F57,I14,D58)</f>
        <v>171342</v>
      </c>
      <c r="F58" s="523">
        <f t="shared" si="6"/>
        <v>50052.560975609347</v>
      </c>
      <c r="G58" s="524">
        <f t="shared" si="7"/>
        <v>185839.71577497447</v>
      </c>
      <c r="H58" s="491">
        <f t="shared" si="8"/>
        <v>185839.71577497447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2060</v>
      </c>
      <c r="D59" s="523">
        <f>IF(F58+SUM(E$17:E58)=D$10,F58,D$10-SUM(E$17:E58))</f>
        <v>50052.560975609347</v>
      </c>
      <c r="E59" s="522">
        <f>IF(+I14&lt;F58,I14,D59)</f>
        <v>50052.560975609347</v>
      </c>
      <c r="F59" s="523">
        <f t="shared" si="6"/>
        <v>0</v>
      </c>
      <c r="G59" s="524">
        <f t="shared" si="7"/>
        <v>52725.817548078616</v>
      </c>
      <c r="H59" s="491">
        <f t="shared" si="8"/>
        <v>52725.817548078616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6"/>
        <v>0</v>
      </c>
      <c r="G60" s="524">
        <f t="shared" si="7"/>
        <v>0</v>
      </c>
      <c r="H60" s="491">
        <f t="shared" si="8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6"/>
        <v>0</v>
      </c>
      <c r="G61" s="526">
        <f t="shared" si="7"/>
        <v>0</v>
      </c>
      <c r="H61" s="491">
        <f t="shared" si="8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6"/>
        <v>0</v>
      </c>
      <c r="G62" s="526">
        <f t="shared" si="7"/>
        <v>0</v>
      </c>
      <c r="H62" s="491">
        <f t="shared" si="8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6"/>
        <v>0</v>
      </c>
      <c r="G63" s="526">
        <f t="shared" si="7"/>
        <v>0</v>
      </c>
      <c r="H63" s="491">
        <f t="shared" si="8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6"/>
        <v>0</v>
      </c>
      <c r="G64" s="526">
        <f t="shared" si="7"/>
        <v>0</v>
      </c>
      <c r="H64" s="491">
        <f t="shared" si="8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6"/>
        <v>0</v>
      </c>
      <c r="G65" s="526">
        <f t="shared" si="7"/>
        <v>0</v>
      </c>
      <c r="H65" s="491">
        <f t="shared" si="8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6"/>
        <v>0</v>
      </c>
      <c r="G66" s="526">
        <f t="shared" si="7"/>
        <v>0</v>
      </c>
      <c r="H66" s="491">
        <f t="shared" si="8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6"/>
        <v>0</v>
      </c>
      <c r="G67" s="526">
        <f t="shared" si="7"/>
        <v>0</v>
      </c>
      <c r="H67" s="491">
        <f t="shared" si="8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6"/>
        <v>0</v>
      </c>
      <c r="G68" s="526">
        <f t="shared" si="7"/>
        <v>0</v>
      </c>
      <c r="H68" s="491">
        <f t="shared" si="8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6"/>
        <v>0</v>
      </c>
      <c r="G69" s="526">
        <f t="shared" si="7"/>
        <v>0</v>
      </c>
      <c r="H69" s="491">
        <f t="shared" si="8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6"/>
        <v>0</v>
      </c>
      <c r="G70" s="526">
        <f t="shared" si="7"/>
        <v>0</v>
      </c>
      <c r="H70" s="491">
        <f t="shared" si="8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6"/>
        <v>0</v>
      </c>
      <c r="G71" s="526">
        <f t="shared" si="7"/>
        <v>0</v>
      </c>
      <c r="H71" s="491">
        <f t="shared" si="8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6"/>
        <v>0</v>
      </c>
      <c r="G72" s="530">
        <f t="shared" si="7"/>
        <v>0</v>
      </c>
      <c r="H72" s="471">
        <f t="shared" si="8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7196364</v>
      </c>
      <c r="F73" s="375"/>
      <c r="G73" s="375">
        <f>SUM(G17:G72)</f>
        <v>23497027.520846881</v>
      </c>
      <c r="H73" s="375">
        <f>SUM(H17:H72)</f>
        <v>23497027.520846881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70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873342.3819354173</v>
      </c>
      <c r="N87" s="546">
        <f>IF(J92&lt;D11,0,VLOOKUP(J92,C17:O72,11))</f>
        <v>873342.3819354173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909048.49398459145</v>
      </c>
      <c r="N88" s="550">
        <f>IF(J92&lt;D11,0,VLOOKUP(J92,C99:P154,7))</f>
        <v>909048.49398459145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Linwood - South Shreveport 138 KV Kine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35706.112049174146</v>
      </c>
      <c r="N89" s="555">
        <f>+N88-N87</f>
        <v>35706.112049174146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TP2014139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7196364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5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171342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2018</v>
      </c>
      <c r="D99" s="629">
        <v>0</v>
      </c>
      <c r="E99" s="630">
        <v>85659.654761904763</v>
      </c>
      <c r="F99" s="631">
        <v>7109751.3452380951</v>
      </c>
      <c r="G99" s="631">
        <v>3554875.6726190476</v>
      </c>
      <c r="H99" s="633">
        <v>461070.82780968421</v>
      </c>
      <c r="I99" s="634">
        <v>461070.82780968421</v>
      </c>
      <c r="J99" s="514">
        <f t="shared" ref="J99:J130" si="9">+I99-H99</f>
        <v>0</v>
      </c>
      <c r="K99" s="514"/>
      <c r="L99" s="512">
        <f>+H99</f>
        <v>461070.82780968421</v>
      </c>
      <c r="M99" s="513">
        <f t="shared" ref="M99:M100" si="10">IF(L99&lt;&gt;0,+H99-L99,0)</f>
        <v>0</v>
      </c>
      <c r="N99" s="512">
        <f>+I99</f>
        <v>461070.82780968421</v>
      </c>
      <c r="O99" s="513">
        <f t="shared" ref="O99:O130" si="11">IF(N99&lt;&gt;0,+I99-N99,0)</f>
        <v>0</v>
      </c>
      <c r="P99" s="513">
        <f t="shared" ref="P99:P130" si="12">+O99-M99</f>
        <v>0</v>
      </c>
    </row>
    <row r="100" spans="1:16" ht="12.5">
      <c r="B100" s="195" t="str">
        <f>IF(D100=F99,"","IU")</f>
        <v>IU</v>
      </c>
      <c r="C100" s="507">
        <f>IF(D93="","-",+C99+1)</f>
        <v>2019</v>
      </c>
      <c r="D100" s="629">
        <v>7110704.3452380951</v>
      </c>
      <c r="E100" s="630">
        <v>167357.3023255814</v>
      </c>
      <c r="F100" s="631">
        <v>6943347.0429125139</v>
      </c>
      <c r="G100" s="631">
        <v>7027025.694075305</v>
      </c>
      <c r="H100" s="633">
        <v>919533.97318451235</v>
      </c>
      <c r="I100" s="634">
        <v>919533.97318451235</v>
      </c>
      <c r="J100" s="514">
        <f t="shared" si="9"/>
        <v>0</v>
      </c>
      <c r="K100" s="514"/>
      <c r="L100" s="655">
        <f>+H100</f>
        <v>919533.97318451235</v>
      </c>
      <c r="M100" s="514">
        <f t="shared" si="10"/>
        <v>0</v>
      </c>
      <c r="N100" s="655">
        <f>+I100</f>
        <v>919533.97318451235</v>
      </c>
      <c r="O100" s="514">
        <f t="shared" si="11"/>
        <v>0</v>
      </c>
      <c r="P100" s="514">
        <f t="shared" si="12"/>
        <v>0</v>
      </c>
    </row>
    <row r="101" spans="1:16" ht="12.5">
      <c r="B101" s="195" t="str">
        <f t="shared" ref="B101:B154" si="13">IF(D101=F100,"","IU")</f>
        <v/>
      </c>
      <c r="C101" s="507">
        <f>IF(D93="","-",+C100+1)</f>
        <v>2020</v>
      </c>
      <c r="D101" s="374">
        <f>IF(F100+SUM(E$99:E100)=D$92,F100,D$92-SUM(E$99:E100))</f>
        <v>6943347.0429125139</v>
      </c>
      <c r="E101" s="522">
        <f>IF(+J96&lt;F100,J96,D101)</f>
        <v>171342</v>
      </c>
      <c r="F101" s="523">
        <f t="shared" ref="F101:F154" si="14">+D101-E101</f>
        <v>6772005.0429125139</v>
      </c>
      <c r="G101" s="523">
        <f t="shared" ref="G101:G154" si="15">+(F101+D101)/2</f>
        <v>6857676.0429125139</v>
      </c>
      <c r="H101" s="526">
        <f t="shared" ref="H101:H154" si="16">+J$94*G101+E101</f>
        <v>909048.49398459145</v>
      </c>
      <c r="I101" s="577">
        <f t="shared" ref="I101:I154" si="17">+J$95*G101+E101</f>
        <v>909048.49398459145</v>
      </c>
      <c r="J101" s="514">
        <f t="shared" si="9"/>
        <v>0</v>
      </c>
      <c r="K101" s="514"/>
      <c r="L101" s="525"/>
      <c r="M101" s="514">
        <f t="shared" ref="M101:M130" si="18">IF(L101&lt;&gt;0,+H101-L101,0)</f>
        <v>0</v>
      </c>
      <c r="N101" s="525"/>
      <c r="O101" s="514">
        <f t="shared" si="11"/>
        <v>0</v>
      </c>
      <c r="P101" s="514">
        <f t="shared" si="12"/>
        <v>0</v>
      </c>
    </row>
    <row r="102" spans="1:16" ht="12.5">
      <c r="B102" s="195" t="str">
        <f t="shared" si="13"/>
        <v/>
      </c>
      <c r="C102" s="507">
        <f>IF(D93="","-",+C101+1)</f>
        <v>2021</v>
      </c>
      <c r="D102" s="374">
        <f>IF(F101+SUM(E$99:E101)=D$92,F101,D$92-SUM(E$99:E101))</f>
        <v>6772005.0429125139</v>
      </c>
      <c r="E102" s="522">
        <f>IF(+J96&lt;F101,J96,D102)</f>
        <v>171342</v>
      </c>
      <c r="F102" s="523">
        <f t="shared" si="14"/>
        <v>6600663.0429125139</v>
      </c>
      <c r="G102" s="523">
        <f t="shared" si="15"/>
        <v>6686334.0429125139</v>
      </c>
      <c r="H102" s="526">
        <f t="shared" si="16"/>
        <v>890616.57837624999</v>
      </c>
      <c r="I102" s="577">
        <f t="shared" si="17"/>
        <v>890616.57837624999</v>
      </c>
      <c r="J102" s="514">
        <f t="shared" si="9"/>
        <v>0</v>
      </c>
      <c r="K102" s="514"/>
      <c r="L102" s="525"/>
      <c r="M102" s="514">
        <f t="shared" si="18"/>
        <v>0</v>
      </c>
      <c r="N102" s="525"/>
      <c r="O102" s="514">
        <f t="shared" si="11"/>
        <v>0</v>
      </c>
      <c r="P102" s="514">
        <f t="shared" si="12"/>
        <v>0</v>
      </c>
    </row>
    <row r="103" spans="1:16" ht="12.5">
      <c r="B103" s="195" t="str">
        <f t="shared" si="13"/>
        <v/>
      </c>
      <c r="C103" s="507">
        <f>IF(D93="","-",+C102+1)</f>
        <v>2022</v>
      </c>
      <c r="D103" s="374">
        <f>IF(F102+SUM(E$99:E102)=D$92,F102,D$92-SUM(E$99:E102))</f>
        <v>6600663.0429125139</v>
      </c>
      <c r="E103" s="522">
        <f>IF(+J96&lt;F102,J96,D103)</f>
        <v>171342</v>
      </c>
      <c r="F103" s="523">
        <f t="shared" si="14"/>
        <v>6429321.0429125139</v>
      </c>
      <c r="G103" s="523">
        <f t="shared" si="15"/>
        <v>6514992.0429125139</v>
      </c>
      <c r="H103" s="526">
        <f t="shared" si="16"/>
        <v>872184.66276790865</v>
      </c>
      <c r="I103" s="577">
        <f t="shared" si="17"/>
        <v>872184.66276790865</v>
      </c>
      <c r="J103" s="514">
        <f t="shared" si="9"/>
        <v>0</v>
      </c>
      <c r="K103" s="514"/>
      <c r="L103" s="525"/>
      <c r="M103" s="514">
        <f t="shared" si="18"/>
        <v>0</v>
      </c>
      <c r="N103" s="525"/>
      <c r="O103" s="514">
        <f t="shared" si="11"/>
        <v>0</v>
      </c>
      <c r="P103" s="514">
        <f t="shared" si="12"/>
        <v>0</v>
      </c>
    </row>
    <row r="104" spans="1:16" ht="12.5">
      <c r="B104" s="195" t="str">
        <f t="shared" si="13"/>
        <v/>
      </c>
      <c r="C104" s="507">
        <f>IF(D93="","-",+C103+1)</f>
        <v>2023</v>
      </c>
      <c r="D104" s="374">
        <f>IF(F103+SUM(E$99:E103)=D$92,F103,D$92-SUM(E$99:E103))</f>
        <v>6429321.0429125139</v>
      </c>
      <c r="E104" s="522">
        <f>IF(+J96&lt;F103,J96,D104)</f>
        <v>171342</v>
      </c>
      <c r="F104" s="523">
        <f t="shared" si="14"/>
        <v>6257979.0429125139</v>
      </c>
      <c r="G104" s="523">
        <f t="shared" si="15"/>
        <v>6343650.0429125139</v>
      </c>
      <c r="H104" s="526">
        <f t="shared" si="16"/>
        <v>853752.74715956731</v>
      </c>
      <c r="I104" s="577">
        <f t="shared" si="17"/>
        <v>853752.74715956731</v>
      </c>
      <c r="J104" s="514">
        <f t="shared" si="9"/>
        <v>0</v>
      </c>
      <c r="K104" s="514"/>
      <c r="L104" s="525"/>
      <c r="M104" s="514">
        <f t="shared" si="18"/>
        <v>0</v>
      </c>
      <c r="N104" s="525"/>
      <c r="O104" s="514">
        <f t="shared" si="11"/>
        <v>0</v>
      </c>
      <c r="P104" s="514">
        <f t="shared" si="12"/>
        <v>0</v>
      </c>
    </row>
    <row r="105" spans="1:16" ht="12.5">
      <c r="B105" s="195" t="str">
        <f t="shared" si="13"/>
        <v/>
      </c>
      <c r="C105" s="507">
        <f>IF(D93="","-",+C104+1)</f>
        <v>2024</v>
      </c>
      <c r="D105" s="374">
        <f>IF(F104+SUM(E$99:E104)=D$92,F104,D$92-SUM(E$99:E104))</f>
        <v>6257979.0429125139</v>
      </c>
      <c r="E105" s="522">
        <f>IF(+J96&lt;F104,J96,D105)</f>
        <v>171342</v>
      </c>
      <c r="F105" s="523">
        <f t="shared" si="14"/>
        <v>6086637.0429125139</v>
      </c>
      <c r="G105" s="523">
        <f t="shared" si="15"/>
        <v>6172308.0429125139</v>
      </c>
      <c r="H105" s="526">
        <f t="shared" si="16"/>
        <v>835320.83155122597</v>
      </c>
      <c r="I105" s="577">
        <f t="shared" si="17"/>
        <v>835320.83155122597</v>
      </c>
      <c r="J105" s="514">
        <f t="shared" si="9"/>
        <v>0</v>
      </c>
      <c r="K105" s="514"/>
      <c r="L105" s="525"/>
      <c r="M105" s="514">
        <f t="shared" si="18"/>
        <v>0</v>
      </c>
      <c r="N105" s="525"/>
      <c r="O105" s="514">
        <f t="shared" si="11"/>
        <v>0</v>
      </c>
      <c r="P105" s="514">
        <f t="shared" si="12"/>
        <v>0</v>
      </c>
    </row>
    <row r="106" spans="1:16" ht="12.5">
      <c r="B106" s="195" t="str">
        <f t="shared" si="13"/>
        <v/>
      </c>
      <c r="C106" s="507">
        <f>IF(D93="","-",+C105+1)</f>
        <v>2025</v>
      </c>
      <c r="D106" s="374">
        <f>IF(F105+SUM(E$99:E105)=D$92,F105,D$92-SUM(E$99:E105))</f>
        <v>6086637.0429125139</v>
      </c>
      <c r="E106" s="522">
        <f>IF(+J96&lt;F105,J96,D106)</f>
        <v>171342</v>
      </c>
      <c r="F106" s="523">
        <f t="shared" si="14"/>
        <v>5915295.0429125139</v>
      </c>
      <c r="G106" s="523">
        <f t="shared" si="15"/>
        <v>6000966.0429125139</v>
      </c>
      <c r="H106" s="526">
        <f t="shared" si="16"/>
        <v>816888.91594288452</v>
      </c>
      <c r="I106" s="577">
        <f t="shared" si="17"/>
        <v>816888.91594288452</v>
      </c>
      <c r="J106" s="514">
        <f t="shared" si="9"/>
        <v>0</v>
      </c>
      <c r="K106" s="514"/>
      <c r="L106" s="525"/>
      <c r="M106" s="514">
        <f t="shared" si="18"/>
        <v>0</v>
      </c>
      <c r="N106" s="525"/>
      <c r="O106" s="514">
        <f t="shared" si="11"/>
        <v>0</v>
      </c>
      <c r="P106" s="514">
        <f t="shared" si="12"/>
        <v>0</v>
      </c>
    </row>
    <row r="107" spans="1:16" ht="12.5">
      <c r="B107" s="195" t="str">
        <f t="shared" si="13"/>
        <v/>
      </c>
      <c r="C107" s="507">
        <f>IF(D93="","-",+C106+1)</f>
        <v>2026</v>
      </c>
      <c r="D107" s="374">
        <f>IF(F106+SUM(E$99:E106)=D$92,F106,D$92-SUM(E$99:E106))</f>
        <v>5915295.0429125139</v>
      </c>
      <c r="E107" s="522">
        <f>IF(+J96&lt;F106,J96,D107)</f>
        <v>171342</v>
      </c>
      <c r="F107" s="523">
        <f t="shared" si="14"/>
        <v>5743953.0429125139</v>
      </c>
      <c r="G107" s="523">
        <f t="shared" si="15"/>
        <v>5829624.0429125139</v>
      </c>
      <c r="H107" s="526">
        <f t="shared" si="16"/>
        <v>798457.00033454318</v>
      </c>
      <c r="I107" s="577">
        <f t="shared" si="17"/>
        <v>798457.00033454318</v>
      </c>
      <c r="J107" s="514">
        <f t="shared" si="9"/>
        <v>0</v>
      </c>
      <c r="K107" s="514"/>
      <c r="L107" s="525"/>
      <c r="M107" s="514">
        <f t="shared" si="18"/>
        <v>0</v>
      </c>
      <c r="N107" s="525"/>
      <c r="O107" s="514">
        <f t="shared" si="11"/>
        <v>0</v>
      </c>
      <c r="P107" s="514">
        <f t="shared" si="12"/>
        <v>0</v>
      </c>
    </row>
    <row r="108" spans="1:16" ht="12.5">
      <c r="B108" s="195" t="str">
        <f t="shared" si="13"/>
        <v/>
      </c>
      <c r="C108" s="507">
        <f>IF(D93="","-",+C107+1)</f>
        <v>2027</v>
      </c>
      <c r="D108" s="374">
        <f>IF(F107+SUM(E$99:E107)=D$92,F107,D$92-SUM(E$99:E107))</f>
        <v>5743953.0429125139</v>
      </c>
      <c r="E108" s="522">
        <f>IF(+J96&lt;F107,J96,D108)</f>
        <v>171342</v>
      </c>
      <c r="F108" s="523">
        <f t="shared" si="14"/>
        <v>5572611.0429125139</v>
      </c>
      <c r="G108" s="523">
        <f t="shared" si="15"/>
        <v>5658282.0429125139</v>
      </c>
      <c r="H108" s="526">
        <f t="shared" si="16"/>
        <v>780025.08472620184</v>
      </c>
      <c r="I108" s="577">
        <f t="shared" si="17"/>
        <v>780025.08472620184</v>
      </c>
      <c r="J108" s="514">
        <f t="shared" si="9"/>
        <v>0</v>
      </c>
      <c r="K108" s="514"/>
      <c r="L108" s="525"/>
      <c r="M108" s="514">
        <f t="shared" si="18"/>
        <v>0</v>
      </c>
      <c r="N108" s="525"/>
      <c r="O108" s="514">
        <f t="shared" si="11"/>
        <v>0</v>
      </c>
      <c r="P108" s="514">
        <f t="shared" si="12"/>
        <v>0</v>
      </c>
    </row>
    <row r="109" spans="1:16" ht="12.5">
      <c r="B109" s="195" t="str">
        <f t="shared" si="13"/>
        <v/>
      </c>
      <c r="C109" s="507">
        <f>IF(D93="","-",+C108+1)</f>
        <v>2028</v>
      </c>
      <c r="D109" s="374">
        <f>IF(F108+SUM(E$99:E108)=D$92,F108,D$92-SUM(E$99:E108))</f>
        <v>5572611.0429125139</v>
      </c>
      <c r="E109" s="522">
        <f>IF(+J96&lt;F108,J96,D109)</f>
        <v>171342</v>
      </c>
      <c r="F109" s="523">
        <f t="shared" si="14"/>
        <v>5401269.0429125139</v>
      </c>
      <c r="G109" s="523">
        <f t="shared" si="15"/>
        <v>5486940.0429125139</v>
      </c>
      <c r="H109" s="526">
        <f t="shared" si="16"/>
        <v>761593.1691178605</v>
      </c>
      <c r="I109" s="577">
        <f t="shared" si="17"/>
        <v>761593.1691178605</v>
      </c>
      <c r="J109" s="514">
        <f t="shared" si="9"/>
        <v>0</v>
      </c>
      <c r="K109" s="514"/>
      <c r="L109" s="525"/>
      <c r="M109" s="514">
        <f t="shared" si="18"/>
        <v>0</v>
      </c>
      <c r="N109" s="525"/>
      <c r="O109" s="514">
        <f t="shared" si="11"/>
        <v>0</v>
      </c>
      <c r="P109" s="514">
        <f t="shared" si="12"/>
        <v>0</v>
      </c>
    </row>
    <row r="110" spans="1:16" ht="12.5">
      <c r="B110" s="195" t="str">
        <f t="shared" si="13"/>
        <v/>
      </c>
      <c r="C110" s="507">
        <f>IF(D93="","-",+C109+1)</f>
        <v>2029</v>
      </c>
      <c r="D110" s="374">
        <f>IF(F109+SUM(E$99:E109)=D$92,F109,D$92-SUM(E$99:E109))</f>
        <v>5401269.0429125139</v>
      </c>
      <c r="E110" s="522">
        <f>IF(+J96&lt;F109,J96,D110)</f>
        <v>171342</v>
      </c>
      <c r="F110" s="523">
        <f t="shared" si="14"/>
        <v>5229927.0429125139</v>
      </c>
      <c r="G110" s="523">
        <f t="shared" si="15"/>
        <v>5315598.0429125139</v>
      </c>
      <c r="H110" s="526">
        <f t="shared" si="16"/>
        <v>743161.25350951904</v>
      </c>
      <c r="I110" s="577">
        <f t="shared" si="17"/>
        <v>743161.25350951904</v>
      </c>
      <c r="J110" s="514">
        <f t="shared" si="9"/>
        <v>0</v>
      </c>
      <c r="K110" s="514"/>
      <c r="L110" s="525"/>
      <c r="M110" s="514">
        <f t="shared" si="18"/>
        <v>0</v>
      </c>
      <c r="N110" s="525"/>
      <c r="O110" s="514">
        <f t="shared" si="11"/>
        <v>0</v>
      </c>
      <c r="P110" s="514">
        <f t="shared" si="12"/>
        <v>0</v>
      </c>
    </row>
    <row r="111" spans="1:16" ht="12.5">
      <c r="B111" s="195" t="str">
        <f t="shared" si="13"/>
        <v/>
      </c>
      <c r="C111" s="507">
        <f>IF(D93="","-",+C110+1)</f>
        <v>2030</v>
      </c>
      <c r="D111" s="374">
        <f>IF(F110+SUM(E$99:E110)=D$92,F110,D$92-SUM(E$99:E110))</f>
        <v>5229927.0429125139</v>
      </c>
      <c r="E111" s="522">
        <f>IF(+J96&lt;F110,J96,D111)</f>
        <v>171342</v>
      </c>
      <c r="F111" s="523">
        <f t="shared" si="14"/>
        <v>5058585.0429125139</v>
      </c>
      <c r="G111" s="523">
        <f t="shared" si="15"/>
        <v>5144256.0429125139</v>
      </c>
      <c r="H111" s="526">
        <f t="shared" si="16"/>
        <v>724729.3379011777</v>
      </c>
      <c r="I111" s="577">
        <f t="shared" si="17"/>
        <v>724729.3379011777</v>
      </c>
      <c r="J111" s="514">
        <f t="shared" si="9"/>
        <v>0</v>
      </c>
      <c r="K111" s="514"/>
      <c r="L111" s="525"/>
      <c r="M111" s="514">
        <f t="shared" si="18"/>
        <v>0</v>
      </c>
      <c r="N111" s="525"/>
      <c r="O111" s="514">
        <f t="shared" si="11"/>
        <v>0</v>
      </c>
      <c r="P111" s="514">
        <f t="shared" si="12"/>
        <v>0</v>
      </c>
    </row>
    <row r="112" spans="1:16" ht="12.5">
      <c r="B112" s="195" t="str">
        <f t="shared" si="13"/>
        <v/>
      </c>
      <c r="C112" s="507">
        <f>IF(D93="","-",+C111+1)</f>
        <v>2031</v>
      </c>
      <c r="D112" s="374">
        <f>IF(F111+SUM(E$99:E111)=D$92,F111,D$92-SUM(E$99:E111))</f>
        <v>5058585.0429125139</v>
      </c>
      <c r="E112" s="522">
        <f>IF(+J96&lt;F111,J96,D112)</f>
        <v>171342</v>
      </c>
      <c r="F112" s="523">
        <f t="shared" si="14"/>
        <v>4887243.0429125139</v>
      </c>
      <c r="G112" s="523">
        <f t="shared" si="15"/>
        <v>4972914.0429125139</v>
      </c>
      <c r="H112" s="526">
        <f t="shared" si="16"/>
        <v>706297.42229283636</v>
      </c>
      <c r="I112" s="577">
        <f t="shared" si="17"/>
        <v>706297.42229283636</v>
      </c>
      <c r="J112" s="514">
        <f t="shared" si="9"/>
        <v>0</v>
      </c>
      <c r="K112" s="514"/>
      <c r="L112" s="525"/>
      <c r="M112" s="514">
        <f t="shared" si="18"/>
        <v>0</v>
      </c>
      <c r="N112" s="525"/>
      <c r="O112" s="514">
        <f t="shared" si="11"/>
        <v>0</v>
      </c>
      <c r="P112" s="514">
        <f t="shared" si="12"/>
        <v>0</v>
      </c>
    </row>
    <row r="113" spans="2:16" ht="12.5">
      <c r="B113" s="195" t="str">
        <f t="shared" si="13"/>
        <v/>
      </c>
      <c r="C113" s="507">
        <f>IF(D93="","-",+C112+1)</f>
        <v>2032</v>
      </c>
      <c r="D113" s="374">
        <f>IF(F112+SUM(E$99:E112)=D$92,F112,D$92-SUM(E$99:E112))</f>
        <v>4887243.0429125139</v>
      </c>
      <c r="E113" s="522">
        <f>IF(+J96&lt;F112,J96,D113)</f>
        <v>171342</v>
      </c>
      <c r="F113" s="523">
        <f t="shared" si="14"/>
        <v>4715901.0429125139</v>
      </c>
      <c r="G113" s="523">
        <f t="shared" si="15"/>
        <v>4801572.0429125139</v>
      </c>
      <c r="H113" s="526">
        <f t="shared" si="16"/>
        <v>687865.5066844949</v>
      </c>
      <c r="I113" s="577">
        <f t="shared" si="17"/>
        <v>687865.5066844949</v>
      </c>
      <c r="J113" s="514">
        <f t="shared" si="9"/>
        <v>0</v>
      </c>
      <c r="K113" s="514"/>
      <c r="L113" s="525"/>
      <c r="M113" s="514">
        <f t="shared" si="18"/>
        <v>0</v>
      </c>
      <c r="N113" s="525"/>
      <c r="O113" s="514">
        <f t="shared" si="11"/>
        <v>0</v>
      </c>
      <c r="P113" s="514">
        <f t="shared" si="12"/>
        <v>0</v>
      </c>
    </row>
    <row r="114" spans="2:16" ht="12.5">
      <c r="B114" s="195" t="str">
        <f t="shared" si="13"/>
        <v/>
      </c>
      <c r="C114" s="507">
        <f>IF(D93="","-",+C113+1)</f>
        <v>2033</v>
      </c>
      <c r="D114" s="374">
        <f>IF(F113+SUM(E$99:E113)=D$92,F113,D$92-SUM(E$99:E113))</f>
        <v>4715901.0429125139</v>
      </c>
      <c r="E114" s="522">
        <f>IF(+J96&lt;F113,J96,D114)</f>
        <v>171342</v>
      </c>
      <c r="F114" s="523">
        <f t="shared" si="14"/>
        <v>4544559.0429125139</v>
      </c>
      <c r="G114" s="523">
        <f t="shared" si="15"/>
        <v>4630230.0429125139</v>
      </c>
      <c r="H114" s="526">
        <f t="shared" si="16"/>
        <v>669433.59107615356</v>
      </c>
      <c r="I114" s="577">
        <f t="shared" si="17"/>
        <v>669433.59107615356</v>
      </c>
      <c r="J114" s="514">
        <f t="shared" si="9"/>
        <v>0</v>
      </c>
      <c r="K114" s="514"/>
      <c r="L114" s="525"/>
      <c r="M114" s="514">
        <f t="shared" si="18"/>
        <v>0</v>
      </c>
      <c r="N114" s="525"/>
      <c r="O114" s="514">
        <f t="shared" si="11"/>
        <v>0</v>
      </c>
      <c r="P114" s="514">
        <f t="shared" si="12"/>
        <v>0</v>
      </c>
    </row>
    <row r="115" spans="2:16" ht="12.5">
      <c r="B115" s="195" t="str">
        <f t="shared" si="13"/>
        <v/>
      </c>
      <c r="C115" s="507">
        <f>IF(D93="","-",+C114+1)</f>
        <v>2034</v>
      </c>
      <c r="D115" s="374">
        <f>IF(F114+SUM(E$99:E114)=D$92,F114,D$92-SUM(E$99:E114))</f>
        <v>4544559.0429125139</v>
      </c>
      <c r="E115" s="522">
        <f>IF(+J96&lt;F114,J96,D115)</f>
        <v>171342</v>
      </c>
      <c r="F115" s="523">
        <f t="shared" si="14"/>
        <v>4373217.0429125139</v>
      </c>
      <c r="G115" s="523">
        <f t="shared" si="15"/>
        <v>4458888.0429125139</v>
      </c>
      <c r="H115" s="526">
        <f t="shared" si="16"/>
        <v>651001.67546781222</v>
      </c>
      <c r="I115" s="577">
        <f t="shared" si="17"/>
        <v>651001.67546781222</v>
      </c>
      <c r="J115" s="514">
        <f t="shared" si="9"/>
        <v>0</v>
      </c>
      <c r="K115" s="514"/>
      <c r="L115" s="525"/>
      <c r="M115" s="514">
        <f t="shared" si="18"/>
        <v>0</v>
      </c>
      <c r="N115" s="525"/>
      <c r="O115" s="514">
        <f t="shared" si="11"/>
        <v>0</v>
      </c>
      <c r="P115" s="514">
        <f t="shared" si="12"/>
        <v>0</v>
      </c>
    </row>
    <row r="116" spans="2:16" ht="12.5">
      <c r="B116" s="195" t="str">
        <f t="shared" si="13"/>
        <v/>
      </c>
      <c r="C116" s="507">
        <f>IF(D93="","-",+C115+1)</f>
        <v>2035</v>
      </c>
      <c r="D116" s="374">
        <f>IF(F115+SUM(E$99:E115)=D$92,F115,D$92-SUM(E$99:E115))</f>
        <v>4373217.0429125139</v>
      </c>
      <c r="E116" s="522">
        <f>IF(+J96&lt;F115,J96,D116)</f>
        <v>171342</v>
      </c>
      <c r="F116" s="523">
        <f t="shared" si="14"/>
        <v>4201875.0429125139</v>
      </c>
      <c r="G116" s="523">
        <f t="shared" si="15"/>
        <v>4287546.0429125139</v>
      </c>
      <c r="H116" s="526">
        <f t="shared" si="16"/>
        <v>632569.75985947088</v>
      </c>
      <c r="I116" s="577">
        <f t="shared" si="17"/>
        <v>632569.75985947088</v>
      </c>
      <c r="J116" s="514">
        <f t="shared" si="9"/>
        <v>0</v>
      </c>
      <c r="K116" s="514"/>
      <c r="L116" s="525"/>
      <c r="M116" s="514">
        <f t="shared" si="18"/>
        <v>0</v>
      </c>
      <c r="N116" s="525"/>
      <c r="O116" s="514">
        <f t="shared" si="11"/>
        <v>0</v>
      </c>
      <c r="P116" s="514">
        <f t="shared" si="12"/>
        <v>0</v>
      </c>
    </row>
    <row r="117" spans="2:16" ht="12.5">
      <c r="B117" s="195" t="str">
        <f t="shared" si="13"/>
        <v/>
      </c>
      <c r="C117" s="507">
        <f>IF(D93="","-",+C116+1)</f>
        <v>2036</v>
      </c>
      <c r="D117" s="374">
        <f>IF(F116+SUM(E$99:E116)=D$92,F116,D$92-SUM(E$99:E116))</f>
        <v>4201875.0429125139</v>
      </c>
      <c r="E117" s="522">
        <f>IF(+J96&lt;F116,J96,D117)</f>
        <v>171342</v>
      </c>
      <c r="F117" s="523">
        <f t="shared" si="14"/>
        <v>4030533.0429125139</v>
      </c>
      <c r="G117" s="523">
        <f t="shared" si="15"/>
        <v>4116204.0429125139</v>
      </c>
      <c r="H117" s="526">
        <f t="shared" si="16"/>
        <v>614137.84425112954</v>
      </c>
      <c r="I117" s="577">
        <f t="shared" si="17"/>
        <v>614137.84425112954</v>
      </c>
      <c r="J117" s="514">
        <f t="shared" si="9"/>
        <v>0</v>
      </c>
      <c r="K117" s="514"/>
      <c r="L117" s="525"/>
      <c r="M117" s="514">
        <f t="shared" si="18"/>
        <v>0</v>
      </c>
      <c r="N117" s="525"/>
      <c r="O117" s="514">
        <f t="shared" si="11"/>
        <v>0</v>
      </c>
      <c r="P117" s="514">
        <f t="shared" si="12"/>
        <v>0</v>
      </c>
    </row>
    <row r="118" spans="2:16" ht="12.5">
      <c r="B118" s="195" t="str">
        <f t="shared" si="13"/>
        <v/>
      </c>
      <c r="C118" s="507">
        <f>IF(D93="","-",+C117+1)</f>
        <v>2037</v>
      </c>
      <c r="D118" s="374">
        <f>IF(F117+SUM(E$99:E117)=D$92,F117,D$92-SUM(E$99:E117))</f>
        <v>4030533.0429125139</v>
      </c>
      <c r="E118" s="522">
        <f>IF(+J96&lt;F117,J96,D118)</f>
        <v>171342</v>
      </c>
      <c r="F118" s="523">
        <f t="shared" si="14"/>
        <v>3859191.0429125139</v>
      </c>
      <c r="G118" s="523">
        <f t="shared" si="15"/>
        <v>3944862.0429125139</v>
      </c>
      <c r="H118" s="526">
        <f t="shared" si="16"/>
        <v>595705.92864278809</v>
      </c>
      <c r="I118" s="577">
        <f t="shared" si="17"/>
        <v>595705.92864278809</v>
      </c>
      <c r="J118" s="514">
        <f t="shared" si="9"/>
        <v>0</v>
      </c>
      <c r="K118" s="514"/>
      <c r="L118" s="525"/>
      <c r="M118" s="514">
        <f t="shared" si="18"/>
        <v>0</v>
      </c>
      <c r="N118" s="525"/>
      <c r="O118" s="514">
        <f t="shared" si="11"/>
        <v>0</v>
      </c>
      <c r="P118" s="514">
        <f t="shared" si="12"/>
        <v>0</v>
      </c>
    </row>
    <row r="119" spans="2:16" ht="12.5">
      <c r="B119" s="195" t="str">
        <f t="shared" si="13"/>
        <v/>
      </c>
      <c r="C119" s="507">
        <f>IF(D93="","-",+C118+1)</f>
        <v>2038</v>
      </c>
      <c r="D119" s="374">
        <f>IF(F118+SUM(E$99:E118)=D$92,F118,D$92-SUM(E$99:E118))</f>
        <v>3859191.0429125139</v>
      </c>
      <c r="E119" s="522">
        <f>IF(+J96&lt;F118,J96,D119)</f>
        <v>171342</v>
      </c>
      <c r="F119" s="523">
        <f t="shared" si="14"/>
        <v>3687849.0429125139</v>
      </c>
      <c r="G119" s="523">
        <f t="shared" si="15"/>
        <v>3773520.0429125139</v>
      </c>
      <c r="H119" s="526">
        <f t="shared" si="16"/>
        <v>577274.01303444675</v>
      </c>
      <c r="I119" s="577">
        <f t="shared" si="17"/>
        <v>577274.01303444675</v>
      </c>
      <c r="J119" s="514">
        <f t="shared" si="9"/>
        <v>0</v>
      </c>
      <c r="K119" s="514"/>
      <c r="L119" s="525"/>
      <c r="M119" s="514">
        <f t="shared" si="18"/>
        <v>0</v>
      </c>
      <c r="N119" s="525"/>
      <c r="O119" s="514">
        <f t="shared" si="11"/>
        <v>0</v>
      </c>
      <c r="P119" s="514">
        <f t="shared" si="12"/>
        <v>0</v>
      </c>
    </row>
    <row r="120" spans="2:16" ht="12.5">
      <c r="B120" s="195" t="str">
        <f t="shared" si="13"/>
        <v/>
      </c>
      <c r="C120" s="507">
        <f>IF(D93="","-",+C119+1)</f>
        <v>2039</v>
      </c>
      <c r="D120" s="374">
        <f>IF(F119+SUM(E$99:E119)=D$92,F119,D$92-SUM(E$99:E119))</f>
        <v>3687849.0429125139</v>
      </c>
      <c r="E120" s="522">
        <f>IF(+J96&lt;F119,J96,D120)</f>
        <v>171342</v>
      </c>
      <c r="F120" s="523">
        <f t="shared" si="14"/>
        <v>3516507.0429125139</v>
      </c>
      <c r="G120" s="523">
        <f t="shared" si="15"/>
        <v>3602178.0429125139</v>
      </c>
      <c r="H120" s="526">
        <f t="shared" si="16"/>
        <v>558842.09742610529</v>
      </c>
      <c r="I120" s="577">
        <f t="shared" si="17"/>
        <v>558842.09742610529</v>
      </c>
      <c r="J120" s="514">
        <f t="shared" si="9"/>
        <v>0</v>
      </c>
      <c r="K120" s="514"/>
      <c r="L120" s="525"/>
      <c r="M120" s="514">
        <f t="shared" si="18"/>
        <v>0</v>
      </c>
      <c r="N120" s="525"/>
      <c r="O120" s="514">
        <f t="shared" si="11"/>
        <v>0</v>
      </c>
      <c r="P120" s="514">
        <f t="shared" si="12"/>
        <v>0</v>
      </c>
    </row>
    <row r="121" spans="2:16" ht="12.5">
      <c r="B121" s="195" t="str">
        <f t="shared" si="13"/>
        <v/>
      </c>
      <c r="C121" s="507">
        <f>IF(D93="","-",+C120+1)</f>
        <v>2040</v>
      </c>
      <c r="D121" s="374">
        <f>IF(F120+SUM(E$99:E120)=D$92,F120,D$92-SUM(E$99:E120))</f>
        <v>3516507.0429125139</v>
      </c>
      <c r="E121" s="522">
        <f>IF(+J96&lt;F120,J96,D121)</f>
        <v>171342</v>
      </c>
      <c r="F121" s="523">
        <f t="shared" si="14"/>
        <v>3345165.0429125139</v>
      </c>
      <c r="G121" s="523">
        <f t="shared" si="15"/>
        <v>3430836.0429125139</v>
      </c>
      <c r="H121" s="526">
        <f t="shared" si="16"/>
        <v>540410.18181776395</v>
      </c>
      <c r="I121" s="577">
        <f t="shared" si="17"/>
        <v>540410.18181776395</v>
      </c>
      <c r="J121" s="514">
        <f t="shared" si="9"/>
        <v>0</v>
      </c>
      <c r="K121" s="514"/>
      <c r="L121" s="525"/>
      <c r="M121" s="514">
        <f t="shared" si="18"/>
        <v>0</v>
      </c>
      <c r="N121" s="525"/>
      <c r="O121" s="514">
        <f t="shared" si="11"/>
        <v>0</v>
      </c>
      <c r="P121" s="514">
        <f t="shared" si="12"/>
        <v>0</v>
      </c>
    </row>
    <row r="122" spans="2:16" ht="12.5">
      <c r="B122" s="195" t="str">
        <f t="shared" si="13"/>
        <v/>
      </c>
      <c r="C122" s="507">
        <f>IF(D93="","-",+C121+1)</f>
        <v>2041</v>
      </c>
      <c r="D122" s="374">
        <f>IF(F121+SUM(E$99:E121)=D$92,F121,D$92-SUM(E$99:E121))</f>
        <v>3345165.0429125139</v>
      </c>
      <c r="E122" s="522">
        <f>IF(+J96&lt;F121,J96,D122)</f>
        <v>171342</v>
      </c>
      <c r="F122" s="523">
        <f t="shared" si="14"/>
        <v>3173823.0429125139</v>
      </c>
      <c r="G122" s="523">
        <f t="shared" si="15"/>
        <v>3259494.0429125139</v>
      </c>
      <c r="H122" s="526">
        <f t="shared" si="16"/>
        <v>521978.26620942261</v>
      </c>
      <c r="I122" s="577">
        <f t="shared" si="17"/>
        <v>521978.26620942261</v>
      </c>
      <c r="J122" s="514">
        <f t="shared" si="9"/>
        <v>0</v>
      </c>
      <c r="K122" s="514"/>
      <c r="L122" s="525"/>
      <c r="M122" s="514">
        <f t="shared" si="18"/>
        <v>0</v>
      </c>
      <c r="N122" s="525"/>
      <c r="O122" s="514">
        <f t="shared" si="11"/>
        <v>0</v>
      </c>
      <c r="P122" s="514">
        <f t="shared" si="12"/>
        <v>0</v>
      </c>
    </row>
    <row r="123" spans="2:16" ht="12.5">
      <c r="B123" s="195" t="str">
        <f t="shared" si="13"/>
        <v/>
      </c>
      <c r="C123" s="507">
        <f>IF(D93="","-",+C122+1)</f>
        <v>2042</v>
      </c>
      <c r="D123" s="374">
        <f>IF(F122+SUM(E$99:E122)=D$92,F122,D$92-SUM(E$99:E122))</f>
        <v>3173823.0429125139</v>
      </c>
      <c r="E123" s="522">
        <f>IF(+J96&lt;F122,J96,D123)</f>
        <v>171342</v>
      </c>
      <c r="F123" s="523">
        <f t="shared" si="14"/>
        <v>3002481.0429125139</v>
      </c>
      <c r="G123" s="523">
        <f t="shared" si="15"/>
        <v>3088152.0429125139</v>
      </c>
      <c r="H123" s="526">
        <f t="shared" si="16"/>
        <v>503546.35060108121</v>
      </c>
      <c r="I123" s="577">
        <f t="shared" si="17"/>
        <v>503546.35060108121</v>
      </c>
      <c r="J123" s="514">
        <f t="shared" si="9"/>
        <v>0</v>
      </c>
      <c r="K123" s="514"/>
      <c r="L123" s="525"/>
      <c r="M123" s="514">
        <f t="shared" si="18"/>
        <v>0</v>
      </c>
      <c r="N123" s="525"/>
      <c r="O123" s="514">
        <f t="shared" si="11"/>
        <v>0</v>
      </c>
      <c r="P123" s="514">
        <f t="shared" si="12"/>
        <v>0</v>
      </c>
    </row>
    <row r="124" spans="2:16" ht="12.5">
      <c r="B124" s="195" t="str">
        <f t="shared" si="13"/>
        <v/>
      </c>
      <c r="C124" s="507">
        <f>IF(D93="","-",+C123+1)</f>
        <v>2043</v>
      </c>
      <c r="D124" s="374">
        <f>IF(F123+SUM(E$99:E123)=D$92,F123,D$92-SUM(E$99:E123))</f>
        <v>3002481.0429125139</v>
      </c>
      <c r="E124" s="522">
        <f>IF(+J96&lt;F123,J96,D124)</f>
        <v>171342</v>
      </c>
      <c r="F124" s="523">
        <f t="shared" si="14"/>
        <v>2831139.0429125139</v>
      </c>
      <c r="G124" s="523">
        <f t="shared" si="15"/>
        <v>2916810.0429125139</v>
      </c>
      <c r="H124" s="526">
        <f t="shared" si="16"/>
        <v>485114.43499273987</v>
      </c>
      <c r="I124" s="577">
        <f t="shared" si="17"/>
        <v>485114.43499273987</v>
      </c>
      <c r="J124" s="514">
        <f t="shared" si="9"/>
        <v>0</v>
      </c>
      <c r="K124" s="514"/>
      <c r="L124" s="525"/>
      <c r="M124" s="514">
        <f t="shared" si="18"/>
        <v>0</v>
      </c>
      <c r="N124" s="525"/>
      <c r="O124" s="514">
        <f t="shared" si="11"/>
        <v>0</v>
      </c>
      <c r="P124" s="514">
        <f t="shared" si="12"/>
        <v>0</v>
      </c>
    </row>
    <row r="125" spans="2:16" ht="12.5">
      <c r="B125" s="195" t="str">
        <f t="shared" si="13"/>
        <v/>
      </c>
      <c r="C125" s="507">
        <f>IF(D93="","-",+C124+1)</f>
        <v>2044</v>
      </c>
      <c r="D125" s="374">
        <f>IF(F124+SUM(E$99:E124)=D$92,F124,D$92-SUM(E$99:E124))</f>
        <v>2831139.0429125139</v>
      </c>
      <c r="E125" s="522">
        <f>IF(+J96&lt;F124,J96,D125)</f>
        <v>171342</v>
      </c>
      <c r="F125" s="523">
        <f t="shared" si="14"/>
        <v>2659797.0429125139</v>
      </c>
      <c r="G125" s="523">
        <f t="shared" si="15"/>
        <v>2745468.0429125139</v>
      </c>
      <c r="H125" s="526">
        <f t="shared" si="16"/>
        <v>466682.51938439847</v>
      </c>
      <c r="I125" s="577">
        <f t="shared" si="17"/>
        <v>466682.51938439847</v>
      </c>
      <c r="J125" s="514">
        <f t="shared" si="9"/>
        <v>0</v>
      </c>
      <c r="K125" s="514"/>
      <c r="L125" s="525"/>
      <c r="M125" s="514">
        <f t="shared" si="18"/>
        <v>0</v>
      </c>
      <c r="N125" s="525"/>
      <c r="O125" s="514">
        <f t="shared" si="11"/>
        <v>0</v>
      </c>
      <c r="P125" s="514">
        <f t="shared" si="12"/>
        <v>0</v>
      </c>
    </row>
    <row r="126" spans="2:16" ht="12.5">
      <c r="B126" s="195" t="str">
        <f t="shared" si="13"/>
        <v/>
      </c>
      <c r="C126" s="507">
        <f>IF(D93="","-",+C125+1)</f>
        <v>2045</v>
      </c>
      <c r="D126" s="374">
        <f>IF(F125+SUM(E$99:E125)=D$92,F125,D$92-SUM(E$99:E125))</f>
        <v>2659797.0429125139</v>
      </c>
      <c r="E126" s="522">
        <f>IF(+J96&lt;F125,J96,D126)</f>
        <v>171342</v>
      </c>
      <c r="F126" s="523">
        <f t="shared" si="14"/>
        <v>2488455.0429125139</v>
      </c>
      <c r="G126" s="523">
        <f t="shared" si="15"/>
        <v>2574126.0429125139</v>
      </c>
      <c r="H126" s="526">
        <f t="shared" si="16"/>
        <v>448250.60377605713</v>
      </c>
      <c r="I126" s="577">
        <f t="shared" si="17"/>
        <v>448250.60377605713</v>
      </c>
      <c r="J126" s="514">
        <f t="shared" si="9"/>
        <v>0</v>
      </c>
      <c r="K126" s="514"/>
      <c r="L126" s="525"/>
      <c r="M126" s="514">
        <f t="shared" si="18"/>
        <v>0</v>
      </c>
      <c r="N126" s="525"/>
      <c r="O126" s="514">
        <f t="shared" si="11"/>
        <v>0</v>
      </c>
      <c r="P126" s="514">
        <f t="shared" si="12"/>
        <v>0</v>
      </c>
    </row>
    <row r="127" spans="2:16" ht="12.5">
      <c r="B127" s="195" t="str">
        <f t="shared" si="13"/>
        <v/>
      </c>
      <c r="C127" s="507">
        <f>IF(D93="","-",+C126+1)</f>
        <v>2046</v>
      </c>
      <c r="D127" s="374">
        <f>IF(F126+SUM(E$99:E126)=D$92,F126,D$92-SUM(E$99:E126))</f>
        <v>2488455.0429125139</v>
      </c>
      <c r="E127" s="522">
        <f>IF(+J96&lt;F126,J96,D127)</f>
        <v>171342</v>
      </c>
      <c r="F127" s="523">
        <f t="shared" si="14"/>
        <v>2317113.0429125139</v>
      </c>
      <c r="G127" s="523">
        <f t="shared" si="15"/>
        <v>2402784.0429125139</v>
      </c>
      <c r="H127" s="526">
        <f t="shared" si="16"/>
        <v>429818.68816771574</v>
      </c>
      <c r="I127" s="577">
        <f t="shared" si="17"/>
        <v>429818.68816771574</v>
      </c>
      <c r="J127" s="514">
        <f t="shared" si="9"/>
        <v>0</v>
      </c>
      <c r="K127" s="514"/>
      <c r="L127" s="525"/>
      <c r="M127" s="514">
        <f t="shared" si="18"/>
        <v>0</v>
      </c>
      <c r="N127" s="525"/>
      <c r="O127" s="514">
        <f t="shared" si="11"/>
        <v>0</v>
      </c>
      <c r="P127" s="514">
        <f t="shared" si="12"/>
        <v>0</v>
      </c>
    </row>
    <row r="128" spans="2:16" ht="12.5">
      <c r="B128" s="195" t="str">
        <f t="shared" si="13"/>
        <v/>
      </c>
      <c r="C128" s="507">
        <f>IF(D93="","-",+C127+1)</f>
        <v>2047</v>
      </c>
      <c r="D128" s="374">
        <f>IF(F127+SUM(E$99:E127)=D$92,F127,D$92-SUM(E$99:E127))</f>
        <v>2317113.0429125139</v>
      </c>
      <c r="E128" s="522">
        <f>IF(+J96&lt;F127,J96,D128)</f>
        <v>171342</v>
      </c>
      <c r="F128" s="523">
        <f t="shared" si="14"/>
        <v>2145771.0429125139</v>
      </c>
      <c r="G128" s="523">
        <f t="shared" si="15"/>
        <v>2231442.0429125139</v>
      </c>
      <c r="H128" s="526">
        <f t="shared" si="16"/>
        <v>411386.77255937434</v>
      </c>
      <c r="I128" s="577">
        <f t="shared" si="17"/>
        <v>411386.77255937434</v>
      </c>
      <c r="J128" s="514">
        <f t="shared" si="9"/>
        <v>0</v>
      </c>
      <c r="K128" s="514"/>
      <c r="L128" s="525"/>
      <c r="M128" s="514">
        <f t="shared" si="18"/>
        <v>0</v>
      </c>
      <c r="N128" s="525"/>
      <c r="O128" s="514">
        <f t="shared" si="11"/>
        <v>0</v>
      </c>
      <c r="P128" s="514">
        <f t="shared" si="12"/>
        <v>0</v>
      </c>
    </row>
    <row r="129" spans="2:16" ht="12.5">
      <c r="B129" s="195" t="str">
        <f t="shared" si="13"/>
        <v/>
      </c>
      <c r="C129" s="507">
        <f>IF(D93="","-",+C128+1)</f>
        <v>2048</v>
      </c>
      <c r="D129" s="374">
        <f>IF(F128+SUM(E$99:E128)=D$92,F128,D$92-SUM(E$99:E128))</f>
        <v>2145771.0429125139</v>
      </c>
      <c r="E129" s="522">
        <f>IF(+J96&lt;F128,J96,D129)</f>
        <v>171342</v>
      </c>
      <c r="F129" s="523">
        <f t="shared" si="14"/>
        <v>1974429.0429125139</v>
      </c>
      <c r="G129" s="523">
        <f t="shared" si="15"/>
        <v>2060100.0429125139</v>
      </c>
      <c r="H129" s="526">
        <f t="shared" si="16"/>
        <v>392954.856951033</v>
      </c>
      <c r="I129" s="577">
        <f t="shared" si="17"/>
        <v>392954.856951033</v>
      </c>
      <c r="J129" s="514">
        <f t="shared" si="9"/>
        <v>0</v>
      </c>
      <c r="K129" s="514"/>
      <c r="L129" s="525"/>
      <c r="M129" s="514">
        <f t="shared" si="18"/>
        <v>0</v>
      </c>
      <c r="N129" s="525"/>
      <c r="O129" s="514">
        <f t="shared" si="11"/>
        <v>0</v>
      </c>
      <c r="P129" s="514">
        <f t="shared" si="12"/>
        <v>0</v>
      </c>
    </row>
    <row r="130" spans="2:16" ht="12.5">
      <c r="B130" s="195" t="str">
        <f t="shared" si="13"/>
        <v/>
      </c>
      <c r="C130" s="507">
        <f>IF(D93="","-",+C129+1)</f>
        <v>2049</v>
      </c>
      <c r="D130" s="374">
        <f>IF(F129+SUM(E$99:E129)=D$92,F129,D$92-SUM(E$99:E129))</f>
        <v>1974429.0429125139</v>
      </c>
      <c r="E130" s="522">
        <f>IF(+J96&lt;F129,J96,D130)</f>
        <v>171342</v>
      </c>
      <c r="F130" s="523">
        <f t="shared" si="14"/>
        <v>1803087.0429125139</v>
      </c>
      <c r="G130" s="523">
        <f t="shared" si="15"/>
        <v>1888758.0429125139</v>
      </c>
      <c r="H130" s="526">
        <f t="shared" si="16"/>
        <v>374522.94134269166</v>
      </c>
      <c r="I130" s="577">
        <f t="shared" si="17"/>
        <v>374522.94134269166</v>
      </c>
      <c r="J130" s="514">
        <f t="shared" si="9"/>
        <v>0</v>
      </c>
      <c r="K130" s="514"/>
      <c r="L130" s="525"/>
      <c r="M130" s="514">
        <f t="shared" si="18"/>
        <v>0</v>
      </c>
      <c r="N130" s="525"/>
      <c r="O130" s="514">
        <f t="shared" si="11"/>
        <v>0</v>
      </c>
      <c r="P130" s="514">
        <f t="shared" si="12"/>
        <v>0</v>
      </c>
    </row>
    <row r="131" spans="2:16" ht="12.5">
      <c r="B131" s="195" t="str">
        <f t="shared" si="13"/>
        <v/>
      </c>
      <c r="C131" s="507">
        <f>IF(D93="","-",+C130+1)</f>
        <v>2050</v>
      </c>
      <c r="D131" s="374">
        <f>IF(F130+SUM(E$99:E130)=D$92,F130,D$92-SUM(E$99:E130))</f>
        <v>1803087.0429125139</v>
      </c>
      <c r="E131" s="522">
        <f>IF(+J96&lt;F130,J96,D131)</f>
        <v>171342</v>
      </c>
      <c r="F131" s="523">
        <f t="shared" si="14"/>
        <v>1631745.0429125139</v>
      </c>
      <c r="G131" s="523">
        <f t="shared" si="15"/>
        <v>1717416.0429125139</v>
      </c>
      <c r="H131" s="526">
        <f t="shared" si="16"/>
        <v>356091.02573435026</v>
      </c>
      <c r="I131" s="577">
        <f t="shared" si="17"/>
        <v>356091.02573435026</v>
      </c>
      <c r="J131" s="514">
        <f t="shared" ref="J131:J154" si="19">+I541-H541</f>
        <v>0</v>
      </c>
      <c r="K131" s="514"/>
      <c r="L131" s="525"/>
      <c r="M131" s="514">
        <f t="shared" ref="M131:M154" si="20">IF(L541&lt;&gt;0,+H541-L541,0)</f>
        <v>0</v>
      </c>
      <c r="N131" s="525"/>
      <c r="O131" s="514">
        <f t="shared" ref="O131:O154" si="21">IF(N541&lt;&gt;0,+I541-N541,0)</f>
        <v>0</v>
      </c>
      <c r="P131" s="514">
        <f t="shared" ref="P131:P154" si="22">+O541-M541</f>
        <v>0</v>
      </c>
    </row>
    <row r="132" spans="2:16" ht="12.5">
      <c r="B132" s="195" t="str">
        <f t="shared" si="13"/>
        <v/>
      </c>
      <c r="C132" s="507">
        <f>IF(D93="","-",+C131+1)</f>
        <v>2051</v>
      </c>
      <c r="D132" s="374">
        <f>IF(F131+SUM(E$99:E131)=D$92,F131,D$92-SUM(E$99:E131))</f>
        <v>1631745.0429125139</v>
      </c>
      <c r="E132" s="522">
        <f>IF(+J96&lt;F131,J96,D132)</f>
        <v>171342</v>
      </c>
      <c r="F132" s="523">
        <f t="shared" si="14"/>
        <v>1460403.0429125139</v>
      </c>
      <c r="G132" s="523">
        <f t="shared" si="15"/>
        <v>1546074.0429125139</v>
      </c>
      <c r="H132" s="526">
        <f t="shared" si="16"/>
        <v>337659.11012600886</v>
      </c>
      <c r="I132" s="577">
        <f t="shared" si="17"/>
        <v>337659.11012600886</v>
      </c>
      <c r="J132" s="514">
        <f t="shared" si="19"/>
        <v>0</v>
      </c>
      <c r="K132" s="514"/>
      <c r="L132" s="525"/>
      <c r="M132" s="514">
        <f t="shared" si="20"/>
        <v>0</v>
      </c>
      <c r="N132" s="525"/>
      <c r="O132" s="514">
        <f t="shared" si="21"/>
        <v>0</v>
      </c>
      <c r="P132" s="514">
        <f t="shared" si="22"/>
        <v>0</v>
      </c>
    </row>
    <row r="133" spans="2:16" ht="12.5">
      <c r="B133" s="195" t="str">
        <f t="shared" si="13"/>
        <v/>
      </c>
      <c r="C133" s="507">
        <f>IF(D93="","-",+C132+1)</f>
        <v>2052</v>
      </c>
      <c r="D133" s="374">
        <f>IF(F132+SUM(E$99:E132)=D$92,F132,D$92-SUM(E$99:E132))</f>
        <v>1460403.0429125139</v>
      </c>
      <c r="E133" s="522">
        <f>IF(+J96&lt;F132,J96,D133)</f>
        <v>171342</v>
      </c>
      <c r="F133" s="523">
        <f t="shared" si="14"/>
        <v>1289061.0429125139</v>
      </c>
      <c r="G133" s="523">
        <f t="shared" si="15"/>
        <v>1374732.0429125139</v>
      </c>
      <c r="H133" s="526">
        <f t="shared" si="16"/>
        <v>319227.19451766752</v>
      </c>
      <c r="I133" s="577">
        <f t="shared" si="17"/>
        <v>319227.19451766752</v>
      </c>
      <c r="J133" s="514">
        <f t="shared" si="19"/>
        <v>0</v>
      </c>
      <c r="K133" s="514"/>
      <c r="L133" s="525"/>
      <c r="M133" s="514">
        <f t="shared" si="20"/>
        <v>0</v>
      </c>
      <c r="N133" s="525"/>
      <c r="O133" s="514">
        <f t="shared" si="21"/>
        <v>0</v>
      </c>
      <c r="P133" s="514">
        <f t="shared" si="22"/>
        <v>0</v>
      </c>
    </row>
    <row r="134" spans="2:16" ht="12.5">
      <c r="B134" s="195" t="str">
        <f t="shared" si="13"/>
        <v/>
      </c>
      <c r="C134" s="507">
        <f>IF(D93="","-",+C133+1)</f>
        <v>2053</v>
      </c>
      <c r="D134" s="374">
        <f>IF(F133+SUM(E$99:E133)=D$92,F133,D$92-SUM(E$99:E133))</f>
        <v>1289061.0429125139</v>
      </c>
      <c r="E134" s="522">
        <f>IF(+J96&lt;F133,J96,D134)</f>
        <v>171342</v>
      </c>
      <c r="F134" s="523">
        <f t="shared" si="14"/>
        <v>1117719.0429125139</v>
      </c>
      <c r="G134" s="523">
        <f t="shared" si="15"/>
        <v>1203390.0429125139</v>
      </c>
      <c r="H134" s="526">
        <f t="shared" si="16"/>
        <v>300795.27890932612</v>
      </c>
      <c r="I134" s="577">
        <f t="shared" si="17"/>
        <v>300795.27890932612</v>
      </c>
      <c r="J134" s="514">
        <f t="shared" si="19"/>
        <v>0</v>
      </c>
      <c r="K134" s="514"/>
      <c r="L134" s="525"/>
      <c r="M134" s="514">
        <f t="shared" si="20"/>
        <v>0</v>
      </c>
      <c r="N134" s="525"/>
      <c r="O134" s="514">
        <f t="shared" si="21"/>
        <v>0</v>
      </c>
      <c r="P134" s="514">
        <f t="shared" si="22"/>
        <v>0</v>
      </c>
    </row>
    <row r="135" spans="2:16" ht="12.5">
      <c r="B135" s="195" t="str">
        <f t="shared" si="13"/>
        <v/>
      </c>
      <c r="C135" s="507">
        <f>IF(D93="","-",+C134+1)</f>
        <v>2054</v>
      </c>
      <c r="D135" s="374">
        <f>IF(F134+SUM(E$99:E134)=D$92,F134,D$92-SUM(E$99:E134))</f>
        <v>1117719.0429125139</v>
      </c>
      <c r="E135" s="522">
        <f>IF(+J96&lt;F134,J96,D135)</f>
        <v>171342</v>
      </c>
      <c r="F135" s="523">
        <f t="shared" si="14"/>
        <v>946377.04291251395</v>
      </c>
      <c r="G135" s="523">
        <f t="shared" si="15"/>
        <v>1032048.0429125139</v>
      </c>
      <c r="H135" s="526">
        <f t="shared" si="16"/>
        <v>282363.36330098478</v>
      </c>
      <c r="I135" s="577">
        <f t="shared" si="17"/>
        <v>282363.36330098478</v>
      </c>
      <c r="J135" s="514">
        <f t="shared" si="19"/>
        <v>0</v>
      </c>
      <c r="K135" s="514"/>
      <c r="L135" s="525"/>
      <c r="M135" s="514">
        <f t="shared" si="20"/>
        <v>0</v>
      </c>
      <c r="N135" s="525"/>
      <c r="O135" s="514">
        <f t="shared" si="21"/>
        <v>0</v>
      </c>
      <c r="P135" s="514">
        <f t="shared" si="22"/>
        <v>0</v>
      </c>
    </row>
    <row r="136" spans="2:16" ht="12.5">
      <c r="B136" s="195" t="str">
        <f t="shared" si="13"/>
        <v/>
      </c>
      <c r="C136" s="507">
        <f>IF(D93="","-",+C135+1)</f>
        <v>2055</v>
      </c>
      <c r="D136" s="374">
        <f>IF(F135+SUM(E$99:E135)=D$92,F135,D$92-SUM(E$99:E135))</f>
        <v>946377.04291251395</v>
      </c>
      <c r="E136" s="522">
        <f>IF(+J96&lt;F135,J96,D136)</f>
        <v>171342</v>
      </c>
      <c r="F136" s="523">
        <f t="shared" si="14"/>
        <v>775035.04291251395</v>
      </c>
      <c r="G136" s="523">
        <f t="shared" si="15"/>
        <v>860706.04291251395</v>
      </c>
      <c r="H136" s="526">
        <f t="shared" si="16"/>
        <v>263931.44769264339</v>
      </c>
      <c r="I136" s="577">
        <f t="shared" si="17"/>
        <v>263931.44769264339</v>
      </c>
      <c r="J136" s="514">
        <f t="shared" si="19"/>
        <v>0</v>
      </c>
      <c r="K136" s="514"/>
      <c r="L136" s="525"/>
      <c r="M136" s="514">
        <f t="shared" si="20"/>
        <v>0</v>
      </c>
      <c r="N136" s="525"/>
      <c r="O136" s="514">
        <f t="shared" si="21"/>
        <v>0</v>
      </c>
      <c r="P136" s="514">
        <f t="shared" si="22"/>
        <v>0</v>
      </c>
    </row>
    <row r="137" spans="2:16" ht="12.5">
      <c r="B137" s="195" t="str">
        <f t="shared" si="13"/>
        <v/>
      </c>
      <c r="C137" s="507">
        <f>IF(D93="","-",+C136+1)</f>
        <v>2056</v>
      </c>
      <c r="D137" s="374">
        <f>IF(F136+SUM(E$99:E136)=D$92,F136,D$92-SUM(E$99:E136))</f>
        <v>775035.04291251395</v>
      </c>
      <c r="E137" s="522">
        <f>IF(+J96&lt;F136,J96,D137)</f>
        <v>171342</v>
      </c>
      <c r="F137" s="523">
        <f t="shared" si="14"/>
        <v>603693.04291251395</v>
      </c>
      <c r="G137" s="523">
        <f t="shared" si="15"/>
        <v>689364.04291251395</v>
      </c>
      <c r="H137" s="526">
        <f t="shared" si="16"/>
        <v>245499.53208430202</v>
      </c>
      <c r="I137" s="577">
        <f t="shared" si="17"/>
        <v>245499.53208430202</v>
      </c>
      <c r="J137" s="514">
        <f t="shared" si="19"/>
        <v>0</v>
      </c>
      <c r="K137" s="514"/>
      <c r="L137" s="525"/>
      <c r="M137" s="514">
        <f t="shared" si="20"/>
        <v>0</v>
      </c>
      <c r="N137" s="525"/>
      <c r="O137" s="514">
        <f t="shared" si="21"/>
        <v>0</v>
      </c>
      <c r="P137" s="514">
        <f t="shared" si="22"/>
        <v>0</v>
      </c>
    </row>
    <row r="138" spans="2:16" ht="12.5">
      <c r="B138" s="195" t="str">
        <f t="shared" si="13"/>
        <v/>
      </c>
      <c r="C138" s="507">
        <f>IF(D93="","-",+C137+1)</f>
        <v>2057</v>
      </c>
      <c r="D138" s="374">
        <f>IF(F137+SUM(E$99:E137)=D$92,F137,D$92-SUM(E$99:E137))</f>
        <v>603693.04291251395</v>
      </c>
      <c r="E138" s="522">
        <f>IF(+J96&lt;F137,J96,D138)</f>
        <v>171342</v>
      </c>
      <c r="F138" s="523">
        <f t="shared" si="14"/>
        <v>432351.04291251395</v>
      </c>
      <c r="G138" s="523">
        <f t="shared" si="15"/>
        <v>518022.04291251395</v>
      </c>
      <c r="H138" s="526">
        <f t="shared" si="16"/>
        <v>227067.61647596065</v>
      </c>
      <c r="I138" s="577">
        <f t="shared" si="17"/>
        <v>227067.61647596065</v>
      </c>
      <c r="J138" s="514">
        <f t="shared" si="19"/>
        <v>0</v>
      </c>
      <c r="K138" s="514"/>
      <c r="L138" s="525"/>
      <c r="M138" s="514">
        <f t="shared" si="20"/>
        <v>0</v>
      </c>
      <c r="N138" s="525"/>
      <c r="O138" s="514">
        <f t="shared" si="21"/>
        <v>0</v>
      </c>
      <c r="P138" s="514">
        <f t="shared" si="22"/>
        <v>0</v>
      </c>
    </row>
    <row r="139" spans="2:16" ht="12.5">
      <c r="B139" s="195" t="str">
        <f t="shared" si="13"/>
        <v/>
      </c>
      <c r="C139" s="507">
        <f>IF(D93="","-",+C138+1)</f>
        <v>2058</v>
      </c>
      <c r="D139" s="374">
        <f>IF(F138+SUM(E$99:E138)=D$92,F138,D$92-SUM(E$99:E138))</f>
        <v>432351.04291251395</v>
      </c>
      <c r="E139" s="522">
        <f>IF(+J96&lt;F138,J96,D139)</f>
        <v>171342</v>
      </c>
      <c r="F139" s="523">
        <f t="shared" si="14"/>
        <v>261009.04291251395</v>
      </c>
      <c r="G139" s="523">
        <f t="shared" si="15"/>
        <v>346680.04291251395</v>
      </c>
      <c r="H139" s="526">
        <f t="shared" si="16"/>
        <v>208635.70086761928</v>
      </c>
      <c r="I139" s="577">
        <f t="shared" si="17"/>
        <v>208635.70086761928</v>
      </c>
      <c r="J139" s="514">
        <f t="shared" si="19"/>
        <v>0</v>
      </c>
      <c r="K139" s="514"/>
      <c r="L139" s="525"/>
      <c r="M139" s="514">
        <f t="shared" si="20"/>
        <v>0</v>
      </c>
      <c r="N139" s="525"/>
      <c r="O139" s="514">
        <f t="shared" si="21"/>
        <v>0</v>
      </c>
      <c r="P139" s="514">
        <f t="shared" si="22"/>
        <v>0</v>
      </c>
    </row>
    <row r="140" spans="2:16" ht="12.5">
      <c r="B140" s="195" t="str">
        <f t="shared" si="13"/>
        <v/>
      </c>
      <c r="C140" s="507">
        <f>IF(D93="","-",+C139+1)</f>
        <v>2059</v>
      </c>
      <c r="D140" s="374">
        <f>IF(F139+SUM(E$99:E139)=D$92,F139,D$92-SUM(E$99:E139))</f>
        <v>261009.04291251395</v>
      </c>
      <c r="E140" s="522">
        <f>IF(+J96&lt;F139,J96,D140)</f>
        <v>171342</v>
      </c>
      <c r="F140" s="523">
        <f t="shared" si="14"/>
        <v>89667.042912513949</v>
      </c>
      <c r="G140" s="523">
        <f t="shared" si="15"/>
        <v>175338.04291251395</v>
      </c>
      <c r="H140" s="526">
        <f t="shared" si="16"/>
        <v>190203.78525927791</v>
      </c>
      <c r="I140" s="577">
        <f t="shared" si="17"/>
        <v>190203.78525927791</v>
      </c>
      <c r="J140" s="514">
        <f t="shared" si="19"/>
        <v>0</v>
      </c>
      <c r="K140" s="514"/>
      <c r="L140" s="525"/>
      <c r="M140" s="514">
        <f t="shared" si="20"/>
        <v>0</v>
      </c>
      <c r="N140" s="525"/>
      <c r="O140" s="514">
        <f t="shared" si="21"/>
        <v>0</v>
      </c>
      <c r="P140" s="514">
        <f t="shared" si="22"/>
        <v>0</v>
      </c>
    </row>
    <row r="141" spans="2:16" ht="12.5">
      <c r="B141" s="195" t="str">
        <f t="shared" si="13"/>
        <v/>
      </c>
      <c r="C141" s="507">
        <f>IF(D93="","-",+C140+1)</f>
        <v>2060</v>
      </c>
      <c r="D141" s="374">
        <f>IF(F140+SUM(E$99:E140)=D$92,F140,D$92-SUM(E$99:E140))</f>
        <v>89667.042912513949</v>
      </c>
      <c r="E141" s="522">
        <f>IF(+J96&lt;F140,J96,D141)</f>
        <v>89667.042912513949</v>
      </c>
      <c r="F141" s="523">
        <f t="shared" si="14"/>
        <v>0</v>
      </c>
      <c r="G141" s="523">
        <f t="shared" si="15"/>
        <v>44833.521456256974</v>
      </c>
      <c r="H141" s="526">
        <f t="shared" si="16"/>
        <v>94489.956640067554</v>
      </c>
      <c r="I141" s="577">
        <f t="shared" si="17"/>
        <v>94489.956640067554</v>
      </c>
      <c r="J141" s="514">
        <f t="shared" si="19"/>
        <v>0</v>
      </c>
      <c r="K141" s="514"/>
      <c r="L141" s="525"/>
      <c r="M141" s="514">
        <f t="shared" si="20"/>
        <v>0</v>
      </c>
      <c r="N141" s="525"/>
      <c r="O141" s="514">
        <f t="shared" si="21"/>
        <v>0</v>
      </c>
      <c r="P141" s="514">
        <f t="shared" si="22"/>
        <v>0</v>
      </c>
    </row>
    <row r="142" spans="2:16" ht="12.5">
      <c r="B142" s="195" t="str">
        <f t="shared" si="13"/>
        <v/>
      </c>
      <c r="C142" s="507">
        <f>IF(D93="","-",+C141+1)</f>
        <v>2061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4"/>
        <v>0</v>
      </c>
      <c r="G142" s="523">
        <f t="shared" si="15"/>
        <v>0</v>
      </c>
      <c r="H142" s="526">
        <f t="shared" si="16"/>
        <v>0</v>
      </c>
      <c r="I142" s="577">
        <f t="shared" si="17"/>
        <v>0</v>
      </c>
      <c r="J142" s="514">
        <f t="shared" si="19"/>
        <v>0</v>
      </c>
      <c r="K142" s="514"/>
      <c r="L142" s="525"/>
      <c r="M142" s="514">
        <f t="shared" si="20"/>
        <v>0</v>
      </c>
      <c r="N142" s="525"/>
      <c r="O142" s="514">
        <f t="shared" si="21"/>
        <v>0</v>
      </c>
      <c r="P142" s="514">
        <f t="shared" si="22"/>
        <v>0</v>
      </c>
    </row>
    <row r="143" spans="2:16" ht="12.5">
      <c r="B143" s="195" t="str">
        <f t="shared" si="13"/>
        <v/>
      </c>
      <c r="C143" s="507">
        <f>IF(D93="","-",+C142+1)</f>
        <v>2062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4"/>
        <v>0</v>
      </c>
      <c r="G143" s="523">
        <f t="shared" si="15"/>
        <v>0</v>
      </c>
      <c r="H143" s="526">
        <f t="shared" si="16"/>
        <v>0</v>
      </c>
      <c r="I143" s="577">
        <f t="shared" si="17"/>
        <v>0</v>
      </c>
      <c r="J143" s="514">
        <f t="shared" si="19"/>
        <v>0</v>
      </c>
      <c r="K143" s="514"/>
      <c r="L143" s="525"/>
      <c r="M143" s="514">
        <f t="shared" si="20"/>
        <v>0</v>
      </c>
      <c r="N143" s="525"/>
      <c r="O143" s="514">
        <f t="shared" si="21"/>
        <v>0</v>
      </c>
      <c r="P143" s="514">
        <f t="shared" si="22"/>
        <v>0</v>
      </c>
    </row>
    <row r="144" spans="2:16" ht="12.5">
      <c r="B144" s="195" t="str">
        <f t="shared" si="13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4"/>
        <v>0</v>
      </c>
      <c r="G144" s="523">
        <f t="shared" si="15"/>
        <v>0</v>
      </c>
      <c r="H144" s="526">
        <f t="shared" si="16"/>
        <v>0</v>
      </c>
      <c r="I144" s="577">
        <f t="shared" si="17"/>
        <v>0</v>
      </c>
      <c r="J144" s="514">
        <f t="shared" si="19"/>
        <v>0</v>
      </c>
      <c r="K144" s="514"/>
      <c r="L144" s="525"/>
      <c r="M144" s="514">
        <f t="shared" si="20"/>
        <v>0</v>
      </c>
      <c r="N144" s="525"/>
      <c r="O144" s="514">
        <f t="shared" si="21"/>
        <v>0</v>
      </c>
      <c r="P144" s="514">
        <f t="shared" si="22"/>
        <v>0</v>
      </c>
    </row>
    <row r="145" spans="2:16" ht="12.5">
      <c r="B145" s="195" t="str">
        <f t="shared" si="13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4"/>
        <v>0</v>
      </c>
      <c r="G145" s="523">
        <f t="shared" si="15"/>
        <v>0</v>
      </c>
      <c r="H145" s="526">
        <f t="shared" si="16"/>
        <v>0</v>
      </c>
      <c r="I145" s="577">
        <f t="shared" si="17"/>
        <v>0</v>
      </c>
      <c r="J145" s="514">
        <f t="shared" si="19"/>
        <v>0</v>
      </c>
      <c r="K145" s="514"/>
      <c r="L145" s="525"/>
      <c r="M145" s="514">
        <f t="shared" si="20"/>
        <v>0</v>
      </c>
      <c r="N145" s="525"/>
      <c r="O145" s="514">
        <f t="shared" si="21"/>
        <v>0</v>
      </c>
      <c r="P145" s="514">
        <f t="shared" si="22"/>
        <v>0</v>
      </c>
    </row>
    <row r="146" spans="2:16" ht="12.5">
      <c r="B146" s="195" t="str">
        <f t="shared" si="13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4"/>
        <v>0</v>
      </c>
      <c r="G146" s="523">
        <f t="shared" si="15"/>
        <v>0</v>
      </c>
      <c r="H146" s="526">
        <f t="shared" si="16"/>
        <v>0</v>
      </c>
      <c r="I146" s="577">
        <f t="shared" si="17"/>
        <v>0</v>
      </c>
      <c r="J146" s="514">
        <f t="shared" si="19"/>
        <v>0</v>
      </c>
      <c r="K146" s="514"/>
      <c r="L146" s="525"/>
      <c r="M146" s="514">
        <f t="shared" si="20"/>
        <v>0</v>
      </c>
      <c r="N146" s="525"/>
      <c r="O146" s="514">
        <f t="shared" si="21"/>
        <v>0</v>
      </c>
      <c r="P146" s="514">
        <f t="shared" si="22"/>
        <v>0</v>
      </c>
    </row>
    <row r="147" spans="2:16" ht="12.5">
      <c r="B147" s="195" t="str">
        <f t="shared" si="13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4"/>
        <v>0</v>
      </c>
      <c r="G147" s="523">
        <f t="shared" si="15"/>
        <v>0</v>
      </c>
      <c r="H147" s="526">
        <f t="shared" si="16"/>
        <v>0</v>
      </c>
      <c r="I147" s="577">
        <f t="shared" si="17"/>
        <v>0</v>
      </c>
      <c r="J147" s="514">
        <f t="shared" si="19"/>
        <v>0</v>
      </c>
      <c r="K147" s="514"/>
      <c r="L147" s="525"/>
      <c r="M147" s="514">
        <f t="shared" si="20"/>
        <v>0</v>
      </c>
      <c r="N147" s="525"/>
      <c r="O147" s="514">
        <f t="shared" si="21"/>
        <v>0</v>
      </c>
      <c r="P147" s="514">
        <f t="shared" si="22"/>
        <v>0</v>
      </c>
    </row>
    <row r="148" spans="2:16" ht="12.5">
      <c r="B148" s="195" t="str">
        <f t="shared" si="13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4"/>
        <v>0</v>
      </c>
      <c r="G148" s="523">
        <f t="shared" si="15"/>
        <v>0</v>
      </c>
      <c r="H148" s="526">
        <f t="shared" si="16"/>
        <v>0</v>
      </c>
      <c r="I148" s="577">
        <f t="shared" si="17"/>
        <v>0</v>
      </c>
      <c r="J148" s="514">
        <f t="shared" si="19"/>
        <v>0</v>
      </c>
      <c r="K148" s="514"/>
      <c r="L148" s="525"/>
      <c r="M148" s="514">
        <f t="shared" si="20"/>
        <v>0</v>
      </c>
      <c r="N148" s="525"/>
      <c r="O148" s="514">
        <f t="shared" si="21"/>
        <v>0</v>
      </c>
      <c r="P148" s="514">
        <f t="shared" si="22"/>
        <v>0</v>
      </c>
    </row>
    <row r="149" spans="2:16" ht="12.5">
      <c r="B149" s="195" t="str">
        <f t="shared" si="13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4"/>
        <v>0</v>
      </c>
      <c r="G149" s="523">
        <f t="shared" si="15"/>
        <v>0</v>
      </c>
      <c r="H149" s="526">
        <f t="shared" si="16"/>
        <v>0</v>
      </c>
      <c r="I149" s="577">
        <f t="shared" si="17"/>
        <v>0</v>
      </c>
      <c r="J149" s="514">
        <f t="shared" si="19"/>
        <v>0</v>
      </c>
      <c r="K149" s="514"/>
      <c r="L149" s="525"/>
      <c r="M149" s="514">
        <f t="shared" si="20"/>
        <v>0</v>
      </c>
      <c r="N149" s="525"/>
      <c r="O149" s="514">
        <f t="shared" si="21"/>
        <v>0</v>
      </c>
      <c r="P149" s="514">
        <f t="shared" si="22"/>
        <v>0</v>
      </c>
    </row>
    <row r="150" spans="2:16" ht="12.5">
      <c r="B150" s="195" t="str">
        <f t="shared" si="13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4"/>
        <v>0</v>
      </c>
      <c r="G150" s="523">
        <f t="shared" si="15"/>
        <v>0</v>
      </c>
      <c r="H150" s="526">
        <f t="shared" si="16"/>
        <v>0</v>
      </c>
      <c r="I150" s="577">
        <f t="shared" si="17"/>
        <v>0</v>
      </c>
      <c r="J150" s="514">
        <f t="shared" si="19"/>
        <v>0</v>
      </c>
      <c r="K150" s="514"/>
      <c r="L150" s="525"/>
      <c r="M150" s="514">
        <f t="shared" si="20"/>
        <v>0</v>
      </c>
      <c r="N150" s="525"/>
      <c r="O150" s="514">
        <f t="shared" si="21"/>
        <v>0</v>
      </c>
      <c r="P150" s="514">
        <f t="shared" si="22"/>
        <v>0</v>
      </c>
    </row>
    <row r="151" spans="2:16" ht="12.5">
      <c r="B151" s="195" t="str">
        <f t="shared" si="13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4"/>
        <v>0</v>
      </c>
      <c r="G151" s="523">
        <f t="shared" si="15"/>
        <v>0</v>
      </c>
      <c r="H151" s="526">
        <f t="shared" si="16"/>
        <v>0</v>
      </c>
      <c r="I151" s="577">
        <f t="shared" si="17"/>
        <v>0</v>
      </c>
      <c r="J151" s="514">
        <f t="shared" si="19"/>
        <v>0</v>
      </c>
      <c r="K151" s="514"/>
      <c r="L151" s="525"/>
      <c r="M151" s="514">
        <f t="shared" si="20"/>
        <v>0</v>
      </c>
      <c r="N151" s="525"/>
      <c r="O151" s="514">
        <f t="shared" si="21"/>
        <v>0</v>
      </c>
      <c r="P151" s="514">
        <f t="shared" si="22"/>
        <v>0</v>
      </c>
    </row>
    <row r="152" spans="2:16" ht="12.5">
      <c r="B152" s="195" t="str">
        <f t="shared" si="13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4"/>
        <v>0</v>
      </c>
      <c r="G152" s="523">
        <f t="shared" si="15"/>
        <v>0</v>
      </c>
      <c r="H152" s="526">
        <f t="shared" si="16"/>
        <v>0</v>
      </c>
      <c r="I152" s="577">
        <f t="shared" si="17"/>
        <v>0</v>
      </c>
      <c r="J152" s="514">
        <f t="shared" si="19"/>
        <v>0</v>
      </c>
      <c r="K152" s="514"/>
      <c r="L152" s="525"/>
      <c r="M152" s="514">
        <f t="shared" si="20"/>
        <v>0</v>
      </c>
      <c r="N152" s="525"/>
      <c r="O152" s="514">
        <f t="shared" si="21"/>
        <v>0</v>
      </c>
      <c r="P152" s="514">
        <f t="shared" si="22"/>
        <v>0</v>
      </c>
    </row>
    <row r="153" spans="2:16" ht="12.5">
      <c r="B153" s="195" t="str">
        <f t="shared" si="13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4"/>
        <v>0</v>
      </c>
      <c r="G153" s="523">
        <f t="shared" si="15"/>
        <v>0</v>
      </c>
      <c r="H153" s="526">
        <f t="shared" si="16"/>
        <v>0</v>
      </c>
      <c r="I153" s="577">
        <f t="shared" si="17"/>
        <v>0</v>
      </c>
      <c r="J153" s="514">
        <f t="shared" si="19"/>
        <v>0</v>
      </c>
      <c r="K153" s="514"/>
      <c r="L153" s="525"/>
      <c r="M153" s="514">
        <f t="shared" si="20"/>
        <v>0</v>
      </c>
      <c r="N153" s="525"/>
      <c r="O153" s="514">
        <f t="shared" si="21"/>
        <v>0</v>
      </c>
      <c r="P153" s="514">
        <f t="shared" si="22"/>
        <v>0</v>
      </c>
    </row>
    <row r="154" spans="2:16" ht="13" thickBot="1">
      <c r="B154" s="195" t="str">
        <f t="shared" si="13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4"/>
        <v>0</v>
      </c>
      <c r="G154" s="528">
        <f t="shared" si="15"/>
        <v>0</v>
      </c>
      <c r="H154" s="530">
        <f t="shared" si="16"/>
        <v>0</v>
      </c>
      <c r="I154" s="579">
        <f t="shared" si="17"/>
        <v>0</v>
      </c>
      <c r="J154" s="533">
        <f t="shared" si="19"/>
        <v>0</v>
      </c>
      <c r="K154" s="514"/>
      <c r="L154" s="532"/>
      <c r="M154" s="533">
        <f t="shared" si="20"/>
        <v>0</v>
      </c>
      <c r="N154" s="532"/>
      <c r="O154" s="533">
        <f t="shared" si="21"/>
        <v>0</v>
      </c>
      <c r="P154" s="533">
        <f t="shared" si="22"/>
        <v>0</v>
      </c>
    </row>
    <row r="155" spans="2:16" ht="12.5">
      <c r="C155" s="374" t="s">
        <v>78</v>
      </c>
      <c r="D155" s="375"/>
      <c r="E155" s="375">
        <f>SUM(E99:E154)</f>
        <v>7196364</v>
      </c>
      <c r="F155" s="375"/>
      <c r="G155" s="375"/>
      <c r="H155" s="375">
        <f>SUM(H99:H154)</f>
        <v>23460140.34251165</v>
      </c>
      <c r="I155" s="375">
        <f>SUM(I99:I154)</f>
        <v>23460140.34251165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1" priority="1" stopIfTrue="1" operator="equal">
      <formula>$I$10</formula>
    </cfRule>
  </conditionalFormatting>
  <conditionalFormatting sqref="C99:C154">
    <cfRule type="cellIs" dxfId="1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zoomScale="80" zoomScaleNormal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71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208882.8109309049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208882.8109309049</v>
      </c>
      <c r="O6" s="269"/>
      <c r="P6" s="269"/>
    </row>
    <row r="7" spans="1:16" ht="13.5" thickBot="1">
      <c r="C7" s="467" t="s">
        <v>48</v>
      </c>
      <c r="D7" s="624" t="s">
        <v>437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430</v>
      </c>
      <c r="E9" s="637" t="s">
        <v>431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1742924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41498.190476190473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2018</v>
      </c>
      <c r="D17" s="631">
        <v>0</v>
      </c>
      <c r="E17" s="630">
        <v>0</v>
      </c>
      <c r="F17" s="631">
        <v>1254000</v>
      </c>
      <c r="G17" s="630">
        <v>79688.000028018621</v>
      </c>
      <c r="H17" s="639">
        <v>79688.000028018621</v>
      </c>
      <c r="I17" s="511">
        <f t="shared" ref="I17:I72" si="0">H17-G17</f>
        <v>0</v>
      </c>
      <c r="J17" s="511"/>
      <c r="K17" s="512">
        <f>+G17</f>
        <v>79688.000028018621</v>
      </c>
      <c r="L17" s="513">
        <f t="shared" ref="L17:L72" si="1">IF(K17&lt;&gt;0,+G17-K17,0)</f>
        <v>0</v>
      </c>
      <c r="M17" s="512">
        <f>+H17</f>
        <v>79688.000028018621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2019</v>
      </c>
      <c r="D18" s="631">
        <v>1254000</v>
      </c>
      <c r="E18" s="630">
        <v>30585.365853658535</v>
      </c>
      <c r="F18" s="631">
        <v>1223414.6341463414</v>
      </c>
      <c r="G18" s="630">
        <v>188017.75615291481</v>
      </c>
      <c r="H18" s="639">
        <v>188017.75615291481</v>
      </c>
      <c r="I18" s="511">
        <f t="shared" si="0"/>
        <v>0</v>
      </c>
      <c r="J18" s="511"/>
      <c r="K18" s="518">
        <f>+G18</f>
        <v>188017.75615291481</v>
      </c>
      <c r="L18" s="519">
        <f t="shared" si="1"/>
        <v>0</v>
      </c>
      <c r="M18" s="518">
        <f>+H18</f>
        <v>188017.75615291481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2020</v>
      </c>
      <c r="D19" s="631">
        <v>1659059.6341463414</v>
      </c>
      <c r="E19" s="630">
        <v>41210.853658536587</v>
      </c>
      <c r="F19" s="631">
        <v>1617848.7804878047</v>
      </c>
      <c r="G19" s="630">
        <v>208882.8109309049</v>
      </c>
      <c r="H19" s="639">
        <v>208882.8109309049</v>
      </c>
      <c r="I19" s="511">
        <f t="shared" si="0"/>
        <v>0</v>
      </c>
      <c r="J19" s="511"/>
      <c r="K19" s="518">
        <f>+G19</f>
        <v>208882.8109309049</v>
      </c>
      <c r="L19" s="519">
        <f t="shared" ref="L19" si="4">IF(K19&lt;&gt;0,+G19-K19,0)</f>
        <v>0</v>
      </c>
      <c r="M19" s="518">
        <f>+H19</f>
        <v>208882.8109309049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2021</v>
      </c>
      <c r="D20" s="523">
        <f>IF(F19+SUM(E$17:E19)=D$10,F19,D$10-SUM(E$17:E19))</f>
        <v>1671127.7804878049</v>
      </c>
      <c r="E20" s="522">
        <f>IF(+I14&lt;F19,I14,D20)</f>
        <v>41498.190476190473</v>
      </c>
      <c r="F20" s="523">
        <f t="shared" ref="F20:F72" si="6">+D20-E20</f>
        <v>1629629.5900116144</v>
      </c>
      <c r="G20" s="524">
        <f t="shared" ref="G20:G72" si="7">+I$12*((D20+F20)/2)+E20</f>
        <v>217788.29757208485</v>
      </c>
      <c r="H20" s="491">
        <f t="shared" ref="H20:H72" si="8">+I$13*((D20+F20)/2)+E20</f>
        <v>217788.29757208485</v>
      </c>
      <c r="I20" s="511">
        <f t="shared" si="0"/>
        <v>0</v>
      </c>
      <c r="J20" s="511"/>
      <c r="K20" s="525"/>
      <c r="L20" s="514">
        <f t="shared" si="1"/>
        <v>0</v>
      </c>
      <c r="M20" s="525"/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/>
      </c>
      <c r="C21" s="507">
        <f>IF(D11="","-",+C20+1)</f>
        <v>2022</v>
      </c>
      <c r="D21" s="523">
        <f>IF(F20+SUM(E$17:E20)=D$10,F20,D$10-SUM(E$17:E20))</f>
        <v>1629629.5900116144</v>
      </c>
      <c r="E21" s="522">
        <f>IF(+I14&lt;F20,I14,D21)</f>
        <v>41498.190476190473</v>
      </c>
      <c r="F21" s="523">
        <f t="shared" si="6"/>
        <v>1588131.3995354238</v>
      </c>
      <c r="G21" s="524">
        <f t="shared" si="7"/>
        <v>213355.54495069088</v>
      </c>
      <c r="H21" s="491">
        <f t="shared" si="8"/>
        <v>213355.54495069088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2023</v>
      </c>
      <c r="D22" s="523">
        <f>IF(F21+SUM(E$17:E21)=D$10,F21,D$10-SUM(E$17:E21))</f>
        <v>1588131.3995354238</v>
      </c>
      <c r="E22" s="522">
        <f>IF(+I14&lt;F21,I14,D22)</f>
        <v>41498.190476190473</v>
      </c>
      <c r="F22" s="523">
        <f t="shared" si="6"/>
        <v>1546633.2090592333</v>
      </c>
      <c r="G22" s="524">
        <f t="shared" si="7"/>
        <v>208922.79232929682</v>
      </c>
      <c r="H22" s="491">
        <f t="shared" si="8"/>
        <v>208922.79232929682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2024</v>
      </c>
      <c r="D23" s="523">
        <f>IF(F22+SUM(E$17:E22)=D$10,F22,D$10-SUM(E$17:E22))</f>
        <v>1546633.2090592333</v>
      </c>
      <c r="E23" s="522">
        <f>IF(+I14&lt;F22,I14,D23)</f>
        <v>41498.190476190473</v>
      </c>
      <c r="F23" s="523">
        <f t="shared" si="6"/>
        <v>1505135.0185830428</v>
      </c>
      <c r="G23" s="524">
        <f t="shared" si="7"/>
        <v>204490.03970790285</v>
      </c>
      <c r="H23" s="491">
        <f t="shared" si="8"/>
        <v>204490.03970790285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2025</v>
      </c>
      <c r="D24" s="523">
        <f>IF(F23+SUM(E$17:E23)=D$10,F23,D$10-SUM(E$17:E23))</f>
        <v>1505135.0185830428</v>
      </c>
      <c r="E24" s="522">
        <f>IF(+I14&lt;F23,I14,D24)</f>
        <v>41498.190476190473</v>
      </c>
      <c r="F24" s="523">
        <f t="shared" si="6"/>
        <v>1463636.8281068522</v>
      </c>
      <c r="G24" s="524">
        <f t="shared" si="7"/>
        <v>200057.28708650879</v>
      </c>
      <c r="H24" s="491">
        <f t="shared" si="8"/>
        <v>200057.28708650879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2026</v>
      </c>
      <c r="D25" s="523">
        <f>IF(F24+SUM(E$17:E24)=D$10,F24,D$10-SUM(E$17:E24))</f>
        <v>1463636.8281068522</v>
      </c>
      <c r="E25" s="522">
        <f>IF(+I14&lt;F24,I14,D25)</f>
        <v>41498.190476190473</v>
      </c>
      <c r="F25" s="523">
        <f t="shared" si="6"/>
        <v>1422138.6376306617</v>
      </c>
      <c r="G25" s="524">
        <f t="shared" si="7"/>
        <v>195624.53446511482</v>
      </c>
      <c r="H25" s="491">
        <f t="shared" si="8"/>
        <v>195624.53446511482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2027</v>
      </c>
      <c r="D26" s="523">
        <f>IF(F25+SUM(E$17:E25)=D$10,F25,D$10-SUM(E$17:E25))</f>
        <v>1422138.6376306617</v>
      </c>
      <c r="E26" s="522">
        <f>IF(+I14&lt;F25,I14,D26)</f>
        <v>41498.190476190473</v>
      </c>
      <c r="F26" s="523">
        <f t="shared" si="6"/>
        <v>1380640.4471544712</v>
      </c>
      <c r="G26" s="524">
        <f t="shared" si="7"/>
        <v>191191.78184372079</v>
      </c>
      <c r="H26" s="491">
        <f t="shared" si="8"/>
        <v>191191.78184372079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2028</v>
      </c>
      <c r="D27" s="523">
        <f>IF(F26+SUM(E$17:E26)=D$10,F26,D$10-SUM(E$17:E26))</f>
        <v>1380640.4471544712</v>
      </c>
      <c r="E27" s="522">
        <f>IF(+I14&lt;F26,I14,D27)</f>
        <v>41498.190476190473</v>
      </c>
      <c r="F27" s="523">
        <f t="shared" si="6"/>
        <v>1339142.2566782807</v>
      </c>
      <c r="G27" s="524">
        <f t="shared" si="7"/>
        <v>186759.02922232679</v>
      </c>
      <c r="H27" s="491">
        <f t="shared" si="8"/>
        <v>186759.02922232679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2029</v>
      </c>
      <c r="D28" s="523">
        <f>IF(F27+SUM(E$17:E27)=D$10,F27,D$10-SUM(E$17:E27))</f>
        <v>1339142.2566782807</v>
      </c>
      <c r="E28" s="522">
        <f>IF(+I14&lt;F27,I14,D28)</f>
        <v>41498.190476190473</v>
      </c>
      <c r="F28" s="523">
        <f t="shared" si="6"/>
        <v>1297644.0662020901</v>
      </c>
      <c r="G28" s="524">
        <f t="shared" si="7"/>
        <v>182326.27660093276</v>
      </c>
      <c r="H28" s="491">
        <f t="shared" si="8"/>
        <v>182326.27660093276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2030</v>
      </c>
      <c r="D29" s="523">
        <f>IF(F28+SUM(E$17:E28)=D$10,F28,D$10-SUM(E$17:E28))</f>
        <v>1297644.0662020901</v>
      </c>
      <c r="E29" s="522">
        <f>IF(+I14&lt;F28,I14,D29)</f>
        <v>41498.190476190473</v>
      </c>
      <c r="F29" s="523">
        <f t="shared" si="6"/>
        <v>1256145.8757258996</v>
      </c>
      <c r="G29" s="524">
        <f t="shared" si="7"/>
        <v>177893.52397953876</v>
      </c>
      <c r="H29" s="491">
        <f t="shared" si="8"/>
        <v>177893.52397953876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2031</v>
      </c>
      <c r="D30" s="523">
        <f>IF(F29+SUM(E$17:E29)=D$10,F29,D$10-SUM(E$17:E29))</f>
        <v>1256145.8757258996</v>
      </c>
      <c r="E30" s="522">
        <f>IF(+I14&lt;F29,I14,D30)</f>
        <v>41498.190476190473</v>
      </c>
      <c r="F30" s="523">
        <f t="shared" si="6"/>
        <v>1214647.6852497091</v>
      </c>
      <c r="G30" s="524">
        <f t="shared" si="7"/>
        <v>173460.77135814473</v>
      </c>
      <c r="H30" s="491">
        <f t="shared" si="8"/>
        <v>173460.77135814473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2032</v>
      </c>
      <c r="D31" s="523">
        <f>IF(F30+SUM(E$17:E30)=D$10,F30,D$10-SUM(E$17:E30))</f>
        <v>1214647.6852497091</v>
      </c>
      <c r="E31" s="522">
        <f>IF(+I14&lt;F30,I14,D31)</f>
        <v>41498.190476190473</v>
      </c>
      <c r="F31" s="523">
        <f t="shared" si="6"/>
        <v>1173149.4947735185</v>
      </c>
      <c r="G31" s="524">
        <f t="shared" si="7"/>
        <v>169028.01873675076</v>
      </c>
      <c r="H31" s="491">
        <f t="shared" si="8"/>
        <v>169028.01873675076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2033</v>
      </c>
      <c r="D32" s="523">
        <f>IF(F31+SUM(E$17:E31)=D$10,F31,D$10-SUM(E$17:E31))</f>
        <v>1173149.4947735185</v>
      </c>
      <c r="E32" s="522">
        <f>IF(+I14&lt;F31,I14,D32)</f>
        <v>41498.190476190473</v>
      </c>
      <c r="F32" s="523">
        <f t="shared" si="6"/>
        <v>1131651.304297328</v>
      </c>
      <c r="G32" s="524">
        <f t="shared" si="7"/>
        <v>164595.2661153567</v>
      </c>
      <c r="H32" s="491">
        <f t="shared" si="8"/>
        <v>164595.2661153567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2034</v>
      </c>
      <c r="D33" s="523">
        <f>IF(F32+SUM(E$17:E32)=D$10,F32,D$10-SUM(E$17:E32))</f>
        <v>1131651.304297328</v>
      </c>
      <c r="E33" s="522">
        <f>IF(+I14&lt;F32,I14,D33)</f>
        <v>41498.190476190473</v>
      </c>
      <c r="F33" s="523">
        <f t="shared" si="6"/>
        <v>1090153.1138211375</v>
      </c>
      <c r="G33" s="524">
        <f t="shared" si="7"/>
        <v>160162.5134939627</v>
      </c>
      <c r="H33" s="491">
        <f t="shared" si="8"/>
        <v>160162.5134939627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2035</v>
      </c>
      <c r="D34" s="523">
        <f>IF(F33+SUM(E$17:E33)=D$10,F33,D$10-SUM(E$17:E33))</f>
        <v>1090153.1138211375</v>
      </c>
      <c r="E34" s="522">
        <f>IF(+I14&lt;F33,I14,D34)</f>
        <v>41498.190476190473</v>
      </c>
      <c r="F34" s="523">
        <f t="shared" si="6"/>
        <v>1048654.9233449469</v>
      </c>
      <c r="G34" s="524">
        <f t="shared" si="7"/>
        <v>155729.7608725687</v>
      </c>
      <c r="H34" s="491">
        <f t="shared" si="8"/>
        <v>155729.7608725687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2036</v>
      </c>
      <c r="D35" s="523">
        <f>IF(F34+SUM(E$17:E34)=D$10,F34,D$10-SUM(E$17:E34))</f>
        <v>1048654.9233449469</v>
      </c>
      <c r="E35" s="522">
        <f>IF(+I14&lt;F34,I14,D35)</f>
        <v>41498.190476190473</v>
      </c>
      <c r="F35" s="523">
        <f t="shared" si="6"/>
        <v>1007156.7328687564</v>
      </c>
      <c r="G35" s="524">
        <f t="shared" si="7"/>
        <v>151297.0082511747</v>
      </c>
      <c r="H35" s="491">
        <f t="shared" si="8"/>
        <v>151297.0082511747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2037</v>
      </c>
      <c r="D36" s="523">
        <f>IF(F35+SUM(E$17:E35)=D$10,F35,D$10-SUM(E$17:E35))</f>
        <v>1007156.7328687564</v>
      </c>
      <c r="E36" s="522">
        <f>IF(+I14&lt;F35,I14,D36)</f>
        <v>41498.190476190473</v>
      </c>
      <c r="F36" s="523">
        <f t="shared" si="6"/>
        <v>965658.54239256587</v>
      </c>
      <c r="G36" s="524">
        <f t="shared" si="7"/>
        <v>146864.25562978067</v>
      </c>
      <c r="H36" s="491">
        <f t="shared" si="8"/>
        <v>146864.25562978067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2038</v>
      </c>
      <c r="D37" s="523">
        <f>IF(F36+SUM(E$17:E36)=D$10,F36,D$10-SUM(E$17:E36))</f>
        <v>965658.54239256587</v>
      </c>
      <c r="E37" s="522">
        <f>IF(+I14&lt;F36,I14,D37)</f>
        <v>41498.190476190473</v>
      </c>
      <c r="F37" s="523">
        <f t="shared" si="6"/>
        <v>924160.35191637534</v>
      </c>
      <c r="G37" s="524">
        <f t="shared" si="7"/>
        <v>142431.50300838664</v>
      </c>
      <c r="H37" s="491">
        <f t="shared" si="8"/>
        <v>142431.50300838664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2039</v>
      </c>
      <c r="D38" s="523">
        <f>IF(F37+SUM(E$17:E37)=D$10,F37,D$10-SUM(E$17:E37))</f>
        <v>924160.35191637534</v>
      </c>
      <c r="E38" s="522">
        <f>IF(+I14&lt;F37,I14,D38)</f>
        <v>41498.190476190473</v>
      </c>
      <c r="F38" s="523">
        <f t="shared" si="6"/>
        <v>882662.16144018481</v>
      </c>
      <c r="G38" s="524">
        <f t="shared" si="7"/>
        <v>137998.75038699264</v>
      </c>
      <c r="H38" s="491">
        <f t="shared" si="8"/>
        <v>137998.75038699264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2040</v>
      </c>
      <c r="D39" s="523">
        <f>IF(F38+SUM(E$17:E38)=D$10,F38,D$10-SUM(E$17:E38))</f>
        <v>882662.16144018481</v>
      </c>
      <c r="E39" s="522">
        <f>IF(+I14&lt;F38,I14,D39)</f>
        <v>41498.190476190473</v>
      </c>
      <c r="F39" s="523">
        <f t="shared" si="6"/>
        <v>841163.97096399427</v>
      </c>
      <c r="G39" s="524">
        <f t="shared" si="7"/>
        <v>133565.99776559864</v>
      </c>
      <c r="H39" s="491">
        <f t="shared" si="8"/>
        <v>133565.99776559864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2041</v>
      </c>
      <c r="D40" s="523">
        <f>IF(F39+SUM(E$17:E39)=D$10,F39,D$10-SUM(E$17:E39))</f>
        <v>841163.97096399427</v>
      </c>
      <c r="E40" s="522">
        <f>IF(+I14&lt;F39,I14,D40)</f>
        <v>41498.190476190473</v>
      </c>
      <c r="F40" s="523">
        <f t="shared" si="6"/>
        <v>799665.78048780374</v>
      </c>
      <c r="G40" s="524">
        <f t="shared" si="7"/>
        <v>129133.24514420463</v>
      </c>
      <c r="H40" s="491">
        <f t="shared" si="8"/>
        <v>129133.24514420463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2042</v>
      </c>
      <c r="D41" s="523">
        <f>IF(F40+SUM(E$17:E40)=D$10,F40,D$10-SUM(E$17:E40))</f>
        <v>799665.78048780374</v>
      </c>
      <c r="E41" s="522">
        <f>IF(+I14&lt;F40,I14,D41)</f>
        <v>41498.190476190473</v>
      </c>
      <c r="F41" s="523">
        <f t="shared" si="6"/>
        <v>758167.59001161321</v>
      </c>
      <c r="G41" s="524">
        <f t="shared" si="7"/>
        <v>124700.49252281061</v>
      </c>
      <c r="H41" s="491">
        <f t="shared" si="8"/>
        <v>124700.49252281061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2043</v>
      </c>
      <c r="D42" s="523">
        <f>IF(F41+SUM(E$17:E41)=D$10,F41,D$10-SUM(E$17:E41))</f>
        <v>758167.59001161321</v>
      </c>
      <c r="E42" s="522">
        <f>IF(+I14&lt;F41,I14,D42)</f>
        <v>41498.190476190473</v>
      </c>
      <c r="F42" s="523">
        <f t="shared" si="6"/>
        <v>716669.39953542268</v>
      </c>
      <c r="G42" s="524">
        <f t="shared" si="7"/>
        <v>120267.7399014166</v>
      </c>
      <c r="H42" s="491">
        <f t="shared" si="8"/>
        <v>120267.7399014166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2044</v>
      </c>
      <c r="D43" s="523">
        <f>IF(F42+SUM(E$17:E42)=D$10,F42,D$10-SUM(E$17:E42))</f>
        <v>716669.39953542268</v>
      </c>
      <c r="E43" s="522">
        <f>IF(+I14&lt;F42,I14,D43)</f>
        <v>41498.190476190473</v>
      </c>
      <c r="F43" s="523">
        <f t="shared" si="6"/>
        <v>675171.20905923215</v>
      </c>
      <c r="G43" s="524">
        <f t="shared" si="7"/>
        <v>115834.98728002259</v>
      </c>
      <c r="H43" s="491">
        <f t="shared" si="8"/>
        <v>115834.98728002259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2045</v>
      </c>
      <c r="D44" s="523">
        <f>IF(F43+SUM(E$17:E43)=D$10,F43,D$10-SUM(E$17:E43))</f>
        <v>675171.20905923215</v>
      </c>
      <c r="E44" s="522">
        <f>IF(+I14&lt;F43,I14,D44)</f>
        <v>41498.190476190473</v>
      </c>
      <c r="F44" s="523">
        <f t="shared" si="6"/>
        <v>633673.01858304162</v>
      </c>
      <c r="G44" s="524">
        <f t="shared" si="7"/>
        <v>111402.23465862857</v>
      </c>
      <c r="H44" s="491">
        <f t="shared" si="8"/>
        <v>111402.23465862857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2046</v>
      </c>
      <c r="D45" s="523">
        <f>IF(F44+SUM(E$17:E44)=D$10,F44,D$10-SUM(E$17:E44))</f>
        <v>633673.01858304162</v>
      </c>
      <c r="E45" s="522">
        <f>IF(+I14&lt;F44,I14,D45)</f>
        <v>41498.190476190473</v>
      </c>
      <c r="F45" s="523">
        <f t="shared" si="6"/>
        <v>592174.82810685108</v>
      </c>
      <c r="G45" s="524">
        <f t="shared" si="7"/>
        <v>106969.48203723456</v>
      </c>
      <c r="H45" s="491">
        <f t="shared" si="8"/>
        <v>106969.48203723456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2047</v>
      </c>
      <c r="D46" s="523">
        <f>IF(F45+SUM(E$17:E45)=D$10,F45,D$10-SUM(E$17:E45))</f>
        <v>592174.82810685108</v>
      </c>
      <c r="E46" s="522">
        <f>IF(+I14&lt;F45,I14,D46)</f>
        <v>41498.190476190473</v>
      </c>
      <c r="F46" s="523">
        <f t="shared" si="6"/>
        <v>550676.63763066055</v>
      </c>
      <c r="G46" s="524">
        <f t="shared" si="7"/>
        <v>102536.72941584056</v>
      </c>
      <c r="H46" s="491">
        <f t="shared" si="8"/>
        <v>102536.72941584056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2048</v>
      </c>
      <c r="D47" s="523">
        <f>IF(F46+SUM(E$17:E46)=D$10,F46,D$10-SUM(E$17:E46))</f>
        <v>550676.63763066055</v>
      </c>
      <c r="E47" s="522">
        <f>IF(+I14&lt;F46,I14,D47)</f>
        <v>41498.190476190473</v>
      </c>
      <c r="F47" s="523">
        <f t="shared" si="6"/>
        <v>509178.44715447008</v>
      </c>
      <c r="G47" s="524">
        <f t="shared" si="7"/>
        <v>98103.976794446542</v>
      </c>
      <c r="H47" s="491">
        <f t="shared" si="8"/>
        <v>98103.976794446542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2049</v>
      </c>
      <c r="D48" s="523">
        <f>IF(F47+SUM(E$17:E47)=D$10,F47,D$10-SUM(E$17:E47))</f>
        <v>509178.44715447008</v>
      </c>
      <c r="E48" s="522">
        <f>IF(+I14&lt;F47,I14,D48)</f>
        <v>41498.190476190473</v>
      </c>
      <c r="F48" s="523">
        <f t="shared" si="6"/>
        <v>467680.25667827961</v>
      </c>
      <c r="G48" s="524">
        <f t="shared" si="7"/>
        <v>93671.224173052542</v>
      </c>
      <c r="H48" s="491">
        <f t="shared" si="8"/>
        <v>93671.224173052542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2050</v>
      </c>
      <c r="D49" s="523">
        <f>IF(F48+SUM(E$17:E48)=D$10,F48,D$10-SUM(E$17:E48))</f>
        <v>467680.25667827961</v>
      </c>
      <c r="E49" s="522">
        <f>IF(+I14&lt;F48,I14,D49)</f>
        <v>41498.190476190473</v>
      </c>
      <c r="F49" s="523">
        <f t="shared" si="6"/>
        <v>426182.06620208913</v>
      </c>
      <c r="G49" s="524">
        <f t="shared" si="7"/>
        <v>89238.471551658527</v>
      </c>
      <c r="H49" s="491">
        <f t="shared" si="8"/>
        <v>89238.471551658527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2051</v>
      </c>
      <c r="D50" s="523">
        <f>IF(F49+SUM(E$17:E49)=D$10,F49,D$10-SUM(E$17:E49))</f>
        <v>426182.06620208913</v>
      </c>
      <c r="E50" s="522">
        <f>IF(+I14&lt;F49,I14,D50)</f>
        <v>41498.190476190473</v>
      </c>
      <c r="F50" s="523">
        <f t="shared" si="6"/>
        <v>384683.87572589866</v>
      </c>
      <c r="G50" s="524">
        <f t="shared" si="7"/>
        <v>84805.718930264527</v>
      </c>
      <c r="H50" s="491">
        <f t="shared" si="8"/>
        <v>84805.718930264527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2052</v>
      </c>
      <c r="D51" s="523">
        <f>IF(F50+SUM(E$17:E50)=D$10,F50,D$10-SUM(E$17:E50))</f>
        <v>384683.87572589866</v>
      </c>
      <c r="E51" s="522">
        <f>IF(+I14&lt;F50,I14,D51)</f>
        <v>41498.190476190473</v>
      </c>
      <c r="F51" s="523">
        <f t="shared" si="6"/>
        <v>343185.68524970819</v>
      </c>
      <c r="G51" s="524">
        <f t="shared" si="7"/>
        <v>80372.966308870513</v>
      </c>
      <c r="H51" s="491">
        <f t="shared" si="8"/>
        <v>80372.966308870513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2053</v>
      </c>
      <c r="D52" s="523">
        <f>IF(F51+SUM(E$17:E51)=D$10,F51,D$10-SUM(E$17:E51))</f>
        <v>343185.68524970819</v>
      </c>
      <c r="E52" s="522">
        <f>IF(+I14&lt;F51,I14,D52)</f>
        <v>41498.190476190473</v>
      </c>
      <c r="F52" s="523">
        <f t="shared" si="6"/>
        <v>301687.49477351771</v>
      </c>
      <c r="G52" s="524">
        <f t="shared" si="7"/>
        <v>75940.213687476527</v>
      </c>
      <c r="H52" s="491">
        <f t="shared" si="8"/>
        <v>75940.213687476527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2054</v>
      </c>
      <c r="D53" s="523">
        <f>IF(F52+SUM(E$17:E52)=D$10,F52,D$10-SUM(E$17:E52))</f>
        <v>301687.49477351771</v>
      </c>
      <c r="E53" s="522">
        <f>IF(+I14&lt;F52,I14,D53)</f>
        <v>41498.190476190473</v>
      </c>
      <c r="F53" s="523">
        <f t="shared" si="6"/>
        <v>260189.30429732724</v>
      </c>
      <c r="G53" s="524">
        <f t="shared" si="7"/>
        <v>71507.461066082498</v>
      </c>
      <c r="H53" s="491">
        <f t="shared" si="8"/>
        <v>71507.461066082498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2055</v>
      </c>
      <c r="D54" s="523">
        <f>IF(F53+SUM(E$17:E53)=D$10,F53,D$10-SUM(E$17:E53))</f>
        <v>260189.30429732724</v>
      </c>
      <c r="E54" s="522">
        <f>IF(+I14&lt;F53,I14,D54)</f>
        <v>41498.190476190473</v>
      </c>
      <c r="F54" s="523">
        <f t="shared" si="6"/>
        <v>218691.11382113677</v>
      </c>
      <c r="G54" s="524">
        <f t="shared" si="7"/>
        <v>67074.708444688498</v>
      </c>
      <c r="H54" s="491">
        <f t="shared" si="8"/>
        <v>67074.708444688498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2056</v>
      </c>
      <c r="D55" s="523">
        <f>IF(F54+SUM(E$17:E54)=D$10,F54,D$10-SUM(E$17:E54))</f>
        <v>218691.11382113677</v>
      </c>
      <c r="E55" s="522">
        <f>IF(+I14&lt;F54,I14,D55)</f>
        <v>41498.190476190473</v>
      </c>
      <c r="F55" s="523">
        <f t="shared" si="6"/>
        <v>177192.92334494629</v>
      </c>
      <c r="G55" s="524">
        <f t="shared" si="7"/>
        <v>62641.955823294498</v>
      </c>
      <c r="H55" s="491">
        <f t="shared" si="8"/>
        <v>62641.955823294498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2057</v>
      </c>
      <c r="D56" s="523">
        <f>IF(F55+SUM(E$17:E55)=D$10,F55,D$10-SUM(E$17:E55))</f>
        <v>177192.92334494629</v>
      </c>
      <c r="E56" s="522">
        <f>IF(+I14&lt;F55,I14,D56)</f>
        <v>41498.190476190473</v>
      </c>
      <c r="F56" s="523">
        <f t="shared" si="6"/>
        <v>135694.73286875582</v>
      </c>
      <c r="G56" s="524">
        <f t="shared" si="7"/>
        <v>58209.203201900491</v>
      </c>
      <c r="H56" s="491">
        <f t="shared" si="8"/>
        <v>58209.203201900491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2058</v>
      </c>
      <c r="D57" s="523">
        <f>IF(F56+SUM(E$17:E56)=D$10,F56,D$10-SUM(E$17:E56))</f>
        <v>135694.73286875582</v>
      </c>
      <c r="E57" s="522">
        <f>IF(+I14&lt;F56,I14,D57)</f>
        <v>41498.190476190473</v>
      </c>
      <c r="F57" s="523">
        <f t="shared" si="6"/>
        <v>94196.542392565345</v>
      </c>
      <c r="G57" s="524">
        <f t="shared" si="7"/>
        <v>53776.450580506484</v>
      </c>
      <c r="H57" s="491">
        <f t="shared" si="8"/>
        <v>53776.450580506484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2059</v>
      </c>
      <c r="D58" s="523">
        <f>IF(F57+SUM(E$17:E57)=D$10,F57,D$10-SUM(E$17:E57))</f>
        <v>94196.542392565345</v>
      </c>
      <c r="E58" s="522">
        <f>IF(+I14&lt;F57,I14,D58)</f>
        <v>41498.190476190473</v>
      </c>
      <c r="F58" s="523">
        <f t="shared" si="6"/>
        <v>52698.351916374872</v>
      </c>
      <c r="G58" s="524">
        <f t="shared" si="7"/>
        <v>49343.697959112476</v>
      </c>
      <c r="H58" s="491">
        <f t="shared" si="8"/>
        <v>49343.697959112476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2060</v>
      </c>
      <c r="D59" s="523">
        <f>IF(F58+SUM(E$17:E58)=D$10,F58,D$10-SUM(E$17:E58))</f>
        <v>52698.351916374872</v>
      </c>
      <c r="E59" s="522">
        <f>IF(+I14&lt;F58,I14,D59)</f>
        <v>41498.190476190473</v>
      </c>
      <c r="F59" s="523">
        <f t="shared" si="6"/>
        <v>11200.161440184398</v>
      </c>
      <c r="G59" s="524">
        <f t="shared" si="7"/>
        <v>44910.945337718476</v>
      </c>
      <c r="H59" s="491">
        <f t="shared" si="8"/>
        <v>44910.945337718476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2061</v>
      </c>
      <c r="D60" s="523">
        <f>IF(F59+SUM(E$17:E59)=D$10,F59,D$10-SUM(E$17:E59))</f>
        <v>11200.161440184398</v>
      </c>
      <c r="E60" s="522">
        <f>IF(+I14&lt;F59,I14,D60)</f>
        <v>11200.161440184398</v>
      </c>
      <c r="F60" s="523">
        <f t="shared" si="6"/>
        <v>0</v>
      </c>
      <c r="G60" s="524">
        <f t="shared" si="7"/>
        <v>11798.350715599896</v>
      </c>
      <c r="H60" s="491">
        <f t="shared" si="8"/>
        <v>11798.350715599896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6"/>
        <v>0</v>
      </c>
      <c r="G61" s="526">
        <f t="shared" si="7"/>
        <v>0</v>
      </c>
      <c r="H61" s="491">
        <f t="shared" si="8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6"/>
        <v>0</v>
      </c>
      <c r="G62" s="526">
        <f t="shared" si="7"/>
        <v>0</v>
      </c>
      <c r="H62" s="491">
        <f t="shared" si="8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6"/>
        <v>0</v>
      </c>
      <c r="G63" s="526">
        <f t="shared" si="7"/>
        <v>0</v>
      </c>
      <c r="H63" s="491">
        <f t="shared" si="8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6"/>
        <v>0</v>
      </c>
      <c r="G64" s="526">
        <f t="shared" si="7"/>
        <v>0</v>
      </c>
      <c r="H64" s="491">
        <f t="shared" si="8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6"/>
        <v>0</v>
      </c>
      <c r="G65" s="526">
        <f t="shared" si="7"/>
        <v>0</v>
      </c>
      <c r="H65" s="491">
        <f t="shared" si="8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6"/>
        <v>0</v>
      </c>
      <c r="G66" s="526">
        <f t="shared" si="7"/>
        <v>0</v>
      </c>
      <c r="H66" s="491">
        <f t="shared" si="8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6"/>
        <v>0</v>
      </c>
      <c r="G67" s="526">
        <f t="shared" si="7"/>
        <v>0</v>
      </c>
      <c r="H67" s="491">
        <f t="shared" si="8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6"/>
        <v>0</v>
      </c>
      <c r="G68" s="526">
        <f t="shared" si="7"/>
        <v>0</v>
      </c>
      <c r="H68" s="491">
        <f t="shared" si="8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6"/>
        <v>0</v>
      </c>
      <c r="G69" s="526">
        <f t="shared" si="7"/>
        <v>0</v>
      </c>
      <c r="H69" s="491">
        <f t="shared" si="8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6"/>
        <v>0</v>
      </c>
      <c r="G70" s="526">
        <f t="shared" si="7"/>
        <v>0</v>
      </c>
      <c r="H70" s="491">
        <f t="shared" si="8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6"/>
        <v>0</v>
      </c>
      <c r="G71" s="526">
        <f t="shared" si="7"/>
        <v>0</v>
      </c>
      <c r="H71" s="491">
        <f t="shared" si="8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6"/>
        <v>0</v>
      </c>
      <c r="G72" s="530">
        <f t="shared" si="7"/>
        <v>0</v>
      </c>
      <c r="H72" s="471">
        <f t="shared" si="8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1742924</v>
      </c>
      <c r="F73" s="375"/>
      <c r="G73" s="375">
        <f>SUM(G17:G72)</f>
        <v>5742371.7760235043</v>
      </c>
      <c r="H73" s="375">
        <f>SUM(H17:H72)</f>
        <v>5742371.7760235043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71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208882.8109309049</v>
      </c>
      <c r="N87" s="546">
        <f>IF(J92&lt;D11,0,VLOOKUP(J92,C17:O72,11))</f>
        <v>208882.8109309049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222398.8425566837</v>
      </c>
      <c r="N88" s="550">
        <f>IF(J92&lt;D11,0,VLOOKUP(J92,C99:P154,7))</f>
        <v>222398.8425566837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IPC 138 KV Capacitor Bank Addition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13516.031625778793</v>
      </c>
      <c r="N89" s="555">
        <f>+N88-N87</f>
        <v>13516.031625778793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TP2017012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1742924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12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41498.190476190473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2018</v>
      </c>
      <c r="D99" s="629">
        <v>0</v>
      </c>
      <c r="E99" s="630">
        <v>0</v>
      </c>
      <c r="F99" s="631">
        <v>1689645</v>
      </c>
      <c r="G99" s="631">
        <v>844822.5</v>
      </c>
      <c r="H99" s="633">
        <v>89217.130203738969</v>
      </c>
      <c r="I99" s="634">
        <v>89217.130203738969</v>
      </c>
      <c r="J99" s="514">
        <f t="shared" ref="J99:J130" si="9">+I99-H99</f>
        <v>0</v>
      </c>
      <c r="K99" s="514"/>
      <c r="L99" s="512">
        <f>+H99</f>
        <v>89217.130203738969</v>
      </c>
      <c r="M99" s="513">
        <f t="shared" ref="M99:M100" si="10">IF(L99&lt;&gt;0,+H99-L99,0)</f>
        <v>0</v>
      </c>
      <c r="N99" s="512">
        <f>+I99</f>
        <v>89217.130203738969</v>
      </c>
      <c r="O99" s="513">
        <f t="shared" ref="O99:O130" si="11">IF(N99&lt;&gt;0,+I99-N99,0)</f>
        <v>0</v>
      </c>
      <c r="P99" s="513">
        <f t="shared" ref="P99:P130" si="12">+O99-M99</f>
        <v>0</v>
      </c>
    </row>
    <row r="100" spans="1:16" ht="12.5">
      <c r="B100" s="195" t="str">
        <f>IF(D100=F99,"","IU")</f>
        <v>IU</v>
      </c>
      <c r="C100" s="507">
        <f>IF(D93="","-",+C99+1)</f>
        <v>2019</v>
      </c>
      <c r="D100" s="629">
        <v>1742924</v>
      </c>
      <c r="E100" s="630">
        <v>40533.116279069771</v>
      </c>
      <c r="F100" s="631">
        <v>1702390.8837209302</v>
      </c>
      <c r="G100" s="631">
        <v>1722657.4418604651</v>
      </c>
      <c r="H100" s="633">
        <v>224927.31036056377</v>
      </c>
      <c r="I100" s="634">
        <v>224927.31036056377</v>
      </c>
      <c r="J100" s="514">
        <f t="shared" si="9"/>
        <v>0</v>
      </c>
      <c r="K100" s="514"/>
      <c r="L100" s="655">
        <f>+H100</f>
        <v>224927.31036056377</v>
      </c>
      <c r="M100" s="514">
        <f t="shared" si="10"/>
        <v>0</v>
      </c>
      <c r="N100" s="655">
        <f>+I100</f>
        <v>224927.31036056377</v>
      </c>
      <c r="O100" s="514">
        <f t="shared" si="11"/>
        <v>0</v>
      </c>
      <c r="P100" s="514">
        <f t="shared" si="12"/>
        <v>0</v>
      </c>
    </row>
    <row r="101" spans="1:16" ht="12.5">
      <c r="B101" s="195" t="str">
        <f t="shared" ref="B101:B154" si="13">IF(D101=F100,"","IU")</f>
        <v/>
      </c>
      <c r="C101" s="507">
        <f>IF(D93="","-",+C100+1)</f>
        <v>2020</v>
      </c>
      <c r="D101" s="374">
        <f>IF(F100+SUM(E$99:E100)=D$92,F100,D$92-SUM(E$99:E100))</f>
        <v>1702390.8837209302</v>
      </c>
      <c r="E101" s="522">
        <f>IF(+J96&lt;F100,J96,D101)</f>
        <v>41498.190476190473</v>
      </c>
      <c r="F101" s="523">
        <f t="shared" ref="F101:F154" si="14">+D101-E101</f>
        <v>1660892.6932447397</v>
      </c>
      <c r="G101" s="523">
        <f t="shared" ref="G101:G154" si="15">+(F101+D101)/2</f>
        <v>1681641.7884828351</v>
      </c>
      <c r="H101" s="526">
        <f t="shared" ref="H101:H154" si="16">+J$94*G101+E101</f>
        <v>222398.8425566837</v>
      </c>
      <c r="I101" s="577">
        <f t="shared" ref="I101:I154" si="17">+J$95*G101+E101</f>
        <v>222398.8425566837</v>
      </c>
      <c r="J101" s="514">
        <f t="shared" si="9"/>
        <v>0</v>
      </c>
      <c r="K101" s="514"/>
      <c r="L101" s="525"/>
      <c r="M101" s="514">
        <f t="shared" ref="M101:M130" si="18">IF(L101&lt;&gt;0,+H101-L101,0)</f>
        <v>0</v>
      </c>
      <c r="N101" s="525"/>
      <c r="O101" s="514">
        <f t="shared" si="11"/>
        <v>0</v>
      </c>
      <c r="P101" s="514">
        <f t="shared" si="12"/>
        <v>0</v>
      </c>
    </row>
    <row r="102" spans="1:16" ht="12.5">
      <c r="B102" s="195" t="str">
        <f t="shared" si="13"/>
        <v/>
      </c>
      <c r="C102" s="507">
        <f>IF(D93="","-",+C101+1)</f>
        <v>2021</v>
      </c>
      <c r="D102" s="374">
        <f>IF(F101+SUM(E$99:E101)=D$92,F101,D$92-SUM(E$99:E101))</f>
        <v>1660892.6932447397</v>
      </c>
      <c r="E102" s="522">
        <f>IF(+J96&lt;F101,J96,D102)</f>
        <v>41498.190476190473</v>
      </c>
      <c r="F102" s="523">
        <f t="shared" si="14"/>
        <v>1619394.5027685491</v>
      </c>
      <c r="G102" s="523">
        <f t="shared" si="15"/>
        <v>1640143.5980066443</v>
      </c>
      <c r="H102" s="526">
        <f t="shared" si="16"/>
        <v>217934.72316531424</v>
      </c>
      <c r="I102" s="577">
        <f t="shared" si="17"/>
        <v>217934.72316531424</v>
      </c>
      <c r="J102" s="514">
        <f t="shared" si="9"/>
        <v>0</v>
      </c>
      <c r="K102" s="514"/>
      <c r="L102" s="525"/>
      <c r="M102" s="514">
        <f t="shared" si="18"/>
        <v>0</v>
      </c>
      <c r="N102" s="525"/>
      <c r="O102" s="514">
        <f t="shared" si="11"/>
        <v>0</v>
      </c>
      <c r="P102" s="514">
        <f t="shared" si="12"/>
        <v>0</v>
      </c>
    </row>
    <row r="103" spans="1:16" ht="12.5">
      <c r="B103" s="195" t="str">
        <f t="shared" si="13"/>
        <v/>
      </c>
      <c r="C103" s="507">
        <f>IF(D93="","-",+C102+1)</f>
        <v>2022</v>
      </c>
      <c r="D103" s="374">
        <f>IF(F102+SUM(E$99:E102)=D$92,F102,D$92-SUM(E$99:E102))</f>
        <v>1619394.5027685491</v>
      </c>
      <c r="E103" s="522">
        <f>IF(+J96&lt;F102,J96,D103)</f>
        <v>41498.190476190473</v>
      </c>
      <c r="F103" s="523">
        <f t="shared" si="14"/>
        <v>1577896.3122923586</v>
      </c>
      <c r="G103" s="523">
        <f t="shared" si="15"/>
        <v>1598645.407530454</v>
      </c>
      <c r="H103" s="526">
        <f t="shared" si="16"/>
        <v>213470.60377394484</v>
      </c>
      <c r="I103" s="577">
        <f t="shared" si="17"/>
        <v>213470.60377394484</v>
      </c>
      <c r="J103" s="514">
        <f t="shared" si="9"/>
        <v>0</v>
      </c>
      <c r="K103" s="514"/>
      <c r="L103" s="525"/>
      <c r="M103" s="514">
        <f t="shared" si="18"/>
        <v>0</v>
      </c>
      <c r="N103" s="525"/>
      <c r="O103" s="514">
        <f t="shared" si="11"/>
        <v>0</v>
      </c>
      <c r="P103" s="514">
        <f t="shared" si="12"/>
        <v>0</v>
      </c>
    </row>
    <row r="104" spans="1:16" ht="12.5">
      <c r="B104" s="195" t="str">
        <f t="shared" si="13"/>
        <v/>
      </c>
      <c r="C104" s="507">
        <f>IF(D93="","-",+C103+1)</f>
        <v>2023</v>
      </c>
      <c r="D104" s="374">
        <f>IF(F103+SUM(E$99:E103)=D$92,F103,D$92-SUM(E$99:E103))</f>
        <v>1577896.3122923586</v>
      </c>
      <c r="E104" s="522">
        <f>IF(+J96&lt;F103,J96,D104)</f>
        <v>41498.190476190473</v>
      </c>
      <c r="F104" s="523">
        <f t="shared" si="14"/>
        <v>1536398.1218161681</v>
      </c>
      <c r="G104" s="523">
        <f t="shared" si="15"/>
        <v>1557147.2170542632</v>
      </c>
      <c r="H104" s="526">
        <f t="shared" si="16"/>
        <v>209006.48438257538</v>
      </c>
      <c r="I104" s="577">
        <f t="shared" si="17"/>
        <v>209006.48438257538</v>
      </c>
      <c r="J104" s="514">
        <f t="shared" si="9"/>
        <v>0</v>
      </c>
      <c r="K104" s="514"/>
      <c r="L104" s="525"/>
      <c r="M104" s="514">
        <f t="shared" si="18"/>
        <v>0</v>
      </c>
      <c r="N104" s="525"/>
      <c r="O104" s="514">
        <f t="shared" si="11"/>
        <v>0</v>
      </c>
      <c r="P104" s="514">
        <f t="shared" si="12"/>
        <v>0</v>
      </c>
    </row>
    <row r="105" spans="1:16" ht="12.5">
      <c r="B105" s="195" t="str">
        <f t="shared" si="13"/>
        <v/>
      </c>
      <c r="C105" s="507">
        <f>IF(D93="","-",+C104+1)</f>
        <v>2024</v>
      </c>
      <c r="D105" s="374">
        <f>IF(F104+SUM(E$99:E104)=D$92,F104,D$92-SUM(E$99:E104))</f>
        <v>1536398.1218161681</v>
      </c>
      <c r="E105" s="522">
        <f>IF(+J96&lt;F104,J96,D105)</f>
        <v>41498.190476190473</v>
      </c>
      <c r="F105" s="523">
        <f t="shared" si="14"/>
        <v>1494899.9313399775</v>
      </c>
      <c r="G105" s="523">
        <f t="shared" si="15"/>
        <v>1515649.0265780729</v>
      </c>
      <c r="H105" s="526">
        <f t="shared" si="16"/>
        <v>204542.36499120601</v>
      </c>
      <c r="I105" s="577">
        <f t="shared" si="17"/>
        <v>204542.36499120601</v>
      </c>
      <c r="J105" s="514">
        <f t="shared" si="9"/>
        <v>0</v>
      </c>
      <c r="K105" s="514"/>
      <c r="L105" s="525"/>
      <c r="M105" s="514">
        <f t="shared" si="18"/>
        <v>0</v>
      </c>
      <c r="N105" s="525"/>
      <c r="O105" s="514">
        <f t="shared" si="11"/>
        <v>0</v>
      </c>
      <c r="P105" s="514">
        <f t="shared" si="12"/>
        <v>0</v>
      </c>
    </row>
    <row r="106" spans="1:16" ht="12.5">
      <c r="B106" s="195" t="str">
        <f t="shared" si="13"/>
        <v/>
      </c>
      <c r="C106" s="507">
        <f>IF(D93="","-",+C105+1)</f>
        <v>2025</v>
      </c>
      <c r="D106" s="374">
        <f>IF(F105+SUM(E$99:E105)=D$92,F105,D$92-SUM(E$99:E105))</f>
        <v>1494899.9313399775</v>
      </c>
      <c r="E106" s="522">
        <f>IF(+J96&lt;F105,J96,D106)</f>
        <v>41498.190476190473</v>
      </c>
      <c r="F106" s="523">
        <f t="shared" si="14"/>
        <v>1453401.740863787</v>
      </c>
      <c r="G106" s="523">
        <f t="shared" si="15"/>
        <v>1474150.8361018822</v>
      </c>
      <c r="H106" s="526">
        <f t="shared" si="16"/>
        <v>200078.24559983655</v>
      </c>
      <c r="I106" s="577">
        <f t="shared" si="17"/>
        <v>200078.24559983655</v>
      </c>
      <c r="J106" s="514">
        <f t="shared" si="9"/>
        <v>0</v>
      </c>
      <c r="K106" s="514"/>
      <c r="L106" s="525"/>
      <c r="M106" s="514">
        <f t="shared" si="18"/>
        <v>0</v>
      </c>
      <c r="N106" s="525"/>
      <c r="O106" s="514">
        <f t="shared" si="11"/>
        <v>0</v>
      </c>
      <c r="P106" s="514">
        <f t="shared" si="12"/>
        <v>0</v>
      </c>
    </row>
    <row r="107" spans="1:16" ht="12.5">
      <c r="B107" s="195" t="str">
        <f t="shared" si="13"/>
        <v/>
      </c>
      <c r="C107" s="507">
        <f>IF(D93="","-",+C106+1)</f>
        <v>2026</v>
      </c>
      <c r="D107" s="374">
        <f>IF(F106+SUM(E$99:E106)=D$92,F106,D$92-SUM(E$99:E106))</f>
        <v>1453401.740863787</v>
      </c>
      <c r="E107" s="522">
        <f>IF(+J96&lt;F106,J96,D107)</f>
        <v>41498.190476190473</v>
      </c>
      <c r="F107" s="523">
        <f t="shared" si="14"/>
        <v>1411903.5503875965</v>
      </c>
      <c r="G107" s="523">
        <f t="shared" si="15"/>
        <v>1432652.6456256919</v>
      </c>
      <c r="H107" s="526">
        <f t="shared" si="16"/>
        <v>195614.12620846715</v>
      </c>
      <c r="I107" s="577">
        <f t="shared" si="17"/>
        <v>195614.12620846715</v>
      </c>
      <c r="J107" s="514">
        <f t="shared" si="9"/>
        <v>0</v>
      </c>
      <c r="K107" s="514"/>
      <c r="L107" s="525"/>
      <c r="M107" s="514">
        <f t="shared" si="18"/>
        <v>0</v>
      </c>
      <c r="N107" s="525"/>
      <c r="O107" s="514">
        <f t="shared" si="11"/>
        <v>0</v>
      </c>
      <c r="P107" s="514">
        <f t="shared" si="12"/>
        <v>0</v>
      </c>
    </row>
    <row r="108" spans="1:16" ht="12.5">
      <c r="B108" s="195" t="str">
        <f t="shared" si="13"/>
        <v/>
      </c>
      <c r="C108" s="507">
        <f>IF(D93="","-",+C107+1)</f>
        <v>2027</v>
      </c>
      <c r="D108" s="374">
        <f>IF(F107+SUM(E$99:E107)=D$92,F107,D$92-SUM(E$99:E107))</f>
        <v>1411903.5503875965</v>
      </c>
      <c r="E108" s="522">
        <f>IF(+J96&lt;F107,J96,D108)</f>
        <v>41498.190476190473</v>
      </c>
      <c r="F108" s="523">
        <f t="shared" si="14"/>
        <v>1370405.3599114059</v>
      </c>
      <c r="G108" s="523">
        <f t="shared" si="15"/>
        <v>1391154.4551495011</v>
      </c>
      <c r="H108" s="526">
        <f t="shared" si="16"/>
        <v>191150.00681709772</v>
      </c>
      <c r="I108" s="577">
        <f t="shared" si="17"/>
        <v>191150.00681709772</v>
      </c>
      <c r="J108" s="514">
        <f t="shared" si="9"/>
        <v>0</v>
      </c>
      <c r="K108" s="514"/>
      <c r="L108" s="525"/>
      <c r="M108" s="514">
        <f t="shared" si="18"/>
        <v>0</v>
      </c>
      <c r="N108" s="525"/>
      <c r="O108" s="514">
        <f t="shared" si="11"/>
        <v>0</v>
      </c>
      <c r="P108" s="514">
        <f t="shared" si="12"/>
        <v>0</v>
      </c>
    </row>
    <row r="109" spans="1:16" ht="12.5">
      <c r="B109" s="195" t="str">
        <f t="shared" si="13"/>
        <v/>
      </c>
      <c r="C109" s="507">
        <f>IF(D93="","-",+C108+1)</f>
        <v>2028</v>
      </c>
      <c r="D109" s="374">
        <f>IF(F108+SUM(E$99:E108)=D$92,F108,D$92-SUM(E$99:E108))</f>
        <v>1370405.3599114059</v>
      </c>
      <c r="E109" s="522">
        <f>IF(+J96&lt;F108,J96,D109)</f>
        <v>41498.190476190473</v>
      </c>
      <c r="F109" s="523">
        <f t="shared" si="14"/>
        <v>1328907.1694352154</v>
      </c>
      <c r="G109" s="523">
        <f t="shared" si="15"/>
        <v>1349656.2646733108</v>
      </c>
      <c r="H109" s="526">
        <f t="shared" si="16"/>
        <v>186685.88742572832</v>
      </c>
      <c r="I109" s="577">
        <f t="shared" si="17"/>
        <v>186685.88742572832</v>
      </c>
      <c r="J109" s="514">
        <f t="shared" si="9"/>
        <v>0</v>
      </c>
      <c r="K109" s="514"/>
      <c r="L109" s="525"/>
      <c r="M109" s="514">
        <f t="shared" si="18"/>
        <v>0</v>
      </c>
      <c r="N109" s="525"/>
      <c r="O109" s="514">
        <f t="shared" si="11"/>
        <v>0</v>
      </c>
      <c r="P109" s="514">
        <f t="shared" si="12"/>
        <v>0</v>
      </c>
    </row>
    <row r="110" spans="1:16" ht="12.5">
      <c r="B110" s="195" t="str">
        <f t="shared" si="13"/>
        <v/>
      </c>
      <c r="C110" s="507">
        <f>IF(D93="","-",+C109+1)</f>
        <v>2029</v>
      </c>
      <c r="D110" s="374">
        <f>IF(F109+SUM(E$99:E109)=D$92,F109,D$92-SUM(E$99:E109))</f>
        <v>1328907.1694352154</v>
      </c>
      <c r="E110" s="522">
        <f>IF(+J96&lt;F109,J96,D110)</f>
        <v>41498.190476190473</v>
      </c>
      <c r="F110" s="523">
        <f t="shared" si="14"/>
        <v>1287408.9789590249</v>
      </c>
      <c r="G110" s="523">
        <f t="shared" si="15"/>
        <v>1308158.07419712</v>
      </c>
      <c r="H110" s="526">
        <f t="shared" si="16"/>
        <v>182221.76803435886</v>
      </c>
      <c r="I110" s="577">
        <f t="shared" si="17"/>
        <v>182221.76803435886</v>
      </c>
      <c r="J110" s="514">
        <f t="shared" si="9"/>
        <v>0</v>
      </c>
      <c r="K110" s="514"/>
      <c r="L110" s="525"/>
      <c r="M110" s="514">
        <f t="shared" si="18"/>
        <v>0</v>
      </c>
      <c r="N110" s="525"/>
      <c r="O110" s="514">
        <f t="shared" si="11"/>
        <v>0</v>
      </c>
      <c r="P110" s="514">
        <f t="shared" si="12"/>
        <v>0</v>
      </c>
    </row>
    <row r="111" spans="1:16" ht="12.5">
      <c r="B111" s="195" t="str">
        <f t="shared" si="13"/>
        <v/>
      </c>
      <c r="C111" s="507">
        <f>IF(D93="","-",+C110+1)</f>
        <v>2030</v>
      </c>
      <c r="D111" s="374">
        <f>IF(F110+SUM(E$99:E110)=D$92,F110,D$92-SUM(E$99:E110))</f>
        <v>1287408.9789590249</v>
      </c>
      <c r="E111" s="522">
        <f>IF(+J96&lt;F110,J96,D111)</f>
        <v>41498.190476190473</v>
      </c>
      <c r="F111" s="523">
        <f t="shared" si="14"/>
        <v>1245910.7884828344</v>
      </c>
      <c r="G111" s="523">
        <f t="shared" si="15"/>
        <v>1266659.8837209297</v>
      </c>
      <c r="H111" s="526">
        <f t="shared" si="16"/>
        <v>177757.64864298946</v>
      </c>
      <c r="I111" s="577">
        <f t="shared" si="17"/>
        <v>177757.64864298946</v>
      </c>
      <c r="J111" s="514">
        <f t="shared" si="9"/>
        <v>0</v>
      </c>
      <c r="K111" s="514"/>
      <c r="L111" s="525"/>
      <c r="M111" s="514">
        <f t="shared" si="18"/>
        <v>0</v>
      </c>
      <c r="N111" s="525"/>
      <c r="O111" s="514">
        <f t="shared" si="11"/>
        <v>0</v>
      </c>
      <c r="P111" s="514">
        <f t="shared" si="12"/>
        <v>0</v>
      </c>
    </row>
    <row r="112" spans="1:16" ht="12.5">
      <c r="B112" s="195" t="str">
        <f t="shared" si="13"/>
        <v/>
      </c>
      <c r="C112" s="507">
        <f>IF(D93="","-",+C111+1)</f>
        <v>2031</v>
      </c>
      <c r="D112" s="374">
        <f>IF(F111+SUM(E$99:E111)=D$92,F111,D$92-SUM(E$99:E111))</f>
        <v>1245910.7884828344</v>
      </c>
      <c r="E112" s="522">
        <f>IF(+J96&lt;F111,J96,D112)</f>
        <v>41498.190476190473</v>
      </c>
      <c r="F112" s="523">
        <f t="shared" si="14"/>
        <v>1204412.5980066438</v>
      </c>
      <c r="G112" s="523">
        <f t="shared" si="15"/>
        <v>1225161.693244739</v>
      </c>
      <c r="H112" s="526">
        <f t="shared" si="16"/>
        <v>173293.52925162003</v>
      </c>
      <c r="I112" s="577">
        <f t="shared" si="17"/>
        <v>173293.52925162003</v>
      </c>
      <c r="J112" s="514">
        <f t="shared" si="9"/>
        <v>0</v>
      </c>
      <c r="K112" s="514"/>
      <c r="L112" s="525"/>
      <c r="M112" s="514">
        <f t="shared" si="18"/>
        <v>0</v>
      </c>
      <c r="N112" s="525"/>
      <c r="O112" s="514">
        <f t="shared" si="11"/>
        <v>0</v>
      </c>
      <c r="P112" s="514">
        <f t="shared" si="12"/>
        <v>0</v>
      </c>
    </row>
    <row r="113" spans="2:16" ht="12.5">
      <c r="B113" s="195" t="str">
        <f t="shared" si="13"/>
        <v/>
      </c>
      <c r="C113" s="507">
        <f>IF(D93="","-",+C112+1)</f>
        <v>2032</v>
      </c>
      <c r="D113" s="374">
        <f>IF(F112+SUM(E$99:E112)=D$92,F112,D$92-SUM(E$99:E112))</f>
        <v>1204412.5980066438</v>
      </c>
      <c r="E113" s="522">
        <f>IF(+J96&lt;F112,J96,D113)</f>
        <v>41498.190476190473</v>
      </c>
      <c r="F113" s="523">
        <f t="shared" si="14"/>
        <v>1162914.4075304533</v>
      </c>
      <c r="G113" s="523">
        <f t="shared" si="15"/>
        <v>1183663.5027685487</v>
      </c>
      <c r="H113" s="526">
        <f t="shared" si="16"/>
        <v>168829.4098602506</v>
      </c>
      <c r="I113" s="577">
        <f t="shared" si="17"/>
        <v>168829.4098602506</v>
      </c>
      <c r="J113" s="514">
        <f t="shared" si="9"/>
        <v>0</v>
      </c>
      <c r="K113" s="514"/>
      <c r="L113" s="525"/>
      <c r="M113" s="514">
        <f t="shared" si="18"/>
        <v>0</v>
      </c>
      <c r="N113" s="525"/>
      <c r="O113" s="514">
        <f t="shared" si="11"/>
        <v>0</v>
      </c>
      <c r="P113" s="514">
        <f t="shared" si="12"/>
        <v>0</v>
      </c>
    </row>
    <row r="114" spans="2:16" ht="12.5">
      <c r="B114" s="195" t="str">
        <f t="shared" si="13"/>
        <v/>
      </c>
      <c r="C114" s="507">
        <f>IF(D93="","-",+C113+1)</f>
        <v>2033</v>
      </c>
      <c r="D114" s="374">
        <f>IF(F113+SUM(E$99:E113)=D$92,F113,D$92-SUM(E$99:E113))</f>
        <v>1162914.4075304533</v>
      </c>
      <c r="E114" s="522">
        <f>IF(+J96&lt;F113,J96,D114)</f>
        <v>41498.190476190473</v>
      </c>
      <c r="F114" s="523">
        <f t="shared" si="14"/>
        <v>1121416.2170542628</v>
      </c>
      <c r="G114" s="523">
        <f t="shared" si="15"/>
        <v>1142165.3122923579</v>
      </c>
      <c r="H114" s="526">
        <f t="shared" si="16"/>
        <v>164365.29046888117</v>
      </c>
      <c r="I114" s="577">
        <f t="shared" si="17"/>
        <v>164365.29046888117</v>
      </c>
      <c r="J114" s="514">
        <f t="shared" si="9"/>
        <v>0</v>
      </c>
      <c r="K114" s="514"/>
      <c r="L114" s="525"/>
      <c r="M114" s="514">
        <f t="shared" si="18"/>
        <v>0</v>
      </c>
      <c r="N114" s="525"/>
      <c r="O114" s="514">
        <f t="shared" si="11"/>
        <v>0</v>
      </c>
      <c r="P114" s="514">
        <f t="shared" si="12"/>
        <v>0</v>
      </c>
    </row>
    <row r="115" spans="2:16" ht="12.5">
      <c r="B115" s="195" t="str">
        <f t="shared" si="13"/>
        <v/>
      </c>
      <c r="C115" s="507">
        <f>IF(D93="","-",+C114+1)</f>
        <v>2034</v>
      </c>
      <c r="D115" s="374">
        <f>IF(F114+SUM(E$99:E114)=D$92,F114,D$92-SUM(E$99:E114))</f>
        <v>1121416.2170542628</v>
      </c>
      <c r="E115" s="522">
        <f>IF(+J96&lt;F114,J96,D115)</f>
        <v>41498.190476190473</v>
      </c>
      <c r="F115" s="523">
        <f t="shared" si="14"/>
        <v>1079918.0265780722</v>
      </c>
      <c r="G115" s="523">
        <f t="shared" si="15"/>
        <v>1100667.1218161676</v>
      </c>
      <c r="H115" s="526">
        <f t="shared" si="16"/>
        <v>159901.17107751177</v>
      </c>
      <c r="I115" s="577">
        <f t="shared" si="17"/>
        <v>159901.17107751177</v>
      </c>
      <c r="J115" s="514">
        <f t="shared" si="9"/>
        <v>0</v>
      </c>
      <c r="K115" s="514"/>
      <c r="L115" s="525"/>
      <c r="M115" s="514">
        <f t="shared" si="18"/>
        <v>0</v>
      </c>
      <c r="N115" s="525"/>
      <c r="O115" s="514">
        <f t="shared" si="11"/>
        <v>0</v>
      </c>
      <c r="P115" s="514">
        <f t="shared" si="12"/>
        <v>0</v>
      </c>
    </row>
    <row r="116" spans="2:16" ht="12.5">
      <c r="B116" s="195" t="str">
        <f t="shared" si="13"/>
        <v/>
      </c>
      <c r="C116" s="507">
        <f>IF(D93="","-",+C115+1)</f>
        <v>2035</v>
      </c>
      <c r="D116" s="374">
        <f>IF(F115+SUM(E$99:E115)=D$92,F115,D$92-SUM(E$99:E115))</f>
        <v>1079918.0265780722</v>
      </c>
      <c r="E116" s="522">
        <f>IF(+J96&lt;F115,J96,D116)</f>
        <v>41498.190476190473</v>
      </c>
      <c r="F116" s="523">
        <f t="shared" si="14"/>
        <v>1038419.8361018817</v>
      </c>
      <c r="G116" s="523">
        <f t="shared" si="15"/>
        <v>1059168.9313399768</v>
      </c>
      <c r="H116" s="526">
        <f t="shared" si="16"/>
        <v>155437.05168614234</v>
      </c>
      <c r="I116" s="577">
        <f t="shared" si="17"/>
        <v>155437.05168614234</v>
      </c>
      <c r="J116" s="514">
        <f t="shared" si="9"/>
        <v>0</v>
      </c>
      <c r="K116" s="514"/>
      <c r="L116" s="525"/>
      <c r="M116" s="514">
        <f t="shared" si="18"/>
        <v>0</v>
      </c>
      <c r="N116" s="525"/>
      <c r="O116" s="514">
        <f t="shared" si="11"/>
        <v>0</v>
      </c>
      <c r="P116" s="514">
        <f t="shared" si="12"/>
        <v>0</v>
      </c>
    </row>
    <row r="117" spans="2:16" ht="12.5">
      <c r="B117" s="195" t="str">
        <f t="shared" si="13"/>
        <v/>
      </c>
      <c r="C117" s="507">
        <f>IF(D93="","-",+C116+1)</f>
        <v>2036</v>
      </c>
      <c r="D117" s="374">
        <f>IF(F116+SUM(E$99:E116)=D$92,F116,D$92-SUM(E$99:E116))</f>
        <v>1038419.8361018817</v>
      </c>
      <c r="E117" s="522">
        <f>IF(+J96&lt;F116,J96,D117)</f>
        <v>41498.190476190473</v>
      </c>
      <c r="F117" s="523">
        <f t="shared" si="14"/>
        <v>996921.64562569116</v>
      </c>
      <c r="G117" s="523">
        <f t="shared" si="15"/>
        <v>1017670.7408637864</v>
      </c>
      <c r="H117" s="526">
        <f t="shared" si="16"/>
        <v>150972.93229477291</v>
      </c>
      <c r="I117" s="577">
        <f t="shared" si="17"/>
        <v>150972.93229477291</v>
      </c>
      <c r="J117" s="514">
        <f t="shared" si="9"/>
        <v>0</v>
      </c>
      <c r="K117" s="514"/>
      <c r="L117" s="525"/>
      <c r="M117" s="514">
        <f t="shared" si="18"/>
        <v>0</v>
      </c>
      <c r="N117" s="525"/>
      <c r="O117" s="514">
        <f t="shared" si="11"/>
        <v>0</v>
      </c>
      <c r="P117" s="514">
        <f t="shared" si="12"/>
        <v>0</v>
      </c>
    </row>
    <row r="118" spans="2:16" ht="12.5">
      <c r="B118" s="195" t="str">
        <f t="shared" si="13"/>
        <v/>
      </c>
      <c r="C118" s="507">
        <f>IF(D93="","-",+C117+1)</f>
        <v>2037</v>
      </c>
      <c r="D118" s="374">
        <f>IF(F117+SUM(E$99:E117)=D$92,F117,D$92-SUM(E$99:E117))</f>
        <v>996921.64562569116</v>
      </c>
      <c r="E118" s="522">
        <f>IF(+J96&lt;F117,J96,D118)</f>
        <v>41498.190476190473</v>
      </c>
      <c r="F118" s="523">
        <f t="shared" si="14"/>
        <v>955423.45514950063</v>
      </c>
      <c r="G118" s="523">
        <f t="shared" si="15"/>
        <v>976172.5503875959</v>
      </c>
      <c r="H118" s="526">
        <f t="shared" si="16"/>
        <v>146508.81290340348</v>
      </c>
      <c r="I118" s="577">
        <f t="shared" si="17"/>
        <v>146508.81290340348</v>
      </c>
      <c r="J118" s="514">
        <f t="shared" si="9"/>
        <v>0</v>
      </c>
      <c r="K118" s="514"/>
      <c r="L118" s="525"/>
      <c r="M118" s="514">
        <f t="shared" si="18"/>
        <v>0</v>
      </c>
      <c r="N118" s="525"/>
      <c r="O118" s="514">
        <f t="shared" si="11"/>
        <v>0</v>
      </c>
      <c r="P118" s="514">
        <f t="shared" si="12"/>
        <v>0</v>
      </c>
    </row>
    <row r="119" spans="2:16" ht="12.5">
      <c r="B119" s="195" t="str">
        <f t="shared" si="13"/>
        <v/>
      </c>
      <c r="C119" s="507">
        <f>IF(D93="","-",+C118+1)</f>
        <v>2038</v>
      </c>
      <c r="D119" s="374">
        <f>IF(F118+SUM(E$99:E118)=D$92,F118,D$92-SUM(E$99:E118))</f>
        <v>955423.45514950063</v>
      </c>
      <c r="E119" s="522">
        <f>IF(+J96&lt;F118,J96,D119)</f>
        <v>41498.190476190473</v>
      </c>
      <c r="F119" s="523">
        <f t="shared" si="14"/>
        <v>913925.2646733101</v>
      </c>
      <c r="G119" s="523">
        <f t="shared" si="15"/>
        <v>934674.35991140536</v>
      </c>
      <c r="H119" s="526">
        <f t="shared" si="16"/>
        <v>142044.69351203408</v>
      </c>
      <c r="I119" s="577">
        <f t="shared" si="17"/>
        <v>142044.69351203408</v>
      </c>
      <c r="J119" s="514">
        <f t="shared" si="9"/>
        <v>0</v>
      </c>
      <c r="K119" s="514"/>
      <c r="L119" s="525"/>
      <c r="M119" s="514">
        <f t="shared" si="18"/>
        <v>0</v>
      </c>
      <c r="N119" s="525"/>
      <c r="O119" s="514">
        <f t="shared" si="11"/>
        <v>0</v>
      </c>
      <c r="P119" s="514">
        <f t="shared" si="12"/>
        <v>0</v>
      </c>
    </row>
    <row r="120" spans="2:16" ht="12.5">
      <c r="B120" s="195" t="str">
        <f t="shared" si="13"/>
        <v/>
      </c>
      <c r="C120" s="507">
        <f>IF(D93="","-",+C119+1)</f>
        <v>2039</v>
      </c>
      <c r="D120" s="374">
        <f>IF(F119+SUM(E$99:E119)=D$92,F119,D$92-SUM(E$99:E119))</f>
        <v>913925.2646733101</v>
      </c>
      <c r="E120" s="522">
        <f>IF(+J96&lt;F119,J96,D120)</f>
        <v>41498.190476190473</v>
      </c>
      <c r="F120" s="523">
        <f t="shared" si="14"/>
        <v>872427.07419711957</v>
      </c>
      <c r="G120" s="523">
        <f t="shared" si="15"/>
        <v>893176.16943521483</v>
      </c>
      <c r="H120" s="526">
        <f t="shared" si="16"/>
        <v>137580.57412066465</v>
      </c>
      <c r="I120" s="577">
        <f t="shared" si="17"/>
        <v>137580.57412066465</v>
      </c>
      <c r="J120" s="514">
        <f t="shared" si="9"/>
        <v>0</v>
      </c>
      <c r="K120" s="514"/>
      <c r="L120" s="525"/>
      <c r="M120" s="514">
        <f t="shared" si="18"/>
        <v>0</v>
      </c>
      <c r="N120" s="525"/>
      <c r="O120" s="514">
        <f t="shared" si="11"/>
        <v>0</v>
      </c>
      <c r="P120" s="514">
        <f t="shared" si="12"/>
        <v>0</v>
      </c>
    </row>
    <row r="121" spans="2:16" ht="12.5">
      <c r="B121" s="195" t="str">
        <f t="shared" si="13"/>
        <v/>
      </c>
      <c r="C121" s="507">
        <f>IF(D93="","-",+C120+1)</f>
        <v>2040</v>
      </c>
      <c r="D121" s="374">
        <f>IF(F120+SUM(E$99:E120)=D$92,F120,D$92-SUM(E$99:E120))</f>
        <v>872427.07419711957</v>
      </c>
      <c r="E121" s="522">
        <f>IF(+J96&lt;F120,J96,D121)</f>
        <v>41498.190476190473</v>
      </c>
      <c r="F121" s="523">
        <f t="shared" si="14"/>
        <v>830928.88372092904</v>
      </c>
      <c r="G121" s="523">
        <f t="shared" si="15"/>
        <v>851677.9789590243</v>
      </c>
      <c r="H121" s="526">
        <f t="shared" si="16"/>
        <v>133116.45472929522</v>
      </c>
      <c r="I121" s="577">
        <f t="shared" si="17"/>
        <v>133116.45472929522</v>
      </c>
      <c r="J121" s="514">
        <f t="shared" si="9"/>
        <v>0</v>
      </c>
      <c r="K121" s="514"/>
      <c r="L121" s="525"/>
      <c r="M121" s="514">
        <f t="shared" si="18"/>
        <v>0</v>
      </c>
      <c r="N121" s="525"/>
      <c r="O121" s="514">
        <f t="shared" si="11"/>
        <v>0</v>
      </c>
      <c r="P121" s="514">
        <f t="shared" si="12"/>
        <v>0</v>
      </c>
    </row>
    <row r="122" spans="2:16" ht="12.5">
      <c r="B122" s="195" t="str">
        <f t="shared" si="13"/>
        <v/>
      </c>
      <c r="C122" s="507">
        <f>IF(D93="","-",+C121+1)</f>
        <v>2041</v>
      </c>
      <c r="D122" s="374">
        <f>IF(F121+SUM(E$99:E121)=D$92,F121,D$92-SUM(E$99:E121))</f>
        <v>830928.88372092904</v>
      </c>
      <c r="E122" s="522">
        <f>IF(+J96&lt;F121,J96,D122)</f>
        <v>41498.190476190473</v>
      </c>
      <c r="F122" s="523">
        <f t="shared" si="14"/>
        <v>789430.6932447385</v>
      </c>
      <c r="G122" s="523">
        <f t="shared" si="15"/>
        <v>810179.78848283377</v>
      </c>
      <c r="H122" s="526">
        <f t="shared" si="16"/>
        <v>128652.3353379258</v>
      </c>
      <c r="I122" s="577">
        <f t="shared" si="17"/>
        <v>128652.3353379258</v>
      </c>
      <c r="J122" s="514">
        <f t="shared" si="9"/>
        <v>0</v>
      </c>
      <c r="K122" s="514"/>
      <c r="L122" s="525"/>
      <c r="M122" s="514">
        <f t="shared" si="18"/>
        <v>0</v>
      </c>
      <c r="N122" s="525"/>
      <c r="O122" s="514">
        <f t="shared" si="11"/>
        <v>0</v>
      </c>
      <c r="P122" s="514">
        <f t="shared" si="12"/>
        <v>0</v>
      </c>
    </row>
    <row r="123" spans="2:16" ht="12.5">
      <c r="B123" s="195" t="str">
        <f t="shared" si="13"/>
        <v/>
      </c>
      <c r="C123" s="507">
        <f>IF(D93="","-",+C122+1)</f>
        <v>2042</v>
      </c>
      <c r="D123" s="374">
        <f>IF(F122+SUM(E$99:E122)=D$92,F122,D$92-SUM(E$99:E122))</f>
        <v>789430.6932447385</v>
      </c>
      <c r="E123" s="522">
        <f>IF(+J96&lt;F122,J96,D123)</f>
        <v>41498.190476190473</v>
      </c>
      <c r="F123" s="523">
        <f t="shared" si="14"/>
        <v>747932.50276854797</v>
      </c>
      <c r="G123" s="523">
        <f t="shared" si="15"/>
        <v>768681.59800664324</v>
      </c>
      <c r="H123" s="526">
        <f t="shared" si="16"/>
        <v>124188.21594655639</v>
      </c>
      <c r="I123" s="577">
        <f t="shared" si="17"/>
        <v>124188.21594655639</v>
      </c>
      <c r="J123" s="514">
        <f t="shared" si="9"/>
        <v>0</v>
      </c>
      <c r="K123" s="514"/>
      <c r="L123" s="525"/>
      <c r="M123" s="514">
        <f t="shared" si="18"/>
        <v>0</v>
      </c>
      <c r="N123" s="525"/>
      <c r="O123" s="514">
        <f t="shared" si="11"/>
        <v>0</v>
      </c>
      <c r="P123" s="514">
        <f t="shared" si="12"/>
        <v>0</v>
      </c>
    </row>
    <row r="124" spans="2:16" ht="12.5">
      <c r="B124" s="195" t="str">
        <f t="shared" si="13"/>
        <v/>
      </c>
      <c r="C124" s="507">
        <f>IF(D93="","-",+C123+1)</f>
        <v>2043</v>
      </c>
      <c r="D124" s="374">
        <f>IF(F123+SUM(E$99:E123)=D$92,F123,D$92-SUM(E$99:E123))</f>
        <v>747932.50276854797</v>
      </c>
      <c r="E124" s="522">
        <f>IF(+J96&lt;F123,J96,D124)</f>
        <v>41498.190476190473</v>
      </c>
      <c r="F124" s="523">
        <f t="shared" si="14"/>
        <v>706434.31229235744</v>
      </c>
      <c r="G124" s="523">
        <f t="shared" si="15"/>
        <v>727183.40753045271</v>
      </c>
      <c r="H124" s="526">
        <f t="shared" si="16"/>
        <v>119724.09655518696</v>
      </c>
      <c r="I124" s="577">
        <f t="shared" si="17"/>
        <v>119724.09655518696</v>
      </c>
      <c r="J124" s="514">
        <f t="shared" si="9"/>
        <v>0</v>
      </c>
      <c r="K124" s="514"/>
      <c r="L124" s="525"/>
      <c r="M124" s="514">
        <f t="shared" si="18"/>
        <v>0</v>
      </c>
      <c r="N124" s="525"/>
      <c r="O124" s="514">
        <f t="shared" si="11"/>
        <v>0</v>
      </c>
      <c r="P124" s="514">
        <f t="shared" si="12"/>
        <v>0</v>
      </c>
    </row>
    <row r="125" spans="2:16" ht="12.5">
      <c r="B125" s="195" t="str">
        <f t="shared" si="13"/>
        <v/>
      </c>
      <c r="C125" s="507">
        <f>IF(D93="","-",+C124+1)</f>
        <v>2044</v>
      </c>
      <c r="D125" s="374">
        <f>IF(F124+SUM(E$99:E124)=D$92,F124,D$92-SUM(E$99:E124))</f>
        <v>706434.31229235744</v>
      </c>
      <c r="E125" s="522">
        <f>IF(+J96&lt;F124,J96,D125)</f>
        <v>41498.190476190473</v>
      </c>
      <c r="F125" s="523">
        <f t="shared" si="14"/>
        <v>664936.12181616691</v>
      </c>
      <c r="G125" s="523">
        <f t="shared" si="15"/>
        <v>685685.21705426218</v>
      </c>
      <c r="H125" s="526">
        <f t="shared" si="16"/>
        <v>115259.97716381754</v>
      </c>
      <c r="I125" s="577">
        <f t="shared" si="17"/>
        <v>115259.97716381754</v>
      </c>
      <c r="J125" s="514">
        <f t="shared" si="9"/>
        <v>0</v>
      </c>
      <c r="K125" s="514"/>
      <c r="L125" s="525"/>
      <c r="M125" s="514">
        <f t="shared" si="18"/>
        <v>0</v>
      </c>
      <c r="N125" s="525"/>
      <c r="O125" s="514">
        <f t="shared" si="11"/>
        <v>0</v>
      </c>
      <c r="P125" s="514">
        <f t="shared" si="12"/>
        <v>0</v>
      </c>
    </row>
    <row r="126" spans="2:16" ht="12.5">
      <c r="B126" s="195" t="str">
        <f t="shared" si="13"/>
        <v/>
      </c>
      <c r="C126" s="507">
        <f>IF(D93="","-",+C125+1)</f>
        <v>2045</v>
      </c>
      <c r="D126" s="374">
        <f>IF(F125+SUM(E$99:E125)=D$92,F125,D$92-SUM(E$99:E125))</f>
        <v>664936.12181616691</v>
      </c>
      <c r="E126" s="522">
        <f>IF(+J96&lt;F125,J96,D126)</f>
        <v>41498.190476190473</v>
      </c>
      <c r="F126" s="523">
        <f t="shared" si="14"/>
        <v>623437.93133997638</v>
      </c>
      <c r="G126" s="523">
        <f t="shared" si="15"/>
        <v>644187.02657807164</v>
      </c>
      <c r="H126" s="526">
        <f t="shared" si="16"/>
        <v>110795.85777244811</v>
      </c>
      <c r="I126" s="577">
        <f t="shared" si="17"/>
        <v>110795.85777244811</v>
      </c>
      <c r="J126" s="514">
        <f t="shared" si="9"/>
        <v>0</v>
      </c>
      <c r="K126" s="514"/>
      <c r="L126" s="525"/>
      <c r="M126" s="514">
        <f t="shared" si="18"/>
        <v>0</v>
      </c>
      <c r="N126" s="525"/>
      <c r="O126" s="514">
        <f t="shared" si="11"/>
        <v>0</v>
      </c>
      <c r="P126" s="514">
        <f t="shared" si="12"/>
        <v>0</v>
      </c>
    </row>
    <row r="127" spans="2:16" ht="12.5">
      <c r="B127" s="195" t="str">
        <f t="shared" si="13"/>
        <v/>
      </c>
      <c r="C127" s="507">
        <f>IF(D93="","-",+C126+1)</f>
        <v>2046</v>
      </c>
      <c r="D127" s="374">
        <f>IF(F126+SUM(E$99:E126)=D$92,F126,D$92-SUM(E$99:E126))</f>
        <v>623437.93133997638</v>
      </c>
      <c r="E127" s="522">
        <f>IF(+J96&lt;F126,J96,D127)</f>
        <v>41498.190476190473</v>
      </c>
      <c r="F127" s="523">
        <f t="shared" si="14"/>
        <v>581939.74086378585</v>
      </c>
      <c r="G127" s="523">
        <f t="shared" si="15"/>
        <v>602688.83610188111</v>
      </c>
      <c r="H127" s="526">
        <f t="shared" si="16"/>
        <v>106331.7383810787</v>
      </c>
      <c r="I127" s="577">
        <f t="shared" si="17"/>
        <v>106331.7383810787</v>
      </c>
      <c r="J127" s="514">
        <f t="shared" si="9"/>
        <v>0</v>
      </c>
      <c r="K127" s="514"/>
      <c r="L127" s="525"/>
      <c r="M127" s="514">
        <f t="shared" si="18"/>
        <v>0</v>
      </c>
      <c r="N127" s="525"/>
      <c r="O127" s="514">
        <f t="shared" si="11"/>
        <v>0</v>
      </c>
      <c r="P127" s="514">
        <f t="shared" si="12"/>
        <v>0</v>
      </c>
    </row>
    <row r="128" spans="2:16" ht="12.5">
      <c r="B128" s="195" t="str">
        <f t="shared" si="13"/>
        <v/>
      </c>
      <c r="C128" s="507">
        <f>IF(D93="","-",+C127+1)</f>
        <v>2047</v>
      </c>
      <c r="D128" s="374">
        <f>IF(F127+SUM(E$99:E127)=D$92,F127,D$92-SUM(E$99:E127))</f>
        <v>581939.74086378585</v>
      </c>
      <c r="E128" s="522">
        <f>IF(+J96&lt;F127,J96,D128)</f>
        <v>41498.190476190473</v>
      </c>
      <c r="F128" s="523">
        <f t="shared" si="14"/>
        <v>540441.55038759531</v>
      </c>
      <c r="G128" s="523">
        <f t="shared" si="15"/>
        <v>561190.64562569058</v>
      </c>
      <c r="H128" s="526">
        <f t="shared" si="16"/>
        <v>101867.61898970927</v>
      </c>
      <c r="I128" s="577">
        <f t="shared" si="17"/>
        <v>101867.61898970927</v>
      </c>
      <c r="J128" s="514">
        <f t="shared" si="9"/>
        <v>0</v>
      </c>
      <c r="K128" s="514"/>
      <c r="L128" s="525"/>
      <c r="M128" s="514">
        <f t="shared" si="18"/>
        <v>0</v>
      </c>
      <c r="N128" s="525"/>
      <c r="O128" s="514">
        <f t="shared" si="11"/>
        <v>0</v>
      </c>
      <c r="P128" s="514">
        <f t="shared" si="12"/>
        <v>0</v>
      </c>
    </row>
    <row r="129" spans="2:16" ht="12.5">
      <c r="B129" s="195" t="str">
        <f t="shared" si="13"/>
        <v/>
      </c>
      <c r="C129" s="507">
        <f>IF(D93="","-",+C128+1)</f>
        <v>2048</v>
      </c>
      <c r="D129" s="374">
        <f>IF(F128+SUM(E$99:E128)=D$92,F128,D$92-SUM(E$99:E128))</f>
        <v>540441.55038759531</v>
      </c>
      <c r="E129" s="522">
        <f>IF(+J96&lt;F128,J96,D129)</f>
        <v>41498.190476190473</v>
      </c>
      <c r="F129" s="523">
        <f t="shared" si="14"/>
        <v>498943.35991140484</v>
      </c>
      <c r="G129" s="523">
        <f t="shared" si="15"/>
        <v>519692.45514950005</v>
      </c>
      <c r="H129" s="526">
        <f t="shared" si="16"/>
        <v>97403.49959833984</v>
      </c>
      <c r="I129" s="577">
        <f t="shared" si="17"/>
        <v>97403.49959833984</v>
      </c>
      <c r="J129" s="514">
        <f t="shared" si="9"/>
        <v>0</v>
      </c>
      <c r="K129" s="514"/>
      <c r="L129" s="525"/>
      <c r="M129" s="514">
        <f t="shared" si="18"/>
        <v>0</v>
      </c>
      <c r="N129" s="525"/>
      <c r="O129" s="514">
        <f t="shared" si="11"/>
        <v>0</v>
      </c>
      <c r="P129" s="514">
        <f t="shared" si="12"/>
        <v>0</v>
      </c>
    </row>
    <row r="130" spans="2:16" ht="12.5">
      <c r="B130" s="195" t="str">
        <f t="shared" si="13"/>
        <v/>
      </c>
      <c r="C130" s="507">
        <f>IF(D93="","-",+C129+1)</f>
        <v>2049</v>
      </c>
      <c r="D130" s="374">
        <f>IF(F129+SUM(E$99:E129)=D$92,F129,D$92-SUM(E$99:E129))</f>
        <v>498943.35991140484</v>
      </c>
      <c r="E130" s="522">
        <f>IF(+J96&lt;F129,J96,D130)</f>
        <v>41498.190476190473</v>
      </c>
      <c r="F130" s="523">
        <f t="shared" si="14"/>
        <v>457445.16943521437</v>
      </c>
      <c r="G130" s="523">
        <f t="shared" si="15"/>
        <v>478194.26467330963</v>
      </c>
      <c r="H130" s="526">
        <f t="shared" si="16"/>
        <v>92939.38020697044</v>
      </c>
      <c r="I130" s="577">
        <f t="shared" si="17"/>
        <v>92939.38020697044</v>
      </c>
      <c r="J130" s="514">
        <f t="shared" si="9"/>
        <v>0</v>
      </c>
      <c r="K130" s="514"/>
      <c r="L130" s="525"/>
      <c r="M130" s="514">
        <f t="shared" si="18"/>
        <v>0</v>
      </c>
      <c r="N130" s="525"/>
      <c r="O130" s="514">
        <f t="shared" si="11"/>
        <v>0</v>
      </c>
      <c r="P130" s="514">
        <f t="shared" si="12"/>
        <v>0</v>
      </c>
    </row>
    <row r="131" spans="2:16" ht="12.5">
      <c r="B131" s="195" t="str">
        <f t="shared" si="13"/>
        <v/>
      </c>
      <c r="C131" s="507">
        <f>IF(D93="","-",+C130+1)</f>
        <v>2050</v>
      </c>
      <c r="D131" s="374">
        <f>IF(F130+SUM(E$99:E130)=D$92,F130,D$92-SUM(E$99:E130))</f>
        <v>457445.16943521437</v>
      </c>
      <c r="E131" s="522">
        <f>IF(+J96&lt;F130,J96,D131)</f>
        <v>41498.190476190473</v>
      </c>
      <c r="F131" s="523">
        <f t="shared" si="14"/>
        <v>415946.97895902389</v>
      </c>
      <c r="G131" s="523">
        <f t="shared" si="15"/>
        <v>436696.0741971191</v>
      </c>
      <c r="H131" s="526">
        <f t="shared" si="16"/>
        <v>88475.26081560101</v>
      </c>
      <c r="I131" s="577">
        <f t="shared" si="17"/>
        <v>88475.26081560101</v>
      </c>
      <c r="J131" s="514">
        <f t="shared" ref="J131:J154" si="19">+I541-H541</f>
        <v>0</v>
      </c>
      <c r="K131" s="514"/>
      <c r="L131" s="525"/>
      <c r="M131" s="514">
        <f t="shared" ref="M131:M154" si="20">IF(L541&lt;&gt;0,+H541-L541,0)</f>
        <v>0</v>
      </c>
      <c r="N131" s="525"/>
      <c r="O131" s="514">
        <f t="shared" ref="O131:O154" si="21">IF(N541&lt;&gt;0,+I541-N541,0)</f>
        <v>0</v>
      </c>
      <c r="P131" s="514">
        <f t="shared" ref="P131:P154" si="22">+O541-M541</f>
        <v>0</v>
      </c>
    </row>
    <row r="132" spans="2:16" ht="12.5">
      <c r="B132" s="195" t="str">
        <f t="shared" si="13"/>
        <v/>
      </c>
      <c r="C132" s="507">
        <f>IF(D93="","-",+C131+1)</f>
        <v>2051</v>
      </c>
      <c r="D132" s="374">
        <f>IF(F131+SUM(E$99:E131)=D$92,F131,D$92-SUM(E$99:E131))</f>
        <v>415946.97895902389</v>
      </c>
      <c r="E132" s="522">
        <f>IF(+J96&lt;F131,J96,D132)</f>
        <v>41498.190476190473</v>
      </c>
      <c r="F132" s="523">
        <f t="shared" si="14"/>
        <v>374448.78848283342</v>
      </c>
      <c r="G132" s="523">
        <f t="shared" si="15"/>
        <v>395197.88372092869</v>
      </c>
      <c r="H132" s="526">
        <f t="shared" si="16"/>
        <v>84011.14142423161</v>
      </c>
      <c r="I132" s="577">
        <f t="shared" si="17"/>
        <v>84011.14142423161</v>
      </c>
      <c r="J132" s="514">
        <f t="shared" si="19"/>
        <v>0</v>
      </c>
      <c r="K132" s="514"/>
      <c r="L132" s="525"/>
      <c r="M132" s="514">
        <f t="shared" si="20"/>
        <v>0</v>
      </c>
      <c r="N132" s="525"/>
      <c r="O132" s="514">
        <f t="shared" si="21"/>
        <v>0</v>
      </c>
      <c r="P132" s="514">
        <f t="shared" si="22"/>
        <v>0</v>
      </c>
    </row>
    <row r="133" spans="2:16" ht="12.5">
      <c r="B133" s="195" t="str">
        <f t="shared" si="13"/>
        <v/>
      </c>
      <c r="C133" s="507">
        <f>IF(D93="","-",+C132+1)</f>
        <v>2052</v>
      </c>
      <c r="D133" s="374">
        <f>IF(F132+SUM(E$99:E132)=D$92,F132,D$92-SUM(E$99:E132))</f>
        <v>374448.78848283342</v>
      </c>
      <c r="E133" s="522">
        <f>IF(+J96&lt;F132,J96,D133)</f>
        <v>41498.190476190473</v>
      </c>
      <c r="F133" s="523">
        <f t="shared" si="14"/>
        <v>332950.59800664295</v>
      </c>
      <c r="G133" s="523">
        <f t="shared" si="15"/>
        <v>353699.69324473816</v>
      </c>
      <c r="H133" s="526">
        <f t="shared" si="16"/>
        <v>79547.02203286218</v>
      </c>
      <c r="I133" s="577">
        <f t="shared" si="17"/>
        <v>79547.02203286218</v>
      </c>
      <c r="J133" s="514">
        <f t="shared" si="19"/>
        <v>0</v>
      </c>
      <c r="K133" s="514"/>
      <c r="L133" s="525"/>
      <c r="M133" s="514">
        <f t="shared" si="20"/>
        <v>0</v>
      </c>
      <c r="N133" s="525"/>
      <c r="O133" s="514">
        <f t="shared" si="21"/>
        <v>0</v>
      </c>
      <c r="P133" s="514">
        <f t="shared" si="22"/>
        <v>0</v>
      </c>
    </row>
    <row r="134" spans="2:16" ht="12.5">
      <c r="B134" s="195" t="str">
        <f t="shared" si="13"/>
        <v/>
      </c>
      <c r="C134" s="507">
        <f>IF(D93="","-",+C133+1)</f>
        <v>2053</v>
      </c>
      <c r="D134" s="374">
        <f>IF(F133+SUM(E$99:E133)=D$92,F133,D$92-SUM(E$99:E133))</f>
        <v>332950.59800664295</v>
      </c>
      <c r="E134" s="522">
        <f>IF(+J96&lt;F133,J96,D134)</f>
        <v>41498.190476190473</v>
      </c>
      <c r="F134" s="523">
        <f t="shared" si="14"/>
        <v>291452.40753045247</v>
      </c>
      <c r="G134" s="523">
        <f t="shared" si="15"/>
        <v>312201.50276854774</v>
      </c>
      <c r="H134" s="526">
        <f t="shared" si="16"/>
        <v>75082.902641492779</v>
      </c>
      <c r="I134" s="577">
        <f t="shared" si="17"/>
        <v>75082.902641492779</v>
      </c>
      <c r="J134" s="514">
        <f t="shared" si="19"/>
        <v>0</v>
      </c>
      <c r="K134" s="514"/>
      <c r="L134" s="525"/>
      <c r="M134" s="514">
        <f t="shared" si="20"/>
        <v>0</v>
      </c>
      <c r="N134" s="525"/>
      <c r="O134" s="514">
        <f t="shared" si="21"/>
        <v>0</v>
      </c>
      <c r="P134" s="514">
        <f t="shared" si="22"/>
        <v>0</v>
      </c>
    </row>
    <row r="135" spans="2:16" ht="12.5">
      <c r="B135" s="195" t="str">
        <f t="shared" si="13"/>
        <v/>
      </c>
      <c r="C135" s="507">
        <f>IF(D93="","-",+C134+1)</f>
        <v>2054</v>
      </c>
      <c r="D135" s="374">
        <f>IF(F134+SUM(E$99:E134)=D$92,F134,D$92-SUM(E$99:E134))</f>
        <v>291452.40753045247</v>
      </c>
      <c r="E135" s="522">
        <f>IF(+J96&lt;F134,J96,D135)</f>
        <v>41498.190476190473</v>
      </c>
      <c r="F135" s="523">
        <f t="shared" si="14"/>
        <v>249954.217054262</v>
      </c>
      <c r="G135" s="523">
        <f t="shared" si="15"/>
        <v>270703.31229235721</v>
      </c>
      <c r="H135" s="526">
        <f t="shared" si="16"/>
        <v>70618.78325012335</v>
      </c>
      <c r="I135" s="577">
        <f t="shared" si="17"/>
        <v>70618.78325012335</v>
      </c>
      <c r="J135" s="514">
        <f t="shared" si="19"/>
        <v>0</v>
      </c>
      <c r="K135" s="514"/>
      <c r="L135" s="525"/>
      <c r="M135" s="514">
        <f t="shared" si="20"/>
        <v>0</v>
      </c>
      <c r="N135" s="525"/>
      <c r="O135" s="514">
        <f t="shared" si="21"/>
        <v>0</v>
      </c>
      <c r="P135" s="514">
        <f t="shared" si="22"/>
        <v>0</v>
      </c>
    </row>
    <row r="136" spans="2:16" ht="12.5">
      <c r="B136" s="195" t="str">
        <f t="shared" si="13"/>
        <v/>
      </c>
      <c r="C136" s="507">
        <f>IF(D93="","-",+C135+1)</f>
        <v>2055</v>
      </c>
      <c r="D136" s="374">
        <f>IF(F135+SUM(E$99:E135)=D$92,F135,D$92-SUM(E$99:E135))</f>
        <v>249954.217054262</v>
      </c>
      <c r="E136" s="522">
        <f>IF(+J96&lt;F135,J96,D136)</f>
        <v>41498.190476190473</v>
      </c>
      <c r="F136" s="523">
        <f t="shared" si="14"/>
        <v>208456.02657807153</v>
      </c>
      <c r="G136" s="523">
        <f t="shared" si="15"/>
        <v>229205.12181616676</v>
      </c>
      <c r="H136" s="526">
        <f t="shared" si="16"/>
        <v>66154.663858753949</v>
      </c>
      <c r="I136" s="577">
        <f t="shared" si="17"/>
        <v>66154.663858753949</v>
      </c>
      <c r="J136" s="514">
        <f t="shared" si="19"/>
        <v>0</v>
      </c>
      <c r="K136" s="514"/>
      <c r="L136" s="525"/>
      <c r="M136" s="514">
        <f t="shared" si="20"/>
        <v>0</v>
      </c>
      <c r="N136" s="525"/>
      <c r="O136" s="514">
        <f t="shared" si="21"/>
        <v>0</v>
      </c>
      <c r="P136" s="514">
        <f t="shared" si="22"/>
        <v>0</v>
      </c>
    </row>
    <row r="137" spans="2:16" ht="12.5">
      <c r="B137" s="195" t="str">
        <f t="shared" si="13"/>
        <v/>
      </c>
      <c r="C137" s="507">
        <f>IF(D93="","-",+C136+1)</f>
        <v>2056</v>
      </c>
      <c r="D137" s="374">
        <f>IF(F136+SUM(E$99:E136)=D$92,F136,D$92-SUM(E$99:E136))</f>
        <v>208456.02657807153</v>
      </c>
      <c r="E137" s="522">
        <f>IF(+J96&lt;F136,J96,D137)</f>
        <v>41498.190476190473</v>
      </c>
      <c r="F137" s="523">
        <f t="shared" si="14"/>
        <v>166957.83610188105</v>
      </c>
      <c r="G137" s="523">
        <f t="shared" si="15"/>
        <v>187706.93133997629</v>
      </c>
      <c r="H137" s="526">
        <f t="shared" si="16"/>
        <v>61690.544467384527</v>
      </c>
      <c r="I137" s="577">
        <f t="shared" si="17"/>
        <v>61690.544467384527</v>
      </c>
      <c r="J137" s="514">
        <f t="shared" si="19"/>
        <v>0</v>
      </c>
      <c r="K137" s="514"/>
      <c r="L137" s="525"/>
      <c r="M137" s="514">
        <f t="shared" si="20"/>
        <v>0</v>
      </c>
      <c r="N137" s="525"/>
      <c r="O137" s="514">
        <f t="shared" si="21"/>
        <v>0</v>
      </c>
      <c r="P137" s="514">
        <f t="shared" si="22"/>
        <v>0</v>
      </c>
    </row>
    <row r="138" spans="2:16" ht="12.5">
      <c r="B138" s="195" t="str">
        <f t="shared" si="13"/>
        <v/>
      </c>
      <c r="C138" s="507">
        <f>IF(D93="","-",+C137+1)</f>
        <v>2057</v>
      </c>
      <c r="D138" s="374">
        <f>IF(F137+SUM(E$99:E137)=D$92,F137,D$92-SUM(E$99:E137))</f>
        <v>166957.83610188105</v>
      </c>
      <c r="E138" s="522">
        <f>IF(+J96&lt;F137,J96,D138)</f>
        <v>41498.190476190473</v>
      </c>
      <c r="F138" s="523">
        <f t="shared" si="14"/>
        <v>125459.64562569058</v>
      </c>
      <c r="G138" s="523">
        <f t="shared" si="15"/>
        <v>146208.74086378582</v>
      </c>
      <c r="H138" s="526">
        <f t="shared" si="16"/>
        <v>57226.425076015112</v>
      </c>
      <c r="I138" s="577">
        <f t="shared" si="17"/>
        <v>57226.425076015112</v>
      </c>
      <c r="J138" s="514">
        <f t="shared" si="19"/>
        <v>0</v>
      </c>
      <c r="K138" s="514"/>
      <c r="L138" s="525"/>
      <c r="M138" s="514">
        <f t="shared" si="20"/>
        <v>0</v>
      </c>
      <c r="N138" s="525"/>
      <c r="O138" s="514">
        <f t="shared" si="21"/>
        <v>0</v>
      </c>
      <c r="P138" s="514">
        <f t="shared" si="22"/>
        <v>0</v>
      </c>
    </row>
    <row r="139" spans="2:16" ht="12.5">
      <c r="B139" s="195" t="str">
        <f t="shared" si="13"/>
        <v/>
      </c>
      <c r="C139" s="507">
        <f>IF(D93="","-",+C138+1)</f>
        <v>2058</v>
      </c>
      <c r="D139" s="374">
        <f>IF(F138+SUM(E$99:E138)=D$92,F138,D$92-SUM(E$99:E138))</f>
        <v>125459.64562569058</v>
      </c>
      <c r="E139" s="522">
        <f>IF(+J96&lt;F138,J96,D139)</f>
        <v>41498.190476190473</v>
      </c>
      <c r="F139" s="523">
        <f t="shared" si="14"/>
        <v>83961.455149500107</v>
      </c>
      <c r="G139" s="523">
        <f t="shared" si="15"/>
        <v>104710.55038759534</v>
      </c>
      <c r="H139" s="526">
        <f t="shared" si="16"/>
        <v>52762.305684645689</v>
      </c>
      <c r="I139" s="577">
        <f t="shared" si="17"/>
        <v>52762.305684645689</v>
      </c>
      <c r="J139" s="514">
        <f t="shared" si="19"/>
        <v>0</v>
      </c>
      <c r="K139" s="514"/>
      <c r="L139" s="525"/>
      <c r="M139" s="514">
        <f t="shared" si="20"/>
        <v>0</v>
      </c>
      <c r="N139" s="525"/>
      <c r="O139" s="514">
        <f t="shared" si="21"/>
        <v>0</v>
      </c>
      <c r="P139" s="514">
        <f t="shared" si="22"/>
        <v>0</v>
      </c>
    </row>
    <row r="140" spans="2:16" ht="12.5">
      <c r="B140" s="195" t="str">
        <f t="shared" si="13"/>
        <v/>
      </c>
      <c r="C140" s="507">
        <f>IF(D93="","-",+C139+1)</f>
        <v>2059</v>
      </c>
      <c r="D140" s="374">
        <f>IF(F139+SUM(E$99:E139)=D$92,F139,D$92-SUM(E$99:E139))</f>
        <v>83961.455149500107</v>
      </c>
      <c r="E140" s="522">
        <f>IF(+J96&lt;F139,J96,D140)</f>
        <v>41498.190476190473</v>
      </c>
      <c r="F140" s="523">
        <f t="shared" si="14"/>
        <v>42463.264673309634</v>
      </c>
      <c r="G140" s="523">
        <f t="shared" si="15"/>
        <v>63212.35991140487</v>
      </c>
      <c r="H140" s="526">
        <f t="shared" si="16"/>
        <v>48298.186293276274</v>
      </c>
      <c r="I140" s="577">
        <f t="shared" si="17"/>
        <v>48298.186293276274</v>
      </c>
      <c r="J140" s="514">
        <f t="shared" si="19"/>
        <v>0</v>
      </c>
      <c r="K140" s="514"/>
      <c r="L140" s="525"/>
      <c r="M140" s="514">
        <f t="shared" si="20"/>
        <v>0</v>
      </c>
      <c r="N140" s="525"/>
      <c r="O140" s="514">
        <f t="shared" si="21"/>
        <v>0</v>
      </c>
      <c r="P140" s="514">
        <f t="shared" si="22"/>
        <v>0</v>
      </c>
    </row>
    <row r="141" spans="2:16" ht="12.5">
      <c r="B141" s="195" t="str">
        <f t="shared" si="13"/>
        <v/>
      </c>
      <c r="C141" s="507">
        <f>IF(D93="","-",+C140+1)</f>
        <v>2060</v>
      </c>
      <c r="D141" s="374">
        <f>IF(F140+SUM(E$99:E140)=D$92,F140,D$92-SUM(E$99:E140))</f>
        <v>42463.264673309634</v>
      </c>
      <c r="E141" s="522">
        <f>IF(+J96&lt;F140,J96,D141)</f>
        <v>41498.190476190473</v>
      </c>
      <c r="F141" s="523">
        <f t="shared" si="14"/>
        <v>965.07419711916009</v>
      </c>
      <c r="G141" s="523">
        <f t="shared" si="15"/>
        <v>21714.169435214397</v>
      </c>
      <c r="H141" s="526">
        <f t="shared" si="16"/>
        <v>43834.066901906859</v>
      </c>
      <c r="I141" s="577">
        <f t="shared" si="17"/>
        <v>43834.066901906859</v>
      </c>
      <c r="J141" s="514">
        <f t="shared" si="19"/>
        <v>0</v>
      </c>
      <c r="K141" s="514"/>
      <c r="L141" s="525"/>
      <c r="M141" s="514">
        <f t="shared" si="20"/>
        <v>0</v>
      </c>
      <c r="N141" s="525"/>
      <c r="O141" s="514">
        <f t="shared" si="21"/>
        <v>0</v>
      </c>
      <c r="P141" s="514">
        <f t="shared" si="22"/>
        <v>0</v>
      </c>
    </row>
    <row r="142" spans="2:16" ht="12.5">
      <c r="B142" s="195" t="str">
        <f t="shared" si="13"/>
        <v/>
      </c>
      <c r="C142" s="507">
        <f>IF(D93="","-",+C141+1)</f>
        <v>2061</v>
      </c>
      <c r="D142" s="374">
        <f>IF(F141+SUM(E$99:E141)=D$92,F141,D$92-SUM(E$99:E141))</f>
        <v>965.07419711916009</v>
      </c>
      <c r="E142" s="522">
        <f>IF(+J96&lt;F141,J96,D142)</f>
        <v>965.07419711916009</v>
      </c>
      <c r="F142" s="523">
        <f t="shared" si="14"/>
        <v>0</v>
      </c>
      <c r="G142" s="523">
        <f t="shared" si="15"/>
        <v>482.53709855958004</v>
      </c>
      <c r="H142" s="526">
        <f t="shared" si="16"/>
        <v>1016.9825621350002</v>
      </c>
      <c r="I142" s="577">
        <f t="shared" si="17"/>
        <v>1016.9825621350002</v>
      </c>
      <c r="J142" s="514">
        <f t="shared" si="19"/>
        <v>0</v>
      </c>
      <c r="K142" s="514"/>
      <c r="L142" s="525"/>
      <c r="M142" s="514">
        <f t="shared" si="20"/>
        <v>0</v>
      </c>
      <c r="N142" s="525"/>
      <c r="O142" s="514">
        <f t="shared" si="21"/>
        <v>0</v>
      </c>
      <c r="P142" s="514">
        <f t="shared" si="22"/>
        <v>0</v>
      </c>
    </row>
    <row r="143" spans="2:16" ht="12.5">
      <c r="B143" s="195" t="str">
        <f t="shared" si="13"/>
        <v/>
      </c>
      <c r="C143" s="507">
        <f>IF(D93="","-",+C142+1)</f>
        <v>2062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4"/>
        <v>0</v>
      </c>
      <c r="G143" s="523">
        <f t="shared" si="15"/>
        <v>0</v>
      </c>
      <c r="H143" s="526">
        <f t="shared" si="16"/>
        <v>0</v>
      </c>
      <c r="I143" s="577">
        <f t="shared" si="17"/>
        <v>0</v>
      </c>
      <c r="J143" s="514">
        <f t="shared" si="19"/>
        <v>0</v>
      </c>
      <c r="K143" s="514"/>
      <c r="L143" s="525"/>
      <c r="M143" s="514">
        <f t="shared" si="20"/>
        <v>0</v>
      </c>
      <c r="N143" s="525"/>
      <c r="O143" s="514">
        <f t="shared" si="21"/>
        <v>0</v>
      </c>
      <c r="P143" s="514">
        <f t="shared" si="22"/>
        <v>0</v>
      </c>
    </row>
    <row r="144" spans="2:16" ht="12.5">
      <c r="B144" s="195" t="str">
        <f t="shared" si="13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4"/>
        <v>0</v>
      </c>
      <c r="G144" s="523">
        <f t="shared" si="15"/>
        <v>0</v>
      </c>
      <c r="H144" s="526">
        <f t="shared" si="16"/>
        <v>0</v>
      </c>
      <c r="I144" s="577">
        <f t="shared" si="17"/>
        <v>0</v>
      </c>
      <c r="J144" s="514">
        <f t="shared" si="19"/>
        <v>0</v>
      </c>
      <c r="K144" s="514"/>
      <c r="L144" s="525"/>
      <c r="M144" s="514">
        <f t="shared" si="20"/>
        <v>0</v>
      </c>
      <c r="N144" s="525"/>
      <c r="O144" s="514">
        <f t="shared" si="21"/>
        <v>0</v>
      </c>
      <c r="P144" s="514">
        <f t="shared" si="22"/>
        <v>0</v>
      </c>
    </row>
    <row r="145" spans="2:16" ht="12.5">
      <c r="B145" s="195" t="str">
        <f t="shared" si="13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4"/>
        <v>0</v>
      </c>
      <c r="G145" s="523">
        <f t="shared" si="15"/>
        <v>0</v>
      </c>
      <c r="H145" s="526">
        <f t="shared" si="16"/>
        <v>0</v>
      </c>
      <c r="I145" s="577">
        <f t="shared" si="17"/>
        <v>0</v>
      </c>
      <c r="J145" s="514">
        <f t="shared" si="19"/>
        <v>0</v>
      </c>
      <c r="K145" s="514"/>
      <c r="L145" s="525"/>
      <c r="M145" s="514">
        <f t="shared" si="20"/>
        <v>0</v>
      </c>
      <c r="N145" s="525"/>
      <c r="O145" s="514">
        <f t="shared" si="21"/>
        <v>0</v>
      </c>
      <c r="P145" s="514">
        <f t="shared" si="22"/>
        <v>0</v>
      </c>
    </row>
    <row r="146" spans="2:16" ht="12.5">
      <c r="B146" s="195" t="str">
        <f t="shared" si="13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4"/>
        <v>0</v>
      </c>
      <c r="G146" s="523">
        <f t="shared" si="15"/>
        <v>0</v>
      </c>
      <c r="H146" s="526">
        <f t="shared" si="16"/>
        <v>0</v>
      </c>
      <c r="I146" s="577">
        <f t="shared" si="17"/>
        <v>0</v>
      </c>
      <c r="J146" s="514">
        <f t="shared" si="19"/>
        <v>0</v>
      </c>
      <c r="K146" s="514"/>
      <c r="L146" s="525"/>
      <c r="M146" s="514">
        <f t="shared" si="20"/>
        <v>0</v>
      </c>
      <c r="N146" s="525"/>
      <c r="O146" s="514">
        <f t="shared" si="21"/>
        <v>0</v>
      </c>
      <c r="P146" s="514">
        <f t="shared" si="22"/>
        <v>0</v>
      </c>
    </row>
    <row r="147" spans="2:16" ht="12.5">
      <c r="B147" s="195" t="str">
        <f t="shared" si="13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4"/>
        <v>0</v>
      </c>
      <c r="G147" s="523">
        <f t="shared" si="15"/>
        <v>0</v>
      </c>
      <c r="H147" s="526">
        <f t="shared" si="16"/>
        <v>0</v>
      </c>
      <c r="I147" s="577">
        <f t="shared" si="17"/>
        <v>0</v>
      </c>
      <c r="J147" s="514">
        <f t="shared" si="19"/>
        <v>0</v>
      </c>
      <c r="K147" s="514"/>
      <c r="L147" s="525"/>
      <c r="M147" s="514">
        <f t="shared" si="20"/>
        <v>0</v>
      </c>
      <c r="N147" s="525"/>
      <c r="O147" s="514">
        <f t="shared" si="21"/>
        <v>0</v>
      </c>
      <c r="P147" s="514">
        <f t="shared" si="22"/>
        <v>0</v>
      </c>
    </row>
    <row r="148" spans="2:16" ht="12.5">
      <c r="B148" s="195" t="str">
        <f t="shared" si="13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4"/>
        <v>0</v>
      </c>
      <c r="G148" s="523">
        <f t="shared" si="15"/>
        <v>0</v>
      </c>
      <c r="H148" s="526">
        <f t="shared" si="16"/>
        <v>0</v>
      </c>
      <c r="I148" s="577">
        <f t="shared" si="17"/>
        <v>0</v>
      </c>
      <c r="J148" s="514">
        <f t="shared" si="19"/>
        <v>0</v>
      </c>
      <c r="K148" s="514"/>
      <c r="L148" s="525"/>
      <c r="M148" s="514">
        <f t="shared" si="20"/>
        <v>0</v>
      </c>
      <c r="N148" s="525"/>
      <c r="O148" s="514">
        <f t="shared" si="21"/>
        <v>0</v>
      </c>
      <c r="P148" s="514">
        <f t="shared" si="22"/>
        <v>0</v>
      </c>
    </row>
    <row r="149" spans="2:16" ht="12.5">
      <c r="B149" s="195" t="str">
        <f t="shared" si="13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4"/>
        <v>0</v>
      </c>
      <c r="G149" s="523">
        <f t="shared" si="15"/>
        <v>0</v>
      </c>
      <c r="H149" s="526">
        <f t="shared" si="16"/>
        <v>0</v>
      </c>
      <c r="I149" s="577">
        <f t="shared" si="17"/>
        <v>0</v>
      </c>
      <c r="J149" s="514">
        <f t="shared" si="19"/>
        <v>0</v>
      </c>
      <c r="K149" s="514"/>
      <c r="L149" s="525"/>
      <c r="M149" s="514">
        <f t="shared" si="20"/>
        <v>0</v>
      </c>
      <c r="N149" s="525"/>
      <c r="O149" s="514">
        <f t="shared" si="21"/>
        <v>0</v>
      </c>
      <c r="P149" s="514">
        <f t="shared" si="22"/>
        <v>0</v>
      </c>
    </row>
    <row r="150" spans="2:16" ht="12.5">
      <c r="B150" s="195" t="str">
        <f t="shared" si="13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4"/>
        <v>0</v>
      </c>
      <c r="G150" s="523">
        <f t="shared" si="15"/>
        <v>0</v>
      </c>
      <c r="H150" s="526">
        <f t="shared" si="16"/>
        <v>0</v>
      </c>
      <c r="I150" s="577">
        <f t="shared" si="17"/>
        <v>0</v>
      </c>
      <c r="J150" s="514">
        <f t="shared" si="19"/>
        <v>0</v>
      </c>
      <c r="K150" s="514"/>
      <c r="L150" s="525"/>
      <c r="M150" s="514">
        <f t="shared" si="20"/>
        <v>0</v>
      </c>
      <c r="N150" s="525"/>
      <c r="O150" s="514">
        <f t="shared" si="21"/>
        <v>0</v>
      </c>
      <c r="P150" s="514">
        <f t="shared" si="22"/>
        <v>0</v>
      </c>
    </row>
    <row r="151" spans="2:16" ht="12.5">
      <c r="B151" s="195" t="str">
        <f t="shared" si="13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4"/>
        <v>0</v>
      </c>
      <c r="G151" s="523">
        <f t="shared" si="15"/>
        <v>0</v>
      </c>
      <c r="H151" s="526">
        <f t="shared" si="16"/>
        <v>0</v>
      </c>
      <c r="I151" s="577">
        <f t="shared" si="17"/>
        <v>0</v>
      </c>
      <c r="J151" s="514">
        <f t="shared" si="19"/>
        <v>0</v>
      </c>
      <c r="K151" s="514"/>
      <c r="L151" s="525"/>
      <c r="M151" s="514">
        <f t="shared" si="20"/>
        <v>0</v>
      </c>
      <c r="N151" s="525"/>
      <c r="O151" s="514">
        <f t="shared" si="21"/>
        <v>0</v>
      </c>
      <c r="P151" s="514">
        <f t="shared" si="22"/>
        <v>0</v>
      </c>
    </row>
    <row r="152" spans="2:16" ht="12.5">
      <c r="B152" s="195" t="str">
        <f t="shared" si="13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4"/>
        <v>0</v>
      </c>
      <c r="G152" s="523">
        <f t="shared" si="15"/>
        <v>0</v>
      </c>
      <c r="H152" s="526">
        <f t="shared" si="16"/>
        <v>0</v>
      </c>
      <c r="I152" s="577">
        <f t="shared" si="17"/>
        <v>0</v>
      </c>
      <c r="J152" s="514">
        <f t="shared" si="19"/>
        <v>0</v>
      </c>
      <c r="K152" s="514"/>
      <c r="L152" s="525"/>
      <c r="M152" s="514">
        <f t="shared" si="20"/>
        <v>0</v>
      </c>
      <c r="N152" s="525"/>
      <c r="O152" s="514">
        <f t="shared" si="21"/>
        <v>0</v>
      </c>
      <c r="P152" s="514">
        <f t="shared" si="22"/>
        <v>0</v>
      </c>
    </row>
    <row r="153" spans="2:16" ht="12.5">
      <c r="B153" s="195" t="str">
        <f t="shared" si="13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4"/>
        <v>0</v>
      </c>
      <c r="G153" s="523">
        <f t="shared" si="15"/>
        <v>0</v>
      </c>
      <c r="H153" s="526">
        <f t="shared" si="16"/>
        <v>0</v>
      </c>
      <c r="I153" s="577">
        <f t="shared" si="17"/>
        <v>0</v>
      </c>
      <c r="J153" s="514">
        <f t="shared" si="19"/>
        <v>0</v>
      </c>
      <c r="K153" s="514"/>
      <c r="L153" s="525"/>
      <c r="M153" s="514">
        <f t="shared" si="20"/>
        <v>0</v>
      </c>
      <c r="N153" s="525"/>
      <c r="O153" s="514">
        <f t="shared" si="21"/>
        <v>0</v>
      </c>
      <c r="P153" s="514">
        <f t="shared" si="22"/>
        <v>0</v>
      </c>
    </row>
    <row r="154" spans="2:16" ht="13" thickBot="1">
      <c r="B154" s="195" t="str">
        <f t="shared" si="13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4"/>
        <v>0</v>
      </c>
      <c r="G154" s="528">
        <f t="shared" si="15"/>
        <v>0</v>
      </c>
      <c r="H154" s="530">
        <f t="shared" si="16"/>
        <v>0</v>
      </c>
      <c r="I154" s="579">
        <f t="shared" si="17"/>
        <v>0</v>
      </c>
      <c r="J154" s="533">
        <f t="shared" si="19"/>
        <v>0</v>
      </c>
      <c r="K154" s="514"/>
      <c r="L154" s="532"/>
      <c r="M154" s="533">
        <f t="shared" si="20"/>
        <v>0</v>
      </c>
      <c r="N154" s="532"/>
      <c r="O154" s="533">
        <f t="shared" si="21"/>
        <v>0</v>
      </c>
      <c r="P154" s="533">
        <f t="shared" si="22"/>
        <v>0</v>
      </c>
    </row>
    <row r="155" spans="2:16" ht="12.5">
      <c r="C155" s="374" t="s">
        <v>78</v>
      </c>
      <c r="D155" s="375"/>
      <c r="E155" s="375">
        <f>SUM(E99:E154)</f>
        <v>1742924</v>
      </c>
      <c r="F155" s="375"/>
      <c r="G155" s="375"/>
      <c r="H155" s="375">
        <f>SUM(H99:H154)</f>
        <v>5772936.0670275418</v>
      </c>
      <c r="I155" s="375">
        <f>SUM(I99:I154)</f>
        <v>5772936.0670275418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9" priority="1" stopIfTrue="1" operator="equal">
      <formula>$I$10</formula>
    </cfRule>
  </conditionalFormatting>
  <conditionalFormatting sqref="C99:C154">
    <cfRule type="cellIs" dxfId="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view="pageBreakPreview" zoomScale="80" zoomScaleNormal="80" zoomScaleSheetLayoutView="80" workbookViewId="0">
      <selection activeCell="D14" sqref="D1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72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998426.09511782171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998426.09511782171</v>
      </c>
      <c r="O6" s="269"/>
      <c r="P6" s="269"/>
    </row>
    <row r="7" spans="1:16" ht="13.5" thickBot="1">
      <c r="C7" s="467" t="s">
        <v>48</v>
      </c>
      <c r="D7" s="624" t="s">
        <v>460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1"/>
      <c r="K8" s="474"/>
      <c r="L8" s="474"/>
      <c r="M8" s="474"/>
      <c r="N8" s="474"/>
      <c r="O8" s="661"/>
      <c r="P8" s="340"/>
    </row>
    <row r="9" spans="1:16" ht="13.5" thickBot="1">
      <c r="C9" s="476" t="s">
        <v>50</v>
      </c>
      <c r="D9" s="477" t="s">
        <v>476</v>
      </c>
      <c r="E9" s="637" t="s">
        <v>477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9628141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229241.45238095237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2019</v>
      </c>
      <c r="D17" s="631">
        <v>0</v>
      </c>
      <c r="E17" s="630">
        <v>9.9555672459071778E-2</v>
      </c>
      <c r="F17" s="631">
        <v>7956999.9004443279</v>
      </c>
      <c r="G17" s="630">
        <v>396082.33747842355</v>
      </c>
      <c r="H17" s="639">
        <v>396082.33747842355</v>
      </c>
      <c r="I17" s="511">
        <f t="shared" ref="I17:I72" si="0">H17-G17</f>
        <v>0</v>
      </c>
      <c r="J17" s="511"/>
      <c r="K17" s="512">
        <f>+G17</f>
        <v>396082.33747842355</v>
      </c>
      <c r="L17" s="513">
        <f t="shared" ref="L17:L18" si="1">IF(K17&lt;&gt;0,+G17-K17,0)</f>
        <v>0</v>
      </c>
      <c r="M17" s="512">
        <f>+H17</f>
        <v>396082.33747842355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2020</v>
      </c>
      <c r="D18" s="631">
        <v>7956999.9004443279</v>
      </c>
      <c r="E18" s="630">
        <v>194073.17073170733</v>
      </c>
      <c r="F18" s="631">
        <v>7762926.7297126204</v>
      </c>
      <c r="G18" s="630">
        <v>998426.09511782171</v>
      </c>
      <c r="H18" s="639">
        <v>998426.09511782171</v>
      </c>
      <c r="I18" s="511">
        <f t="shared" si="0"/>
        <v>0</v>
      </c>
      <c r="J18" s="511"/>
      <c r="K18" s="518">
        <f>+G18</f>
        <v>998426.09511782171</v>
      </c>
      <c r="L18" s="519">
        <f t="shared" si="1"/>
        <v>0</v>
      </c>
      <c r="M18" s="518">
        <f>+H18</f>
        <v>998426.09511782171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2021</v>
      </c>
      <c r="D19" s="523">
        <f>IF(F18+SUM(E$17:E18)=D$10,F18,D$10-SUM(E$17:E18))</f>
        <v>9434067.7297126204</v>
      </c>
      <c r="E19" s="522">
        <f>IF(+I14&lt;F18,I14,D19)</f>
        <v>229241.45238095237</v>
      </c>
      <c r="F19" s="523">
        <f t="shared" ref="F19:F72" si="4">+D19-E19</f>
        <v>9204826.2773316689</v>
      </c>
      <c r="G19" s="524">
        <f t="shared" ref="G19:G72" si="5">+I$12*((D19+F19)/2)+E19</f>
        <v>1224725.8978655648</v>
      </c>
      <c r="H19" s="491">
        <f t="shared" ref="H19:H72" si="6">+I$13*((D19+F19)/2)+E19</f>
        <v>1224725.8978655648</v>
      </c>
      <c r="I19" s="511">
        <f t="shared" si="0"/>
        <v>0</v>
      </c>
      <c r="J19" s="511"/>
      <c r="K19" s="525"/>
      <c r="L19" s="514">
        <f t="shared" ref="L19:L72" si="7">IF(K19&lt;&gt;0,+G19-K19,0)</f>
        <v>0</v>
      </c>
      <c r="M19" s="525"/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8">IF(D20=F19,"","IU")</f>
        <v/>
      </c>
      <c r="C20" s="507">
        <f>IF(D11="","-",+C19+1)</f>
        <v>2022</v>
      </c>
      <c r="D20" s="523">
        <f>IF(F19+SUM(E$17:E19)=D$10,F19,D$10-SUM(E$17:E19))</f>
        <v>9204826.2773316689</v>
      </c>
      <c r="E20" s="522">
        <f>IF(+I14&lt;F19,I14,D20)</f>
        <v>229241.45238095237</v>
      </c>
      <c r="F20" s="523">
        <f t="shared" si="4"/>
        <v>8975584.8249507174</v>
      </c>
      <c r="G20" s="524">
        <f t="shared" si="5"/>
        <v>1200238.7904203171</v>
      </c>
      <c r="H20" s="491">
        <f t="shared" si="6"/>
        <v>1200238.7904203171</v>
      </c>
      <c r="I20" s="511">
        <f t="shared" si="0"/>
        <v>0</v>
      </c>
      <c r="J20" s="511"/>
      <c r="K20" s="525"/>
      <c r="L20" s="514">
        <f t="shared" si="7"/>
        <v>0</v>
      </c>
      <c r="M20" s="525"/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8"/>
        <v/>
      </c>
      <c r="C21" s="507">
        <f>IF(D11="","-",+C20+1)</f>
        <v>2023</v>
      </c>
      <c r="D21" s="523">
        <f>IF(F20+SUM(E$17:E20)=D$10,F20,D$10-SUM(E$17:E20))</f>
        <v>8975584.8249507174</v>
      </c>
      <c r="E21" s="522">
        <f>IF(+I14&lt;F20,I14,D21)</f>
        <v>229241.45238095237</v>
      </c>
      <c r="F21" s="523">
        <f t="shared" si="4"/>
        <v>8746343.3725697659</v>
      </c>
      <c r="G21" s="524">
        <f t="shared" si="5"/>
        <v>1175751.6829750694</v>
      </c>
      <c r="H21" s="491">
        <f t="shared" si="6"/>
        <v>1175751.6829750694</v>
      </c>
      <c r="I21" s="511">
        <f t="shared" si="0"/>
        <v>0</v>
      </c>
      <c r="J21" s="511"/>
      <c r="K21" s="525"/>
      <c r="L21" s="514">
        <f t="shared" si="7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8"/>
        <v/>
      </c>
      <c r="C22" s="507">
        <f>IF(D11="","-",+C21+1)</f>
        <v>2024</v>
      </c>
      <c r="D22" s="523">
        <f>IF(F21+SUM(E$17:E21)=D$10,F21,D$10-SUM(E$17:E21))</f>
        <v>8746343.3725697659</v>
      </c>
      <c r="E22" s="522">
        <f>IF(+I14&lt;F21,I14,D22)</f>
        <v>229241.45238095237</v>
      </c>
      <c r="F22" s="523">
        <f t="shared" si="4"/>
        <v>8517101.9201888144</v>
      </c>
      <c r="G22" s="524">
        <f t="shared" si="5"/>
        <v>1151264.5755298217</v>
      </c>
      <c r="H22" s="491">
        <f t="shared" si="6"/>
        <v>1151264.5755298217</v>
      </c>
      <c r="I22" s="511">
        <f t="shared" si="0"/>
        <v>0</v>
      </c>
      <c r="J22" s="511"/>
      <c r="K22" s="525"/>
      <c r="L22" s="514">
        <f t="shared" si="7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8"/>
        <v/>
      </c>
      <c r="C23" s="507">
        <f>IF(D11="","-",+C22+1)</f>
        <v>2025</v>
      </c>
      <c r="D23" s="523">
        <f>IF(F22+SUM(E$17:E22)=D$10,F22,D$10-SUM(E$17:E22))</f>
        <v>8517101.9201888144</v>
      </c>
      <c r="E23" s="522">
        <f>IF(+I14&lt;F22,I14,D23)</f>
        <v>229241.45238095237</v>
      </c>
      <c r="F23" s="523">
        <f t="shared" si="4"/>
        <v>8287860.467807862</v>
      </c>
      <c r="G23" s="524">
        <f t="shared" si="5"/>
        <v>1126777.468084574</v>
      </c>
      <c r="H23" s="491">
        <f t="shared" si="6"/>
        <v>1126777.468084574</v>
      </c>
      <c r="I23" s="511">
        <f t="shared" si="0"/>
        <v>0</v>
      </c>
      <c r="J23" s="511"/>
      <c r="K23" s="525"/>
      <c r="L23" s="514">
        <f t="shared" si="7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8"/>
        <v/>
      </c>
      <c r="C24" s="507">
        <f>IF(D11="","-",+C23+1)</f>
        <v>2026</v>
      </c>
      <c r="D24" s="523">
        <f>IF(F23+SUM(E$17:E23)=D$10,F23,D$10-SUM(E$17:E23))</f>
        <v>8287860.467807862</v>
      </c>
      <c r="E24" s="522">
        <f>IF(+I14&lt;F23,I14,D24)</f>
        <v>229241.45238095237</v>
      </c>
      <c r="F24" s="523">
        <f t="shared" si="4"/>
        <v>8058619.0154269096</v>
      </c>
      <c r="G24" s="524">
        <f t="shared" si="5"/>
        <v>1102290.360639326</v>
      </c>
      <c r="H24" s="491">
        <f t="shared" si="6"/>
        <v>1102290.360639326</v>
      </c>
      <c r="I24" s="511">
        <f t="shared" si="0"/>
        <v>0</v>
      </c>
      <c r="J24" s="511"/>
      <c r="K24" s="525"/>
      <c r="L24" s="514">
        <f t="shared" si="7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8"/>
        <v/>
      </c>
      <c r="C25" s="507">
        <f>IF(D11="","-",+C24+1)</f>
        <v>2027</v>
      </c>
      <c r="D25" s="523">
        <f>IF(F24+SUM(E$17:E24)=D$10,F24,D$10-SUM(E$17:E24))</f>
        <v>8058619.0154269096</v>
      </c>
      <c r="E25" s="522">
        <f>IF(+I14&lt;F24,I14,D25)</f>
        <v>229241.45238095237</v>
      </c>
      <c r="F25" s="523">
        <f t="shared" si="4"/>
        <v>7829377.5630459571</v>
      </c>
      <c r="G25" s="524">
        <f t="shared" si="5"/>
        <v>1077803.2531940783</v>
      </c>
      <c r="H25" s="491">
        <f t="shared" si="6"/>
        <v>1077803.2531940783</v>
      </c>
      <c r="I25" s="511">
        <f t="shared" si="0"/>
        <v>0</v>
      </c>
      <c r="J25" s="511"/>
      <c r="K25" s="525"/>
      <c r="L25" s="514">
        <f t="shared" si="7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8"/>
        <v/>
      </c>
      <c r="C26" s="507">
        <f>IF(D11="","-",+C25+1)</f>
        <v>2028</v>
      </c>
      <c r="D26" s="523">
        <f>IF(F25+SUM(E$17:E25)=D$10,F25,D$10-SUM(E$17:E25))</f>
        <v>7829377.5630459571</v>
      </c>
      <c r="E26" s="522">
        <f>IF(+I14&lt;F25,I14,D26)</f>
        <v>229241.45238095237</v>
      </c>
      <c r="F26" s="523">
        <f t="shared" si="4"/>
        <v>7600136.1106650047</v>
      </c>
      <c r="G26" s="524">
        <f t="shared" si="5"/>
        <v>1053316.1457488304</v>
      </c>
      <c r="H26" s="491">
        <f t="shared" si="6"/>
        <v>1053316.1457488304</v>
      </c>
      <c r="I26" s="511">
        <f t="shared" si="0"/>
        <v>0</v>
      </c>
      <c r="J26" s="511"/>
      <c r="K26" s="525"/>
      <c r="L26" s="514">
        <f t="shared" si="7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8"/>
        <v/>
      </c>
      <c r="C27" s="507">
        <f>IF(D11="","-",+C26+1)</f>
        <v>2029</v>
      </c>
      <c r="D27" s="523">
        <f>IF(F26+SUM(E$17:E26)=D$10,F26,D$10-SUM(E$17:E26))</f>
        <v>7600136.1106650047</v>
      </c>
      <c r="E27" s="522">
        <f>IF(+I14&lt;F26,I14,D27)</f>
        <v>229241.45238095237</v>
      </c>
      <c r="F27" s="523">
        <f t="shared" si="4"/>
        <v>7370894.6582840523</v>
      </c>
      <c r="G27" s="524">
        <f t="shared" si="5"/>
        <v>1028829.0383035827</v>
      </c>
      <c r="H27" s="491">
        <f t="shared" si="6"/>
        <v>1028829.0383035827</v>
      </c>
      <c r="I27" s="511">
        <f t="shared" si="0"/>
        <v>0</v>
      </c>
      <c r="J27" s="511"/>
      <c r="K27" s="525"/>
      <c r="L27" s="514">
        <f t="shared" si="7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8"/>
        <v/>
      </c>
      <c r="C28" s="507">
        <f>IF(D11="","-",+C27+1)</f>
        <v>2030</v>
      </c>
      <c r="D28" s="523">
        <f>IF(F27+SUM(E$17:E27)=D$10,F27,D$10-SUM(E$17:E27))</f>
        <v>7370894.6582840523</v>
      </c>
      <c r="E28" s="522">
        <f>IF(+I14&lt;F27,I14,D28)</f>
        <v>229241.45238095237</v>
      </c>
      <c r="F28" s="523">
        <f t="shared" si="4"/>
        <v>7141653.2059030998</v>
      </c>
      <c r="G28" s="524">
        <f t="shared" si="5"/>
        <v>1004341.9308583348</v>
      </c>
      <c r="H28" s="491">
        <f t="shared" si="6"/>
        <v>1004341.9308583348</v>
      </c>
      <c r="I28" s="511">
        <f t="shared" si="0"/>
        <v>0</v>
      </c>
      <c r="J28" s="511"/>
      <c r="K28" s="525"/>
      <c r="L28" s="514">
        <f t="shared" si="7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8"/>
        <v/>
      </c>
      <c r="C29" s="507">
        <f>IF(D11="","-",+C28+1)</f>
        <v>2031</v>
      </c>
      <c r="D29" s="523">
        <f>IF(F28+SUM(E$17:E28)=D$10,F28,D$10-SUM(E$17:E28))</f>
        <v>7141653.2059030998</v>
      </c>
      <c r="E29" s="522">
        <f>IF(+I14&lt;F28,I14,D29)</f>
        <v>229241.45238095237</v>
      </c>
      <c r="F29" s="523">
        <f t="shared" si="4"/>
        <v>6912411.7535221474</v>
      </c>
      <c r="G29" s="524">
        <f t="shared" si="5"/>
        <v>979854.82341308706</v>
      </c>
      <c r="H29" s="491">
        <f t="shared" si="6"/>
        <v>979854.82341308706</v>
      </c>
      <c r="I29" s="511">
        <f t="shared" si="0"/>
        <v>0</v>
      </c>
      <c r="J29" s="511"/>
      <c r="K29" s="525"/>
      <c r="L29" s="514">
        <f t="shared" si="7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8"/>
        <v/>
      </c>
      <c r="C30" s="507">
        <f>IF(D11="","-",+C29+1)</f>
        <v>2032</v>
      </c>
      <c r="D30" s="523">
        <f>IF(F29+SUM(E$17:E29)=D$10,F29,D$10-SUM(E$17:E29))</f>
        <v>6912411.7535221474</v>
      </c>
      <c r="E30" s="522">
        <f>IF(+I14&lt;F29,I14,D30)</f>
        <v>229241.45238095237</v>
      </c>
      <c r="F30" s="523">
        <f t="shared" si="4"/>
        <v>6683170.301141195</v>
      </c>
      <c r="G30" s="524">
        <f t="shared" si="5"/>
        <v>955367.71596783912</v>
      </c>
      <c r="H30" s="491">
        <f t="shared" si="6"/>
        <v>955367.71596783912</v>
      </c>
      <c r="I30" s="511">
        <f t="shared" si="0"/>
        <v>0</v>
      </c>
      <c r="J30" s="511"/>
      <c r="K30" s="525"/>
      <c r="L30" s="514">
        <f t="shared" si="7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8"/>
        <v/>
      </c>
      <c r="C31" s="507">
        <f>IF(D11="","-",+C30+1)</f>
        <v>2033</v>
      </c>
      <c r="D31" s="523">
        <f>IF(F30+SUM(E$17:E30)=D$10,F30,D$10-SUM(E$17:E30))</f>
        <v>6683170.301141195</v>
      </c>
      <c r="E31" s="522">
        <f>IF(+I14&lt;F30,I14,D31)</f>
        <v>229241.45238095237</v>
      </c>
      <c r="F31" s="523">
        <f t="shared" si="4"/>
        <v>6453928.8487602426</v>
      </c>
      <c r="G31" s="524">
        <f t="shared" si="5"/>
        <v>930880.60852259141</v>
      </c>
      <c r="H31" s="491">
        <f t="shared" si="6"/>
        <v>930880.60852259141</v>
      </c>
      <c r="I31" s="511">
        <f t="shared" si="0"/>
        <v>0</v>
      </c>
      <c r="J31" s="511"/>
      <c r="K31" s="525"/>
      <c r="L31" s="514">
        <f t="shared" si="7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8"/>
        <v/>
      </c>
      <c r="C32" s="507">
        <f>IF(D11="","-",+C31+1)</f>
        <v>2034</v>
      </c>
      <c r="D32" s="523">
        <f>IF(F31+SUM(E$17:E31)=D$10,F31,D$10-SUM(E$17:E31))</f>
        <v>6453928.8487602426</v>
      </c>
      <c r="E32" s="522">
        <f>IF(+I14&lt;F31,I14,D32)</f>
        <v>229241.45238095237</v>
      </c>
      <c r="F32" s="523">
        <f t="shared" si="4"/>
        <v>6224687.3963792901</v>
      </c>
      <c r="G32" s="524">
        <f t="shared" si="5"/>
        <v>906393.50107734348</v>
      </c>
      <c r="H32" s="491">
        <f t="shared" si="6"/>
        <v>906393.50107734348</v>
      </c>
      <c r="I32" s="511">
        <f t="shared" si="0"/>
        <v>0</v>
      </c>
      <c r="J32" s="511"/>
      <c r="K32" s="525"/>
      <c r="L32" s="514">
        <f t="shared" si="7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8"/>
        <v/>
      </c>
      <c r="C33" s="507">
        <f>IF(D11="","-",+C32+1)</f>
        <v>2035</v>
      </c>
      <c r="D33" s="523">
        <f>IF(F32+SUM(E$17:E32)=D$10,F32,D$10-SUM(E$17:E32))</f>
        <v>6224687.3963792901</v>
      </c>
      <c r="E33" s="522">
        <f>IF(+I14&lt;F32,I14,D33)</f>
        <v>229241.45238095237</v>
      </c>
      <c r="F33" s="523">
        <f t="shared" si="4"/>
        <v>5995445.9439983377</v>
      </c>
      <c r="G33" s="524">
        <f t="shared" si="5"/>
        <v>881906.39363209577</v>
      </c>
      <c r="H33" s="491">
        <f t="shared" si="6"/>
        <v>881906.39363209577</v>
      </c>
      <c r="I33" s="511">
        <f t="shared" si="0"/>
        <v>0</v>
      </c>
      <c r="J33" s="511"/>
      <c r="K33" s="525"/>
      <c r="L33" s="514">
        <f t="shared" si="7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8"/>
        <v/>
      </c>
      <c r="C34" s="507">
        <f>IF(D11="","-",+C33+1)</f>
        <v>2036</v>
      </c>
      <c r="D34" s="523">
        <f>IF(F33+SUM(E$17:E33)=D$10,F33,D$10-SUM(E$17:E33))</f>
        <v>5995445.9439983377</v>
      </c>
      <c r="E34" s="522">
        <f>IF(+I14&lt;F33,I14,D34)</f>
        <v>229241.45238095237</v>
      </c>
      <c r="F34" s="523">
        <f t="shared" si="4"/>
        <v>5766204.4916173853</v>
      </c>
      <c r="G34" s="524">
        <f t="shared" si="5"/>
        <v>857419.28618684784</v>
      </c>
      <c r="H34" s="491">
        <f t="shared" si="6"/>
        <v>857419.28618684784</v>
      </c>
      <c r="I34" s="511">
        <f t="shared" si="0"/>
        <v>0</v>
      </c>
      <c r="J34" s="511"/>
      <c r="K34" s="525"/>
      <c r="L34" s="514">
        <f t="shared" si="7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8"/>
        <v/>
      </c>
      <c r="C35" s="507">
        <f>IF(D11="","-",+C34+1)</f>
        <v>2037</v>
      </c>
      <c r="D35" s="523">
        <f>IF(F34+SUM(E$17:E34)=D$10,F34,D$10-SUM(E$17:E34))</f>
        <v>5766204.4916173853</v>
      </c>
      <c r="E35" s="522">
        <f>IF(+I14&lt;F34,I14,D35)</f>
        <v>229241.45238095237</v>
      </c>
      <c r="F35" s="523">
        <f t="shared" si="4"/>
        <v>5536963.0392364329</v>
      </c>
      <c r="G35" s="524">
        <f t="shared" si="5"/>
        <v>832932.17874160013</v>
      </c>
      <c r="H35" s="491">
        <f t="shared" si="6"/>
        <v>832932.17874160013</v>
      </c>
      <c r="I35" s="511">
        <f t="shared" si="0"/>
        <v>0</v>
      </c>
      <c r="J35" s="511"/>
      <c r="K35" s="525"/>
      <c r="L35" s="514">
        <f t="shared" si="7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8"/>
        <v/>
      </c>
      <c r="C36" s="507">
        <f>IF(D11="","-",+C35+1)</f>
        <v>2038</v>
      </c>
      <c r="D36" s="523">
        <f>IF(F35+SUM(E$17:E35)=D$10,F35,D$10-SUM(E$17:E35))</f>
        <v>5536963.0392364329</v>
      </c>
      <c r="E36" s="522">
        <f>IF(+I14&lt;F35,I14,D36)</f>
        <v>229241.45238095237</v>
      </c>
      <c r="F36" s="523">
        <f t="shared" si="4"/>
        <v>5307721.5868554804</v>
      </c>
      <c r="G36" s="524">
        <f t="shared" si="5"/>
        <v>808445.07129635219</v>
      </c>
      <c r="H36" s="491">
        <f t="shared" si="6"/>
        <v>808445.07129635219</v>
      </c>
      <c r="I36" s="511">
        <f t="shared" si="0"/>
        <v>0</v>
      </c>
      <c r="J36" s="511"/>
      <c r="K36" s="525"/>
      <c r="L36" s="514">
        <f t="shared" si="7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8"/>
        <v/>
      </c>
      <c r="C37" s="507">
        <f>IF(D11="","-",+C36+1)</f>
        <v>2039</v>
      </c>
      <c r="D37" s="523">
        <f>IF(F36+SUM(E$17:E36)=D$10,F36,D$10-SUM(E$17:E36))</f>
        <v>5307721.5868554804</v>
      </c>
      <c r="E37" s="522">
        <f>IF(+I14&lt;F36,I14,D37)</f>
        <v>229241.45238095237</v>
      </c>
      <c r="F37" s="523">
        <f t="shared" si="4"/>
        <v>5078480.134474528</v>
      </c>
      <c r="G37" s="524">
        <f t="shared" si="5"/>
        <v>783957.96385110449</v>
      </c>
      <c r="H37" s="491">
        <f t="shared" si="6"/>
        <v>783957.96385110449</v>
      </c>
      <c r="I37" s="511">
        <f t="shared" si="0"/>
        <v>0</v>
      </c>
      <c r="J37" s="511"/>
      <c r="K37" s="525"/>
      <c r="L37" s="514">
        <f t="shared" si="7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8"/>
        <v/>
      </c>
      <c r="C38" s="507">
        <f>IF(D11="","-",+C37+1)</f>
        <v>2040</v>
      </c>
      <c r="D38" s="523">
        <f>IF(F37+SUM(E$17:E37)=D$10,F37,D$10-SUM(E$17:E37))</f>
        <v>5078480.134474528</v>
      </c>
      <c r="E38" s="522">
        <f>IF(+I14&lt;F37,I14,D38)</f>
        <v>229241.45238095237</v>
      </c>
      <c r="F38" s="523">
        <f t="shared" si="4"/>
        <v>4849238.6820935756</v>
      </c>
      <c r="G38" s="524">
        <f t="shared" si="5"/>
        <v>759470.85640585655</v>
      </c>
      <c r="H38" s="491">
        <f t="shared" si="6"/>
        <v>759470.85640585655</v>
      </c>
      <c r="I38" s="511">
        <f t="shared" si="0"/>
        <v>0</v>
      </c>
      <c r="J38" s="511"/>
      <c r="K38" s="525"/>
      <c r="L38" s="514">
        <f t="shared" si="7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8"/>
        <v/>
      </c>
      <c r="C39" s="507">
        <f>IF(D11="","-",+C38+1)</f>
        <v>2041</v>
      </c>
      <c r="D39" s="523">
        <f>IF(F38+SUM(E$17:E38)=D$10,F38,D$10-SUM(E$17:E38))</f>
        <v>4849238.6820935756</v>
      </c>
      <c r="E39" s="522">
        <f>IF(+I14&lt;F38,I14,D39)</f>
        <v>229241.45238095237</v>
      </c>
      <c r="F39" s="523">
        <f t="shared" si="4"/>
        <v>4619997.2297126232</v>
      </c>
      <c r="G39" s="524">
        <f t="shared" si="5"/>
        <v>734983.74896060885</v>
      </c>
      <c r="H39" s="491">
        <f t="shared" si="6"/>
        <v>734983.74896060885</v>
      </c>
      <c r="I39" s="511">
        <f t="shared" si="0"/>
        <v>0</v>
      </c>
      <c r="J39" s="511"/>
      <c r="K39" s="525"/>
      <c r="L39" s="514">
        <f t="shared" si="7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8"/>
        <v/>
      </c>
      <c r="C40" s="507">
        <f>IF(D11="","-",+C39+1)</f>
        <v>2042</v>
      </c>
      <c r="D40" s="523">
        <f>IF(F39+SUM(E$17:E39)=D$10,F39,D$10-SUM(E$17:E39))</f>
        <v>4619997.2297126232</v>
      </c>
      <c r="E40" s="522">
        <f>IF(+I14&lt;F39,I14,D40)</f>
        <v>229241.45238095237</v>
      </c>
      <c r="F40" s="523">
        <f t="shared" si="4"/>
        <v>4390755.7773316707</v>
      </c>
      <c r="G40" s="524">
        <f t="shared" si="5"/>
        <v>710496.64151536091</v>
      </c>
      <c r="H40" s="491">
        <f t="shared" si="6"/>
        <v>710496.64151536091</v>
      </c>
      <c r="I40" s="511">
        <f t="shared" si="0"/>
        <v>0</v>
      </c>
      <c r="J40" s="511"/>
      <c r="K40" s="525"/>
      <c r="L40" s="514">
        <f t="shared" si="7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8"/>
        <v/>
      </c>
      <c r="C41" s="507">
        <f>IF(D11="","-",+C40+1)</f>
        <v>2043</v>
      </c>
      <c r="D41" s="523">
        <f>IF(F40+SUM(E$17:E40)=D$10,F40,D$10-SUM(E$17:E40))</f>
        <v>4390755.7773316707</v>
      </c>
      <c r="E41" s="522">
        <f>IF(+I14&lt;F40,I14,D41)</f>
        <v>229241.45238095237</v>
      </c>
      <c r="F41" s="523">
        <f t="shared" si="4"/>
        <v>4161514.3249507183</v>
      </c>
      <c r="G41" s="524">
        <f t="shared" si="5"/>
        <v>686009.53407011309</v>
      </c>
      <c r="H41" s="491">
        <f t="shared" si="6"/>
        <v>686009.53407011309</v>
      </c>
      <c r="I41" s="511">
        <f t="shared" si="0"/>
        <v>0</v>
      </c>
      <c r="J41" s="511"/>
      <c r="K41" s="525"/>
      <c r="L41" s="514">
        <f t="shared" si="7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8"/>
        <v/>
      </c>
      <c r="C42" s="507">
        <f>IF(D11="","-",+C41+1)</f>
        <v>2044</v>
      </c>
      <c r="D42" s="523">
        <f>IF(F41+SUM(E$17:E41)=D$10,F41,D$10-SUM(E$17:E41))</f>
        <v>4161514.3249507183</v>
      </c>
      <c r="E42" s="522">
        <f>IF(+I14&lt;F41,I14,D42)</f>
        <v>229241.45238095237</v>
      </c>
      <c r="F42" s="523">
        <f t="shared" si="4"/>
        <v>3932272.8725697659</v>
      </c>
      <c r="G42" s="524">
        <f t="shared" si="5"/>
        <v>661522.42662486527</v>
      </c>
      <c r="H42" s="491">
        <f t="shared" si="6"/>
        <v>661522.42662486527</v>
      </c>
      <c r="I42" s="511">
        <f t="shared" si="0"/>
        <v>0</v>
      </c>
      <c r="J42" s="511"/>
      <c r="K42" s="525"/>
      <c r="L42" s="514">
        <f t="shared" si="7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8"/>
        <v/>
      </c>
      <c r="C43" s="507">
        <f>IF(D11="","-",+C42+1)</f>
        <v>2045</v>
      </c>
      <c r="D43" s="523">
        <f>IF(F42+SUM(E$17:E42)=D$10,F42,D$10-SUM(E$17:E42))</f>
        <v>3932272.8725697659</v>
      </c>
      <c r="E43" s="522">
        <f>IF(+I14&lt;F42,I14,D43)</f>
        <v>229241.45238095237</v>
      </c>
      <c r="F43" s="523">
        <f t="shared" si="4"/>
        <v>3703031.4201888135</v>
      </c>
      <c r="G43" s="524">
        <f t="shared" si="5"/>
        <v>637035.31917961745</v>
      </c>
      <c r="H43" s="491">
        <f t="shared" si="6"/>
        <v>637035.31917961745</v>
      </c>
      <c r="I43" s="511">
        <f t="shared" si="0"/>
        <v>0</v>
      </c>
      <c r="J43" s="511"/>
      <c r="K43" s="525"/>
      <c r="L43" s="514">
        <f t="shared" si="7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8"/>
        <v/>
      </c>
      <c r="C44" s="507">
        <f>IF(D11="","-",+C43+1)</f>
        <v>2046</v>
      </c>
      <c r="D44" s="523">
        <f>IF(F43+SUM(E$17:E43)=D$10,F43,D$10-SUM(E$17:E43))</f>
        <v>3703031.4201888135</v>
      </c>
      <c r="E44" s="522">
        <f>IF(+I14&lt;F43,I14,D44)</f>
        <v>229241.45238095237</v>
      </c>
      <c r="F44" s="523">
        <f t="shared" si="4"/>
        <v>3473789.967807861</v>
      </c>
      <c r="G44" s="524">
        <f t="shared" si="5"/>
        <v>612548.21173436963</v>
      </c>
      <c r="H44" s="491">
        <f t="shared" si="6"/>
        <v>612548.21173436963</v>
      </c>
      <c r="I44" s="511">
        <f t="shared" si="0"/>
        <v>0</v>
      </c>
      <c r="J44" s="511"/>
      <c r="K44" s="525"/>
      <c r="L44" s="514">
        <f t="shared" si="7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8"/>
        <v/>
      </c>
      <c r="C45" s="507">
        <f>IF(D11="","-",+C44+1)</f>
        <v>2047</v>
      </c>
      <c r="D45" s="523">
        <f>IF(F44+SUM(E$17:E44)=D$10,F44,D$10-SUM(E$17:E44))</f>
        <v>3473789.967807861</v>
      </c>
      <c r="E45" s="522">
        <f>IF(+I14&lt;F44,I14,D45)</f>
        <v>229241.45238095237</v>
      </c>
      <c r="F45" s="523">
        <f t="shared" si="4"/>
        <v>3244548.5154269086</v>
      </c>
      <c r="G45" s="524">
        <f t="shared" si="5"/>
        <v>588061.10428912181</v>
      </c>
      <c r="H45" s="491">
        <f t="shared" si="6"/>
        <v>588061.10428912181</v>
      </c>
      <c r="I45" s="511">
        <f t="shared" si="0"/>
        <v>0</v>
      </c>
      <c r="J45" s="511"/>
      <c r="K45" s="525"/>
      <c r="L45" s="514">
        <f t="shared" si="7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8"/>
        <v/>
      </c>
      <c r="C46" s="507">
        <f>IF(D11="","-",+C45+1)</f>
        <v>2048</v>
      </c>
      <c r="D46" s="523">
        <f>IF(F45+SUM(E$17:E45)=D$10,F45,D$10-SUM(E$17:E45))</f>
        <v>3244548.5154269086</v>
      </c>
      <c r="E46" s="522">
        <f>IF(+I14&lt;F45,I14,D46)</f>
        <v>229241.45238095237</v>
      </c>
      <c r="F46" s="523">
        <f t="shared" si="4"/>
        <v>3015307.0630459562</v>
      </c>
      <c r="G46" s="524">
        <f t="shared" si="5"/>
        <v>563573.99684387399</v>
      </c>
      <c r="H46" s="491">
        <f t="shared" si="6"/>
        <v>563573.99684387399</v>
      </c>
      <c r="I46" s="511">
        <f t="shared" si="0"/>
        <v>0</v>
      </c>
      <c r="J46" s="511"/>
      <c r="K46" s="525"/>
      <c r="L46" s="514">
        <f t="shared" si="7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8"/>
        <v/>
      </c>
      <c r="C47" s="507">
        <f>IF(D11="","-",+C46+1)</f>
        <v>2049</v>
      </c>
      <c r="D47" s="523">
        <f>IF(F46+SUM(E$17:E46)=D$10,F46,D$10-SUM(E$17:E46))</f>
        <v>3015307.0630459562</v>
      </c>
      <c r="E47" s="522">
        <f>IF(+I14&lt;F46,I14,D47)</f>
        <v>229241.45238095237</v>
      </c>
      <c r="F47" s="523">
        <f t="shared" si="4"/>
        <v>2786065.6106650038</v>
      </c>
      <c r="G47" s="524">
        <f t="shared" si="5"/>
        <v>539086.88939862605</v>
      </c>
      <c r="H47" s="491">
        <f t="shared" si="6"/>
        <v>539086.88939862605</v>
      </c>
      <c r="I47" s="511">
        <f t="shared" si="0"/>
        <v>0</v>
      </c>
      <c r="J47" s="511"/>
      <c r="K47" s="525"/>
      <c r="L47" s="514">
        <f t="shared" si="7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8"/>
        <v/>
      </c>
      <c r="C48" s="507">
        <f>IF(D11="","-",+C47+1)</f>
        <v>2050</v>
      </c>
      <c r="D48" s="523">
        <f>IF(F47+SUM(E$17:E47)=D$10,F47,D$10-SUM(E$17:E47))</f>
        <v>2786065.6106650038</v>
      </c>
      <c r="E48" s="522">
        <f>IF(+I14&lt;F47,I14,D48)</f>
        <v>229241.45238095237</v>
      </c>
      <c r="F48" s="523">
        <f t="shared" si="4"/>
        <v>2556824.1582840513</v>
      </c>
      <c r="G48" s="524">
        <f t="shared" si="5"/>
        <v>514599.78195337829</v>
      </c>
      <c r="H48" s="491">
        <f t="shared" si="6"/>
        <v>514599.78195337829</v>
      </c>
      <c r="I48" s="511">
        <f t="shared" si="0"/>
        <v>0</v>
      </c>
      <c r="J48" s="511"/>
      <c r="K48" s="525"/>
      <c r="L48" s="514">
        <f t="shared" si="7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8"/>
        <v/>
      </c>
      <c r="C49" s="507">
        <f>IF(D11="","-",+C48+1)</f>
        <v>2051</v>
      </c>
      <c r="D49" s="523">
        <f>IF(F48+SUM(E$17:E48)=D$10,F48,D$10-SUM(E$17:E48))</f>
        <v>2556824.1582840513</v>
      </c>
      <c r="E49" s="522">
        <f>IF(+I14&lt;F48,I14,D49)</f>
        <v>229241.45238095237</v>
      </c>
      <c r="F49" s="523">
        <f t="shared" si="4"/>
        <v>2327582.7059030989</v>
      </c>
      <c r="G49" s="524">
        <f t="shared" si="5"/>
        <v>490112.67450813053</v>
      </c>
      <c r="H49" s="491">
        <f t="shared" si="6"/>
        <v>490112.67450813053</v>
      </c>
      <c r="I49" s="511">
        <f t="shared" si="0"/>
        <v>0</v>
      </c>
      <c r="J49" s="511"/>
      <c r="K49" s="525"/>
      <c r="L49" s="514">
        <f t="shared" si="7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8"/>
        <v/>
      </c>
      <c r="C50" s="507">
        <f>IF(D11="","-",+C49+1)</f>
        <v>2052</v>
      </c>
      <c r="D50" s="523">
        <f>IF(F49+SUM(E$17:E49)=D$10,F49,D$10-SUM(E$17:E49))</f>
        <v>2327582.7059030989</v>
      </c>
      <c r="E50" s="522">
        <f>IF(+I14&lt;F49,I14,D50)</f>
        <v>229241.45238095237</v>
      </c>
      <c r="F50" s="523">
        <f t="shared" si="4"/>
        <v>2098341.2535221465</v>
      </c>
      <c r="G50" s="524">
        <f t="shared" si="5"/>
        <v>465625.56706288271</v>
      </c>
      <c r="H50" s="491">
        <f t="shared" si="6"/>
        <v>465625.56706288271</v>
      </c>
      <c r="I50" s="511">
        <f t="shared" si="0"/>
        <v>0</v>
      </c>
      <c r="J50" s="511"/>
      <c r="K50" s="525"/>
      <c r="L50" s="514">
        <f t="shared" si="7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8"/>
        <v/>
      </c>
      <c r="C51" s="507">
        <f>IF(D11="","-",+C50+1)</f>
        <v>2053</v>
      </c>
      <c r="D51" s="523">
        <f>IF(F50+SUM(E$17:E50)=D$10,F50,D$10-SUM(E$17:E50))</f>
        <v>2098341.2535221465</v>
      </c>
      <c r="E51" s="522">
        <f>IF(+I14&lt;F50,I14,D51)</f>
        <v>229241.45238095237</v>
      </c>
      <c r="F51" s="523">
        <f t="shared" si="4"/>
        <v>1869099.8011411941</v>
      </c>
      <c r="G51" s="524">
        <f t="shared" si="5"/>
        <v>441138.45961763489</v>
      </c>
      <c r="H51" s="491">
        <f t="shared" si="6"/>
        <v>441138.45961763489</v>
      </c>
      <c r="I51" s="511">
        <f t="shared" si="0"/>
        <v>0</v>
      </c>
      <c r="J51" s="511"/>
      <c r="K51" s="525"/>
      <c r="L51" s="514">
        <f t="shared" si="7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8"/>
        <v/>
      </c>
      <c r="C52" s="507">
        <f>IF(D11="","-",+C51+1)</f>
        <v>2054</v>
      </c>
      <c r="D52" s="523">
        <f>IF(F51+SUM(E$17:E51)=D$10,F51,D$10-SUM(E$17:E51))</f>
        <v>1869099.8011411941</v>
      </c>
      <c r="E52" s="522">
        <f>IF(+I14&lt;F51,I14,D52)</f>
        <v>229241.45238095237</v>
      </c>
      <c r="F52" s="523">
        <f t="shared" si="4"/>
        <v>1639858.3487602416</v>
      </c>
      <c r="G52" s="524">
        <f t="shared" si="5"/>
        <v>416651.35217238707</v>
      </c>
      <c r="H52" s="491">
        <f t="shared" si="6"/>
        <v>416651.35217238707</v>
      </c>
      <c r="I52" s="511">
        <f t="shared" si="0"/>
        <v>0</v>
      </c>
      <c r="J52" s="511"/>
      <c r="K52" s="525"/>
      <c r="L52" s="514">
        <f t="shared" si="7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8"/>
        <v/>
      </c>
      <c r="C53" s="507">
        <f>IF(D11="","-",+C52+1)</f>
        <v>2055</v>
      </c>
      <c r="D53" s="523">
        <f>IF(F52+SUM(E$17:E52)=D$10,F52,D$10-SUM(E$17:E52))</f>
        <v>1639858.3487602416</v>
      </c>
      <c r="E53" s="522">
        <f>IF(+I14&lt;F52,I14,D53)</f>
        <v>229241.45238095237</v>
      </c>
      <c r="F53" s="523">
        <f t="shared" si="4"/>
        <v>1410616.8963792892</v>
      </c>
      <c r="G53" s="524">
        <f t="shared" si="5"/>
        <v>392164.24472713924</v>
      </c>
      <c r="H53" s="491">
        <f t="shared" si="6"/>
        <v>392164.24472713924</v>
      </c>
      <c r="I53" s="511">
        <f t="shared" si="0"/>
        <v>0</v>
      </c>
      <c r="J53" s="511"/>
      <c r="K53" s="525"/>
      <c r="L53" s="514">
        <f t="shared" si="7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8"/>
        <v/>
      </c>
      <c r="C54" s="507">
        <f>IF(D11="","-",+C53+1)</f>
        <v>2056</v>
      </c>
      <c r="D54" s="523">
        <f>IF(F53+SUM(E$17:E53)=D$10,F53,D$10-SUM(E$17:E53))</f>
        <v>1410616.8963792892</v>
      </c>
      <c r="E54" s="522">
        <f>IF(+I14&lt;F53,I14,D54)</f>
        <v>229241.45238095237</v>
      </c>
      <c r="F54" s="523">
        <f t="shared" si="4"/>
        <v>1181375.4439983368</v>
      </c>
      <c r="G54" s="524">
        <f t="shared" si="5"/>
        <v>367677.13728189142</v>
      </c>
      <c r="H54" s="491">
        <f t="shared" si="6"/>
        <v>367677.13728189142</v>
      </c>
      <c r="I54" s="511">
        <f t="shared" si="0"/>
        <v>0</v>
      </c>
      <c r="J54" s="511"/>
      <c r="K54" s="525"/>
      <c r="L54" s="514">
        <f t="shared" si="7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8"/>
        <v/>
      </c>
      <c r="C55" s="507">
        <f>IF(D11="","-",+C54+1)</f>
        <v>2057</v>
      </c>
      <c r="D55" s="523">
        <f>IF(F54+SUM(E$17:E54)=D$10,F54,D$10-SUM(E$17:E54))</f>
        <v>1181375.4439983368</v>
      </c>
      <c r="E55" s="522">
        <f>IF(+I14&lt;F54,I14,D55)</f>
        <v>229241.45238095237</v>
      </c>
      <c r="F55" s="523">
        <f t="shared" si="4"/>
        <v>952133.99161738437</v>
      </c>
      <c r="G55" s="524">
        <f t="shared" si="5"/>
        <v>343190.02983664355</v>
      </c>
      <c r="H55" s="491">
        <f t="shared" si="6"/>
        <v>343190.02983664355</v>
      </c>
      <c r="I55" s="511">
        <f t="shared" si="0"/>
        <v>0</v>
      </c>
      <c r="J55" s="511"/>
      <c r="K55" s="525"/>
      <c r="L55" s="514">
        <f t="shared" si="7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8"/>
        <v/>
      </c>
      <c r="C56" s="507">
        <f>IF(D11="","-",+C55+1)</f>
        <v>2058</v>
      </c>
      <c r="D56" s="523">
        <f>IF(F55+SUM(E$17:E55)=D$10,F55,D$10-SUM(E$17:E55))</f>
        <v>952133.99161738437</v>
      </c>
      <c r="E56" s="522">
        <f>IF(+I14&lt;F55,I14,D56)</f>
        <v>229241.45238095237</v>
      </c>
      <c r="F56" s="523">
        <f t="shared" si="4"/>
        <v>722892.53923643194</v>
      </c>
      <c r="G56" s="524">
        <f t="shared" si="5"/>
        <v>318702.92239139572</v>
      </c>
      <c r="H56" s="491">
        <f t="shared" si="6"/>
        <v>318702.92239139572</v>
      </c>
      <c r="I56" s="511">
        <f t="shared" si="0"/>
        <v>0</v>
      </c>
      <c r="J56" s="511"/>
      <c r="K56" s="525"/>
      <c r="L56" s="514">
        <f t="shared" si="7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8"/>
        <v/>
      </c>
      <c r="C57" s="507">
        <f>IF(D11="","-",+C56+1)</f>
        <v>2059</v>
      </c>
      <c r="D57" s="523">
        <f>IF(F56+SUM(E$17:E56)=D$10,F56,D$10-SUM(E$17:E56))</f>
        <v>722892.53923643194</v>
      </c>
      <c r="E57" s="522">
        <f>IF(+I14&lt;F56,I14,D57)</f>
        <v>229241.45238095237</v>
      </c>
      <c r="F57" s="523">
        <f t="shared" si="4"/>
        <v>493651.08685547957</v>
      </c>
      <c r="G57" s="524">
        <f t="shared" si="5"/>
        <v>294215.8149461479</v>
      </c>
      <c r="H57" s="491">
        <f t="shared" si="6"/>
        <v>294215.8149461479</v>
      </c>
      <c r="I57" s="511">
        <f t="shared" si="0"/>
        <v>0</v>
      </c>
      <c r="J57" s="511"/>
      <c r="K57" s="525"/>
      <c r="L57" s="514">
        <f t="shared" si="7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8"/>
        <v/>
      </c>
      <c r="C58" s="507">
        <f>IF(D11="","-",+C57+1)</f>
        <v>2060</v>
      </c>
      <c r="D58" s="523">
        <f>IF(F57+SUM(E$17:E57)=D$10,F57,D$10-SUM(E$17:E57))</f>
        <v>493651.08685547957</v>
      </c>
      <c r="E58" s="522">
        <f>IF(+I14&lt;F57,I14,D58)</f>
        <v>229241.45238095237</v>
      </c>
      <c r="F58" s="523">
        <f t="shared" si="4"/>
        <v>264409.63447452721</v>
      </c>
      <c r="G58" s="524">
        <f t="shared" si="5"/>
        <v>269728.70750090008</v>
      </c>
      <c r="H58" s="491">
        <f t="shared" si="6"/>
        <v>269728.70750090008</v>
      </c>
      <c r="I58" s="511">
        <f t="shared" si="0"/>
        <v>0</v>
      </c>
      <c r="J58" s="511"/>
      <c r="K58" s="525"/>
      <c r="L58" s="514">
        <f t="shared" si="7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8"/>
        <v/>
      </c>
      <c r="C59" s="507">
        <f>IF(D11="","-",+C58+1)</f>
        <v>2061</v>
      </c>
      <c r="D59" s="523">
        <f>IF(F58+SUM(E$17:E58)=D$10,F58,D$10-SUM(E$17:E58))</f>
        <v>264409.63447452721</v>
      </c>
      <c r="E59" s="522">
        <f>IF(+I14&lt;F58,I14,D59)</f>
        <v>229241.45238095237</v>
      </c>
      <c r="F59" s="523">
        <f t="shared" si="4"/>
        <v>35168.18209357484</v>
      </c>
      <c r="G59" s="524">
        <f t="shared" si="5"/>
        <v>245241.60005565229</v>
      </c>
      <c r="H59" s="491">
        <f t="shared" si="6"/>
        <v>245241.60005565229</v>
      </c>
      <c r="I59" s="511">
        <f t="shared" si="0"/>
        <v>0</v>
      </c>
      <c r="J59" s="511"/>
      <c r="K59" s="525"/>
      <c r="L59" s="514">
        <f t="shared" si="7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8"/>
        <v/>
      </c>
      <c r="C60" s="507">
        <f>IF(D11="","-",+C59+1)</f>
        <v>2062</v>
      </c>
      <c r="D60" s="523">
        <f>IF(F59+SUM(E$17:E59)=D$10,F59,D$10-SUM(E$17:E59))</f>
        <v>35168.18209357484</v>
      </c>
      <c r="E60" s="522">
        <f>IF(+I14&lt;F59,I14,D60)</f>
        <v>35168.18209357484</v>
      </c>
      <c r="F60" s="523">
        <f t="shared" si="4"/>
        <v>0</v>
      </c>
      <c r="G60" s="524">
        <f t="shared" si="5"/>
        <v>37046.479069612848</v>
      </c>
      <c r="H60" s="491">
        <f t="shared" si="6"/>
        <v>37046.479069612848</v>
      </c>
      <c r="I60" s="511">
        <f t="shared" si="0"/>
        <v>0</v>
      </c>
      <c r="J60" s="511"/>
      <c r="K60" s="525"/>
      <c r="L60" s="514">
        <f t="shared" si="7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8"/>
        <v/>
      </c>
      <c r="C61" s="507">
        <f>IF(D11="","-",+C60+1)</f>
        <v>2063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4"/>
        <v>0</v>
      </c>
      <c r="G61" s="526">
        <f t="shared" si="5"/>
        <v>0</v>
      </c>
      <c r="H61" s="491">
        <f t="shared" si="6"/>
        <v>0</v>
      </c>
      <c r="I61" s="511">
        <f t="shared" si="0"/>
        <v>0</v>
      </c>
      <c r="J61" s="511"/>
      <c r="K61" s="525"/>
      <c r="L61" s="514">
        <f t="shared" si="7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8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4"/>
        <v>0</v>
      </c>
      <c r="G62" s="526">
        <f t="shared" si="5"/>
        <v>0</v>
      </c>
      <c r="H62" s="491">
        <f t="shared" si="6"/>
        <v>0</v>
      </c>
      <c r="I62" s="511">
        <f t="shared" si="0"/>
        <v>0</v>
      </c>
      <c r="J62" s="511"/>
      <c r="K62" s="525"/>
      <c r="L62" s="514">
        <f t="shared" si="7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8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4"/>
        <v>0</v>
      </c>
      <c r="G63" s="526">
        <f t="shared" si="5"/>
        <v>0</v>
      </c>
      <c r="H63" s="491">
        <f t="shared" si="6"/>
        <v>0</v>
      </c>
      <c r="I63" s="511">
        <f t="shared" si="0"/>
        <v>0</v>
      </c>
      <c r="J63" s="511"/>
      <c r="K63" s="525"/>
      <c r="L63" s="514">
        <f t="shared" si="7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8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4"/>
        <v>0</v>
      </c>
      <c r="G64" s="526">
        <f t="shared" si="5"/>
        <v>0</v>
      </c>
      <c r="H64" s="491">
        <f t="shared" si="6"/>
        <v>0</v>
      </c>
      <c r="I64" s="511">
        <f t="shared" si="0"/>
        <v>0</v>
      </c>
      <c r="J64" s="511"/>
      <c r="K64" s="525"/>
      <c r="L64" s="514">
        <f t="shared" si="7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8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4"/>
        <v>0</v>
      </c>
      <c r="G65" s="526">
        <f t="shared" si="5"/>
        <v>0</v>
      </c>
      <c r="H65" s="491">
        <f t="shared" si="6"/>
        <v>0</v>
      </c>
      <c r="I65" s="511">
        <f t="shared" si="0"/>
        <v>0</v>
      </c>
      <c r="J65" s="511"/>
      <c r="K65" s="525"/>
      <c r="L65" s="514">
        <f t="shared" si="7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8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4"/>
        <v>0</v>
      </c>
      <c r="G66" s="526">
        <f t="shared" si="5"/>
        <v>0</v>
      </c>
      <c r="H66" s="491">
        <f t="shared" si="6"/>
        <v>0</v>
      </c>
      <c r="I66" s="511">
        <f t="shared" si="0"/>
        <v>0</v>
      </c>
      <c r="J66" s="511"/>
      <c r="K66" s="525"/>
      <c r="L66" s="514">
        <f t="shared" si="7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8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4"/>
        <v>0</v>
      </c>
      <c r="G67" s="526">
        <f t="shared" si="5"/>
        <v>0</v>
      </c>
      <c r="H67" s="491">
        <f t="shared" si="6"/>
        <v>0</v>
      </c>
      <c r="I67" s="511">
        <f t="shared" si="0"/>
        <v>0</v>
      </c>
      <c r="J67" s="511"/>
      <c r="K67" s="525"/>
      <c r="L67" s="514">
        <f t="shared" si="7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8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4"/>
        <v>0</v>
      </c>
      <c r="G68" s="526">
        <f t="shared" si="5"/>
        <v>0</v>
      </c>
      <c r="H68" s="491">
        <f t="shared" si="6"/>
        <v>0</v>
      </c>
      <c r="I68" s="511">
        <f t="shared" si="0"/>
        <v>0</v>
      </c>
      <c r="J68" s="511"/>
      <c r="K68" s="525"/>
      <c r="L68" s="514">
        <f t="shared" si="7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8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4"/>
        <v>0</v>
      </c>
      <c r="G69" s="526">
        <f t="shared" si="5"/>
        <v>0</v>
      </c>
      <c r="H69" s="491">
        <f t="shared" si="6"/>
        <v>0</v>
      </c>
      <c r="I69" s="511">
        <f t="shared" si="0"/>
        <v>0</v>
      </c>
      <c r="J69" s="511"/>
      <c r="K69" s="525"/>
      <c r="L69" s="514">
        <f t="shared" si="7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8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4"/>
        <v>0</v>
      </c>
      <c r="G70" s="526">
        <f t="shared" si="5"/>
        <v>0</v>
      </c>
      <c r="H70" s="491">
        <f t="shared" si="6"/>
        <v>0</v>
      </c>
      <c r="I70" s="511">
        <f t="shared" si="0"/>
        <v>0</v>
      </c>
      <c r="J70" s="511"/>
      <c r="K70" s="525"/>
      <c r="L70" s="514">
        <f t="shared" si="7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8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4"/>
        <v>0</v>
      </c>
      <c r="G71" s="526">
        <f t="shared" si="5"/>
        <v>0</v>
      </c>
      <c r="H71" s="491">
        <f t="shared" si="6"/>
        <v>0</v>
      </c>
      <c r="I71" s="511">
        <f t="shared" si="0"/>
        <v>0</v>
      </c>
      <c r="J71" s="511"/>
      <c r="K71" s="525"/>
      <c r="L71" s="514">
        <f t="shared" si="7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8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4"/>
        <v>0</v>
      </c>
      <c r="G72" s="530">
        <f t="shared" si="5"/>
        <v>0</v>
      </c>
      <c r="H72" s="471">
        <f t="shared" si="6"/>
        <v>0</v>
      </c>
      <c r="I72" s="531">
        <f t="shared" si="0"/>
        <v>0</v>
      </c>
      <c r="J72" s="511"/>
      <c r="K72" s="532"/>
      <c r="L72" s="533">
        <f t="shared" si="7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9628141</v>
      </c>
      <c r="F73" s="375"/>
      <c r="G73" s="375">
        <f>SUM(G17:G72)</f>
        <v>31565888.619050819</v>
      </c>
      <c r="H73" s="375">
        <f>SUM(H17:H72)</f>
        <v>31565888.619050819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72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998426.09511782171</v>
      </c>
      <c r="N87" s="546">
        <f>IF(J92&lt;D11,0,VLOOKUP(J92,C17:O72,11))</f>
        <v>998426.09511782171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1234592.0448831792</v>
      </c>
      <c r="N88" s="550">
        <f>IF(J92&lt;D11,0,VLOOKUP(J92,C99:P154,7))</f>
        <v>1234592.0448831792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Ellerbe Road - Lucas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236165.94976535754</v>
      </c>
      <c r="N89" s="555">
        <f>+N88-N87</f>
        <v>236165.94976535754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TP2014154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9628190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+D12</f>
        <v>3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229242.61904761905</v>
      </c>
      <c r="K96" s="375"/>
      <c r="L96" s="375"/>
      <c r="M96" s="375"/>
      <c r="N96" s="375"/>
      <c r="O96" s="375"/>
      <c r="P96" s="272"/>
    </row>
    <row r="97" spans="1:16" ht="39">
      <c r="A97" s="660"/>
      <c r="B97" s="660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2019</v>
      </c>
      <c r="D99" s="629">
        <v>0</v>
      </c>
      <c r="E99" s="630">
        <v>167899.74418604653</v>
      </c>
      <c r="F99" s="631">
        <v>9458352.2558139525</v>
      </c>
      <c r="G99" s="631">
        <v>4729176.1279069763</v>
      </c>
      <c r="H99" s="633">
        <v>674113.34161088022</v>
      </c>
      <c r="I99" s="634">
        <v>674113.34161088022</v>
      </c>
      <c r="J99" s="514">
        <f t="shared" ref="J99:J130" si="9">+I99-H99</f>
        <v>0</v>
      </c>
      <c r="K99" s="514"/>
      <c r="L99" s="512">
        <f>+H99</f>
        <v>674113.34161088022</v>
      </c>
      <c r="M99" s="513">
        <f t="shared" ref="M99" si="10">IF(L99&lt;&gt;0,+H99-L99,0)</f>
        <v>0</v>
      </c>
      <c r="N99" s="512">
        <f>+I99</f>
        <v>674113.34161088022</v>
      </c>
      <c r="O99" s="513">
        <f t="shared" ref="O99:O130" si="11">IF(N99&lt;&gt;0,+I99-N99,0)</f>
        <v>0</v>
      </c>
      <c r="P99" s="513">
        <f t="shared" ref="P99:P130" si="12">+O99-M99</f>
        <v>0</v>
      </c>
    </row>
    <row r="100" spans="1:16" ht="12.5">
      <c r="B100" s="195" t="str">
        <f>IF(D100=F99,"","IU")</f>
        <v>IU</v>
      </c>
      <c r="C100" s="507">
        <f>IF(D93="","-",+C99+1)</f>
        <v>2020</v>
      </c>
      <c r="D100" s="374">
        <f>IF(F99+SUM(E$99:E99)=D$92,F99,D$92-SUM(E$99:E99))</f>
        <v>9460290.2558139525</v>
      </c>
      <c r="E100" s="522">
        <f>IF(+J96&lt;F99,J96,D100)</f>
        <v>229242.61904761905</v>
      </c>
      <c r="F100" s="523">
        <f t="shared" ref="F100:F154" si="13">+D100-E100</f>
        <v>9231047.6367663331</v>
      </c>
      <c r="G100" s="523">
        <f t="shared" ref="G100:G154" si="14">+(F100+D100)/2</f>
        <v>9345668.9462901428</v>
      </c>
      <c r="H100" s="526">
        <f t="shared" ref="H100:H154" si="15">+J$94*G100+E100</f>
        <v>1234592.0448831792</v>
      </c>
      <c r="I100" s="577">
        <f t="shared" ref="I100:I154" si="16">+J$95*G100+E100</f>
        <v>1234592.0448831792</v>
      </c>
      <c r="J100" s="514">
        <f t="shared" si="9"/>
        <v>0</v>
      </c>
      <c r="K100" s="514"/>
      <c r="L100" s="525"/>
      <c r="M100" s="514">
        <f t="shared" ref="M100:M130" si="17">IF(L100&lt;&gt;0,+H100-L100,0)</f>
        <v>0</v>
      </c>
      <c r="N100" s="525"/>
      <c r="O100" s="514">
        <f t="shared" si="11"/>
        <v>0</v>
      </c>
      <c r="P100" s="514">
        <f t="shared" si="12"/>
        <v>0</v>
      </c>
    </row>
    <row r="101" spans="1:16" ht="12.5">
      <c r="B101" s="195" t="str">
        <f t="shared" ref="B101:B154" si="18">IF(D101=F100,"","IU")</f>
        <v/>
      </c>
      <c r="C101" s="507">
        <f>IF(D93="","-",+C100+1)</f>
        <v>2021</v>
      </c>
      <c r="D101" s="374">
        <f>IF(F100+SUM(E$99:E100)=D$92,F100,D$92-SUM(E$99:E100))</f>
        <v>9231047.6367663331</v>
      </c>
      <c r="E101" s="522">
        <f>IF(+J96&lt;F100,J96,D101)</f>
        <v>229242.61904761905</v>
      </c>
      <c r="F101" s="523">
        <f t="shared" si="13"/>
        <v>9001805.0177187137</v>
      </c>
      <c r="G101" s="523">
        <f t="shared" si="14"/>
        <v>9116426.3272425234</v>
      </c>
      <c r="H101" s="526">
        <f t="shared" si="15"/>
        <v>1209931.5377797203</v>
      </c>
      <c r="I101" s="577">
        <f t="shared" si="16"/>
        <v>1209931.5377797203</v>
      </c>
      <c r="J101" s="514">
        <f t="shared" si="9"/>
        <v>0</v>
      </c>
      <c r="K101" s="514"/>
      <c r="L101" s="525"/>
      <c r="M101" s="514">
        <f t="shared" si="17"/>
        <v>0</v>
      </c>
      <c r="N101" s="525"/>
      <c r="O101" s="514">
        <f t="shared" si="11"/>
        <v>0</v>
      </c>
      <c r="P101" s="514">
        <f t="shared" si="12"/>
        <v>0</v>
      </c>
    </row>
    <row r="102" spans="1:16" ht="12.5">
      <c r="B102" s="195" t="str">
        <f t="shared" si="18"/>
        <v/>
      </c>
      <c r="C102" s="507">
        <f>IF(D93="","-",+C101+1)</f>
        <v>2022</v>
      </c>
      <c r="D102" s="374">
        <f>IF(F101+SUM(E$99:E101)=D$92,F101,D$92-SUM(E$99:E101))</f>
        <v>9001805.0177187137</v>
      </c>
      <c r="E102" s="522">
        <f>IF(+J96&lt;F101,J96,D102)</f>
        <v>229242.61904761905</v>
      </c>
      <c r="F102" s="523">
        <f t="shared" si="13"/>
        <v>8772562.3986710943</v>
      </c>
      <c r="G102" s="523">
        <f t="shared" si="14"/>
        <v>8887183.708194904</v>
      </c>
      <c r="H102" s="526">
        <f t="shared" si="15"/>
        <v>1185271.0306762611</v>
      </c>
      <c r="I102" s="577">
        <f t="shared" si="16"/>
        <v>1185271.0306762611</v>
      </c>
      <c r="J102" s="514">
        <f t="shared" si="9"/>
        <v>0</v>
      </c>
      <c r="K102" s="514"/>
      <c r="L102" s="525"/>
      <c r="M102" s="514">
        <f t="shared" si="17"/>
        <v>0</v>
      </c>
      <c r="N102" s="525"/>
      <c r="O102" s="514">
        <f t="shared" si="11"/>
        <v>0</v>
      </c>
      <c r="P102" s="514">
        <f t="shared" si="12"/>
        <v>0</v>
      </c>
    </row>
    <row r="103" spans="1:16" ht="12.5">
      <c r="B103" s="195" t="str">
        <f t="shared" si="18"/>
        <v/>
      </c>
      <c r="C103" s="507">
        <f>IF(D93="","-",+C102+1)</f>
        <v>2023</v>
      </c>
      <c r="D103" s="374">
        <f>IF(F102+SUM(E$99:E102)=D$92,F102,D$92-SUM(E$99:E102))</f>
        <v>8772562.3986710943</v>
      </c>
      <c r="E103" s="522">
        <f>IF(+J96&lt;F102,J96,D103)</f>
        <v>229242.61904761905</v>
      </c>
      <c r="F103" s="523">
        <f t="shared" si="13"/>
        <v>8543319.7796234749</v>
      </c>
      <c r="G103" s="523">
        <f t="shared" si="14"/>
        <v>8657941.0891472846</v>
      </c>
      <c r="H103" s="526">
        <f t="shared" si="15"/>
        <v>1160610.5235728021</v>
      </c>
      <c r="I103" s="577">
        <f t="shared" si="16"/>
        <v>1160610.5235728021</v>
      </c>
      <c r="J103" s="514">
        <f t="shared" si="9"/>
        <v>0</v>
      </c>
      <c r="K103" s="514"/>
      <c r="L103" s="525"/>
      <c r="M103" s="514">
        <f t="shared" si="17"/>
        <v>0</v>
      </c>
      <c r="N103" s="525"/>
      <c r="O103" s="514">
        <f t="shared" si="11"/>
        <v>0</v>
      </c>
      <c r="P103" s="514">
        <f t="shared" si="12"/>
        <v>0</v>
      </c>
    </row>
    <row r="104" spans="1:16" ht="12.5">
      <c r="B104" s="195" t="str">
        <f t="shared" si="18"/>
        <v/>
      </c>
      <c r="C104" s="507">
        <f>IF(D93="","-",+C103+1)</f>
        <v>2024</v>
      </c>
      <c r="D104" s="374">
        <f>IF(F103+SUM(E$99:E103)=D$92,F103,D$92-SUM(E$99:E103))</f>
        <v>8543319.7796234749</v>
      </c>
      <c r="E104" s="522">
        <f>IF(+J96&lt;F103,J96,D104)</f>
        <v>229242.61904761905</v>
      </c>
      <c r="F104" s="523">
        <f t="shared" si="13"/>
        <v>8314077.1605758555</v>
      </c>
      <c r="G104" s="523">
        <f t="shared" si="14"/>
        <v>8428698.4700996652</v>
      </c>
      <c r="H104" s="526">
        <f t="shared" si="15"/>
        <v>1135950.0164693431</v>
      </c>
      <c r="I104" s="577">
        <f t="shared" si="16"/>
        <v>1135950.0164693431</v>
      </c>
      <c r="J104" s="514">
        <f t="shared" si="9"/>
        <v>0</v>
      </c>
      <c r="K104" s="514"/>
      <c r="L104" s="525"/>
      <c r="M104" s="514">
        <f t="shared" si="17"/>
        <v>0</v>
      </c>
      <c r="N104" s="525"/>
      <c r="O104" s="514">
        <f t="shared" si="11"/>
        <v>0</v>
      </c>
      <c r="P104" s="514">
        <f t="shared" si="12"/>
        <v>0</v>
      </c>
    </row>
    <row r="105" spans="1:16" ht="12.5">
      <c r="B105" s="195" t="str">
        <f t="shared" si="18"/>
        <v/>
      </c>
      <c r="C105" s="507">
        <f>IF(D93="","-",+C104+1)</f>
        <v>2025</v>
      </c>
      <c r="D105" s="374">
        <f>IF(F104+SUM(E$99:E104)=D$92,F104,D$92-SUM(E$99:E104))</f>
        <v>8314077.1605758555</v>
      </c>
      <c r="E105" s="522">
        <f>IF(+J96&lt;F104,J96,D105)</f>
        <v>229242.61904761905</v>
      </c>
      <c r="F105" s="523">
        <f t="shared" si="13"/>
        <v>8084834.5415282361</v>
      </c>
      <c r="G105" s="523">
        <f t="shared" si="14"/>
        <v>8199455.8510520458</v>
      </c>
      <c r="H105" s="526">
        <f t="shared" si="15"/>
        <v>1111289.5093658841</v>
      </c>
      <c r="I105" s="577">
        <f t="shared" si="16"/>
        <v>1111289.5093658841</v>
      </c>
      <c r="J105" s="514">
        <f t="shared" si="9"/>
        <v>0</v>
      </c>
      <c r="K105" s="514"/>
      <c r="L105" s="525"/>
      <c r="M105" s="514">
        <f t="shared" si="17"/>
        <v>0</v>
      </c>
      <c r="N105" s="525"/>
      <c r="O105" s="514">
        <f t="shared" si="11"/>
        <v>0</v>
      </c>
      <c r="P105" s="514">
        <f t="shared" si="12"/>
        <v>0</v>
      </c>
    </row>
    <row r="106" spans="1:16" ht="12.5">
      <c r="B106" s="195" t="str">
        <f t="shared" si="18"/>
        <v/>
      </c>
      <c r="C106" s="507">
        <f>IF(D93="","-",+C105+1)</f>
        <v>2026</v>
      </c>
      <c r="D106" s="374">
        <f>IF(F105+SUM(E$99:E105)=D$92,F105,D$92-SUM(E$99:E105))</f>
        <v>8084834.5415282361</v>
      </c>
      <c r="E106" s="522">
        <f>IF(+J96&lt;F105,J96,D106)</f>
        <v>229242.61904761905</v>
      </c>
      <c r="F106" s="523">
        <f t="shared" si="13"/>
        <v>7855591.9224806167</v>
      </c>
      <c r="G106" s="523">
        <f t="shared" si="14"/>
        <v>7970213.2320044264</v>
      </c>
      <c r="H106" s="526">
        <f t="shared" si="15"/>
        <v>1086629.0022624251</v>
      </c>
      <c r="I106" s="577">
        <f t="shared" si="16"/>
        <v>1086629.0022624251</v>
      </c>
      <c r="J106" s="514">
        <f t="shared" si="9"/>
        <v>0</v>
      </c>
      <c r="K106" s="514"/>
      <c r="L106" s="525"/>
      <c r="M106" s="514">
        <f t="shared" si="17"/>
        <v>0</v>
      </c>
      <c r="N106" s="525"/>
      <c r="O106" s="514">
        <f t="shared" si="11"/>
        <v>0</v>
      </c>
      <c r="P106" s="514">
        <f t="shared" si="12"/>
        <v>0</v>
      </c>
    </row>
    <row r="107" spans="1:16" ht="12.5">
      <c r="B107" s="195" t="str">
        <f t="shared" si="18"/>
        <v/>
      </c>
      <c r="C107" s="507">
        <f>IF(D93="","-",+C106+1)</f>
        <v>2027</v>
      </c>
      <c r="D107" s="374">
        <f>IF(F106+SUM(E$99:E106)=D$92,F106,D$92-SUM(E$99:E106))</f>
        <v>7855591.9224806167</v>
      </c>
      <c r="E107" s="522">
        <f>IF(+J96&lt;F106,J96,D107)</f>
        <v>229242.61904761905</v>
      </c>
      <c r="F107" s="523">
        <f t="shared" si="13"/>
        <v>7626349.3034329973</v>
      </c>
      <c r="G107" s="523">
        <f t="shared" si="14"/>
        <v>7740970.612956807</v>
      </c>
      <c r="H107" s="526">
        <f t="shared" si="15"/>
        <v>1061968.4951589662</v>
      </c>
      <c r="I107" s="577">
        <f t="shared" si="16"/>
        <v>1061968.4951589662</v>
      </c>
      <c r="J107" s="514">
        <f t="shared" si="9"/>
        <v>0</v>
      </c>
      <c r="K107" s="514"/>
      <c r="L107" s="525"/>
      <c r="M107" s="514">
        <f t="shared" si="17"/>
        <v>0</v>
      </c>
      <c r="N107" s="525"/>
      <c r="O107" s="514">
        <f t="shared" si="11"/>
        <v>0</v>
      </c>
      <c r="P107" s="514">
        <f t="shared" si="12"/>
        <v>0</v>
      </c>
    </row>
    <row r="108" spans="1:16" ht="12.5">
      <c r="B108" s="195" t="str">
        <f t="shared" si="18"/>
        <v/>
      </c>
      <c r="C108" s="507">
        <f>IF(D93="","-",+C107+1)</f>
        <v>2028</v>
      </c>
      <c r="D108" s="374">
        <f>IF(F107+SUM(E$99:E107)=D$92,F107,D$92-SUM(E$99:E107))</f>
        <v>7626349.3034329973</v>
      </c>
      <c r="E108" s="522">
        <f>IF(+J96&lt;F107,J96,D108)</f>
        <v>229242.61904761905</v>
      </c>
      <c r="F108" s="523">
        <f t="shared" si="13"/>
        <v>7397106.6843853779</v>
      </c>
      <c r="G108" s="523">
        <f t="shared" si="14"/>
        <v>7511727.9939091876</v>
      </c>
      <c r="H108" s="526">
        <f t="shared" si="15"/>
        <v>1037307.9880555072</v>
      </c>
      <c r="I108" s="577">
        <f t="shared" si="16"/>
        <v>1037307.9880555072</v>
      </c>
      <c r="J108" s="514">
        <f t="shared" si="9"/>
        <v>0</v>
      </c>
      <c r="K108" s="514"/>
      <c r="L108" s="525"/>
      <c r="M108" s="514">
        <f t="shared" si="17"/>
        <v>0</v>
      </c>
      <c r="N108" s="525"/>
      <c r="O108" s="514">
        <f t="shared" si="11"/>
        <v>0</v>
      </c>
      <c r="P108" s="514">
        <f t="shared" si="12"/>
        <v>0</v>
      </c>
    </row>
    <row r="109" spans="1:16" ht="12.5">
      <c r="B109" s="195" t="str">
        <f t="shared" si="18"/>
        <v/>
      </c>
      <c r="C109" s="507">
        <f>IF(D93="","-",+C108+1)</f>
        <v>2029</v>
      </c>
      <c r="D109" s="374">
        <f>IF(F108+SUM(E$99:E108)=D$92,F108,D$92-SUM(E$99:E108))</f>
        <v>7397106.6843853779</v>
      </c>
      <c r="E109" s="522">
        <f>IF(+J96&lt;F108,J96,D109)</f>
        <v>229242.61904761905</v>
      </c>
      <c r="F109" s="523">
        <f t="shared" si="13"/>
        <v>7167864.0653377585</v>
      </c>
      <c r="G109" s="523">
        <f t="shared" si="14"/>
        <v>7282485.3748615682</v>
      </c>
      <c r="H109" s="526">
        <f t="shared" si="15"/>
        <v>1012647.4809520482</v>
      </c>
      <c r="I109" s="577">
        <f t="shared" si="16"/>
        <v>1012647.4809520482</v>
      </c>
      <c r="J109" s="514">
        <f t="shared" si="9"/>
        <v>0</v>
      </c>
      <c r="K109" s="514"/>
      <c r="L109" s="525"/>
      <c r="M109" s="514">
        <f t="shared" si="17"/>
        <v>0</v>
      </c>
      <c r="N109" s="525"/>
      <c r="O109" s="514">
        <f t="shared" si="11"/>
        <v>0</v>
      </c>
      <c r="P109" s="514">
        <f t="shared" si="12"/>
        <v>0</v>
      </c>
    </row>
    <row r="110" spans="1:16" ht="12.5">
      <c r="B110" s="195" t="str">
        <f t="shared" si="18"/>
        <v/>
      </c>
      <c r="C110" s="507">
        <f>IF(D93="","-",+C109+1)</f>
        <v>2030</v>
      </c>
      <c r="D110" s="374">
        <f>IF(F109+SUM(E$99:E109)=D$92,F109,D$92-SUM(E$99:E109))</f>
        <v>7167864.0653377641</v>
      </c>
      <c r="E110" s="522">
        <f>IF(+J96&lt;F109,J96,D110)</f>
        <v>229242.61904761905</v>
      </c>
      <c r="F110" s="523">
        <f t="shared" si="13"/>
        <v>6938621.4462901447</v>
      </c>
      <c r="G110" s="523">
        <f t="shared" si="14"/>
        <v>7053242.7558139544</v>
      </c>
      <c r="H110" s="526">
        <f t="shared" si="15"/>
        <v>987986.97384858981</v>
      </c>
      <c r="I110" s="577">
        <f t="shared" si="16"/>
        <v>987986.97384858981</v>
      </c>
      <c r="J110" s="514">
        <f t="shared" si="9"/>
        <v>0</v>
      </c>
      <c r="K110" s="514"/>
      <c r="L110" s="525"/>
      <c r="M110" s="514">
        <f t="shared" si="17"/>
        <v>0</v>
      </c>
      <c r="N110" s="525"/>
      <c r="O110" s="514">
        <f t="shared" si="11"/>
        <v>0</v>
      </c>
      <c r="P110" s="514">
        <f t="shared" si="12"/>
        <v>0</v>
      </c>
    </row>
    <row r="111" spans="1:16" ht="12.5">
      <c r="B111" s="195" t="str">
        <f t="shared" si="18"/>
        <v/>
      </c>
      <c r="C111" s="507">
        <f>IF(D93="","-",+C110+1)</f>
        <v>2031</v>
      </c>
      <c r="D111" s="374">
        <f>IF(F110+SUM(E$99:E110)=D$92,F110,D$92-SUM(E$99:E110))</f>
        <v>6938621.4462901447</v>
      </c>
      <c r="E111" s="522">
        <f>IF(+J96&lt;F110,J96,D111)</f>
        <v>229242.61904761905</v>
      </c>
      <c r="F111" s="523">
        <f t="shared" si="13"/>
        <v>6709378.8272425253</v>
      </c>
      <c r="G111" s="523">
        <f t="shared" si="14"/>
        <v>6824000.136766335</v>
      </c>
      <c r="H111" s="526">
        <f t="shared" si="15"/>
        <v>963326.46674513083</v>
      </c>
      <c r="I111" s="577">
        <f t="shared" si="16"/>
        <v>963326.46674513083</v>
      </c>
      <c r="J111" s="514">
        <f t="shared" si="9"/>
        <v>0</v>
      </c>
      <c r="K111" s="514"/>
      <c r="L111" s="525"/>
      <c r="M111" s="514">
        <f t="shared" si="17"/>
        <v>0</v>
      </c>
      <c r="N111" s="525"/>
      <c r="O111" s="514">
        <f t="shared" si="11"/>
        <v>0</v>
      </c>
      <c r="P111" s="514">
        <f t="shared" si="12"/>
        <v>0</v>
      </c>
    </row>
    <row r="112" spans="1:16" ht="12.5">
      <c r="B112" s="195" t="str">
        <f t="shared" si="18"/>
        <v/>
      </c>
      <c r="C112" s="507">
        <f>IF(D93="","-",+C111+1)</f>
        <v>2032</v>
      </c>
      <c r="D112" s="374">
        <f>IF(F111+SUM(E$99:E111)=D$92,F111,D$92-SUM(E$99:E111))</f>
        <v>6709378.8272425253</v>
      </c>
      <c r="E112" s="522">
        <f>IF(+J96&lt;F111,J96,D112)</f>
        <v>229242.61904761905</v>
      </c>
      <c r="F112" s="523">
        <f t="shared" si="13"/>
        <v>6480136.2081949059</v>
      </c>
      <c r="G112" s="523">
        <f t="shared" si="14"/>
        <v>6594757.5177187156</v>
      </c>
      <c r="H112" s="526">
        <f t="shared" si="15"/>
        <v>938665.95964167186</v>
      </c>
      <c r="I112" s="577">
        <f t="shared" si="16"/>
        <v>938665.95964167186</v>
      </c>
      <c r="J112" s="514">
        <f t="shared" si="9"/>
        <v>0</v>
      </c>
      <c r="K112" s="514"/>
      <c r="L112" s="525"/>
      <c r="M112" s="514">
        <f t="shared" si="17"/>
        <v>0</v>
      </c>
      <c r="N112" s="525"/>
      <c r="O112" s="514">
        <f t="shared" si="11"/>
        <v>0</v>
      </c>
      <c r="P112" s="514">
        <f t="shared" si="12"/>
        <v>0</v>
      </c>
    </row>
    <row r="113" spans="2:16" ht="12.5">
      <c r="B113" s="195" t="str">
        <f t="shared" si="18"/>
        <v/>
      </c>
      <c r="C113" s="507">
        <f>IF(D93="","-",+C112+1)</f>
        <v>2033</v>
      </c>
      <c r="D113" s="374">
        <f>IF(F112+SUM(E$99:E112)=D$92,F112,D$92-SUM(E$99:E112))</f>
        <v>6480136.2081949059</v>
      </c>
      <c r="E113" s="522">
        <f>IF(+J96&lt;F112,J96,D113)</f>
        <v>229242.61904761905</v>
      </c>
      <c r="F113" s="523">
        <f t="shared" si="13"/>
        <v>6250893.5891472865</v>
      </c>
      <c r="G113" s="523">
        <f t="shared" si="14"/>
        <v>6365514.8986710962</v>
      </c>
      <c r="H113" s="526">
        <f t="shared" si="15"/>
        <v>914005.45253821288</v>
      </c>
      <c r="I113" s="577">
        <f t="shared" si="16"/>
        <v>914005.45253821288</v>
      </c>
      <c r="J113" s="514">
        <f t="shared" si="9"/>
        <v>0</v>
      </c>
      <c r="K113" s="514"/>
      <c r="L113" s="525"/>
      <c r="M113" s="514">
        <f t="shared" si="17"/>
        <v>0</v>
      </c>
      <c r="N113" s="525"/>
      <c r="O113" s="514">
        <f t="shared" si="11"/>
        <v>0</v>
      </c>
      <c r="P113" s="514">
        <f t="shared" si="12"/>
        <v>0</v>
      </c>
    </row>
    <row r="114" spans="2:16" ht="12.5">
      <c r="B114" s="195" t="str">
        <f t="shared" si="18"/>
        <v/>
      </c>
      <c r="C114" s="507">
        <f>IF(D93="","-",+C113+1)</f>
        <v>2034</v>
      </c>
      <c r="D114" s="374">
        <f>IF(F113+SUM(E$99:E113)=D$92,F113,D$92-SUM(E$99:E113))</f>
        <v>6250893.5891472865</v>
      </c>
      <c r="E114" s="522">
        <f>IF(+J96&lt;F113,J96,D114)</f>
        <v>229242.61904761905</v>
      </c>
      <c r="F114" s="523">
        <f t="shared" si="13"/>
        <v>6021650.9700996671</v>
      </c>
      <c r="G114" s="523">
        <f t="shared" si="14"/>
        <v>6136272.2796234768</v>
      </c>
      <c r="H114" s="526">
        <f t="shared" si="15"/>
        <v>889344.9454347539</v>
      </c>
      <c r="I114" s="577">
        <f t="shared" si="16"/>
        <v>889344.9454347539</v>
      </c>
      <c r="J114" s="514">
        <f t="shared" si="9"/>
        <v>0</v>
      </c>
      <c r="K114" s="514"/>
      <c r="L114" s="525"/>
      <c r="M114" s="514">
        <f t="shared" si="17"/>
        <v>0</v>
      </c>
      <c r="N114" s="525"/>
      <c r="O114" s="514">
        <f t="shared" si="11"/>
        <v>0</v>
      </c>
      <c r="P114" s="514">
        <f t="shared" si="12"/>
        <v>0</v>
      </c>
    </row>
    <row r="115" spans="2:16" ht="12.5">
      <c r="B115" s="195" t="str">
        <f t="shared" si="18"/>
        <v/>
      </c>
      <c r="C115" s="507">
        <f>IF(D93="","-",+C114+1)</f>
        <v>2035</v>
      </c>
      <c r="D115" s="374">
        <f>IF(F114+SUM(E$99:E114)=D$92,F114,D$92-SUM(E$99:E114))</f>
        <v>6021650.9700996671</v>
      </c>
      <c r="E115" s="522">
        <f>IF(+J96&lt;F114,J96,D115)</f>
        <v>229242.61904761905</v>
      </c>
      <c r="F115" s="523">
        <f t="shared" si="13"/>
        <v>5792408.3510520477</v>
      </c>
      <c r="G115" s="523">
        <f t="shared" si="14"/>
        <v>5907029.6605758574</v>
      </c>
      <c r="H115" s="526">
        <f t="shared" si="15"/>
        <v>864684.43833129492</v>
      </c>
      <c r="I115" s="577">
        <f t="shared" si="16"/>
        <v>864684.43833129492</v>
      </c>
      <c r="J115" s="514">
        <f t="shared" si="9"/>
        <v>0</v>
      </c>
      <c r="K115" s="514"/>
      <c r="L115" s="525"/>
      <c r="M115" s="514">
        <f t="shared" si="17"/>
        <v>0</v>
      </c>
      <c r="N115" s="525"/>
      <c r="O115" s="514">
        <f t="shared" si="11"/>
        <v>0</v>
      </c>
      <c r="P115" s="514">
        <f t="shared" si="12"/>
        <v>0</v>
      </c>
    </row>
    <row r="116" spans="2:16" ht="12.5">
      <c r="B116" s="195" t="str">
        <f t="shared" si="18"/>
        <v/>
      </c>
      <c r="C116" s="507">
        <f>IF(D93="","-",+C115+1)</f>
        <v>2036</v>
      </c>
      <c r="D116" s="374">
        <f>IF(F115+SUM(E$99:E115)=D$92,F115,D$92-SUM(E$99:E115))</f>
        <v>5792408.3510520477</v>
      </c>
      <c r="E116" s="522">
        <f>IF(+J96&lt;F115,J96,D116)</f>
        <v>229242.61904761905</v>
      </c>
      <c r="F116" s="523">
        <f t="shared" si="13"/>
        <v>5563165.7320044283</v>
      </c>
      <c r="G116" s="523">
        <f t="shared" si="14"/>
        <v>5677787.041528238</v>
      </c>
      <c r="H116" s="526">
        <f t="shared" si="15"/>
        <v>840023.93122783583</v>
      </c>
      <c r="I116" s="577">
        <f t="shared" si="16"/>
        <v>840023.93122783583</v>
      </c>
      <c r="J116" s="514">
        <f t="shared" si="9"/>
        <v>0</v>
      </c>
      <c r="K116" s="514"/>
      <c r="L116" s="525"/>
      <c r="M116" s="514">
        <f t="shared" si="17"/>
        <v>0</v>
      </c>
      <c r="N116" s="525"/>
      <c r="O116" s="514">
        <f t="shared" si="11"/>
        <v>0</v>
      </c>
      <c r="P116" s="514">
        <f t="shared" si="12"/>
        <v>0</v>
      </c>
    </row>
    <row r="117" spans="2:16" ht="12.5">
      <c r="B117" s="195" t="str">
        <f t="shared" si="18"/>
        <v/>
      </c>
      <c r="C117" s="507">
        <f>IF(D93="","-",+C116+1)</f>
        <v>2037</v>
      </c>
      <c r="D117" s="374">
        <f>IF(F116+SUM(E$99:E116)=D$92,F116,D$92-SUM(E$99:E116))</f>
        <v>5563165.7320044283</v>
      </c>
      <c r="E117" s="522">
        <f>IF(+J96&lt;F116,J96,D117)</f>
        <v>229242.61904761905</v>
      </c>
      <c r="F117" s="523">
        <f t="shared" si="13"/>
        <v>5333923.1129568089</v>
      </c>
      <c r="G117" s="523">
        <f t="shared" si="14"/>
        <v>5448544.4224806186</v>
      </c>
      <c r="H117" s="526">
        <f t="shared" si="15"/>
        <v>815363.42412437685</v>
      </c>
      <c r="I117" s="577">
        <f t="shared" si="16"/>
        <v>815363.42412437685</v>
      </c>
      <c r="J117" s="514">
        <f t="shared" si="9"/>
        <v>0</v>
      </c>
      <c r="K117" s="514"/>
      <c r="L117" s="525"/>
      <c r="M117" s="514">
        <f t="shared" si="17"/>
        <v>0</v>
      </c>
      <c r="N117" s="525"/>
      <c r="O117" s="514">
        <f t="shared" si="11"/>
        <v>0</v>
      </c>
      <c r="P117" s="514">
        <f t="shared" si="12"/>
        <v>0</v>
      </c>
    </row>
    <row r="118" spans="2:16" ht="12.5">
      <c r="B118" s="195" t="str">
        <f t="shared" si="18"/>
        <v/>
      </c>
      <c r="C118" s="507">
        <f>IF(D93="","-",+C117+1)</f>
        <v>2038</v>
      </c>
      <c r="D118" s="374">
        <f>IF(F117+SUM(E$99:E117)=D$92,F117,D$92-SUM(E$99:E117))</f>
        <v>5333923.1129568089</v>
      </c>
      <c r="E118" s="522">
        <f>IF(+J96&lt;F117,J96,D118)</f>
        <v>229242.61904761905</v>
      </c>
      <c r="F118" s="523">
        <f t="shared" si="13"/>
        <v>5104680.4939091895</v>
      </c>
      <c r="G118" s="523">
        <f t="shared" si="14"/>
        <v>5219301.8034329992</v>
      </c>
      <c r="H118" s="526">
        <f t="shared" si="15"/>
        <v>790702.91702091787</v>
      </c>
      <c r="I118" s="577">
        <f t="shared" si="16"/>
        <v>790702.91702091787</v>
      </c>
      <c r="J118" s="514">
        <f t="shared" si="9"/>
        <v>0</v>
      </c>
      <c r="K118" s="514"/>
      <c r="L118" s="525"/>
      <c r="M118" s="514">
        <f t="shared" si="17"/>
        <v>0</v>
      </c>
      <c r="N118" s="525"/>
      <c r="O118" s="514">
        <f t="shared" si="11"/>
        <v>0</v>
      </c>
      <c r="P118" s="514">
        <f t="shared" si="12"/>
        <v>0</v>
      </c>
    </row>
    <row r="119" spans="2:16" ht="12.5">
      <c r="B119" s="195" t="str">
        <f t="shared" si="18"/>
        <v/>
      </c>
      <c r="C119" s="507">
        <f>IF(D93="","-",+C118+1)</f>
        <v>2039</v>
      </c>
      <c r="D119" s="374">
        <f>IF(F118+SUM(E$99:E118)=D$92,F118,D$92-SUM(E$99:E118))</f>
        <v>5104680.4939091895</v>
      </c>
      <c r="E119" s="522">
        <f>IF(+J96&lt;F118,J96,D119)</f>
        <v>229242.61904761905</v>
      </c>
      <c r="F119" s="523">
        <f t="shared" si="13"/>
        <v>4875437.8748615701</v>
      </c>
      <c r="G119" s="523">
        <f t="shared" si="14"/>
        <v>4990059.1843853798</v>
      </c>
      <c r="H119" s="526">
        <f t="shared" si="15"/>
        <v>766042.40991745889</v>
      </c>
      <c r="I119" s="577">
        <f t="shared" si="16"/>
        <v>766042.40991745889</v>
      </c>
      <c r="J119" s="514">
        <f t="shared" si="9"/>
        <v>0</v>
      </c>
      <c r="K119" s="514"/>
      <c r="L119" s="525"/>
      <c r="M119" s="514">
        <f t="shared" si="17"/>
        <v>0</v>
      </c>
      <c r="N119" s="525"/>
      <c r="O119" s="514">
        <f t="shared" si="11"/>
        <v>0</v>
      </c>
      <c r="P119" s="514">
        <f t="shared" si="12"/>
        <v>0</v>
      </c>
    </row>
    <row r="120" spans="2:16" ht="12.5">
      <c r="B120" s="195" t="str">
        <f t="shared" si="18"/>
        <v/>
      </c>
      <c r="C120" s="507">
        <f>IF(D93="","-",+C119+1)</f>
        <v>2040</v>
      </c>
      <c r="D120" s="374">
        <f>IF(F119+SUM(E$99:E119)=D$92,F119,D$92-SUM(E$99:E119))</f>
        <v>4875437.8748615701</v>
      </c>
      <c r="E120" s="522">
        <f>IF(+J96&lt;F119,J96,D120)</f>
        <v>229242.61904761905</v>
      </c>
      <c r="F120" s="523">
        <f t="shared" si="13"/>
        <v>4646195.2558139507</v>
      </c>
      <c r="G120" s="523">
        <f t="shared" si="14"/>
        <v>4760816.5653377604</v>
      </c>
      <c r="H120" s="526">
        <f t="shared" si="15"/>
        <v>741381.90281399991</v>
      </c>
      <c r="I120" s="577">
        <f t="shared" si="16"/>
        <v>741381.90281399991</v>
      </c>
      <c r="J120" s="514">
        <f t="shared" si="9"/>
        <v>0</v>
      </c>
      <c r="K120" s="514"/>
      <c r="L120" s="525"/>
      <c r="M120" s="514">
        <f t="shared" si="17"/>
        <v>0</v>
      </c>
      <c r="N120" s="525"/>
      <c r="O120" s="514">
        <f t="shared" si="11"/>
        <v>0</v>
      </c>
      <c r="P120" s="514">
        <f t="shared" si="12"/>
        <v>0</v>
      </c>
    </row>
    <row r="121" spans="2:16" ht="12.5">
      <c r="B121" s="195" t="str">
        <f t="shared" si="18"/>
        <v/>
      </c>
      <c r="C121" s="507">
        <f>IF(D93="","-",+C120+1)</f>
        <v>2041</v>
      </c>
      <c r="D121" s="374">
        <f>IF(F120+SUM(E$99:E120)=D$92,F120,D$92-SUM(E$99:E120))</f>
        <v>4646195.2558139507</v>
      </c>
      <c r="E121" s="522">
        <f>IF(+J96&lt;F120,J96,D121)</f>
        <v>229242.61904761905</v>
      </c>
      <c r="F121" s="523">
        <f t="shared" si="13"/>
        <v>4416952.6367663313</v>
      </c>
      <c r="G121" s="523">
        <f t="shared" si="14"/>
        <v>4531573.946290141</v>
      </c>
      <c r="H121" s="526">
        <f t="shared" si="15"/>
        <v>716721.39571054094</v>
      </c>
      <c r="I121" s="577">
        <f t="shared" si="16"/>
        <v>716721.39571054094</v>
      </c>
      <c r="J121" s="514">
        <f t="shared" si="9"/>
        <v>0</v>
      </c>
      <c r="K121" s="514"/>
      <c r="L121" s="525"/>
      <c r="M121" s="514">
        <f t="shared" si="17"/>
        <v>0</v>
      </c>
      <c r="N121" s="525"/>
      <c r="O121" s="514">
        <f t="shared" si="11"/>
        <v>0</v>
      </c>
      <c r="P121" s="514">
        <f t="shared" si="12"/>
        <v>0</v>
      </c>
    </row>
    <row r="122" spans="2:16" ht="12.5">
      <c r="B122" s="195" t="str">
        <f t="shared" si="18"/>
        <v/>
      </c>
      <c r="C122" s="507">
        <f>IF(D93="","-",+C121+1)</f>
        <v>2042</v>
      </c>
      <c r="D122" s="374">
        <f>IF(F121+SUM(E$99:E121)=D$92,F121,D$92-SUM(E$99:E121))</f>
        <v>4416952.6367663313</v>
      </c>
      <c r="E122" s="522">
        <f>IF(+J96&lt;F121,J96,D122)</f>
        <v>229242.61904761905</v>
      </c>
      <c r="F122" s="523">
        <f t="shared" si="13"/>
        <v>4187710.0177187123</v>
      </c>
      <c r="G122" s="523">
        <f t="shared" si="14"/>
        <v>4302331.3272425216</v>
      </c>
      <c r="H122" s="526">
        <f t="shared" si="15"/>
        <v>692060.88860708196</v>
      </c>
      <c r="I122" s="577">
        <f t="shared" si="16"/>
        <v>692060.88860708196</v>
      </c>
      <c r="J122" s="514">
        <f t="shared" si="9"/>
        <v>0</v>
      </c>
      <c r="K122" s="514"/>
      <c r="L122" s="525"/>
      <c r="M122" s="514">
        <f t="shared" si="17"/>
        <v>0</v>
      </c>
      <c r="N122" s="525"/>
      <c r="O122" s="514">
        <f t="shared" si="11"/>
        <v>0</v>
      </c>
      <c r="P122" s="514">
        <f t="shared" si="12"/>
        <v>0</v>
      </c>
    </row>
    <row r="123" spans="2:16" ht="12.5">
      <c r="B123" s="195" t="str">
        <f t="shared" si="18"/>
        <v/>
      </c>
      <c r="C123" s="507">
        <f>IF(D93="","-",+C122+1)</f>
        <v>2043</v>
      </c>
      <c r="D123" s="374">
        <f>IF(F122+SUM(E$99:E122)=D$92,F122,D$92-SUM(E$99:E122))</f>
        <v>4187710.0177187123</v>
      </c>
      <c r="E123" s="522">
        <f>IF(+J96&lt;F122,J96,D123)</f>
        <v>229242.61904761905</v>
      </c>
      <c r="F123" s="523">
        <f t="shared" si="13"/>
        <v>3958467.3986710934</v>
      </c>
      <c r="G123" s="523">
        <f t="shared" si="14"/>
        <v>4073088.7081949031</v>
      </c>
      <c r="H123" s="526">
        <f t="shared" si="15"/>
        <v>667400.38150362298</v>
      </c>
      <c r="I123" s="577">
        <f t="shared" si="16"/>
        <v>667400.38150362298</v>
      </c>
      <c r="J123" s="514">
        <f t="shared" si="9"/>
        <v>0</v>
      </c>
      <c r="K123" s="514"/>
      <c r="L123" s="525"/>
      <c r="M123" s="514">
        <f t="shared" si="17"/>
        <v>0</v>
      </c>
      <c r="N123" s="525"/>
      <c r="O123" s="514">
        <f t="shared" si="11"/>
        <v>0</v>
      </c>
      <c r="P123" s="514">
        <f t="shared" si="12"/>
        <v>0</v>
      </c>
    </row>
    <row r="124" spans="2:16" ht="12.5">
      <c r="B124" s="195" t="str">
        <f t="shared" si="18"/>
        <v/>
      </c>
      <c r="C124" s="507">
        <f>IF(D93="","-",+C123+1)</f>
        <v>2044</v>
      </c>
      <c r="D124" s="374">
        <f>IF(F123+SUM(E$99:E123)=D$92,F123,D$92-SUM(E$99:E123))</f>
        <v>3958467.3986710934</v>
      </c>
      <c r="E124" s="522">
        <f>IF(+J96&lt;F123,J96,D124)</f>
        <v>229242.61904761905</v>
      </c>
      <c r="F124" s="523">
        <f t="shared" si="13"/>
        <v>3729224.7796234745</v>
      </c>
      <c r="G124" s="523">
        <f t="shared" si="14"/>
        <v>3843846.0891472837</v>
      </c>
      <c r="H124" s="526">
        <f t="shared" si="15"/>
        <v>642739.874400164</v>
      </c>
      <c r="I124" s="577">
        <f t="shared" si="16"/>
        <v>642739.874400164</v>
      </c>
      <c r="J124" s="514">
        <f t="shared" si="9"/>
        <v>0</v>
      </c>
      <c r="K124" s="514"/>
      <c r="L124" s="525"/>
      <c r="M124" s="514">
        <f t="shared" si="17"/>
        <v>0</v>
      </c>
      <c r="N124" s="525"/>
      <c r="O124" s="514">
        <f t="shared" si="11"/>
        <v>0</v>
      </c>
      <c r="P124" s="514">
        <f t="shared" si="12"/>
        <v>0</v>
      </c>
    </row>
    <row r="125" spans="2:16" ht="12.5">
      <c r="B125" s="195" t="str">
        <f t="shared" si="18"/>
        <v/>
      </c>
      <c r="C125" s="507">
        <f>IF(D93="","-",+C124+1)</f>
        <v>2045</v>
      </c>
      <c r="D125" s="374">
        <f>IF(F124+SUM(E$99:E124)=D$92,F124,D$92-SUM(E$99:E124))</f>
        <v>3729224.7796234745</v>
      </c>
      <c r="E125" s="522">
        <f>IF(+J96&lt;F124,J96,D125)</f>
        <v>229242.61904761905</v>
      </c>
      <c r="F125" s="523">
        <f t="shared" si="13"/>
        <v>3499982.1605758555</v>
      </c>
      <c r="G125" s="523">
        <f t="shared" si="14"/>
        <v>3614603.4700996652</v>
      </c>
      <c r="H125" s="526">
        <f t="shared" si="15"/>
        <v>618079.36729670514</v>
      </c>
      <c r="I125" s="577">
        <f t="shared" si="16"/>
        <v>618079.36729670514</v>
      </c>
      <c r="J125" s="514">
        <f t="shared" si="9"/>
        <v>0</v>
      </c>
      <c r="K125" s="514"/>
      <c r="L125" s="525"/>
      <c r="M125" s="514">
        <f t="shared" si="17"/>
        <v>0</v>
      </c>
      <c r="N125" s="525"/>
      <c r="O125" s="514">
        <f t="shared" si="11"/>
        <v>0</v>
      </c>
      <c r="P125" s="514">
        <f t="shared" si="12"/>
        <v>0</v>
      </c>
    </row>
    <row r="126" spans="2:16" ht="12.5">
      <c r="B126" s="195" t="str">
        <f t="shared" si="18"/>
        <v/>
      </c>
      <c r="C126" s="507">
        <f>IF(D93="","-",+C125+1)</f>
        <v>2046</v>
      </c>
      <c r="D126" s="374">
        <f>IF(F125+SUM(E$99:E125)=D$92,F125,D$92-SUM(E$99:E125))</f>
        <v>3499982.1605758555</v>
      </c>
      <c r="E126" s="522">
        <f>IF(+J96&lt;F125,J96,D126)</f>
        <v>229242.61904761905</v>
      </c>
      <c r="F126" s="523">
        <f t="shared" si="13"/>
        <v>3270739.5415282366</v>
      </c>
      <c r="G126" s="523">
        <f t="shared" si="14"/>
        <v>3385360.8510520458</v>
      </c>
      <c r="H126" s="526">
        <f t="shared" si="15"/>
        <v>593418.86019324604</v>
      </c>
      <c r="I126" s="577">
        <f t="shared" si="16"/>
        <v>593418.86019324604</v>
      </c>
      <c r="J126" s="514">
        <f t="shared" si="9"/>
        <v>0</v>
      </c>
      <c r="K126" s="514"/>
      <c r="L126" s="525"/>
      <c r="M126" s="514">
        <f t="shared" si="17"/>
        <v>0</v>
      </c>
      <c r="N126" s="525"/>
      <c r="O126" s="514">
        <f t="shared" si="11"/>
        <v>0</v>
      </c>
      <c r="P126" s="514">
        <f t="shared" si="12"/>
        <v>0</v>
      </c>
    </row>
    <row r="127" spans="2:16" ht="12.5">
      <c r="B127" s="195" t="str">
        <f t="shared" si="18"/>
        <v/>
      </c>
      <c r="C127" s="507">
        <f>IF(D93="","-",+C126+1)</f>
        <v>2047</v>
      </c>
      <c r="D127" s="374">
        <f>IF(F126+SUM(E$99:E126)=D$92,F126,D$92-SUM(E$99:E126))</f>
        <v>3270739.5415282366</v>
      </c>
      <c r="E127" s="522">
        <f>IF(+J96&lt;F126,J96,D127)</f>
        <v>229242.61904761905</v>
      </c>
      <c r="F127" s="523">
        <f t="shared" si="13"/>
        <v>3041496.9224806176</v>
      </c>
      <c r="G127" s="523">
        <f t="shared" si="14"/>
        <v>3156118.2320044274</v>
      </c>
      <c r="H127" s="526">
        <f t="shared" si="15"/>
        <v>568758.3530897873</v>
      </c>
      <c r="I127" s="577">
        <f t="shared" si="16"/>
        <v>568758.3530897873</v>
      </c>
      <c r="J127" s="514">
        <f t="shared" si="9"/>
        <v>0</v>
      </c>
      <c r="K127" s="514"/>
      <c r="L127" s="525"/>
      <c r="M127" s="514">
        <f t="shared" si="17"/>
        <v>0</v>
      </c>
      <c r="N127" s="525"/>
      <c r="O127" s="514">
        <f t="shared" si="11"/>
        <v>0</v>
      </c>
      <c r="P127" s="514">
        <f t="shared" si="12"/>
        <v>0</v>
      </c>
    </row>
    <row r="128" spans="2:16" ht="12.5">
      <c r="B128" s="195" t="str">
        <f t="shared" si="18"/>
        <v/>
      </c>
      <c r="C128" s="507">
        <f>IF(D93="","-",+C127+1)</f>
        <v>2048</v>
      </c>
      <c r="D128" s="374">
        <f>IF(F127+SUM(E$99:E127)=D$92,F127,D$92-SUM(E$99:E127))</f>
        <v>3041496.9224806176</v>
      </c>
      <c r="E128" s="522">
        <f>IF(+J96&lt;F127,J96,D128)</f>
        <v>229242.61904761905</v>
      </c>
      <c r="F128" s="523">
        <f t="shared" si="13"/>
        <v>2812254.3034329987</v>
      </c>
      <c r="G128" s="523">
        <f t="shared" si="14"/>
        <v>2926875.6129568079</v>
      </c>
      <c r="H128" s="526">
        <f t="shared" si="15"/>
        <v>544097.84598632832</v>
      </c>
      <c r="I128" s="577">
        <f t="shared" si="16"/>
        <v>544097.84598632832</v>
      </c>
      <c r="J128" s="514">
        <f t="shared" si="9"/>
        <v>0</v>
      </c>
      <c r="K128" s="514"/>
      <c r="L128" s="525"/>
      <c r="M128" s="514">
        <f t="shared" si="17"/>
        <v>0</v>
      </c>
      <c r="N128" s="525"/>
      <c r="O128" s="514">
        <f t="shared" si="11"/>
        <v>0</v>
      </c>
      <c r="P128" s="514">
        <f t="shared" si="12"/>
        <v>0</v>
      </c>
    </row>
    <row r="129" spans="2:16" ht="12.5">
      <c r="B129" s="195" t="str">
        <f t="shared" si="18"/>
        <v/>
      </c>
      <c r="C129" s="507">
        <f>IF(D93="","-",+C128+1)</f>
        <v>2049</v>
      </c>
      <c r="D129" s="374">
        <f>IF(F128+SUM(E$99:E128)=D$92,F128,D$92-SUM(E$99:E128))</f>
        <v>2812254.3034329987</v>
      </c>
      <c r="E129" s="522">
        <f>IF(+J96&lt;F128,J96,D129)</f>
        <v>229242.61904761905</v>
      </c>
      <c r="F129" s="523">
        <f t="shared" si="13"/>
        <v>2583011.6843853798</v>
      </c>
      <c r="G129" s="523">
        <f t="shared" si="14"/>
        <v>2697632.9939091895</v>
      </c>
      <c r="H129" s="526">
        <f t="shared" si="15"/>
        <v>519437.33888286934</v>
      </c>
      <c r="I129" s="577">
        <f t="shared" si="16"/>
        <v>519437.33888286934</v>
      </c>
      <c r="J129" s="514">
        <f t="shared" si="9"/>
        <v>0</v>
      </c>
      <c r="K129" s="514"/>
      <c r="L129" s="525"/>
      <c r="M129" s="514">
        <f t="shared" si="17"/>
        <v>0</v>
      </c>
      <c r="N129" s="525"/>
      <c r="O129" s="514">
        <f t="shared" si="11"/>
        <v>0</v>
      </c>
      <c r="P129" s="514">
        <f t="shared" si="12"/>
        <v>0</v>
      </c>
    </row>
    <row r="130" spans="2:16" ht="12.5">
      <c r="B130" s="195" t="str">
        <f t="shared" si="18"/>
        <v/>
      </c>
      <c r="C130" s="507">
        <f>IF(D93="","-",+C129+1)</f>
        <v>2050</v>
      </c>
      <c r="D130" s="374">
        <f>IF(F129+SUM(E$99:E129)=D$92,F129,D$92-SUM(E$99:E129))</f>
        <v>2583011.6843853798</v>
      </c>
      <c r="E130" s="522">
        <f>IF(+J96&lt;F129,J96,D130)</f>
        <v>229242.61904761905</v>
      </c>
      <c r="F130" s="523">
        <f t="shared" si="13"/>
        <v>2353769.0653377608</v>
      </c>
      <c r="G130" s="523">
        <f t="shared" si="14"/>
        <v>2468390.3748615701</v>
      </c>
      <c r="H130" s="526">
        <f t="shared" si="15"/>
        <v>494776.83177941036</v>
      </c>
      <c r="I130" s="577">
        <f t="shared" si="16"/>
        <v>494776.83177941036</v>
      </c>
      <c r="J130" s="514">
        <f t="shared" si="9"/>
        <v>0</v>
      </c>
      <c r="K130" s="514"/>
      <c r="L130" s="525"/>
      <c r="M130" s="514">
        <f t="shared" si="17"/>
        <v>0</v>
      </c>
      <c r="N130" s="525"/>
      <c r="O130" s="514">
        <f t="shared" si="11"/>
        <v>0</v>
      </c>
      <c r="P130" s="514">
        <f t="shared" si="12"/>
        <v>0</v>
      </c>
    </row>
    <row r="131" spans="2:16" ht="12.5">
      <c r="B131" s="195" t="str">
        <f t="shared" si="18"/>
        <v/>
      </c>
      <c r="C131" s="507">
        <f>IF(D93="","-",+C130+1)</f>
        <v>2051</v>
      </c>
      <c r="D131" s="374">
        <f>IF(F130+SUM(E$99:E130)=D$92,F130,D$92-SUM(E$99:E130))</f>
        <v>2353769.0653377608</v>
      </c>
      <c r="E131" s="522">
        <f>IF(+J96&lt;F130,J96,D131)</f>
        <v>229242.61904761905</v>
      </c>
      <c r="F131" s="523">
        <f t="shared" si="13"/>
        <v>2124526.4462901419</v>
      </c>
      <c r="G131" s="523">
        <f t="shared" si="14"/>
        <v>2239147.7558139516</v>
      </c>
      <c r="H131" s="526">
        <f t="shared" si="15"/>
        <v>470116.32467595144</v>
      </c>
      <c r="I131" s="577">
        <f t="shared" si="16"/>
        <v>470116.32467595144</v>
      </c>
      <c r="J131" s="514">
        <f t="shared" ref="J131:J154" si="19">+I541-H541</f>
        <v>0</v>
      </c>
      <c r="K131" s="514"/>
      <c r="L131" s="525"/>
      <c r="M131" s="514">
        <f t="shared" ref="M131:M154" si="20">IF(L541&lt;&gt;0,+H541-L541,0)</f>
        <v>0</v>
      </c>
      <c r="N131" s="525"/>
      <c r="O131" s="514">
        <f t="shared" ref="O131:O154" si="21">IF(N541&lt;&gt;0,+I541-N541,0)</f>
        <v>0</v>
      </c>
      <c r="P131" s="514">
        <f t="shared" ref="P131:P154" si="22">+O541-M541</f>
        <v>0</v>
      </c>
    </row>
    <row r="132" spans="2:16" ht="12.5">
      <c r="B132" s="195" t="str">
        <f t="shared" si="18"/>
        <v/>
      </c>
      <c r="C132" s="507">
        <f>IF(D93="","-",+C131+1)</f>
        <v>2052</v>
      </c>
      <c r="D132" s="374">
        <f>IF(F131+SUM(E$99:E131)=D$92,F131,D$92-SUM(E$99:E131))</f>
        <v>2124526.4462901419</v>
      </c>
      <c r="E132" s="522">
        <f>IF(+J96&lt;F131,J96,D132)</f>
        <v>229242.61904761905</v>
      </c>
      <c r="F132" s="523">
        <f t="shared" si="13"/>
        <v>1895283.827242523</v>
      </c>
      <c r="G132" s="523">
        <f t="shared" si="14"/>
        <v>2009905.1367663324</v>
      </c>
      <c r="H132" s="526">
        <f t="shared" si="15"/>
        <v>445455.81757249252</v>
      </c>
      <c r="I132" s="577">
        <f t="shared" si="16"/>
        <v>445455.81757249252</v>
      </c>
      <c r="J132" s="514">
        <f t="shared" si="19"/>
        <v>0</v>
      </c>
      <c r="K132" s="514"/>
      <c r="L132" s="525"/>
      <c r="M132" s="514">
        <f t="shared" si="20"/>
        <v>0</v>
      </c>
      <c r="N132" s="525"/>
      <c r="O132" s="514">
        <f t="shared" si="21"/>
        <v>0</v>
      </c>
      <c r="P132" s="514">
        <f t="shared" si="22"/>
        <v>0</v>
      </c>
    </row>
    <row r="133" spans="2:16" ht="12.5">
      <c r="B133" s="195" t="str">
        <f t="shared" si="18"/>
        <v/>
      </c>
      <c r="C133" s="507">
        <f>IF(D93="","-",+C132+1)</f>
        <v>2053</v>
      </c>
      <c r="D133" s="374">
        <f>IF(F132+SUM(E$99:E132)=D$92,F132,D$92-SUM(E$99:E132))</f>
        <v>1895283.827242523</v>
      </c>
      <c r="E133" s="522">
        <f>IF(+J96&lt;F132,J96,D133)</f>
        <v>229242.61904761905</v>
      </c>
      <c r="F133" s="523">
        <f t="shared" si="13"/>
        <v>1666041.208194904</v>
      </c>
      <c r="G133" s="523">
        <f t="shared" si="14"/>
        <v>1780662.5177187135</v>
      </c>
      <c r="H133" s="526">
        <f t="shared" si="15"/>
        <v>420795.31046903355</v>
      </c>
      <c r="I133" s="577">
        <f t="shared" si="16"/>
        <v>420795.31046903355</v>
      </c>
      <c r="J133" s="514">
        <f t="shared" si="19"/>
        <v>0</v>
      </c>
      <c r="K133" s="514"/>
      <c r="L133" s="525"/>
      <c r="M133" s="514">
        <f t="shared" si="20"/>
        <v>0</v>
      </c>
      <c r="N133" s="525"/>
      <c r="O133" s="514">
        <f t="shared" si="21"/>
        <v>0</v>
      </c>
      <c r="P133" s="514">
        <f t="shared" si="22"/>
        <v>0</v>
      </c>
    </row>
    <row r="134" spans="2:16" ht="12.5">
      <c r="B134" s="195" t="str">
        <f t="shared" si="18"/>
        <v/>
      </c>
      <c r="C134" s="507">
        <f>IF(D93="","-",+C133+1)</f>
        <v>2054</v>
      </c>
      <c r="D134" s="374">
        <f>IF(F133+SUM(E$99:E133)=D$92,F133,D$92-SUM(E$99:E133))</f>
        <v>1666041.208194904</v>
      </c>
      <c r="E134" s="522">
        <f>IF(+J96&lt;F133,J96,D134)</f>
        <v>229242.61904761905</v>
      </c>
      <c r="F134" s="523">
        <f t="shared" si="13"/>
        <v>1436798.5891472851</v>
      </c>
      <c r="G134" s="523">
        <f t="shared" si="14"/>
        <v>1551419.8986710946</v>
      </c>
      <c r="H134" s="526">
        <f t="shared" si="15"/>
        <v>396134.80336557457</v>
      </c>
      <c r="I134" s="577">
        <f t="shared" si="16"/>
        <v>396134.80336557457</v>
      </c>
      <c r="J134" s="514">
        <f t="shared" si="19"/>
        <v>0</v>
      </c>
      <c r="K134" s="514"/>
      <c r="L134" s="525"/>
      <c r="M134" s="514">
        <f t="shared" si="20"/>
        <v>0</v>
      </c>
      <c r="N134" s="525"/>
      <c r="O134" s="514">
        <f t="shared" si="21"/>
        <v>0</v>
      </c>
      <c r="P134" s="514">
        <f t="shared" si="22"/>
        <v>0</v>
      </c>
    </row>
    <row r="135" spans="2:16" ht="12.5">
      <c r="B135" s="195" t="str">
        <f t="shared" si="18"/>
        <v/>
      </c>
      <c r="C135" s="507">
        <f>IF(D93="","-",+C134+1)</f>
        <v>2055</v>
      </c>
      <c r="D135" s="374">
        <f>IF(F134+SUM(E$99:E134)=D$92,F134,D$92-SUM(E$99:E134))</f>
        <v>1436798.5891472851</v>
      </c>
      <c r="E135" s="522">
        <f>IF(+J96&lt;F134,J96,D135)</f>
        <v>229242.61904761905</v>
      </c>
      <c r="F135" s="523">
        <f t="shared" si="13"/>
        <v>1207555.9700996662</v>
      </c>
      <c r="G135" s="523">
        <f t="shared" si="14"/>
        <v>1322177.2796234756</v>
      </c>
      <c r="H135" s="526">
        <f t="shared" si="15"/>
        <v>371474.29626211565</v>
      </c>
      <c r="I135" s="577">
        <f t="shared" si="16"/>
        <v>371474.29626211565</v>
      </c>
      <c r="J135" s="514">
        <f t="shared" si="19"/>
        <v>0</v>
      </c>
      <c r="K135" s="514"/>
      <c r="L135" s="525"/>
      <c r="M135" s="514">
        <f t="shared" si="20"/>
        <v>0</v>
      </c>
      <c r="N135" s="525"/>
      <c r="O135" s="514">
        <f t="shared" si="21"/>
        <v>0</v>
      </c>
      <c r="P135" s="514">
        <f t="shared" si="22"/>
        <v>0</v>
      </c>
    </row>
    <row r="136" spans="2:16" ht="12.5">
      <c r="B136" s="195" t="str">
        <f t="shared" si="18"/>
        <v/>
      </c>
      <c r="C136" s="507">
        <f>IF(D93="","-",+C135+1)</f>
        <v>2056</v>
      </c>
      <c r="D136" s="374">
        <f>IF(F135+SUM(E$99:E135)=D$92,F135,D$92-SUM(E$99:E135))</f>
        <v>1207555.9700996662</v>
      </c>
      <c r="E136" s="522">
        <f>IF(+J96&lt;F135,J96,D136)</f>
        <v>229242.61904761905</v>
      </c>
      <c r="F136" s="523">
        <f t="shared" si="13"/>
        <v>978313.3510520471</v>
      </c>
      <c r="G136" s="523">
        <f t="shared" si="14"/>
        <v>1092934.6605758567</v>
      </c>
      <c r="H136" s="526">
        <f t="shared" si="15"/>
        <v>346813.78915865673</v>
      </c>
      <c r="I136" s="577">
        <f t="shared" si="16"/>
        <v>346813.78915865673</v>
      </c>
      <c r="J136" s="514">
        <f t="shared" si="19"/>
        <v>0</v>
      </c>
      <c r="K136" s="514"/>
      <c r="L136" s="525"/>
      <c r="M136" s="514">
        <f t="shared" si="20"/>
        <v>0</v>
      </c>
      <c r="N136" s="525"/>
      <c r="O136" s="514">
        <f t="shared" si="21"/>
        <v>0</v>
      </c>
      <c r="P136" s="514">
        <f t="shared" si="22"/>
        <v>0</v>
      </c>
    </row>
    <row r="137" spans="2:16" ht="12.5">
      <c r="B137" s="195" t="str">
        <f t="shared" si="18"/>
        <v/>
      </c>
      <c r="C137" s="507">
        <f>IF(D93="","-",+C136+1)</f>
        <v>2057</v>
      </c>
      <c r="D137" s="374">
        <f>IF(F136+SUM(E$99:E136)=D$92,F136,D$92-SUM(E$99:E136))</f>
        <v>978313.3510520471</v>
      </c>
      <c r="E137" s="522">
        <f>IF(+J96&lt;F136,J96,D137)</f>
        <v>229242.61904761905</v>
      </c>
      <c r="F137" s="523">
        <f t="shared" si="13"/>
        <v>749070.73200442805</v>
      </c>
      <c r="G137" s="523">
        <f t="shared" si="14"/>
        <v>863692.04152823752</v>
      </c>
      <c r="H137" s="526">
        <f t="shared" si="15"/>
        <v>322153.28205519775</v>
      </c>
      <c r="I137" s="577">
        <f t="shared" si="16"/>
        <v>322153.28205519775</v>
      </c>
      <c r="J137" s="514">
        <f t="shared" si="19"/>
        <v>0</v>
      </c>
      <c r="K137" s="514"/>
      <c r="L137" s="525"/>
      <c r="M137" s="514">
        <f t="shared" si="20"/>
        <v>0</v>
      </c>
      <c r="N137" s="525"/>
      <c r="O137" s="514">
        <f t="shared" si="21"/>
        <v>0</v>
      </c>
      <c r="P137" s="514">
        <f t="shared" si="22"/>
        <v>0</v>
      </c>
    </row>
    <row r="138" spans="2:16" ht="12.5">
      <c r="B138" s="195" t="str">
        <f t="shared" si="18"/>
        <v/>
      </c>
      <c r="C138" s="507">
        <f>IF(D93="","-",+C137+1)</f>
        <v>2058</v>
      </c>
      <c r="D138" s="374">
        <f>IF(F137+SUM(E$99:E137)=D$92,F137,D$92-SUM(E$99:E137))</f>
        <v>749070.73200442805</v>
      </c>
      <c r="E138" s="522">
        <f>IF(+J96&lt;F137,J96,D138)</f>
        <v>229242.61904761905</v>
      </c>
      <c r="F138" s="523">
        <f t="shared" si="13"/>
        <v>519828.112956809</v>
      </c>
      <c r="G138" s="523">
        <f t="shared" si="14"/>
        <v>634449.42248061858</v>
      </c>
      <c r="H138" s="526">
        <f t="shared" si="15"/>
        <v>297492.77495173877</v>
      </c>
      <c r="I138" s="577">
        <f t="shared" si="16"/>
        <v>297492.77495173877</v>
      </c>
      <c r="J138" s="514">
        <f t="shared" si="19"/>
        <v>0</v>
      </c>
      <c r="K138" s="514"/>
      <c r="L138" s="525"/>
      <c r="M138" s="514">
        <f t="shared" si="20"/>
        <v>0</v>
      </c>
      <c r="N138" s="525"/>
      <c r="O138" s="514">
        <f t="shared" si="21"/>
        <v>0</v>
      </c>
      <c r="P138" s="514">
        <f t="shared" si="22"/>
        <v>0</v>
      </c>
    </row>
    <row r="139" spans="2:16" ht="12.5">
      <c r="B139" s="195" t="str">
        <f t="shared" si="18"/>
        <v/>
      </c>
      <c r="C139" s="507">
        <f>IF(D93="","-",+C138+1)</f>
        <v>2059</v>
      </c>
      <c r="D139" s="374">
        <f>IF(F138+SUM(E$99:E138)=D$92,F138,D$92-SUM(E$99:E138))</f>
        <v>519828.112956809</v>
      </c>
      <c r="E139" s="522">
        <f>IF(+J96&lt;F138,J96,D139)</f>
        <v>229242.61904761905</v>
      </c>
      <c r="F139" s="523">
        <f t="shared" si="13"/>
        <v>290585.49390918994</v>
      </c>
      <c r="G139" s="523">
        <f t="shared" si="14"/>
        <v>405206.80343299947</v>
      </c>
      <c r="H139" s="526">
        <f t="shared" si="15"/>
        <v>272832.26784827979</v>
      </c>
      <c r="I139" s="577">
        <f t="shared" si="16"/>
        <v>272832.26784827979</v>
      </c>
      <c r="J139" s="514">
        <f t="shared" si="19"/>
        <v>0</v>
      </c>
      <c r="K139" s="514"/>
      <c r="L139" s="525"/>
      <c r="M139" s="514">
        <f t="shared" si="20"/>
        <v>0</v>
      </c>
      <c r="N139" s="525"/>
      <c r="O139" s="514">
        <f t="shared" si="21"/>
        <v>0</v>
      </c>
      <c r="P139" s="514">
        <f t="shared" si="22"/>
        <v>0</v>
      </c>
    </row>
    <row r="140" spans="2:16" ht="12.5">
      <c r="B140" s="195" t="str">
        <f t="shared" si="18"/>
        <v/>
      </c>
      <c r="C140" s="507">
        <f>IF(D93="","-",+C139+1)</f>
        <v>2060</v>
      </c>
      <c r="D140" s="374">
        <f>IF(F139+SUM(E$99:E139)=D$92,F139,D$92-SUM(E$99:E139))</f>
        <v>290585.49390918994</v>
      </c>
      <c r="E140" s="522">
        <f>IF(+J96&lt;F139,J96,D140)</f>
        <v>229242.61904761905</v>
      </c>
      <c r="F140" s="523">
        <f t="shared" si="13"/>
        <v>61342.87486157089</v>
      </c>
      <c r="G140" s="523">
        <f t="shared" si="14"/>
        <v>175964.18438538042</v>
      </c>
      <c r="H140" s="526">
        <f t="shared" si="15"/>
        <v>248171.76074482087</v>
      </c>
      <c r="I140" s="577">
        <f t="shared" si="16"/>
        <v>248171.76074482087</v>
      </c>
      <c r="J140" s="514">
        <f t="shared" si="19"/>
        <v>0</v>
      </c>
      <c r="K140" s="514"/>
      <c r="L140" s="525"/>
      <c r="M140" s="514">
        <f t="shared" si="20"/>
        <v>0</v>
      </c>
      <c r="N140" s="525"/>
      <c r="O140" s="514">
        <f t="shared" si="21"/>
        <v>0</v>
      </c>
      <c r="P140" s="514">
        <f t="shared" si="22"/>
        <v>0</v>
      </c>
    </row>
    <row r="141" spans="2:16" ht="12.5">
      <c r="B141" s="195" t="str">
        <f t="shared" si="18"/>
        <v/>
      </c>
      <c r="C141" s="507">
        <f>IF(D93="","-",+C140+1)</f>
        <v>2061</v>
      </c>
      <c r="D141" s="374">
        <f>IF(F140+SUM(E$99:E140)=D$92,F140,D$92-SUM(E$99:E140))</f>
        <v>61342.87486157089</v>
      </c>
      <c r="E141" s="522">
        <f>IF(+J96&lt;F140,J96,D141)</f>
        <v>61342.87486157089</v>
      </c>
      <c r="F141" s="523">
        <f t="shared" si="13"/>
        <v>0</v>
      </c>
      <c r="G141" s="523">
        <f t="shared" si="14"/>
        <v>30671.437430785445</v>
      </c>
      <c r="H141" s="526">
        <f t="shared" si="15"/>
        <v>64642.318934307055</v>
      </c>
      <c r="I141" s="577">
        <f t="shared" si="16"/>
        <v>64642.318934307055</v>
      </c>
      <c r="J141" s="514">
        <f t="shared" si="19"/>
        <v>0</v>
      </c>
      <c r="K141" s="514"/>
      <c r="L141" s="525"/>
      <c r="M141" s="514">
        <f t="shared" si="20"/>
        <v>0</v>
      </c>
      <c r="N141" s="525"/>
      <c r="O141" s="514">
        <f t="shared" si="21"/>
        <v>0</v>
      </c>
      <c r="P141" s="514">
        <f t="shared" si="22"/>
        <v>0</v>
      </c>
    </row>
    <row r="142" spans="2:16" ht="12.5">
      <c r="B142" s="195" t="str">
        <f t="shared" si="18"/>
        <v/>
      </c>
      <c r="C142" s="507">
        <f>IF(D93="","-",+C141+1)</f>
        <v>2062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3"/>
        <v>0</v>
      </c>
      <c r="G142" s="523">
        <f t="shared" si="14"/>
        <v>0</v>
      </c>
      <c r="H142" s="526">
        <f t="shared" si="15"/>
        <v>0</v>
      </c>
      <c r="I142" s="577">
        <f t="shared" si="16"/>
        <v>0</v>
      </c>
      <c r="J142" s="514">
        <f t="shared" si="19"/>
        <v>0</v>
      </c>
      <c r="K142" s="514"/>
      <c r="L142" s="525"/>
      <c r="M142" s="514">
        <f t="shared" si="20"/>
        <v>0</v>
      </c>
      <c r="N142" s="525"/>
      <c r="O142" s="514">
        <f t="shared" si="21"/>
        <v>0</v>
      </c>
      <c r="P142" s="514">
        <f t="shared" si="22"/>
        <v>0</v>
      </c>
    </row>
    <row r="143" spans="2:16" ht="12.5">
      <c r="B143" s="195" t="str">
        <f t="shared" si="18"/>
        <v/>
      </c>
      <c r="C143" s="507">
        <f>IF(D93="","-",+C142+1)</f>
        <v>2063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3"/>
        <v>0</v>
      </c>
      <c r="G143" s="523">
        <f t="shared" si="14"/>
        <v>0</v>
      </c>
      <c r="H143" s="526">
        <f t="shared" si="15"/>
        <v>0</v>
      </c>
      <c r="I143" s="577">
        <f t="shared" si="16"/>
        <v>0</v>
      </c>
      <c r="J143" s="514">
        <f t="shared" si="19"/>
        <v>0</v>
      </c>
      <c r="K143" s="514"/>
      <c r="L143" s="525"/>
      <c r="M143" s="514">
        <f t="shared" si="20"/>
        <v>0</v>
      </c>
      <c r="N143" s="525"/>
      <c r="O143" s="514">
        <f t="shared" si="21"/>
        <v>0</v>
      </c>
      <c r="P143" s="514">
        <f t="shared" si="22"/>
        <v>0</v>
      </c>
    </row>
    <row r="144" spans="2:16" ht="12.5">
      <c r="B144" s="195" t="str">
        <f t="shared" si="18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3"/>
        <v>0</v>
      </c>
      <c r="G144" s="523">
        <f t="shared" si="14"/>
        <v>0</v>
      </c>
      <c r="H144" s="526">
        <f t="shared" si="15"/>
        <v>0</v>
      </c>
      <c r="I144" s="577">
        <f t="shared" si="16"/>
        <v>0</v>
      </c>
      <c r="J144" s="514">
        <f t="shared" si="19"/>
        <v>0</v>
      </c>
      <c r="K144" s="514"/>
      <c r="L144" s="525"/>
      <c r="M144" s="514">
        <f t="shared" si="20"/>
        <v>0</v>
      </c>
      <c r="N144" s="525"/>
      <c r="O144" s="514">
        <f t="shared" si="21"/>
        <v>0</v>
      </c>
      <c r="P144" s="514">
        <f t="shared" si="22"/>
        <v>0</v>
      </c>
    </row>
    <row r="145" spans="2:16" ht="12.5">
      <c r="B145" s="195" t="str">
        <f t="shared" si="18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3"/>
        <v>0</v>
      </c>
      <c r="G145" s="523">
        <f t="shared" si="14"/>
        <v>0</v>
      </c>
      <c r="H145" s="526">
        <f t="shared" si="15"/>
        <v>0</v>
      </c>
      <c r="I145" s="577">
        <f t="shared" si="16"/>
        <v>0</v>
      </c>
      <c r="J145" s="514">
        <f t="shared" si="19"/>
        <v>0</v>
      </c>
      <c r="K145" s="514"/>
      <c r="L145" s="525"/>
      <c r="M145" s="514">
        <f t="shared" si="20"/>
        <v>0</v>
      </c>
      <c r="N145" s="525"/>
      <c r="O145" s="514">
        <f t="shared" si="21"/>
        <v>0</v>
      </c>
      <c r="P145" s="514">
        <f t="shared" si="22"/>
        <v>0</v>
      </c>
    </row>
    <row r="146" spans="2:16" ht="12.5">
      <c r="B146" s="195" t="str">
        <f t="shared" si="18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3"/>
        <v>0</v>
      </c>
      <c r="G146" s="523">
        <f t="shared" si="14"/>
        <v>0</v>
      </c>
      <c r="H146" s="526">
        <f t="shared" si="15"/>
        <v>0</v>
      </c>
      <c r="I146" s="577">
        <f t="shared" si="16"/>
        <v>0</v>
      </c>
      <c r="J146" s="514">
        <f t="shared" si="19"/>
        <v>0</v>
      </c>
      <c r="K146" s="514"/>
      <c r="L146" s="525"/>
      <c r="M146" s="514">
        <f t="shared" si="20"/>
        <v>0</v>
      </c>
      <c r="N146" s="525"/>
      <c r="O146" s="514">
        <f t="shared" si="21"/>
        <v>0</v>
      </c>
      <c r="P146" s="514">
        <f t="shared" si="22"/>
        <v>0</v>
      </c>
    </row>
    <row r="147" spans="2:16" ht="12.5">
      <c r="B147" s="195" t="str">
        <f t="shared" si="18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3"/>
        <v>0</v>
      </c>
      <c r="G147" s="523">
        <f t="shared" si="14"/>
        <v>0</v>
      </c>
      <c r="H147" s="526">
        <f t="shared" si="15"/>
        <v>0</v>
      </c>
      <c r="I147" s="577">
        <f t="shared" si="16"/>
        <v>0</v>
      </c>
      <c r="J147" s="514">
        <f t="shared" si="19"/>
        <v>0</v>
      </c>
      <c r="K147" s="514"/>
      <c r="L147" s="525"/>
      <c r="M147" s="514">
        <f t="shared" si="20"/>
        <v>0</v>
      </c>
      <c r="N147" s="525"/>
      <c r="O147" s="514">
        <f t="shared" si="21"/>
        <v>0</v>
      </c>
      <c r="P147" s="514">
        <f t="shared" si="22"/>
        <v>0</v>
      </c>
    </row>
    <row r="148" spans="2:16" ht="12.5">
      <c r="B148" s="195" t="str">
        <f t="shared" si="18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3"/>
        <v>0</v>
      </c>
      <c r="G148" s="523">
        <f t="shared" si="14"/>
        <v>0</v>
      </c>
      <c r="H148" s="526">
        <f t="shared" si="15"/>
        <v>0</v>
      </c>
      <c r="I148" s="577">
        <f t="shared" si="16"/>
        <v>0</v>
      </c>
      <c r="J148" s="514">
        <f t="shared" si="19"/>
        <v>0</v>
      </c>
      <c r="K148" s="514"/>
      <c r="L148" s="525"/>
      <c r="M148" s="514">
        <f t="shared" si="20"/>
        <v>0</v>
      </c>
      <c r="N148" s="525"/>
      <c r="O148" s="514">
        <f t="shared" si="21"/>
        <v>0</v>
      </c>
      <c r="P148" s="514">
        <f t="shared" si="22"/>
        <v>0</v>
      </c>
    </row>
    <row r="149" spans="2:16" ht="12.5">
      <c r="B149" s="195" t="str">
        <f t="shared" si="18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3"/>
        <v>0</v>
      </c>
      <c r="G149" s="523">
        <f t="shared" si="14"/>
        <v>0</v>
      </c>
      <c r="H149" s="526">
        <f t="shared" si="15"/>
        <v>0</v>
      </c>
      <c r="I149" s="577">
        <f t="shared" si="16"/>
        <v>0</v>
      </c>
      <c r="J149" s="514">
        <f t="shared" si="19"/>
        <v>0</v>
      </c>
      <c r="K149" s="514"/>
      <c r="L149" s="525"/>
      <c r="M149" s="514">
        <f t="shared" si="20"/>
        <v>0</v>
      </c>
      <c r="N149" s="525"/>
      <c r="O149" s="514">
        <f t="shared" si="21"/>
        <v>0</v>
      </c>
      <c r="P149" s="514">
        <f t="shared" si="22"/>
        <v>0</v>
      </c>
    </row>
    <row r="150" spans="2:16" ht="12.5">
      <c r="B150" s="195" t="str">
        <f t="shared" si="18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3"/>
        <v>0</v>
      </c>
      <c r="G150" s="523">
        <f t="shared" si="14"/>
        <v>0</v>
      </c>
      <c r="H150" s="526">
        <f t="shared" si="15"/>
        <v>0</v>
      </c>
      <c r="I150" s="577">
        <f t="shared" si="16"/>
        <v>0</v>
      </c>
      <c r="J150" s="514">
        <f t="shared" si="19"/>
        <v>0</v>
      </c>
      <c r="K150" s="514"/>
      <c r="L150" s="525"/>
      <c r="M150" s="514">
        <f t="shared" si="20"/>
        <v>0</v>
      </c>
      <c r="N150" s="525"/>
      <c r="O150" s="514">
        <f t="shared" si="21"/>
        <v>0</v>
      </c>
      <c r="P150" s="514">
        <f t="shared" si="22"/>
        <v>0</v>
      </c>
    </row>
    <row r="151" spans="2:16" ht="12.5">
      <c r="B151" s="195" t="str">
        <f t="shared" si="18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3"/>
        <v>0</v>
      </c>
      <c r="G151" s="523">
        <f t="shared" si="14"/>
        <v>0</v>
      </c>
      <c r="H151" s="526">
        <f t="shared" si="15"/>
        <v>0</v>
      </c>
      <c r="I151" s="577">
        <f t="shared" si="16"/>
        <v>0</v>
      </c>
      <c r="J151" s="514">
        <f t="shared" si="19"/>
        <v>0</v>
      </c>
      <c r="K151" s="514"/>
      <c r="L151" s="525"/>
      <c r="M151" s="514">
        <f t="shared" si="20"/>
        <v>0</v>
      </c>
      <c r="N151" s="525"/>
      <c r="O151" s="514">
        <f t="shared" si="21"/>
        <v>0</v>
      </c>
      <c r="P151" s="514">
        <f t="shared" si="22"/>
        <v>0</v>
      </c>
    </row>
    <row r="152" spans="2:16" ht="12.5">
      <c r="B152" s="195" t="str">
        <f t="shared" si="18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3"/>
        <v>0</v>
      </c>
      <c r="G152" s="523">
        <f t="shared" si="14"/>
        <v>0</v>
      </c>
      <c r="H152" s="526">
        <f t="shared" si="15"/>
        <v>0</v>
      </c>
      <c r="I152" s="577">
        <f t="shared" si="16"/>
        <v>0</v>
      </c>
      <c r="J152" s="514">
        <f t="shared" si="19"/>
        <v>0</v>
      </c>
      <c r="K152" s="514"/>
      <c r="L152" s="525"/>
      <c r="M152" s="514">
        <f t="shared" si="20"/>
        <v>0</v>
      </c>
      <c r="N152" s="525"/>
      <c r="O152" s="514">
        <f t="shared" si="21"/>
        <v>0</v>
      </c>
      <c r="P152" s="514">
        <f t="shared" si="22"/>
        <v>0</v>
      </c>
    </row>
    <row r="153" spans="2:16" ht="12.5">
      <c r="B153" s="195" t="str">
        <f t="shared" si="18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3"/>
        <v>0</v>
      </c>
      <c r="G153" s="523">
        <f t="shared" si="14"/>
        <v>0</v>
      </c>
      <c r="H153" s="526">
        <f t="shared" si="15"/>
        <v>0</v>
      </c>
      <c r="I153" s="577">
        <f t="shared" si="16"/>
        <v>0</v>
      </c>
      <c r="J153" s="514">
        <f t="shared" si="19"/>
        <v>0</v>
      </c>
      <c r="K153" s="514"/>
      <c r="L153" s="525"/>
      <c r="M153" s="514">
        <f t="shared" si="20"/>
        <v>0</v>
      </c>
      <c r="N153" s="525"/>
      <c r="O153" s="514">
        <f t="shared" si="21"/>
        <v>0</v>
      </c>
      <c r="P153" s="514">
        <f t="shared" si="22"/>
        <v>0</v>
      </c>
    </row>
    <row r="154" spans="2:16" ht="13" thickBot="1">
      <c r="B154" s="195" t="str">
        <f t="shared" si="18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3"/>
        <v>0</v>
      </c>
      <c r="G154" s="528">
        <f t="shared" si="14"/>
        <v>0</v>
      </c>
      <c r="H154" s="530">
        <f t="shared" si="15"/>
        <v>0</v>
      </c>
      <c r="I154" s="579">
        <f t="shared" si="16"/>
        <v>0</v>
      </c>
      <c r="J154" s="533">
        <f t="shared" si="19"/>
        <v>0</v>
      </c>
      <c r="K154" s="514"/>
      <c r="L154" s="532"/>
      <c r="M154" s="533">
        <f t="shared" si="20"/>
        <v>0</v>
      </c>
      <c r="N154" s="532"/>
      <c r="O154" s="533">
        <f t="shared" si="21"/>
        <v>0</v>
      </c>
      <c r="P154" s="533">
        <f t="shared" si="22"/>
        <v>0</v>
      </c>
    </row>
    <row r="155" spans="2:16" ht="12.5">
      <c r="C155" s="374" t="s">
        <v>78</v>
      </c>
      <c r="D155" s="375"/>
      <c r="E155" s="375">
        <f>SUM(E99:E154)</f>
        <v>9628190.0000000037</v>
      </c>
      <c r="F155" s="375"/>
      <c r="G155" s="375"/>
      <c r="H155" s="375">
        <f>SUM(H99:H154)</f>
        <v>31135413.675919194</v>
      </c>
      <c r="I155" s="375">
        <f>SUM(I99:I154)</f>
        <v>31135413.675919194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" priority="1" stopIfTrue="1" operator="equal">
      <formula>$I$10</formula>
    </cfRule>
  </conditionalFormatting>
  <conditionalFormatting sqref="C99:C154">
    <cfRule type="cellIs" dxfId="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view="pageBreakPreview" zoomScale="80" zoomScaleNormal="70" zoomScaleSheetLayoutView="80" workbookViewId="0">
      <selection activeCell="D10" sqref="D1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73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484092.97891210701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484092.97891210701</v>
      </c>
      <c r="O6" s="269"/>
      <c r="P6" s="269"/>
    </row>
    <row r="7" spans="1:16" ht="13.5" thickBot="1">
      <c r="C7" s="467" t="s">
        <v>48</v>
      </c>
      <c r="D7" s="624" t="s">
        <v>459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1"/>
      <c r="K8" s="474"/>
      <c r="L8" s="474"/>
      <c r="M8" s="474"/>
      <c r="N8" s="474"/>
      <c r="O8" s="661"/>
      <c r="P8" s="340"/>
    </row>
    <row r="9" spans="1:16" ht="13.5" thickBot="1">
      <c r="C9" s="476" t="s">
        <v>50</v>
      </c>
      <c r="D9" s="477" t="s">
        <v>474</v>
      </c>
      <c r="E9" s="637" t="s">
        <v>473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3821662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90991.952380952382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2019</v>
      </c>
      <c r="D17" s="631">
        <v>0</v>
      </c>
      <c r="E17" s="630">
        <v>9.9555672459071778E-2</v>
      </c>
      <c r="F17" s="631">
        <v>3857999.9004443274</v>
      </c>
      <c r="G17" s="630">
        <v>192042.98677355595</v>
      </c>
      <c r="H17" s="639">
        <v>192042.98677355595</v>
      </c>
      <c r="I17" s="511">
        <f t="shared" ref="I17:I72" si="0">H17-G17</f>
        <v>0</v>
      </c>
      <c r="J17" s="511"/>
      <c r="K17" s="512">
        <f>+G17</f>
        <v>192042.98677355595</v>
      </c>
      <c r="L17" s="513">
        <f t="shared" ref="L17:L18" si="1">IF(K17&lt;&gt;0,+G17-K17,0)</f>
        <v>0</v>
      </c>
      <c r="M17" s="512">
        <f>+H17</f>
        <v>192042.98677355595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2020</v>
      </c>
      <c r="D18" s="631">
        <v>3857999.9004443274</v>
      </c>
      <c r="E18" s="630">
        <v>94097.560975609755</v>
      </c>
      <c r="F18" s="631">
        <v>3763902.3394687176</v>
      </c>
      <c r="G18" s="630">
        <v>484092.97891210701</v>
      </c>
      <c r="H18" s="639">
        <v>484092.97891210701</v>
      </c>
      <c r="I18" s="511">
        <f t="shared" si="0"/>
        <v>0</v>
      </c>
      <c r="J18" s="511"/>
      <c r="K18" s="518">
        <f>+G18</f>
        <v>484092.97891210701</v>
      </c>
      <c r="L18" s="519">
        <f t="shared" si="1"/>
        <v>0</v>
      </c>
      <c r="M18" s="518">
        <f>+H18</f>
        <v>484092.97891210701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2021</v>
      </c>
      <c r="D19" s="523">
        <f>IF(F18+SUM(E$17:E18)=D$10,F18,D$10-SUM(E$17:E18))</f>
        <v>3727564.3394687176</v>
      </c>
      <c r="E19" s="522">
        <f>IF(+I14&lt;F18,I14,D19)</f>
        <v>90991.952380952382</v>
      </c>
      <c r="F19" s="523">
        <f t="shared" ref="F19:F72" si="4">+D19-E19</f>
        <v>3636572.3870877651</v>
      </c>
      <c r="G19" s="524">
        <f t="shared" ref="G19:G72" si="5">+I$12*((D19+F19)/2)+E19</f>
        <v>484303.0341939801</v>
      </c>
      <c r="H19" s="491">
        <f t="shared" ref="H19:H72" si="6">+I$13*((D19+F19)/2)+E19</f>
        <v>484303.0341939801</v>
      </c>
      <c r="I19" s="511">
        <f t="shared" si="0"/>
        <v>0</v>
      </c>
      <c r="J19" s="511"/>
      <c r="K19" s="525"/>
      <c r="L19" s="514">
        <f t="shared" ref="L19:L72" si="7">IF(K19&lt;&gt;0,+G19-K19,0)</f>
        <v>0</v>
      </c>
      <c r="M19" s="525"/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8">IF(D20=F19,"","IU")</f>
        <v/>
      </c>
      <c r="C20" s="507">
        <f>IF(D11="","-",+C19+1)</f>
        <v>2022</v>
      </c>
      <c r="D20" s="523">
        <f>IF(F19+SUM(E$17:E19)=D$10,F19,D$10-SUM(E$17:E19))</f>
        <v>3636572.3870877651</v>
      </c>
      <c r="E20" s="522">
        <f>IF(+I14&lt;F19,I14,D20)</f>
        <v>90991.952380952382</v>
      </c>
      <c r="F20" s="523">
        <f t="shared" si="4"/>
        <v>3545580.4347068127</v>
      </c>
      <c r="G20" s="524">
        <f t="shared" si="5"/>
        <v>474583.45821213478</v>
      </c>
      <c r="H20" s="491">
        <f t="shared" si="6"/>
        <v>474583.45821213478</v>
      </c>
      <c r="I20" s="511">
        <f t="shared" si="0"/>
        <v>0</v>
      </c>
      <c r="J20" s="511"/>
      <c r="K20" s="525"/>
      <c r="L20" s="514">
        <f t="shared" si="7"/>
        <v>0</v>
      </c>
      <c r="M20" s="525"/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8"/>
        <v/>
      </c>
      <c r="C21" s="507">
        <f>IF(D11="","-",+C20+1)</f>
        <v>2023</v>
      </c>
      <c r="D21" s="523">
        <f>IF(F20+SUM(E$17:E20)=D$10,F20,D$10-SUM(E$17:E20))</f>
        <v>3545580.4347068127</v>
      </c>
      <c r="E21" s="522">
        <f>IF(+I14&lt;F20,I14,D21)</f>
        <v>90991.952380952382</v>
      </c>
      <c r="F21" s="523">
        <f t="shared" si="4"/>
        <v>3454588.4823258603</v>
      </c>
      <c r="G21" s="524">
        <f t="shared" si="5"/>
        <v>464863.8822302894</v>
      </c>
      <c r="H21" s="491">
        <f t="shared" si="6"/>
        <v>464863.8822302894</v>
      </c>
      <c r="I21" s="511">
        <f t="shared" si="0"/>
        <v>0</v>
      </c>
      <c r="J21" s="511"/>
      <c r="K21" s="525"/>
      <c r="L21" s="514">
        <f t="shared" si="7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8"/>
        <v/>
      </c>
      <c r="C22" s="507">
        <f>IF(D11="","-",+C21+1)</f>
        <v>2024</v>
      </c>
      <c r="D22" s="523">
        <f>IF(F21+SUM(E$17:E21)=D$10,F21,D$10-SUM(E$17:E21))</f>
        <v>3454588.4823258603</v>
      </c>
      <c r="E22" s="522">
        <f>IF(+I14&lt;F21,I14,D22)</f>
        <v>90991.952380952382</v>
      </c>
      <c r="F22" s="523">
        <f t="shared" si="4"/>
        <v>3363596.5299449079</v>
      </c>
      <c r="G22" s="524">
        <f t="shared" si="5"/>
        <v>455144.30624844402</v>
      </c>
      <c r="H22" s="491">
        <f t="shared" si="6"/>
        <v>455144.30624844402</v>
      </c>
      <c r="I22" s="511">
        <f t="shared" si="0"/>
        <v>0</v>
      </c>
      <c r="J22" s="511"/>
      <c r="K22" s="525"/>
      <c r="L22" s="514">
        <f t="shared" si="7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8"/>
        <v/>
      </c>
      <c r="C23" s="507">
        <f>IF(D11="","-",+C22+1)</f>
        <v>2025</v>
      </c>
      <c r="D23" s="523">
        <f>IF(F22+SUM(E$17:E22)=D$10,F22,D$10-SUM(E$17:E22))</f>
        <v>3363596.5299449079</v>
      </c>
      <c r="E23" s="522">
        <f>IF(+I14&lt;F22,I14,D23)</f>
        <v>90991.952380952382</v>
      </c>
      <c r="F23" s="523">
        <f t="shared" si="4"/>
        <v>3272604.5775639554</v>
      </c>
      <c r="G23" s="524">
        <f t="shared" si="5"/>
        <v>445424.73026659864</v>
      </c>
      <c r="H23" s="491">
        <f t="shared" si="6"/>
        <v>445424.73026659864</v>
      </c>
      <c r="I23" s="511">
        <f t="shared" si="0"/>
        <v>0</v>
      </c>
      <c r="J23" s="511"/>
      <c r="K23" s="525"/>
      <c r="L23" s="514">
        <f t="shared" si="7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8"/>
        <v/>
      </c>
      <c r="C24" s="507">
        <f>IF(D11="","-",+C23+1)</f>
        <v>2026</v>
      </c>
      <c r="D24" s="523">
        <f>IF(F23+SUM(E$17:E23)=D$10,F23,D$10-SUM(E$17:E23))</f>
        <v>3272604.5775639554</v>
      </c>
      <c r="E24" s="522">
        <f>IF(+I14&lt;F23,I14,D24)</f>
        <v>90991.952380952382</v>
      </c>
      <c r="F24" s="523">
        <f t="shared" si="4"/>
        <v>3181612.625183003</v>
      </c>
      <c r="G24" s="524">
        <f t="shared" si="5"/>
        <v>435705.15428475325</v>
      </c>
      <c r="H24" s="491">
        <f t="shared" si="6"/>
        <v>435705.15428475325</v>
      </c>
      <c r="I24" s="511">
        <f t="shared" si="0"/>
        <v>0</v>
      </c>
      <c r="J24" s="511"/>
      <c r="K24" s="525"/>
      <c r="L24" s="514">
        <f t="shared" si="7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8"/>
        <v/>
      </c>
      <c r="C25" s="507">
        <f>IF(D11="","-",+C24+1)</f>
        <v>2027</v>
      </c>
      <c r="D25" s="523">
        <f>IF(F24+SUM(E$17:E24)=D$10,F24,D$10-SUM(E$17:E24))</f>
        <v>3181612.625183003</v>
      </c>
      <c r="E25" s="522">
        <f>IF(+I14&lt;F24,I14,D25)</f>
        <v>90991.952380952382</v>
      </c>
      <c r="F25" s="523">
        <f t="shared" si="4"/>
        <v>3090620.6728020506</v>
      </c>
      <c r="G25" s="524">
        <f t="shared" si="5"/>
        <v>425985.57830290787</v>
      </c>
      <c r="H25" s="491">
        <f t="shared" si="6"/>
        <v>425985.57830290787</v>
      </c>
      <c r="I25" s="511">
        <f t="shared" si="0"/>
        <v>0</v>
      </c>
      <c r="J25" s="511"/>
      <c r="K25" s="525"/>
      <c r="L25" s="514">
        <f t="shared" si="7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8"/>
        <v/>
      </c>
      <c r="C26" s="507">
        <f>IF(D11="","-",+C25+1)</f>
        <v>2028</v>
      </c>
      <c r="D26" s="523">
        <f>IF(F25+SUM(E$17:E25)=D$10,F25,D$10-SUM(E$17:E25))</f>
        <v>3090620.6728020506</v>
      </c>
      <c r="E26" s="522">
        <f>IF(+I14&lt;F25,I14,D26)</f>
        <v>90991.952380952382</v>
      </c>
      <c r="F26" s="523">
        <f t="shared" si="4"/>
        <v>2999628.7204210982</v>
      </c>
      <c r="G26" s="524">
        <f t="shared" si="5"/>
        <v>416266.00232106249</v>
      </c>
      <c r="H26" s="491">
        <f t="shared" si="6"/>
        <v>416266.00232106249</v>
      </c>
      <c r="I26" s="511">
        <f t="shared" si="0"/>
        <v>0</v>
      </c>
      <c r="J26" s="511"/>
      <c r="K26" s="525"/>
      <c r="L26" s="514">
        <f t="shared" si="7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8"/>
        <v/>
      </c>
      <c r="C27" s="507">
        <f>IF(D11="","-",+C26+1)</f>
        <v>2029</v>
      </c>
      <c r="D27" s="523">
        <f>IF(F26+SUM(E$17:E26)=D$10,F26,D$10-SUM(E$17:E26))</f>
        <v>2999628.7204210982</v>
      </c>
      <c r="E27" s="522">
        <f>IF(+I14&lt;F26,I14,D27)</f>
        <v>90991.952380952382</v>
      </c>
      <c r="F27" s="523">
        <f t="shared" si="4"/>
        <v>2908636.7680401457</v>
      </c>
      <c r="G27" s="524">
        <f t="shared" si="5"/>
        <v>406546.42633921711</v>
      </c>
      <c r="H27" s="491">
        <f t="shared" si="6"/>
        <v>406546.42633921711</v>
      </c>
      <c r="I27" s="511">
        <f t="shared" si="0"/>
        <v>0</v>
      </c>
      <c r="J27" s="511"/>
      <c r="K27" s="525"/>
      <c r="L27" s="514">
        <f t="shared" si="7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8"/>
        <v/>
      </c>
      <c r="C28" s="507">
        <f>IF(D11="","-",+C27+1)</f>
        <v>2030</v>
      </c>
      <c r="D28" s="523">
        <f>IF(F27+SUM(E$17:E27)=D$10,F27,D$10-SUM(E$17:E27))</f>
        <v>2908636.7680401457</v>
      </c>
      <c r="E28" s="522">
        <f>IF(+I14&lt;F27,I14,D28)</f>
        <v>90991.952380952382</v>
      </c>
      <c r="F28" s="523">
        <f t="shared" si="4"/>
        <v>2817644.8156591933</v>
      </c>
      <c r="G28" s="524">
        <f t="shared" si="5"/>
        <v>396826.85035737173</v>
      </c>
      <c r="H28" s="491">
        <f t="shared" si="6"/>
        <v>396826.85035737173</v>
      </c>
      <c r="I28" s="511">
        <f t="shared" si="0"/>
        <v>0</v>
      </c>
      <c r="J28" s="511"/>
      <c r="K28" s="525"/>
      <c r="L28" s="514">
        <f t="shared" si="7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8"/>
        <v/>
      </c>
      <c r="C29" s="507">
        <f>IF(D11="","-",+C28+1)</f>
        <v>2031</v>
      </c>
      <c r="D29" s="523">
        <f>IF(F28+SUM(E$17:E28)=D$10,F28,D$10-SUM(E$17:E28))</f>
        <v>2817644.8156591933</v>
      </c>
      <c r="E29" s="522">
        <f>IF(+I14&lt;F28,I14,D29)</f>
        <v>90991.952380952382</v>
      </c>
      <c r="F29" s="523">
        <f t="shared" si="4"/>
        <v>2726652.8632782409</v>
      </c>
      <c r="G29" s="524">
        <f t="shared" si="5"/>
        <v>387107.27437552635</v>
      </c>
      <c r="H29" s="491">
        <f t="shared" si="6"/>
        <v>387107.27437552635</v>
      </c>
      <c r="I29" s="511">
        <f t="shared" si="0"/>
        <v>0</v>
      </c>
      <c r="J29" s="511"/>
      <c r="K29" s="525"/>
      <c r="L29" s="514">
        <f t="shared" si="7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8"/>
        <v/>
      </c>
      <c r="C30" s="507">
        <f>IF(D11="","-",+C29+1)</f>
        <v>2032</v>
      </c>
      <c r="D30" s="523">
        <f>IF(F29+SUM(E$17:E29)=D$10,F29,D$10-SUM(E$17:E29))</f>
        <v>2726652.8632782409</v>
      </c>
      <c r="E30" s="522">
        <f>IF(+I14&lt;F29,I14,D30)</f>
        <v>90991.952380952382</v>
      </c>
      <c r="F30" s="523">
        <f t="shared" si="4"/>
        <v>2635660.9108972885</v>
      </c>
      <c r="G30" s="524">
        <f t="shared" si="5"/>
        <v>377387.69839368103</v>
      </c>
      <c r="H30" s="491">
        <f t="shared" si="6"/>
        <v>377387.69839368103</v>
      </c>
      <c r="I30" s="511">
        <f t="shared" si="0"/>
        <v>0</v>
      </c>
      <c r="J30" s="511"/>
      <c r="K30" s="525"/>
      <c r="L30" s="514">
        <f t="shared" si="7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8"/>
        <v/>
      </c>
      <c r="C31" s="507">
        <f>IF(D11="","-",+C30+1)</f>
        <v>2033</v>
      </c>
      <c r="D31" s="523">
        <f>IF(F30+SUM(E$17:E30)=D$10,F30,D$10-SUM(E$17:E30))</f>
        <v>2635660.9108972885</v>
      </c>
      <c r="E31" s="522">
        <f>IF(+I14&lt;F30,I14,D31)</f>
        <v>90991.952380952382</v>
      </c>
      <c r="F31" s="523">
        <f t="shared" si="4"/>
        <v>2544668.958516336</v>
      </c>
      <c r="G31" s="524">
        <f t="shared" si="5"/>
        <v>367668.12241183565</v>
      </c>
      <c r="H31" s="491">
        <f t="shared" si="6"/>
        <v>367668.12241183565</v>
      </c>
      <c r="I31" s="511">
        <f t="shared" si="0"/>
        <v>0</v>
      </c>
      <c r="J31" s="511"/>
      <c r="K31" s="525"/>
      <c r="L31" s="514">
        <f t="shared" si="7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8"/>
        <v/>
      </c>
      <c r="C32" s="507">
        <f>IF(D11="","-",+C31+1)</f>
        <v>2034</v>
      </c>
      <c r="D32" s="523">
        <f>IF(F31+SUM(E$17:E31)=D$10,F31,D$10-SUM(E$17:E31))</f>
        <v>2544668.958516336</v>
      </c>
      <c r="E32" s="522">
        <f>IF(+I14&lt;F31,I14,D32)</f>
        <v>90991.952380952382</v>
      </c>
      <c r="F32" s="523">
        <f t="shared" si="4"/>
        <v>2453677.0061353836</v>
      </c>
      <c r="G32" s="524">
        <f t="shared" si="5"/>
        <v>357948.54642999027</v>
      </c>
      <c r="H32" s="491">
        <f t="shared" si="6"/>
        <v>357948.54642999027</v>
      </c>
      <c r="I32" s="511">
        <f t="shared" si="0"/>
        <v>0</v>
      </c>
      <c r="J32" s="511"/>
      <c r="K32" s="525"/>
      <c r="L32" s="514">
        <f t="shared" si="7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8"/>
        <v/>
      </c>
      <c r="C33" s="507">
        <f>IF(D11="","-",+C32+1)</f>
        <v>2035</v>
      </c>
      <c r="D33" s="523">
        <f>IF(F32+SUM(E$17:E32)=D$10,F32,D$10-SUM(E$17:E32))</f>
        <v>2453677.0061353836</v>
      </c>
      <c r="E33" s="522">
        <f>IF(+I14&lt;F32,I14,D33)</f>
        <v>90991.952380952382</v>
      </c>
      <c r="F33" s="523">
        <f t="shared" si="4"/>
        <v>2362685.0537544312</v>
      </c>
      <c r="G33" s="524">
        <f t="shared" si="5"/>
        <v>348228.97044814489</v>
      </c>
      <c r="H33" s="491">
        <f t="shared" si="6"/>
        <v>348228.97044814489</v>
      </c>
      <c r="I33" s="511">
        <f t="shared" si="0"/>
        <v>0</v>
      </c>
      <c r="J33" s="511"/>
      <c r="K33" s="525"/>
      <c r="L33" s="514">
        <f t="shared" si="7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8"/>
        <v/>
      </c>
      <c r="C34" s="507">
        <f>IF(D11="","-",+C33+1)</f>
        <v>2036</v>
      </c>
      <c r="D34" s="523">
        <f>IF(F33+SUM(E$17:E33)=D$10,F33,D$10-SUM(E$17:E33))</f>
        <v>2362685.0537544312</v>
      </c>
      <c r="E34" s="522">
        <f>IF(+I14&lt;F33,I14,D34)</f>
        <v>90991.952380952382</v>
      </c>
      <c r="F34" s="523">
        <f t="shared" si="4"/>
        <v>2271693.1013734788</v>
      </c>
      <c r="G34" s="524">
        <f t="shared" si="5"/>
        <v>338509.39446629951</v>
      </c>
      <c r="H34" s="491">
        <f t="shared" si="6"/>
        <v>338509.39446629951</v>
      </c>
      <c r="I34" s="511">
        <f t="shared" si="0"/>
        <v>0</v>
      </c>
      <c r="J34" s="511"/>
      <c r="K34" s="525"/>
      <c r="L34" s="514">
        <f t="shared" si="7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8"/>
        <v/>
      </c>
      <c r="C35" s="507">
        <f>IF(D11="","-",+C34+1)</f>
        <v>2037</v>
      </c>
      <c r="D35" s="523">
        <f>IF(F34+SUM(E$17:E34)=D$10,F34,D$10-SUM(E$17:E34))</f>
        <v>2271693.1013734788</v>
      </c>
      <c r="E35" s="522">
        <f>IF(+I14&lt;F34,I14,D35)</f>
        <v>90991.952380952382</v>
      </c>
      <c r="F35" s="523">
        <f t="shared" si="4"/>
        <v>2180701.1489925263</v>
      </c>
      <c r="G35" s="524">
        <f t="shared" si="5"/>
        <v>328789.81848445412</v>
      </c>
      <c r="H35" s="491">
        <f t="shared" si="6"/>
        <v>328789.81848445412</v>
      </c>
      <c r="I35" s="511">
        <f t="shared" si="0"/>
        <v>0</v>
      </c>
      <c r="J35" s="511"/>
      <c r="K35" s="525"/>
      <c r="L35" s="514">
        <f t="shared" si="7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8"/>
        <v/>
      </c>
      <c r="C36" s="507">
        <f>IF(D11="","-",+C35+1)</f>
        <v>2038</v>
      </c>
      <c r="D36" s="523">
        <f>IF(F35+SUM(E$17:E35)=D$10,F35,D$10-SUM(E$17:E35))</f>
        <v>2180701.1489925263</v>
      </c>
      <c r="E36" s="522">
        <f>IF(+I14&lt;F35,I14,D36)</f>
        <v>90991.952380952382</v>
      </c>
      <c r="F36" s="523">
        <f t="shared" si="4"/>
        <v>2089709.1966115739</v>
      </c>
      <c r="G36" s="524">
        <f t="shared" si="5"/>
        <v>319070.24250260874</v>
      </c>
      <c r="H36" s="491">
        <f t="shared" si="6"/>
        <v>319070.24250260874</v>
      </c>
      <c r="I36" s="511">
        <f t="shared" si="0"/>
        <v>0</v>
      </c>
      <c r="J36" s="511"/>
      <c r="K36" s="525"/>
      <c r="L36" s="514">
        <f t="shared" si="7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8"/>
        <v/>
      </c>
      <c r="C37" s="507">
        <f>IF(D11="","-",+C36+1)</f>
        <v>2039</v>
      </c>
      <c r="D37" s="523">
        <f>IF(F36+SUM(E$17:E36)=D$10,F36,D$10-SUM(E$17:E36))</f>
        <v>2089709.1966115739</v>
      </c>
      <c r="E37" s="522">
        <f>IF(+I14&lt;F36,I14,D37)</f>
        <v>90991.952380952382</v>
      </c>
      <c r="F37" s="523">
        <f t="shared" si="4"/>
        <v>1998717.2442306215</v>
      </c>
      <c r="G37" s="524">
        <f t="shared" si="5"/>
        <v>309350.66652076336</v>
      </c>
      <c r="H37" s="491">
        <f t="shared" si="6"/>
        <v>309350.66652076336</v>
      </c>
      <c r="I37" s="511">
        <f t="shared" si="0"/>
        <v>0</v>
      </c>
      <c r="J37" s="511"/>
      <c r="K37" s="525"/>
      <c r="L37" s="514">
        <f t="shared" si="7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8"/>
        <v/>
      </c>
      <c r="C38" s="507">
        <f>IF(D11="","-",+C37+1)</f>
        <v>2040</v>
      </c>
      <c r="D38" s="523">
        <f>IF(F37+SUM(E$17:E37)=D$10,F37,D$10-SUM(E$17:E37))</f>
        <v>1998717.2442306215</v>
      </c>
      <c r="E38" s="522">
        <f>IF(+I14&lt;F37,I14,D38)</f>
        <v>90991.952380952382</v>
      </c>
      <c r="F38" s="523">
        <f t="shared" si="4"/>
        <v>1907725.2918496691</v>
      </c>
      <c r="G38" s="524">
        <f t="shared" si="5"/>
        <v>299631.09053891804</v>
      </c>
      <c r="H38" s="491">
        <f t="shared" si="6"/>
        <v>299631.09053891804</v>
      </c>
      <c r="I38" s="511">
        <f t="shared" si="0"/>
        <v>0</v>
      </c>
      <c r="J38" s="511"/>
      <c r="K38" s="525"/>
      <c r="L38" s="514">
        <f t="shared" si="7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8"/>
        <v/>
      </c>
      <c r="C39" s="507">
        <f>IF(D11="","-",+C38+1)</f>
        <v>2041</v>
      </c>
      <c r="D39" s="523">
        <f>IF(F38+SUM(E$17:E38)=D$10,F38,D$10-SUM(E$17:E38))</f>
        <v>1907725.2918496691</v>
      </c>
      <c r="E39" s="522">
        <f>IF(+I14&lt;F38,I14,D39)</f>
        <v>90991.952380952382</v>
      </c>
      <c r="F39" s="523">
        <f t="shared" si="4"/>
        <v>1816733.3394687166</v>
      </c>
      <c r="G39" s="524">
        <f t="shared" si="5"/>
        <v>289911.51455707266</v>
      </c>
      <c r="H39" s="491">
        <f t="shared" si="6"/>
        <v>289911.51455707266</v>
      </c>
      <c r="I39" s="511">
        <f t="shared" si="0"/>
        <v>0</v>
      </c>
      <c r="J39" s="511"/>
      <c r="K39" s="525"/>
      <c r="L39" s="514">
        <f t="shared" si="7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8"/>
        <v/>
      </c>
      <c r="C40" s="507">
        <f>IF(D11="","-",+C39+1)</f>
        <v>2042</v>
      </c>
      <c r="D40" s="523">
        <f>IF(F39+SUM(E$17:E39)=D$10,F39,D$10-SUM(E$17:E39))</f>
        <v>1816733.3394687166</v>
      </c>
      <c r="E40" s="522">
        <f>IF(+I14&lt;F39,I14,D40)</f>
        <v>90991.952380952382</v>
      </c>
      <c r="F40" s="523">
        <f t="shared" si="4"/>
        <v>1725741.3870877642</v>
      </c>
      <c r="G40" s="524">
        <f t="shared" si="5"/>
        <v>280191.93857522728</v>
      </c>
      <c r="H40" s="491">
        <f t="shared" si="6"/>
        <v>280191.93857522728</v>
      </c>
      <c r="I40" s="511">
        <f t="shared" si="0"/>
        <v>0</v>
      </c>
      <c r="J40" s="511"/>
      <c r="K40" s="525"/>
      <c r="L40" s="514">
        <f t="shared" si="7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8"/>
        <v/>
      </c>
      <c r="C41" s="507">
        <f>IF(D11="","-",+C40+1)</f>
        <v>2043</v>
      </c>
      <c r="D41" s="523">
        <f>IF(F40+SUM(E$17:E40)=D$10,F40,D$10-SUM(E$17:E40))</f>
        <v>1725741.3870877642</v>
      </c>
      <c r="E41" s="522">
        <f>IF(+I14&lt;F40,I14,D41)</f>
        <v>90991.952380952382</v>
      </c>
      <c r="F41" s="523">
        <f t="shared" si="4"/>
        <v>1634749.4347068118</v>
      </c>
      <c r="G41" s="524">
        <f t="shared" si="5"/>
        <v>270472.3625933819</v>
      </c>
      <c r="H41" s="491">
        <f t="shared" si="6"/>
        <v>270472.3625933819</v>
      </c>
      <c r="I41" s="511">
        <f t="shared" si="0"/>
        <v>0</v>
      </c>
      <c r="J41" s="511"/>
      <c r="K41" s="525"/>
      <c r="L41" s="514">
        <f t="shared" si="7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8"/>
        <v/>
      </c>
      <c r="C42" s="507">
        <f>IF(D11="","-",+C41+1)</f>
        <v>2044</v>
      </c>
      <c r="D42" s="523">
        <f>IF(F41+SUM(E$17:E41)=D$10,F41,D$10-SUM(E$17:E41))</f>
        <v>1634749.4347068118</v>
      </c>
      <c r="E42" s="522">
        <f>IF(+I14&lt;F41,I14,D42)</f>
        <v>90991.952380952382</v>
      </c>
      <c r="F42" s="523">
        <f t="shared" si="4"/>
        <v>1543757.4823258594</v>
      </c>
      <c r="G42" s="524">
        <f t="shared" si="5"/>
        <v>260752.78661153652</v>
      </c>
      <c r="H42" s="491">
        <f t="shared" si="6"/>
        <v>260752.78661153652</v>
      </c>
      <c r="I42" s="511">
        <f t="shared" si="0"/>
        <v>0</v>
      </c>
      <c r="J42" s="511"/>
      <c r="K42" s="525"/>
      <c r="L42" s="514">
        <f t="shared" si="7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8"/>
        <v/>
      </c>
      <c r="C43" s="507">
        <f>IF(D11="","-",+C42+1)</f>
        <v>2045</v>
      </c>
      <c r="D43" s="523">
        <f>IF(F42+SUM(E$17:E42)=D$10,F42,D$10-SUM(E$17:E42))</f>
        <v>1543757.4823258594</v>
      </c>
      <c r="E43" s="522">
        <f>IF(+I14&lt;F42,I14,D43)</f>
        <v>90991.952380952382</v>
      </c>
      <c r="F43" s="523">
        <f t="shared" si="4"/>
        <v>1452765.5299449069</v>
      </c>
      <c r="G43" s="524">
        <f t="shared" si="5"/>
        <v>251033.21062969114</v>
      </c>
      <c r="H43" s="491">
        <f t="shared" si="6"/>
        <v>251033.21062969114</v>
      </c>
      <c r="I43" s="511">
        <f t="shared" si="0"/>
        <v>0</v>
      </c>
      <c r="J43" s="511"/>
      <c r="K43" s="525"/>
      <c r="L43" s="514">
        <f t="shared" si="7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8"/>
        <v/>
      </c>
      <c r="C44" s="507">
        <f>IF(D11="","-",+C43+1)</f>
        <v>2046</v>
      </c>
      <c r="D44" s="523">
        <f>IF(F43+SUM(E$17:E43)=D$10,F43,D$10-SUM(E$17:E43))</f>
        <v>1452765.5299449069</v>
      </c>
      <c r="E44" s="522">
        <f>IF(+I14&lt;F43,I14,D44)</f>
        <v>90991.952380952382</v>
      </c>
      <c r="F44" s="523">
        <f t="shared" si="4"/>
        <v>1361773.5775639545</v>
      </c>
      <c r="G44" s="524">
        <f t="shared" si="5"/>
        <v>241313.63464784576</v>
      </c>
      <c r="H44" s="491">
        <f t="shared" si="6"/>
        <v>241313.63464784576</v>
      </c>
      <c r="I44" s="511">
        <f t="shared" si="0"/>
        <v>0</v>
      </c>
      <c r="J44" s="511"/>
      <c r="K44" s="525"/>
      <c r="L44" s="514">
        <f t="shared" si="7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8"/>
        <v/>
      </c>
      <c r="C45" s="507">
        <f>IF(D11="","-",+C44+1)</f>
        <v>2047</v>
      </c>
      <c r="D45" s="523">
        <f>IF(F44+SUM(E$17:E44)=D$10,F44,D$10-SUM(E$17:E44))</f>
        <v>1361773.5775639545</v>
      </c>
      <c r="E45" s="522">
        <f>IF(+I14&lt;F44,I14,D45)</f>
        <v>90991.952380952382</v>
      </c>
      <c r="F45" s="523">
        <f t="shared" si="4"/>
        <v>1270781.6251830021</v>
      </c>
      <c r="G45" s="524">
        <f t="shared" si="5"/>
        <v>231594.05866600038</v>
      </c>
      <c r="H45" s="491">
        <f t="shared" si="6"/>
        <v>231594.05866600038</v>
      </c>
      <c r="I45" s="511">
        <f t="shared" si="0"/>
        <v>0</v>
      </c>
      <c r="J45" s="511"/>
      <c r="K45" s="525"/>
      <c r="L45" s="514">
        <f t="shared" si="7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8"/>
        <v/>
      </c>
      <c r="C46" s="507">
        <f>IF(D11="","-",+C45+1)</f>
        <v>2048</v>
      </c>
      <c r="D46" s="523">
        <f>IF(F45+SUM(E$17:E45)=D$10,F45,D$10-SUM(E$17:E45))</f>
        <v>1270781.6251830021</v>
      </c>
      <c r="E46" s="522">
        <f>IF(+I14&lt;F45,I14,D46)</f>
        <v>90991.952380952382</v>
      </c>
      <c r="F46" s="523">
        <f t="shared" si="4"/>
        <v>1179789.6728020497</v>
      </c>
      <c r="G46" s="524">
        <f t="shared" si="5"/>
        <v>221874.48268415502</v>
      </c>
      <c r="H46" s="491">
        <f t="shared" si="6"/>
        <v>221874.48268415502</v>
      </c>
      <c r="I46" s="511">
        <f t="shared" si="0"/>
        <v>0</v>
      </c>
      <c r="J46" s="511"/>
      <c r="K46" s="525"/>
      <c r="L46" s="514">
        <f t="shared" si="7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8"/>
        <v/>
      </c>
      <c r="C47" s="507">
        <f>IF(D11="","-",+C46+1)</f>
        <v>2049</v>
      </c>
      <c r="D47" s="523">
        <f>IF(F46+SUM(E$17:E46)=D$10,F46,D$10-SUM(E$17:E46))</f>
        <v>1179789.6728020497</v>
      </c>
      <c r="E47" s="522">
        <f>IF(+I14&lt;F46,I14,D47)</f>
        <v>90991.952380952382</v>
      </c>
      <c r="F47" s="523">
        <f t="shared" si="4"/>
        <v>1088797.7204210972</v>
      </c>
      <c r="G47" s="524">
        <f t="shared" si="5"/>
        <v>212154.90670230964</v>
      </c>
      <c r="H47" s="491">
        <f t="shared" si="6"/>
        <v>212154.90670230964</v>
      </c>
      <c r="I47" s="511">
        <f t="shared" si="0"/>
        <v>0</v>
      </c>
      <c r="J47" s="511"/>
      <c r="K47" s="525"/>
      <c r="L47" s="514">
        <f t="shared" si="7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8"/>
        <v/>
      </c>
      <c r="C48" s="507">
        <f>IF(D11="","-",+C47+1)</f>
        <v>2050</v>
      </c>
      <c r="D48" s="523">
        <f>IF(F47+SUM(E$17:E47)=D$10,F47,D$10-SUM(E$17:E47))</f>
        <v>1088797.7204210972</v>
      </c>
      <c r="E48" s="522">
        <f>IF(+I14&lt;F47,I14,D48)</f>
        <v>90991.952380952382</v>
      </c>
      <c r="F48" s="523">
        <f t="shared" si="4"/>
        <v>997805.76804014482</v>
      </c>
      <c r="G48" s="524">
        <f t="shared" si="5"/>
        <v>202435.33072046426</v>
      </c>
      <c r="H48" s="491">
        <f t="shared" si="6"/>
        <v>202435.33072046426</v>
      </c>
      <c r="I48" s="511">
        <f t="shared" si="0"/>
        <v>0</v>
      </c>
      <c r="J48" s="511"/>
      <c r="K48" s="525"/>
      <c r="L48" s="514">
        <f t="shared" si="7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8"/>
        <v/>
      </c>
      <c r="C49" s="507">
        <f>IF(D11="","-",+C48+1)</f>
        <v>2051</v>
      </c>
      <c r="D49" s="523">
        <f>IF(F48+SUM(E$17:E48)=D$10,F48,D$10-SUM(E$17:E48))</f>
        <v>997805.76804014482</v>
      </c>
      <c r="E49" s="522">
        <f>IF(+I14&lt;F48,I14,D49)</f>
        <v>90991.952380952382</v>
      </c>
      <c r="F49" s="523">
        <f t="shared" si="4"/>
        <v>906813.81565919239</v>
      </c>
      <c r="G49" s="524">
        <f t="shared" si="5"/>
        <v>192715.75473861891</v>
      </c>
      <c r="H49" s="491">
        <f t="shared" si="6"/>
        <v>192715.75473861891</v>
      </c>
      <c r="I49" s="511">
        <f t="shared" si="0"/>
        <v>0</v>
      </c>
      <c r="J49" s="511"/>
      <c r="K49" s="525"/>
      <c r="L49" s="514">
        <f t="shared" si="7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8"/>
        <v/>
      </c>
      <c r="C50" s="507">
        <f>IF(D11="","-",+C49+1)</f>
        <v>2052</v>
      </c>
      <c r="D50" s="523">
        <f>IF(F49+SUM(E$17:E49)=D$10,F49,D$10-SUM(E$17:E49))</f>
        <v>906813.81565919239</v>
      </c>
      <c r="E50" s="522">
        <f>IF(+I14&lt;F49,I14,D50)</f>
        <v>90991.952380952382</v>
      </c>
      <c r="F50" s="523">
        <f t="shared" si="4"/>
        <v>815821.86327823997</v>
      </c>
      <c r="G50" s="524">
        <f t="shared" si="5"/>
        <v>182996.17875677353</v>
      </c>
      <c r="H50" s="491">
        <f t="shared" si="6"/>
        <v>182996.17875677353</v>
      </c>
      <c r="I50" s="511">
        <f t="shared" si="0"/>
        <v>0</v>
      </c>
      <c r="J50" s="511"/>
      <c r="K50" s="525"/>
      <c r="L50" s="514">
        <f t="shared" si="7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8"/>
        <v/>
      </c>
      <c r="C51" s="507">
        <f>IF(D11="","-",+C50+1)</f>
        <v>2053</v>
      </c>
      <c r="D51" s="523">
        <f>IF(F50+SUM(E$17:E50)=D$10,F50,D$10-SUM(E$17:E50))</f>
        <v>815821.86327823997</v>
      </c>
      <c r="E51" s="522">
        <f>IF(+I14&lt;F50,I14,D51)</f>
        <v>90991.952380952382</v>
      </c>
      <c r="F51" s="523">
        <f t="shared" si="4"/>
        <v>724829.91089728754</v>
      </c>
      <c r="G51" s="524">
        <f t="shared" si="5"/>
        <v>173276.60277492815</v>
      </c>
      <c r="H51" s="491">
        <f t="shared" si="6"/>
        <v>173276.60277492815</v>
      </c>
      <c r="I51" s="511">
        <f t="shared" si="0"/>
        <v>0</v>
      </c>
      <c r="J51" s="511"/>
      <c r="K51" s="525"/>
      <c r="L51" s="514">
        <f t="shared" si="7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8"/>
        <v/>
      </c>
      <c r="C52" s="507">
        <f>IF(D11="","-",+C51+1)</f>
        <v>2054</v>
      </c>
      <c r="D52" s="523">
        <f>IF(F51+SUM(E$17:E51)=D$10,F51,D$10-SUM(E$17:E51))</f>
        <v>724829.91089728754</v>
      </c>
      <c r="E52" s="522">
        <f>IF(+I14&lt;F51,I14,D52)</f>
        <v>90991.952380952382</v>
      </c>
      <c r="F52" s="523">
        <f t="shared" si="4"/>
        <v>633837.95851633511</v>
      </c>
      <c r="G52" s="524">
        <f t="shared" si="5"/>
        <v>163557.02679308277</v>
      </c>
      <c r="H52" s="491">
        <f t="shared" si="6"/>
        <v>163557.02679308277</v>
      </c>
      <c r="I52" s="511">
        <f t="shared" si="0"/>
        <v>0</v>
      </c>
      <c r="J52" s="511"/>
      <c r="K52" s="525"/>
      <c r="L52" s="514">
        <f t="shared" si="7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8"/>
        <v/>
      </c>
      <c r="C53" s="507">
        <f>IF(D11="","-",+C52+1)</f>
        <v>2055</v>
      </c>
      <c r="D53" s="523">
        <f>IF(F52+SUM(E$17:E52)=D$10,F52,D$10-SUM(E$17:E52))</f>
        <v>633837.95851633511</v>
      </c>
      <c r="E53" s="522">
        <f>IF(+I14&lt;F52,I14,D53)</f>
        <v>90991.952380952382</v>
      </c>
      <c r="F53" s="523">
        <f t="shared" si="4"/>
        <v>542846.00613538269</v>
      </c>
      <c r="G53" s="524">
        <f t="shared" si="5"/>
        <v>153837.45081123739</v>
      </c>
      <c r="H53" s="491">
        <f t="shared" si="6"/>
        <v>153837.45081123739</v>
      </c>
      <c r="I53" s="511">
        <f t="shared" si="0"/>
        <v>0</v>
      </c>
      <c r="J53" s="511"/>
      <c r="K53" s="525"/>
      <c r="L53" s="514">
        <f t="shared" si="7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8"/>
        <v/>
      </c>
      <c r="C54" s="507">
        <f>IF(D11="","-",+C53+1)</f>
        <v>2056</v>
      </c>
      <c r="D54" s="523">
        <f>IF(F53+SUM(E$17:E53)=D$10,F53,D$10-SUM(E$17:E53))</f>
        <v>542846.00613538269</v>
      </c>
      <c r="E54" s="522">
        <f>IF(+I14&lt;F53,I14,D54)</f>
        <v>90991.952380952382</v>
      </c>
      <c r="F54" s="523">
        <f t="shared" si="4"/>
        <v>451854.05375443032</v>
      </c>
      <c r="G54" s="524">
        <f t="shared" si="5"/>
        <v>144117.87482939201</v>
      </c>
      <c r="H54" s="491">
        <f t="shared" si="6"/>
        <v>144117.87482939201</v>
      </c>
      <c r="I54" s="511">
        <f t="shared" si="0"/>
        <v>0</v>
      </c>
      <c r="J54" s="511"/>
      <c r="K54" s="525"/>
      <c r="L54" s="514">
        <f t="shared" si="7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8"/>
        <v/>
      </c>
      <c r="C55" s="507">
        <f>IF(D11="","-",+C54+1)</f>
        <v>2057</v>
      </c>
      <c r="D55" s="523">
        <f>IF(F54+SUM(E$17:E54)=D$10,F54,D$10-SUM(E$17:E54))</f>
        <v>451854.05375443032</v>
      </c>
      <c r="E55" s="522">
        <f>IF(+I14&lt;F54,I14,D55)</f>
        <v>90991.952380952382</v>
      </c>
      <c r="F55" s="523">
        <f t="shared" si="4"/>
        <v>360862.10137347796</v>
      </c>
      <c r="G55" s="524">
        <f t="shared" si="5"/>
        <v>134398.29884754666</v>
      </c>
      <c r="H55" s="491">
        <f t="shared" si="6"/>
        <v>134398.29884754666</v>
      </c>
      <c r="I55" s="511">
        <f t="shared" si="0"/>
        <v>0</v>
      </c>
      <c r="J55" s="511"/>
      <c r="K55" s="525"/>
      <c r="L55" s="514">
        <f t="shared" si="7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8"/>
        <v/>
      </c>
      <c r="C56" s="507">
        <f>IF(D11="","-",+C55+1)</f>
        <v>2058</v>
      </c>
      <c r="D56" s="523">
        <f>IF(F55+SUM(E$17:E55)=D$10,F55,D$10-SUM(E$17:E55))</f>
        <v>360862.10137347796</v>
      </c>
      <c r="E56" s="522">
        <f>IF(+I14&lt;F55,I14,D56)</f>
        <v>90991.952380952382</v>
      </c>
      <c r="F56" s="523">
        <f t="shared" si="4"/>
        <v>269870.14899252559</v>
      </c>
      <c r="G56" s="524">
        <f t="shared" si="5"/>
        <v>124678.72286570127</v>
      </c>
      <c r="H56" s="491">
        <f t="shared" si="6"/>
        <v>124678.72286570127</v>
      </c>
      <c r="I56" s="511">
        <f t="shared" si="0"/>
        <v>0</v>
      </c>
      <c r="J56" s="511"/>
      <c r="K56" s="525"/>
      <c r="L56" s="514">
        <f t="shared" si="7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8"/>
        <v/>
      </c>
      <c r="C57" s="507">
        <f>IF(D11="","-",+C56+1)</f>
        <v>2059</v>
      </c>
      <c r="D57" s="523">
        <f>IF(F56+SUM(E$17:E56)=D$10,F56,D$10-SUM(E$17:E56))</f>
        <v>269870.14899252559</v>
      </c>
      <c r="E57" s="522">
        <f>IF(+I14&lt;F56,I14,D57)</f>
        <v>90991.952380952382</v>
      </c>
      <c r="F57" s="523">
        <f t="shared" si="4"/>
        <v>178878.19661157322</v>
      </c>
      <c r="G57" s="524">
        <f t="shared" si="5"/>
        <v>114959.14688385592</v>
      </c>
      <c r="H57" s="491">
        <f t="shared" si="6"/>
        <v>114959.14688385592</v>
      </c>
      <c r="I57" s="511">
        <f t="shared" si="0"/>
        <v>0</v>
      </c>
      <c r="J57" s="511"/>
      <c r="K57" s="525"/>
      <c r="L57" s="514">
        <f t="shared" si="7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8"/>
        <v/>
      </c>
      <c r="C58" s="507">
        <f>IF(D11="","-",+C57+1)</f>
        <v>2060</v>
      </c>
      <c r="D58" s="523">
        <f>IF(F57+SUM(E$17:E57)=D$10,F57,D$10-SUM(E$17:E57))</f>
        <v>178878.19661157322</v>
      </c>
      <c r="E58" s="522">
        <f>IF(+I14&lt;F57,I14,D58)</f>
        <v>90991.952380952382</v>
      </c>
      <c r="F58" s="523">
        <f t="shared" si="4"/>
        <v>87886.24423062084</v>
      </c>
      <c r="G58" s="524">
        <f t="shared" si="5"/>
        <v>105239.57090201054</v>
      </c>
      <c r="H58" s="491">
        <f t="shared" si="6"/>
        <v>105239.57090201054</v>
      </c>
      <c r="I58" s="511">
        <f t="shared" si="0"/>
        <v>0</v>
      </c>
      <c r="J58" s="511"/>
      <c r="K58" s="525"/>
      <c r="L58" s="514">
        <f t="shared" si="7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8"/>
        <v/>
      </c>
      <c r="C59" s="507">
        <f>IF(D11="","-",+C58+1)</f>
        <v>2061</v>
      </c>
      <c r="D59" s="523">
        <f>IF(F58+SUM(E$17:E58)=D$10,F58,D$10-SUM(E$17:E58))</f>
        <v>87886.24423062084</v>
      </c>
      <c r="E59" s="522">
        <f>IF(+I14&lt;F58,I14,D59)</f>
        <v>87886.24423062084</v>
      </c>
      <c r="F59" s="523">
        <f t="shared" si="4"/>
        <v>0</v>
      </c>
      <c r="G59" s="524">
        <f t="shared" si="5"/>
        <v>92580.159495688582</v>
      </c>
      <c r="H59" s="491">
        <f t="shared" si="6"/>
        <v>92580.159495688582</v>
      </c>
      <c r="I59" s="511">
        <f t="shared" si="0"/>
        <v>0</v>
      </c>
      <c r="J59" s="511"/>
      <c r="K59" s="525"/>
      <c r="L59" s="514">
        <f t="shared" si="7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8"/>
        <v/>
      </c>
      <c r="C60" s="507">
        <f>IF(D11="","-",+C59+1)</f>
        <v>2062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4"/>
        <v>0</v>
      </c>
      <c r="G60" s="524">
        <f t="shared" si="5"/>
        <v>0</v>
      </c>
      <c r="H60" s="491">
        <f t="shared" si="6"/>
        <v>0</v>
      </c>
      <c r="I60" s="511">
        <f t="shared" si="0"/>
        <v>0</v>
      </c>
      <c r="J60" s="511"/>
      <c r="K60" s="525"/>
      <c r="L60" s="514">
        <f t="shared" si="7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8"/>
        <v/>
      </c>
      <c r="C61" s="507">
        <f>IF(D11="","-",+C60+1)</f>
        <v>2063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4"/>
        <v>0</v>
      </c>
      <c r="G61" s="526">
        <f t="shared" si="5"/>
        <v>0</v>
      </c>
      <c r="H61" s="491">
        <f t="shared" si="6"/>
        <v>0</v>
      </c>
      <c r="I61" s="511">
        <f t="shared" si="0"/>
        <v>0</v>
      </c>
      <c r="J61" s="511"/>
      <c r="K61" s="525"/>
      <c r="L61" s="514">
        <f t="shared" si="7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8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4"/>
        <v>0</v>
      </c>
      <c r="G62" s="526">
        <f t="shared" si="5"/>
        <v>0</v>
      </c>
      <c r="H62" s="491">
        <f t="shared" si="6"/>
        <v>0</v>
      </c>
      <c r="I62" s="511">
        <f t="shared" si="0"/>
        <v>0</v>
      </c>
      <c r="J62" s="511"/>
      <c r="K62" s="525"/>
      <c r="L62" s="514">
        <f t="shared" si="7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8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4"/>
        <v>0</v>
      </c>
      <c r="G63" s="526">
        <f t="shared" si="5"/>
        <v>0</v>
      </c>
      <c r="H63" s="491">
        <f t="shared" si="6"/>
        <v>0</v>
      </c>
      <c r="I63" s="511">
        <f t="shared" si="0"/>
        <v>0</v>
      </c>
      <c r="J63" s="511"/>
      <c r="K63" s="525"/>
      <c r="L63" s="514">
        <f t="shared" si="7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8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4"/>
        <v>0</v>
      </c>
      <c r="G64" s="526">
        <f t="shared" si="5"/>
        <v>0</v>
      </c>
      <c r="H64" s="491">
        <f t="shared" si="6"/>
        <v>0</v>
      </c>
      <c r="I64" s="511">
        <f t="shared" si="0"/>
        <v>0</v>
      </c>
      <c r="J64" s="511"/>
      <c r="K64" s="525"/>
      <c r="L64" s="514">
        <f t="shared" si="7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8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4"/>
        <v>0</v>
      </c>
      <c r="G65" s="526">
        <f t="shared" si="5"/>
        <v>0</v>
      </c>
      <c r="H65" s="491">
        <f t="shared" si="6"/>
        <v>0</v>
      </c>
      <c r="I65" s="511">
        <f t="shared" si="0"/>
        <v>0</v>
      </c>
      <c r="J65" s="511"/>
      <c r="K65" s="525"/>
      <c r="L65" s="514">
        <f t="shared" si="7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8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4"/>
        <v>0</v>
      </c>
      <c r="G66" s="526">
        <f t="shared" si="5"/>
        <v>0</v>
      </c>
      <c r="H66" s="491">
        <f t="shared" si="6"/>
        <v>0</v>
      </c>
      <c r="I66" s="511">
        <f t="shared" si="0"/>
        <v>0</v>
      </c>
      <c r="J66" s="511"/>
      <c r="K66" s="525"/>
      <c r="L66" s="514">
        <f t="shared" si="7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8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4"/>
        <v>0</v>
      </c>
      <c r="G67" s="526">
        <f t="shared" si="5"/>
        <v>0</v>
      </c>
      <c r="H67" s="491">
        <f t="shared" si="6"/>
        <v>0</v>
      </c>
      <c r="I67" s="511">
        <f t="shared" si="0"/>
        <v>0</v>
      </c>
      <c r="J67" s="511"/>
      <c r="K67" s="525"/>
      <c r="L67" s="514">
        <f t="shared" si="7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8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4"/>
        <v>0</v>
      </c>
      <c r="G68" s="526">
        <f t="shared" si="5"/>
        <v>0</v>
      </c>
      <c r="H68" s="491">
        <f t="shared" si="6"/>
        <v>0</v>
      </c>
      <c r="I68" s="511">
        <f t="shared" si="0"/>
        <v>0</v>
      </c>
      <c r="J68" s="511"/>
      <c r="K68" s="525"/>
      <c r="L68" s="514">
        <f t="shared" si="7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8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4"/>
        <v>0</v>
      </c>
      <c r="G69" s="526">
        <f t="shared" si="5"/>
        <v>0</v>
      </c>
      <c r="H69" s="491">
        <f t="shared" si="6"/>
        <v>0</v>
      </c>
      <c r="I69" s="511">
        <f t="shared" si="0"/>
        <v>0</v>
      </c>
      <c r="J69" s="511"/>
      <c r="K69" s="525"/>
      <c r="L69" s="514">
        <f t="shared" si="7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8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4"/>
        <v>0</v>
      </c>
      <c r="G70" s="526">
        <f t="shared" si="5"/>
        <v>0</v>
      </c>
      <c r="H70" s="491">
        <f t="shared" si="6"/>
        <v>0</v>
      </c>
      <c r="I70" s="511">
        <f t="shared" si="0"/>
        <v>0</v>
      </c>
      <c r="J70" s="511"/>
      <c r="K70" s="525"/>
      <c r="L70" s="514">
        <f t="shared" si="7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8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4"/>
        <v>0</v>
      </c>
      <c r="G71" s="526">
        <f t="shared" si="5"/>
        <v>0</v>
      </c>
      <c r="H71" s="491">
        <f t="shared" si="6"/>
        <v>0</v>
      </c>
      <c r="I71" s="511">
        <f t="shared" si="0"/>
        <v>0</v>
      </c>
      <c r="J71" s="511"/>
      <c r="K71" s="525"/>
      <c r="L71" s="514">
        <f t="shared" si="7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8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4"/>
        <v>0</v>
      </c>
      <c r="G72" s="530">
        <f t="shared" si="5"/>
        <v>0</v>
      </c>
      <c r="H72" s="471">
        <f t="shared" si="6"/>
        <v>0</v>
      </c>
      <c r="I72" s="531">
        <f t="shared" si="0"/>
        <v>0</v>
      </c>
      <c r="J72" s="511"/>
      <c r="K72" s="532"/>
      <c r="L72" s="533">
        <f t="shared" si="7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3821662</v>
      </c>
      <c r="F73" s="375"/>
      <c r="G73" s="375">
        <f>SUM(G17:G72)</f>
        <v>12559568.227101166</v>
      </c>
      <c r="H73" s="375">
        <f>SUM(H17:H72)</f>
        <v>12559568.227101166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73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484092.97891210701</v>
      </c>
      <c r="N87" s="546">
        <f>IF(J92&lt;D11,0,VLOOKUP(J92,C17:O72,11))</f>
        <v>484092.97891210701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496207.33322313288</v>
      </c>
      <c r="N88" s="550">
        <f>IF(J92&lt;D11,0,VLOOKUP(J92,C99:P154,7))</f>
        <v>496207.33322313288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Siloam Springs - Siloam Springs City 161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12114.354311025876</v>
      </c>
      <c r="N89" s="555">
        <f>+N88-N87</f>
        <v>12114.354311025876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TP2017010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3813966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12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90808.71428571429</v>
      </c>
      <c r="K96" s="375"/>
      <c r="L96" s="375"/>
      <c r="M96" s="375"/>
      <c r="N96" s="375"/>
      <c r="O96" s="375"/>
      <c r="P96" s="272"/>
    </row>
    <row r="97" spans="1:16" ht="39">
      <c r="A97" s="660"/>
      <c r="B97" s="660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2019</v>
      </c>
      <c r="D99" s="629">
        <v>0</v>
      </c>
      <c r="E99" s="630">
        <v>0</v>
      </c>
      <c r="F99" s="631">
        <v>3813966</v>
      </c>
      <c r="G99" s="631">
        <v>1906983</v>
      </c>
      <c r="H99" s="633">
        <v>204124.50256642039</v>
      </c>
      <c r="I99" s="634">
        <v>204124.50256642039</v>
      </c>
      <c r="J99" s="514">
        <f t="shared" ref="J99:J130" si="9">+I99-H99</f>
        <v>0</v>
      </c>
      <c r="K99" s="514"/>
      <c r="L99" s="512">
        <f>+H99</f>
        <v>204124.50256642039</v>
      </c>
      <c r="M99" s="513">
        <f t="shared" ref="M99" si="10">IF(L99&lt;&gt;0,+H99-L99,0)</f>
        <v>0</v>
      </c>
      <c r="N99" s="512">
        <f>+I99</f>
        <v>204124.50256642039</v>
      </c>
      <c r="O99" s="513">
        <f t="shared" ref="O99:O130" si="11">IF(N99&lt;&gt;0,+I99-N99,0)</f>
        <v>0</v>
      </c>
      <c r="P99" s="513">
        <f t="shared" ref="P99:P130" si="12">+O99-M99</f>
        <v>0</v>
      </c>
    </row>
    <row r="100" spans="1:16" ht="12.5">
      <c r="B100" s="195" t="str">
        <f>IF(D100=F99,"","IU")</f>
        <v/>
      </c>
      <c r="C100" s="507">
        <f>IF(D93="","-",+C99+1)</f>
        <v>2020</v>
      </c>
      <c r="D100" s="374">
        <f>IF(F99+SUM(E$99:E99)=D$92,F99,D$92-SUM(E$99:E99))</f>
        <v>3813966</v>
      </c>
      <c r="E100" s="522">
        <f>IF(+J96&lt;F99,J96,D100)</f>
        <v>90808.71428571429</v>
      </c>
      <c r="F100" s="523">
        <f t="shared" ref="F100:F154" si="13">+D100-E100</f>
        <v>3723157.2857142859</v>
      </c>
      <c r="G100" s="523">
        <f t="shared" ref="G100:G154" si="14">+(F100+D100)/2</f>
        <v>3768561.6428571427</v>
      </c>
      <c r="H100" s="526">
        <f t="shared" ref="H100:H154" si="15">+J$94*G100+E100</f>
        <v>496207.33322313288</v>
      </c>
      <c r="I100" s="577">
        <f t="shared" ref="I100:I154" si="16">+J$95*G100+E100</f>
        <v>496207.33322313288</v>
      </c>
      <c r="J100" s="514">
        <f t="shared" si="9"/>
        <v>0</v>
      </c>
      <c r="K100" s="514"/>
      <c r="L100" s="525"/>
      <c r="M100" s="514">
        <f t="shared" ref="M100:M130" si="17">IF(L100&lt;&gt;0,+H100-L100,0)</f>
        <v>0</v>
      </c>
      <c r="N100" s="525"/>
      <c r="O100" s="514">
        <f t="shared" si="11"/>
        <v>0</v>
      </c>
      <c r="P100" s="514">
        <f t="shared" si="12"/>
        <v>0</v>
      </c>
    </row>
    <row r="101" spans="1:16" ht="12.5">
      <c r="B101" s="195" t="str">
        <f t="shared" ref="B101:B154" si="18">IF(D101=F100,"","IU")</f>
        <v/>
      </c>
      <c r="C101" s="507">
        <f>IF(D93="","-",+C100+1)</f>
        <v>2021</v>
      </c>
      <c r="D101" s="374">
        <f>IF(F100+SUM(E$99:E100)=D$92,F100,D$92-SUM(E$99:E100))</f>
        <v>3723157.2857142859</v>
      </c>
      <c r="E101" s="522">
        <f>IF(+J96&lt;F100,J96,D101)</f>
        <v>90808.71428571429</v>
      </c>
      <c r="F101" s="523">
        <f t="shared" si="13"/>
        <v>3632348.5714285718</v>
      </c>
      <c r="G101" s="523">
        <f t="shared" si="14"/>
        <v>3677752.9285714291</v>
      </c>
      <c r="H101" s="526">
        <f t="shared" si="15"/>
        <v>486438.69180295418</v>
      </c>
      <c r="I101" s="577">
        <f t="shared" si="16"/>
        <v>486438.69180295418</v>
      </c>
      <c r="J101" s="514">
        <f t="shared" si="9"/>
        <v>0</v>
      </c>
      <c r="K101" s="514"/>
      <c r="L101" s="525"/>
      <c r="M101" s="514">
        <f t="shared" si="17"/>
        <v>0</v>
      </c>
      <c r="N101" s="525"/>
      <c r="O101" s="514">
        <f t="shared" si="11"/>
        <v>0</v>
      </c>
      <c r="P101" s="514">
        <f t="shared" si="12"/>
        <v>0</v>
      </c>
    </row>
    <row r="102" spans="1:16" ht="12.5">
      <c r="B102" s="195" t="str">
        <f t="shared" si="18"/>
        <v/>
      </c>
      <c r="C102" s="507">
        <f>IF(D93="","-",+C101+1)</f>
        <v>2022</v>
      </c>
      <c r="D102" s="374">
        <f>IF(F101+SUM(E$99:E101)=D$92,F101,D$92-SUM(E$99:E101))</f>
        <v>3632348.5714285718</v>
      </c>
      <c r="E102" s="522">
        <f>IF(+J96&lt;F101,J96,D102)</f>
        <v>90808.71428571429</v>
      </c>
      <c r="F102" s="523">
        <f t="shared" si="13"/>
        <v>3541539.8571428577</v>
      </c>
      <c r="G102" s="523">
        <f t="shared" si="14"/>
        <v>3586944.2142857146</v>
      </c>
      <c r="H102" s="526">
        <f t="shared" si="15"/>
        <v>476670.05038277537</v>
      </c>
      <c r="I102" s="577">
        <f t="shared" si="16"/>
        <v>476670.05038277537</v>
      </c>
      <c r="J102" s="514">
        <f t="shared" si="9"/>
        <v>0</v>
      </c>
      <c r="K102" s="514"/>
      <c r="L102" s="525"/>
      <c r="M102" s="514">
        <f t="shared" si="17"/>
        <v>0</v>
      </c>
      <c r="N102" s="525"/>
      <c r="O102" s="514">
        <f t="shared" si="11"/>
        <v>0</v>
      </c>
      <c r="P102" s="514">
        <f t="shared" si="12"/>
        <v>0</v>
      </c>
    </row>
    <row r="103" spans="1:16" ht="12.5">
      <c r="B103" s="195" t="str">
        <f t="shared" si="18"/>
        <v/>
      </c>
      <c r="C103" s="507">
        <f>IF(D93="","-",+C102+1)</f>
        <v>2023</v>
      </c>
      <c r="D103" s="374">
        <f>IF(F102+SUM(E$99:E102)=D$92,F102,D$92-SUM(E$99:E102))</f>
        <v>3541539.8571428577</v>
      </c>
      <c r="E103" s="522">
        <f>IF(+J96&lt;F102,J96,D103)</f>
        <v>90808.71428571429</v>
      </c>
      <c r="F103" s="523">
        <f t="shared" si="13"/>
        <v>3450731.1428571437</v>
      </c>
      <c r="G103" s="523">
        <f t="shared" si="14"/>
        <v>3496135.5000000009</v>
      </c>
      <c r="H103" s="526">
        <f t="shared" si="15"/>
        <v>466901.40896259667</v>
      </c>
      <c r="I103" s="577">
        <f t="shared" si="16"/>
        <v>466901.40896259667</v>
      </c>
      <c r="J103" s="514">
        <f t="shared" si="9"/>
        <v>0</v>
      </c>
      <c r="K103" s="514"/>
      <c r="L103" s="525"/>
      <c r="M103" s="514">
        <f t="shared" si="17"/>
        <v>0</v>
      </c>
      <c r="N103" s="525"/>
      <c r="O103" s="514">
        <f t="shared" si="11"/>
        <v>0</v>
      </c>
      <c r="P103" s="514">
        <f t="shared" si="12"/>
        <v>0</v>
      </c>
    </row>
    <row r="104" spans="1:16" ht="12.5">
      <c r="B104" s="195" t="str">
        <f t="shared" si="18"/>
        <v/>
      </c>
      <c r="C104" s="507">
        <f>IF(D93="","-",+C103+1)</f>
        <v>2024</v>
      </c>
      <c r="D104" s="374">
        <f>IF(F103+SUM(E$99:E103)=D$92,F103,D$92-SUM(E$99:E103))</f>
        <v>3450731.1428571437</v>
      </c>
      <c r="E104" s="522">
        <f>IF(+J96&lt;F103,J96,D104)</f>
        <v>90808.71428571429</v>
      </c>
      <c r="F104" s="523">
        <f t="shared" si="13"/>
        <v>3359922.4285714296</v>
      </c>
      <c r="G104" s="523">
        <f t="shared" si="14"/>
        <v>3405326.7857142864</v>
      </c>
      <c r="H104" s="526">
        <f t="shared" si="15"/>
        <v>457132.76754241786</v>
      </c>
      <c r="I104" s="577">
        <f t="shared" si="16"/>
        <v>457132.76754241786</v>
      </c>
      <c r="J104" s="514">
        <f t="shared" si="9"/>
        <v>0</v>
      </c>
      <c r="K104" s="514"/>
      <c r="L104" s="525"/>
      <c r="M104" s="514">
        <f t="shared" si="17"/>
        <v>0</v>
      </c>
      <c r="N104" s="525"/>
      <c r="O104" s="514">
        <f t="shared" si="11"/>
        <v>0</v>
      </c>
      <c r="P104" s="514">
        <f t="shared" si="12"/>
        <v>0</v>
      </c>
    </row>
    <row r="105" spans="1:16" ht="12.5">
      <c r="B105" s="195" t="str">
        <f t="shared" si="18"/>
        <v/>
      </c>
      <c r="C105" s="507">
        <f>IF(D93="","-",+C104+1)</f>
        <v>2025</v>
      </c>
      <c r="D105" s="374">
        <f>IF(F104+SUM(E$99:E104)=D$92,F104,D$92-SUM(E$99:E104))</f>
        <v>3359922.4285714296</v>
      </c>
      <c r="E105" s="522">
        <f>IF(+J96&lt;F104,J96,D105)</f>
        <v>90808.71428571429</v>
      </c>
      <c r="F105" s="523">
        <f t="shared" si="13"/>
        <v>3269113.7142857155</v>
      </c>
      <c r="G105" s="523">
        <f t="shared" si="14"/>
        <v>3314518.0714285728</v>
      </c>
      <c r="H105" s="526">
        <f t="shared" si="15"/>
        <v>447364.12612223916</v>
      </c>
      <c r="I105" s="577">
        <f t="shared" si="16"/>
        <v>447364.12612223916</v>
      </c>
      <c r="J105" s="514">
        <f t="shared" si="9"/>
        <v>0</v>
      </c>
      <c r="K105" s="514"/>
      <c r="L105" s="525"/>
      <c r="M105" s="514">
        <f t="shared" si="17"/>
        <v>0</v>
      </c>
      <c r="N105" s="525"/>
      <c r="O105" s="514">
        <f t="shared" si="11"/>
        <v>0</v>
      </c>
      <c r="P105" s="514">
        <f t="shared" si="12"/>
        <v>0</v>
      </c>
    </row>
    <row r="106" spans="1:16" ht="12.5">
      <c r="B106" s="195" t="str">
        <f t="shared" si="18"/>
        <v/>
      </c>
      <c r="C106" s="507">
        <f>IF(D93="","-",+C105+1)</f>
        <v>2026</v>
      </c>
      <c r="D106" s="374">
        <f>IF(F105+SUM(E$99:E105)=D$92,F105,D$92-SUM(E$99:E105))</f>
        <v>3269113.7142857155</v>
      </c>
      <c r="E106" s="522">
        <f>IF(+J96&lt;F105,J96,D106)</f>
        <v>90808.71428571429</v>
      </c>
      <c r="F106" s="523">
        <f t="shared" si="13"/>
        <v>3178305.0000000014</v>
      </c>
      <c r="G106" s="523">
        <f t="shared" si="14"/>
        <v>3223709.3571428582</v>
      </c>
      <c r="H106" s="526">
        <f t="shared" si="15"/>
        <v>437595.48470206046</v>
      </c>
      <c r="I106" s="577">
        <f t="shared" si="16"/>
        <v>437595.48470206046</v>
      </c>
      <c r="J106" s="514">
        <f t="shared" si="9"/>
        <v>0</v>
      </c>
      <c r="K106" s="514"/>
      <c r="L106" s="525"/>
      <c r="M106" s="514">
        <f t="shared" si="17"/>
        <v>0</v>
      </c>
      <c r="N106" s="525"/>
      <c r="O106" s="514">
        <f t="shared" si="11"/>
        <v>0</v>
      </c>
      <c r="P106" s="514">
        <f t="shared" si="12"/>
        <v>0</v>
      </c>
    </row>
    <row r="107" spans="1:16" ht="12.5">
      <c r="B107" s="195" t="str">
        <f t="shared" si="18"/>
        <v/>
      </c>
      <c r="C107" s="507">
        <f>IF(D93="","-",+C106+1)</f>
        <v>2027</v>
      </c>
      <c r="D107" s="374">
        <f>IF(F106+SUM(E$99:E106)=D$92,F106,D$92-SUM(E$99:E106))</f>
        <v>3178305.0000000014</v>
      </c>
      <c r="E107" s="522">
        <f>IF(+J96&lt;F106,J96,D107)</f>
        <v>90808.71428571429</v>
      </c>
      <c r="F107" s="523">
        <f t="shared" si="13"/>
        <v>3087496.2857142873</v>
      </c>
      <c r="G107" s="523">
        <f t="shared" si="14"/>
        <v>3132900.6428571446</v>
      </c>
      <c r="H107" s="526">
        <f t="shared" si="15"/>
        <v>427826.84328188177</v>
      </c>
      <c r="I107" s="577">
        <f t="shared" si="16"/>
        <v>427826.84328188177</v>
      </c>
      <c r="J107" s="514">
        <f t="shared" si="9"/>
        <v>0</v>
      </c>
      <c r="K107" s="514"/>
      <c r="L107" s="525"/>
      <c r="M107" s="514">
        <f t="shared" si="17"/>
        <v>0</v>
      </c>
      <c r="N107" s="525"/>
      <c r="O107" s="514">
        <f t="shared" si="11"/>
        <v>0</v>
      </c>
      <c r="P107" s="514">
        <f t="shared" si="12"/>
        <v>0</v>
      </c>
    </row>
    <row r="108" spans="1:16" ht="12.5">
      <c r="B108" s="195" t="str">
        <f t="shared" si="18"/>
        <v/>
      </c>
      <c r="C108" s="507">
        <f>IF(D93="","-",+C107+1)</f>
        <v>2028</v>
      </c>
      <c r="D108" s="374">
        <f>IF(F107+SUM(E$99:E107)=D$92,F107,D$92-SUM(E$99:E107))</f>
        <v>3087496.2857142873</v>
      </c>
      <c r="E108" s="522">
        <f>IF(+J96&lt;F107,J96,D108)</f>
        <v>90808.71428571429</v>
      </c>
      <c r="F108" s="523">
        <f t="shared" si="13"/>
        <v>2996687.5714285732</v>
      </c>
      <c r="G108" s="523">
        <f t="shared" si="14"/>
        <v>3042091.92857143</v>
      </c>
      <c r="H108" s="526">
        <f t="shared" si="15"/>
        <v>418058.20186170295</v>
      </c>
      <c r="I108" s="577">
        <f t="shared" si="16"/>
        <v>418058.20186170295</v>
      </c>
      <c r="J108" s="514">
        <f t="shared" si="9"/>
        <v>0</v>
      </c>
      <c r="K108" s="514"/>
      <c r="L108" s="525"/>
      <c r="M108" s="514">
        <f t="shared" si="17"/>
        <v>0</v>
      </c>
      <c r="N108" s="525"/>
      <c r="O108" s="514">
        <f t="shared" si="11"/>
        <v>0</v>
      </c>
      <c r="P108" s="514">
        <f t="shared" si="12"/>
        <v>0</v>
      </c>
    </row>
    <row r="109" spans="1:16" ht="12.5">
      <c r="B109" s="195" t="str">
        <f t="shared" si="18"/>
        <v/>
      </c>
      <c r="C109" s="507">
        <f>IF(D93="","-",+C108+1)</f>
        <v>2029</v>
      </c>
      <c r="D109" s="374">
        <f>IF(F108+SUM(E$99:E108)=D$92,F108,D$92-SUM(E$99:E108))</f>
        <v>2996687.5714285732</v>
      </c>
      <c r="E109" s="522">
        <f>IF(+J96&lt;F108,J96,D109)</f>
        <v>90808.71428571429</v>
      </c>
      <c r="F109" s="523">
        <f t="shared" si="13"/>
        <v>2905878.8571428591</v>
      </c>
      <c r="G109" s="523">
        <f t="shared" si="14"/>
        <v>2951283.2142857164</v>
      </c>
      <c r="H109" s="526">
        <f t="shared" si="15"/>
        <v>408289.56044152426</v>
      </c>
      <c r="I109" s="577">
        <f t="shared" si="16"/>
        <v>408289.56044152426</v>
      </c>
      <c r="J109" s="514">
        <f t="shared" si="9"/>
        <v>0</v>
      </c>
      <c r="K109" s="514"/>
      <c r="L109" s="525"/>
      <c r="M109" s="514">
        <f t="shared" si="17"/>
        <v>0</v>
      </c>
      <c r="N109" s="525"/>
      <c r="O109" s="514">
        <f t="shared" si="11"/>
        <v>0</v>
      </c>
      <c r="P109" s="514">
        <f t="shared" si="12"/>
        <v>0</v>
      </c>
    </row>
    <row r="110" spans="1:16" ht="12.5">
      <c r="B110" s="195" t="str">
        <f t="shared" si="18"/>
        <v/>
      </c>
      <c r="C110" s="507">
        <f>IF(D93="","-",+C109+1)</f>
        <v>2030</v>
      </c>
      <c r="D110" s="374">
        <f>IF(F109+SUM(E$99:E109)=D$92,F109,D$92-SUM(E$99:E109))</f>
        <v>2905878.8571428591</v>
      </c>
      <c r="E110" s="522">
        <f>IF(+J96&lt;F109,J96,D110)</f>
        <v>90808.71428571429</v>
      </c>
      <c r="F110" s="523">
        <f t="shared" si="13"/>
        <v>2815070.1428571451</v>
      </c>
      <c r="G110" s="523">
        <f t="shared" si="14"/>
        <v>2860474.5000000019</v>
      </c>
      <c r="H110" s="526">
        <f t="shared" si="15"/>
        <v>398520.91902134544</v>
      </c>
      <c r="I110" s="577">
        <f t="shared" si="16"/>
        <v>398520.91902134544</v>
      </c>
      <c r="J110" s="514">
        <f t="shared" si="9"/>
        <v>0</v>
      </c>
      <c r="K110" s="514"/>
      <c r="L110" s="525"/>
      <c r="M110" s="514">
        <f t="shared" si="17"/>
        <v>0</v>
      </c>
      <c r="N110" s="525"/>
      <c r="O110" s="514">
        <f t="shared" si="11"/>
        <v>0</v>
      </c>
      <c r="P110" s="514">
        <f t="shared" si="12"/>
        <v>0</v>
      </c>
    </row>
    <row r="111" spans="1:16" ht="12.5">
      <c r="B111" s="195" t="str">
        <f t="shared" si="18"/>
        <v/>
      </c>
      <c r="C111" s="507">
        <f>IF(D93="","-",+C110+1)</f>
        <v>2031</v>
      </c>
      <c r="D111" s="374">
        <f>IF(F110+SUM(E$99:E110)=D$92,F110,D$92-SUM(E$99:E110))</f>
        <v>2815070.1428571451</v>
      </c>
      <c r="E111" s="522">
        <f>IF(+J96&lt;F110,J96,D111)</f>
        <v>90808.71428571429</v>
      </c>
      <c r="F111" s="523">
        <f t="shared" si="13"/>
        <v>2724261.428571431</v>
      </c>
      <c r="G111" s="523">
        <f t="shared" si="14"/>
        <v>2769665.7857142882</v>
      </c>
      <c r="H111" s="526">
        <f t="shared" si="15"/>
        <v>388752.27760116674</v>
      </c>
      <c r="I111" s="577">
        <f t="shared" si="16"/>
        <v>388752.27760116674</v>
      </c>
      <c r="J111" s="514">
        <f t="shared" si="9"/>
        <v>0</v>
      </c>
      <c r="K111" s="514"/>
      <c r="L111" s="525"/>
      <c r="M111" s="514">
        <f t="shared" si="17"/>
        <v>0</v>
      </c>
      <c r="N111" s="525"/>
      <c r="O111" s="514">
        <f t="shared" si="11"/>
        <v>0</v>
      </c>
      <c r="P111" s="514">
        <f t="shared" si="12"/>
        <v>0</v>
      </c>
    </row>
    <row r="112" spans="1:16" ht="12.5">
      <c r="B112" s="195" t="str">
        <f t="shared" si="18"/>
        <v/>
      </c>
      <c r="C112" s="507">
        <f>IF(D93="","-",+C111+1)</f>
        <v>2032</v>
      </c>
      <c r="D112" s="374">
        <f>IF(F111+SUM(E$99:E111)=D$92,F111,D$92-SUM(E$99:E111))</f>
        <v>2724261.428571431</v>
      </c>
      <c r="E112" s="522">
        <f>IF(+J96&lt;F111,J96,D112)</f>
        <v>90808.71428571429</v>
      </c>
      <c r="F112" s="523">
        <f t="shared" si="13"/>
        <v>2633452.7142857169</v>
      </c>
      <c r="G112" s="523">
        <f t="shared" si="14"/>
        <v>2678857.0714285737</v>
      </c>
      <c r="H112" s="526">
        <f t="shared" si="15"/>
        <v>378983.63618098793</v>
      </c>
      <c r="I112" s="577">
        <f t="shared" si="16"/>
        <v>378983.63618098793</v>
      </c>
      <c r="J112" s="514">
        <f t="shared" si="9"/>
        <v>0</v>
      </c>
      <c r="K112" s="514"/>
      <c r="L112" s="525"/>
      <c r="M112" s="514">
        <f t="shared" si="17"/>
        <v>0</v>
      </c>
      <c r="N112" s="525"/>
      <c r="O112" s="514">
        <f t="shared" si="11"/>
        <v>0</v>
      </c>
      <c r="P112" s="514">
        <f t="shared" si="12"/>
        <v>0</v>
      </c>
    </row>
    <row r="113" spans="2:16" ht="12.5">
      <c r="B113" s="195" t="str">
        <f t="shared" si="18"/>
        <v/>
      </c>
      <c r="C113" s="507">
        <f>IF(D93="","-",+C112+1)</f>
        <v>2033</v>
      </c>
      <c r="D113" s="374">
        <f>IF(F112+SUM(E$99:E112)=D$92,F112,D$92-SUM(E$99:E112))</f>
        <v>2633452.7142857169</v>
      </c>
      <c r="E113" s="522">
        <f>IF(+J96&lt;F112,J96,D113)</f>
        <v>90808.71428571429</v>
      </c>
      <c r="F113" s="523">
        <f t="shared" si="13"/>
        <v>2542644.0000000028</v>
      </c>
      <c r="G113" s="523">
        <f t="shared" si="14"/>
        <v>2588048.3571428601</v>
      </c>
      <c r="H113" s="526">
        <f t="shared" si="15"/>
        <v>369214.99476080935</v>
      </c>
      <c r="I113" s="577">
        <f t="shared" si="16"/>
        <v>369214.99476080935</v>
      </c>
      <c r="J113" s="514">
        <f t="shared" si="9"/>
        <v>0</v>
      </c>
      <c r="K113" s="514"/>
      <c r="L113" s="525"/>
      <c r="M113" s="514">
        <f t="shared" si="17"/>
        <v>0</v>
      </c>
      <c r="N113" s="525"/>
      <c r="O113" s="514">
        <f t="shared" si="11"/>
        <v>0</v>
      </c>
      <c r="P113" s="514">
        <f t="shared" si="12"/>
        <v>0</v>
      </c>
    </row>
    <row r="114" spans="2:16" ht="12.5">
      <c r="B114" s="195" t="str">
        <f t="shared" si="18"/>
        <v/>
      </c>
      <c r="C114" s="507">
        <f>IF(D93="","-",+C113+1)</f>
        <v>2034</v>
      </c>
      <c r="D114" s="374">
        <f>IF(F113+SUM(E$99:E113)=D$92,F113,D$92-SUM(E$99:E113))</f>
        <v>2542644.0000000028</v>
      </c>
      <c r="E114" s="522">
        <f>IF(+J96&lt;F113,J96,D114)</f>
        <v>90808.71428571429</v>
      </c>
      <c r="F114" s="523">
        <f t="shared" si="13"/>
        <v>2451835.2857142887</v>
      </c>
      <c r="G114" s="523">
        <f t="shared" si="14"/>
        <v>2497239.6428571455</v>
      </c>
      <c r="H114" s="526">
        <f t="shared" si="15"/>
        <v>359446.35334063054</v>
      </c>
      <c r="I114" s="577">
        <f t="shared" si="16"/>
        <v>359446.35334063054</v>
      </c>
      <c r="J114" s="514">
        <f t="shared" si="9"/>
        <v>0</v>
      </c>
      <c r="K114" s="514"/>
      <c r="L114" s="525"/>
      <c r="M114" s="514">
        <f t="shared" si="17"/>
        <v>0</v>
      </c>
      <c r="N114" s="525"/>
      <c r="O114" s="514">
        <f t="shared" si="11"/>
        <v>0</v>
      </c>
      <c r="P114" s="514">
        <f t="shared" si="12"/>
        <v>0</v>
      </c>
    </row>
    <row r="115" spans="2:16" ht="12.5">
      <c r="B115" s="195" t="str">
        <f t="shared" si="18"/>
        <v/>
      </c>
      <c r="C115" s="507">
        <f>IF(D93="","-",+C114+1)</f>
        <v>2035</v>
      </c>
      <c r="D115" s="374">
        <f>IF(F114+SUM(E$99:E114)=D$92,F114,D$92-SUM(E$99:E114))</f>
        <v>2451835.2857142887</v>
      </c>
      <c r="E115" s="522">
        <f>IF(+J96&lt;F114,J96,D115)</f>
        <v>90808.71428571429</v>
      </c>
      <c r="F115" s="523">
        <f t="shared" si="13"/>
        <v>2361026.5714285746</v>
      </c>
      <c r="G115" s="523">
        <f t="shared" si="14"/>
        <v>2406430.9285714319</v>
      </c>
      <c r="H115" s="526">
        <f t="shared" si="15"/>
        <v>349677.71192045184</v>
      </c>
      <c r="I115" s="577">
        <f t="shared" si="16"/>
        <v>349677.71192045184</v>
      </c>
      <c r="J115" s="514">
        <f t="shared" si="9"/>
        <v>0</v>
      </c>
      <c r="K115" s="514"/>
      <c r="L115" s="525"/>
      <c r="M115" s="514">
        <f t="shared" si="17"/>
        <v>0</v>
      </c>
      <c r="N115" s="525"/>
      <c r="O115" s="514">
        <f t="shared" si="11"/>
        <v>0</v>
      </c>
      <c r="P115" s="514">
        <f t="shared" si="12"/>
        <v>0</v>
      </c>
    </row>
    <row r="116" spans="2:16" ht="12.5">
      <c r="B116" s="195" t="str">
        <f t="shared" si="18"/>
        <v/>
      </c>
      <c r="C116" s="507">
        <f>IF(D93="","-",+C115+1)</f>
        <v>2036</v>
      </c>
      <c r="D116" s="374">
        <f>IF(F115+SUM(E$99:E115)=D$92,F115,D$92-SUM(E$99:E115))</f>
        <v>2361026.5714285746</v>
      </c>
      <c r="E116" s="522">
        <f>IF(+J96&lt;F115,J96,D116)</f>
        <v>90808.71428571429</v>
      </c>
      <c r="F116" s="523">
        <f t="shared" si="13"/>
        <v>2270217.8571428605</v>
      </c>
      <c r="G116" s="523">
        <f t="shared" si="14"/>
        <v>2315622.2142857173</v>
      </c>
      <c r="H116" s="526">
        <f t="shared" si="15"/>
        <v>339909.07050027302</v>
      </c>
      <c r="I116" s="577">
        <f t="shared" si="16"/>
        <v>339909.07050027302</v>
      </c>
      <c r="J116" s="514">
        <f t="shared" si="9"/>
        <v>0</v>
      </c>
      <c r="K116" s="514"/>
      <c r="L116" s="525"/>
      <c r="M116" s="514">
        <f t="shared" si="17"/>
        <v>0</v>
      </c>
      <c r="N116" s="525"/>
      <c r="O116" s="514">
        <f t="shared" si="11"/>
        <v>0</v>
      </c>
      <c r="P116" s="514">
        <f t="shared" si="12"/>
        <v>0</v>
      </c>
    </row>
    <row r="117" spans="2:16" ht="12.5">
      <c r="B117" s="195" t="str">
        <f t="shared" si="18"/>
        <v/>
      </c>
      <c r="C117" s="507">
        <f>IF(D93="","-",+C116+1)</f>
        <v>2037</v>
      </c>
      <c r="D117" s="374">
        <f>IF(F116+SUM(E$99:E116)=D$92,F116,D$92-SUM(E$99:E116))</f>
        <v>2270217.8571428605</v>
      </c>
      <c r="E117" s="522">
        <f>IF(+J96&lt;F116,J96,D117)</f>
        <v>90808.71428571429</v>
      </c>
      <c r="F117" s="523">
        <f t="shared" si="13"/>
        <v>2179409.1428571464</v>
      </c>
      <c r="G117" s="523">
        <f t="shared" si="14"/>
        <v>2224813.5000000037</v>
      </c>
      <c r="H117" s="526">
        <f t="shared" si="15"/>
        <v>330140.42908009433</v>
      </c>
      <c r="I117" s="577">
        <f t="shared" si="16"/>
        <v>330140.42908009433</v>
      </c>
      <c r="J117" s="514">
        <f t="shared" si="9"/>
        <v>0</v>
      </c>
      <c r="K117" s="514"/>
      <c r="L117" s="525"/>
      <c r="M117" s="514">
        <f t="shared" si="17"/>
        <v>0</v>
      </c>
      <c r="N117" s="525"/>
      <c r="O117" s="514">
        <f t="shared" si="11"/>
        <v>0</v>
      </c>
      <c r="P117" s="514">
        <f t="shared" si="12"/>
        <v>0</v>
      </c>
    </row>
    <row r="118" spans="2:16" ht="12.5">
      <c r="B118" s="195" t="str">
        <f t="shared" si="18"/>
        <v/>
      </c>
      <c r="C118" s="507">
        <f>IF(D93="","-",+C117+1)</f>
        <v>2038</v>
      </c>
      <c r="D118" s="374">
        <f>IF(F117+SUM(E$99:E117)=D$92,F117,D$92-SUM(E$99:E117))</f>
        <v>2179409.1428571464</v>
      </c>
      <c r="E118" s="522">
        <f>IF(+J96&lt;F117,J96,D118)</f>
        <v>90808.71428571429</v>
      </c>
      <c r="F118" s="523">
        <f t="shared" si="13"/>
        <v>2088600.4285714321</v>
      </c>
      <c r="G118" s="523">
        <f t="shared" si="14"/>
        <v>2134004.7857142892</v>
      </c>
      <c r="H118" s="526">
        <f t="shared" si="15"/>
        <v>320371.78765991551</v>
      </c>
      <c r="I118" s="577">
        <f t="shared" si="16"/>
        <v>320371.78765991551</v>
      </c>
      <c r="J118" s="514">
        <f t="shared" si="9"/>
        <v>0</v>
      </c>
      <c r="K118" s="514"/>
      <c r="L118" s="525"/>
      <c r="M118" s="514">
        <f t="shared" si="17"/>
        <v>0</v>
      </c>
      <c r="N118" s="525"/>
      <c r="O118" s="514">
        <f t="shared" si="11"/>
        <v>0</v>
      </c>
      <c r="P118" s="514">
        <f t="shared" si="12"/>
        <v>0</v>
      </c>
    </row>
    <row r="119" spans="2:16" ht="12.5">
      <c r="B119" s="195" t="str">
        <f t="shared" si="18"/>
        <v/>
      </c>
      <c r="C119" s="507">
        <f>IF(D93="","-",+C118+1)</f>
        <v>2039</v>
      </c>
      <c r="D119" s="374">
        <f>IF(F118+SUM(E$99:E118)=D$92,F118,D$92-SUM(E$99:E118))</f>
        <v>2088600.4285714321</v>
      </c>
      <c r="E119" s="522">
        <f>IF(+J96&lt;F118,J96,D119)</f>
        <v>90808.71428571429</v>
      </c>
      <c r="F119" s="523">
        <f t="shared" si="13"/>
        <v>1997791.7142857178</v>
      </c>
      <c r="G119" s="523">
        <f t="shared" si="14"/>
        <v>2043196.0714285751</v>
      </c>
      <c r="H119" s="526">
        <f t="shared" si="15"/>
        <v>310603.14623973682</v>
      </c>
      <c r="I119" s="577">
        <f t="shared" si="16"/>
        <v>310603.14623973682</v>
      </c>
      <c r="J119" s="514">
        <f t="shared" si="9"/>
        <v>0</v>
      </c>
      <c r="K119" s="514"/>
      <c r="L119" s="525"/>
      <c r="M119" s="514">
        <f t="shared" si="17"/>
        <v>0</v>
      </c>
      <c r="N119" s="525"/>
      <c r="O119" s="514">
        <f t="shared" si="11"/>
        <v>0</v>
      </c>
      <c r="P119" s="514">
        <f t="shared" si="12"/>
        <v>0</v>
      </c>
    </row>
    <row r="120" spans="2:16" ht="12.5">
      <c r="B120" s="195" t="str">
        <f t="shared" si="18"/>
        <v/>
      </c>
      <c r="C120" s="507">
        <f>IF(D93="","-",+C119+1)</f>
        <v>2040</v>
      </c>
      <c r="D120" s="374">
        <f>IF(F119+SUM(E$99:E119)=D$92,F119,D$92-SUM(E$99:E119))</f>
        <v>1997791.7142857178</v>
      </c>
      <c r="E120" s="522">
        <f>IF(+J96&lt;F119,J96,D120)</f>
        <v>90808.71428571429</v>
      </c>
      <c r="F120" s="523">
        <f t="shared" si="13"/>
        <v>1906983.0000000035</v>
      </c>
      <c r="G120" s="523">
        <f t="shared" si="14"/>
        <v>1952387.3571428605</v>
      </c>
      <c r="H120" s="526">
        <f t="shared" si="15"/>
        <v>300834.504819558</v>
      </c>
      <c r="I120" s="577">
        <f t="shared" si="16"/>
        <v>300834.504819558</v>
      </c>
      <c r="J120" s="514">
        <f t="shared" si="9"/>
        <v>0</v>
      </c>
      <c r="K120" s="514"/>
      <c r="L120" s="525"/>
      <c r="M120" s="514">
        <f t="shared" si="17"/>
        <v>0</v>
      </c>
      <c r="N120" s="525"/>
      <c r="O120" s="514">
        <f t="shared" si="11"/>
        <v>0</v>
      </c>
      <c r="P120" s="514">
        <f t="shared" si="12"/>
        <v>0</v>
      </c>
    </row>
    <row r="121" spans="2:16" ht="12.5">
      <c r="B121" s="195" t="str">
        <f t="shared" si="18"/>
        <v/>
      </c>
      <c r="C121" s="507">
        <f>IF(D93="","-",+C120+1)</f>
        <v>2041</v>
      </c>
      <c r="D121" s="374">
        <f>IF(F120+SUM(E$99:E120)=D$92,F120,D$92-SUM(E$99:E120))</f>
        <v>1906983.0000000035</v>
      </c>
      <c r="E121" s="522">
        <f>IF(+J96&lt;F120,J96,D121)</f>
        <v>90808.71428571429</v>
      </c>
      <c r="F121" s="523">
        <f t="shared" si="13"/>
        <v>1816174.2857142892</v>
      </c>
      <c r="G121" s="523">
        <f t="shared" si="14"/>
        <v>1861578.6428571464</v>
      </c>
      <c r="H121" s="526">
        <f t="shared" si="15"/>
        <v>291065.8633993793</v>
      </c>
      <c r="I121" s="577">
        <f t="shared" si="16"/>
        <v>291065.8633993793</v>
      </c>
      <c r="J121" s="514">
        <f t="shared" si="9"/>
        <v>0</v>
      </c>
      <c r="K121" s="514"/>
      <c r="L121" s="525"/>
      <c r="M121" s="514">
        <f t="shared" si="17"/>
        <v>0</v>
      </c>
      <c r="N121" s="525"/>
      <c r="O121" s="514">
        <f t="shared" si="11"/>
        <v>0</v>
      </c>
      <c r="P121" s="514">
        <f t="shared" si="12"/>
        <v>0</v>
      </c>
    </row>
    <row r="122" spans="2:16" ht="12.5">
      <c r="B122" s="195" t="str">
        <f t="shared" si="18"/>
        <v/>
      </c>
      <c r="C122" s="507">
        <f>IF(D93="","-",+C121+1)</f>
        <v>2042</v>
      </c>
      <c r="D122" s="374">
        <f>IF(F121+SUM(E$99:E121)=D$92,F121,D$92-SUM(E$99:E121))</f>
        <v>1816174.2857142892</v>
      </c>
      <c r="E122" s="522">
        <f>IF(+J96&lt;F121,J96,D122)</f>
        <v>90808.71428571429</v>
      </c>
      <c r="F122" s="523">
        <f t="shared" si="13"/>
        <v>1725365.5714285749</v>
      </c>
      <c r="G122" s="523">
        <f t="shared" si="14"/>
        <v>1770769.9285714319</v>
      </c>
      <c r="H122" s="526">
        <f t="shared" si="15"/>
        <v>281297.22197920049</v>
      </c>
      <c r="I122" s="577">
        <f t="shared" si="16"/>
        <v>281297.22197920049</v>
      </c>
      <c r="J122" s="514">
        <f t="shared" si="9"/>
        <v>0</v>
      </c>
      <c r="K122" s="514"/>
      <c r="L122" s="525"/>
      <c r="M122" s="514">
        <f t="shared" si="17"/>
        <v>0</v>
      </c>
      <c r="N122" s="525"/>
      <c r="O122" s="514">
        <f t="shared" si="11"/>
        <v>0</v>
      </c>
      <c r="P122" s="514">
        <f t="shared" si="12"/>
        <v>0</v>
      </c>
    </row>
    <row r="123" spans="2:16" ht="12.5">
      <c r="B123" s="195" t="str">
        <f t="shared" si="18"/>
        <v/>
      </c>
      <c r="C123" s="507">
        <f>IF(D93="","-",+C122+1)</f>
        <v>2043</v>
      </c>
      <c r="D123" s="374">
        <f>IF(F122+SUM(E$99:E122)=D$92,F122,D$92-SUM(E$99:E122))</f>
        <v>1725365.5714285749</v>
      </c>
      <c r="E123" s="522">
        <f>IF(+J96&lt;F122,J96,D123)</f>
        <v>90808.71428571429</v>
      </c>
      <c r="F123" s="523">
        <f t="shared" si="13"/>
        <v>1634556.8571428605</v>
      </c>
      <c r="G123" s="523">
        <f t="shared" si="14"/>
        <v>1679961.2142857178</v>
      </c>
      <c r="H123" s="526">
        <f t="shared" si="15"/>
        <v>271528.58055902174</v>
      </c>
      <c r="I123" s="577">
        <f t="shared" si="16"/>
        <v>271528.58055902174</v>
      </c>
      <c r="J123" s="514">
        <f t="shared" si="9"/>
        <v>0</v>
      </c>
      <c r="K123" s="514"/>
      <c r="L123" s="525"/>
      <c r="M123" s="514">
        <f t="shared" si="17"/>
        <v>0</v>
      </c>
      <c r="N123" s="525"/>
      <c r="O123" s="514">
        <f t="shared" si="11"/>
        <v>0</v>
      </c>
      <c r="P123" s="514">
        <f t="shared" si="12"/>
        <v>0</v>
      </c>
    </row>
    <row r="124" spans="2:16" ht="12.5">
      <c r="B124" s="195" t="str">
        <f t="shared" si="18"/>
        <v/>
      </c>
      <c r="C124" s="507">
        <f>IF(D93="","-",+C123+1)</f>
        <v>2044</v>
      </c>
      <c r="D124" s="374">
        <f>IF(F123+SUM(E$99:E123)=D$92,F123,D$92-SUM(E$99:E123))</f>
        <v>1634556.8571428605</v>
      </c>
      <c r="E124" s="522">
        <f>IF(+J96&lt;F123,J96,D124)</f>
        <v>90808.71428571429</v>
      </c>
      <c r="F124" s="523">
        <f t="shared" si="13"/>
        <v>1543748.1428571462</v>
      </c>
      <c r="G124" s="523">
        <f t="shared" si="14"/>
        <v>1589152.5000000033</v>
      </c>
      <c r="H124" s="526">
        <f t="shared" si="15"/>
        <v>261759.93913884295</v>
      </c>
      <c r="I124" s="577">
        <f t="shared" si="16"/>
        <v>261759.93913884295</v>
      </c>
      <c r="J124" s="514">
        <f t="shared" si="9"/>
        <v>0</v>
      </c>
      <c r="K124" s="514"/>
      <c r="L124" s="525"/>
      <c r="M124" s="514">
        <f t="shared" si="17"/>
        <v>0</v>
      </c>
      <c r="N124" s="525"/>
      <c r="O124" s="514">
        <f t="shared" si="11"/>
        <v>0</v>
      </c>
      <c r="P124" s="514">
        <f t="shared" si="12"/>
        <v>0</v>
      </c>
    </row>
    <row r="125" spans="2:16" ht="12.5">
      <c r="B125" s="195" t="str">
        <f t="shared" si="18"/>
        <v/>
      </c>
      <c r="C125" s="507">
        <f>IF(D93="","-",+C124+1)</f>
        <v>2045</v>
      </c>
      <c r="D125" s="374">
        <f>IF(F124+SUM(E$99:E124)=D$92,F124,D$92-SUM(E$99:E124))</f>
        <v>1543748.1428571462</v>
      </c>
      <c r="E125" s="522">
        <f>IF(+J96&lt;F124,J96,D125)</f>
        <v>90808.71428571429</v>
      </c>
      <c r="F125" s="523">
        <f t="shared" si="13"/>
        <v>1452939.4285714319</v>
      </c>
      <c r="G125" s="523">
        <f t="shared" si="14"/>
        <v>1498343.7857142892</v>
      </c>
      <c r="H125" s="526">
        <f t="shared" si="15"/>
        <v>251991.29771866422</v>
      </c>
      <c r="I125" s="577">
        <f t="shared" si="16"/>
        <v>251991.29771866422</v>
      </c>
      <c r="J125" s="514">
        <f t="shared" si="9"/>
        <v>0</v>
      </c>
      <c r="K125" s="514"/>
      <c r="L125" s="525"/>
      <c r="M125" s="514">
        <f t="shared" si="17"/>
        <v>0</v>
      </c>
      <c r="N125" s="525"/>
      <c r="O125" s="514">
        <f t="shared" si="11"/>
        <v>0</v>
      </c>
      <c r="P125" s="514">
        <f t="shared" si="12"/>
        <v>0</v>
      </c>
    </row>
    <row r="126" spans="2:16" ht="12.5">
      <c r="B126" s="195" t="str">
        <f t="shared" si="18"/>
        <v/>
      </c>
      <c r="C126" s="507">
        <f>IF(D93="","-",+C125+1)</f>
        <v>2046</v>
      </c>
      <c r="D126" s="374">
        <f>IF(F125+SUM(E$99:E125)=D$92,F125,D$92-SUM(E$99:E125))</f>
        <v>1452939.4285714319</v>
      </c>
      <c r="E126" s="522">
        <f>IF(+J96&lt;F125,J96,D126)</f>
        <v>90808.71428571429</v>
      </c>
      <c r="F126" s="523">
        <f t="shared" si="13"/>
        <v>1362130.7142857176</v>
      </c>
      <c r="G126" s="523">
        <f t="shared" si="14"/>
        <v>1407535.0714285746</v>
      </c>
      <c r="H126" s="526">
        <f t="shared" si="15"/>
        <v>242222.65629848544</v>
      </c>
      <c r="I126" s="577">
        <f t="shared" si="16"/>
        <v>242222.65629848544</v>
      </c>
      <c r="J126" s="514">
        <f t="shared" si="9"/>
        <v>0</v>
      </c>
      <c r="K126" s="514"/>
      <c r="L126" s="525"/>
      <c r="M126" s="514">
        <f t="shared" si="17"/>
        <v>0</v>
      </c>
      <c r="N126" s="525"/>
      <c r="O126" s="514">
        <f t="shared" si="11"/>
        <v>0</v>
      </c>
      <c r="P126" s="514">
        <f t="shared" si="12"/>
        <v>0</v>
      </c>
    </row>
    <row r="127" spans="2:16" ht="12.5">
      <c r="B127" s="195" t="str">
        <f t="shared" si="18"/>
        <v/>
      </c>
      <c r="C127" s="507">
        <f>IF(D93="","-",+C126+1)</f>
        <v>2047</v>
      </c>
      <c r="D127" s="374">
        <f>IF(F126+SUM(E$99:E126)=D$92,F126,D$92-SUM(E$99:E126))</f>
        <v>1362130.7142857176</v>
      </c>
      <c r="E127" s="522">
        <f>IF(+J96&lt;F126,J96,D127)</f>
        <v>90808.71428571429</v>
      </c>
      <c r="F127" s="523">
        <f t="shared" si="13"/>
        <v>1271322.0000000033</v>
      </c>
      <c r="G127" s="523">
        <f t="shared" si="14"/>
        <v>1316726.3571428605</v>
      </c>
      <c r="H127" s="526">
        <f t="shared" si="15"/>
        <v>232454.01487830668</v>
      </c>
      <c r="I127" s="577">
        <f t="shared" si="16"/>
        <v>232454.01487830668</v>
      </c>
      <c r="J127" s="514">
        <f t="shared" si="9"/>
        <v>0</v>
      </c>
      <c r="K127" s="514"/>
      <c r="L127" s="525"/>
      <c r="M127" s="514">
        <f t="shared" si="17"/>
        <v>0</v>
      </c>
      <c r="N127" s="525"/>
      <c r="O127" s="514">
        <f t="shared" si="11"/>
        <v>0</v>
      </c>
      <c r="P127" s="514">
        <f t="shared" si="12"/>
        <v>0</v>
      </c>
    </row>
    <row r="128" spans="2:16" ht="12.5">
      <c r="B128" s="195" t="str">
        <f t="shared" si="18"/>
        <v/>
      </c>
      <c r="C128" s="507">
        <f>IF(D93="","-",+C127+1)</f>
        <v>2048</v>
      </c>
      <c r="D128" s="374">
        <f>IF(F127+SUM(E$99:E127)=D$92,F127,D$92-SUM(E$99:E127))</f>
        <v>1271322.0000000033</v>
      </c>
      <c r="E128" s="522">
        <f>IF(+J96&lt;F127,J96,D128)</f>
        <v>90808.71428571429</v>
      </c>
      <c r="F128" s="523">
        <f t="shared" si="13"/>
        <v>1180513.2857142889</v>
      </c>
      <c r="G128" s="523">
        <f t="shared" si="14"/>
        <v>1225917.642857146</v>
      </c>
      <c r="H128" s="526">
        <f t="shared" si="15"/>
        <v>222685.3734581279</v>
      </c>
      <c r="I128" s="577">
        <f t="shared" si="16"/>
        <v>222685.3734581279</v>
      </c>
      <c r="J128" s="514">
        <f t="shared" si="9"/>
        <v>0</v>
      </c>
      <c r="K128" s="514"/>
      <c r="L128" s="525"/>
      <c r="M128" s="514">
        <f t="shared" si="17"/>
        <v>0</v>
      </c>
      <c r="N128" s="525"/>
      <c r="O128" s="514">
        <f t="shared" si="11"/>
        <v>0</v>
      </c>
      <c r="P128" s="514">
        <f t="shared" si="12"/>
        <v>0</v>
      </c>
    </row>
    <row r="129" spans="2:16" ht="12.5">
      <c r="B129" s="195" t="str">
        <f t="shared" si="18"/>
        <v/>
      </c>
      <c r="C129" s="507">
        <f>IF(D93="","-",+C128+1)</f>
        <v>2049</v>
      </c>
      <c r="D129" s="374">
        <f>IF(F128+SUM(E$99:E128)=D$92,F128,D$92-SUM(E$99:E128))</f>
        <v>1180513.2857142889</v>
      </c>
      <c r="E129" s="522">
        <f>IF(+J96&lt;F128,J96,D129)</f>
        <v>90808.71428571429</v>
      </c>
      <c r="F129" s="523">
        <f t="shared" si="13"/>
        <v>1089704.5714285746</v>
      </c>
      <c r="G129" s="523">
        <f t="shared" si="14"/>
        <v>1135108.9285714319</v>
      </c>
      <c r="H129" s="526">
        <f t="shared" si="15"/>
        <v>212916.73203794914</v>
      </c>
      <c r="I129" s="577">
        <f t="shared" si="16"/>
        <v>212916.73203794914</v>
      </c>
      <c r="J129" s="514">
        <f t="shared" si="9"/>
        <v>0</v>
      </c>
      <c r="K129" s="514"/>
      <c r="L129" s="525"/>
      <c r="M129" s="514">
        <f t="shared" si="17"/>
        <v>0</v>
      </c>
      <c r="N129" s="525"/>
      <c r="O129" s="514">
        <f t="shared" si="11"/>
        <v>0</v>
      </c>
      <c r="P129" s="514">
        <f t="shared" si="12"/>
        <v>0</v>
      </c>
    </row>
    <row r="130" spans="2:16" ht="12.5">
      <c r="B130" s="195" t="str">
        <f t="shared" si="18"/>
        <v/>
      </c>
      <c r="C130" s="507">
        <f>IF(D93="","-",+C129+1)</f>
        <v>2050</v>
      </c>
      <c r="D130" s="374">
        <f>IF(F129+SUM(E$99:E129)=D$92,F129,D$92-SUM(E$99:E129))</f>
        <v>1089704.5714285746</v>
      </c>
      <c r="E130" s="522">
        <f>IF(+J96&lt;F129,J96,D130)</f>
        <v>90808.71428571429</v>
      </c>
      <c r="F130" s="523">
        <f t="shared" si="13"/>
        <v>998895.8571428603</v>
      </c>
      <c r="G130" s="523">
        <f t="shared" si="14"/>
        <v>1044300.2142857175</v>
      </c>
      <c r="H130" s="526">
        <f t="shared" si="15"/>
        <v>203148.09061777039</v>
      </c>
      <c r="I130" s="577">
        <f t="shared" si="16"/>
        <v>203148.09061777039</v>
      </c>
      <c r="J130" s="514">
        <f t="shared" si="9"/>
        <v>0</v>
      </c>
      <c r="K130" s="514"/>
      <c r="L130" s="525"/>
      <c r="M130" s="514">
        <f t="shared" si="17"/>
        <v>0</v>
      </c>
      <c r="N130" s="525"/>
      <c r="O130" s="514">
        <f t="shared" si="11"/>
        <v>0</v>
      </c>
      <c r="P130" s="514">
        <f t="shared" si="12"/>
        <v>0</v>
      </c>
    </row>
    <row r="131" spans="2:16" ht="12.5">
      <c r="B131" s="195" t="str">
        <f t="shared" si="18"/>
        <v/>
      </c>
      <c r="C131" s="507">
        <f>IF(D93="","-",+C130+1)</f>
        <v>2051</v>
      </c>
      <c r="D131" s="374">
        <f>IF(F130+SUM(E$99:E130)=D$92,F130,D$92-SUM(E$99:E130))</f>
        <v>998895.8571428603</v>
      </c>
      <c r="E131" s="522">
        <f>IF(+J96&lt;F130,J96,D131)</f>
        <v>90808.71428571429</v>
      </c>
      <c r="F131" s="523">
        <f t="shared" si="13"/>
        <v>908087.14285714598</v>
      </c>
      <c r="G131" s="523">
        <f t="shared" si="14"/>
        <v>953491.50000000314</v>
      </c>
      <c r="H131" s="526">
        <f t="shared" si="15"/>
        <v>193379.44919759163</v>
      </c>
      <c r="I131" s="577">
        <f t="shared" si="16"/>
        <v>193379.44919759163</v>
      </c>
      <c r="J131" s="514">
        <f t="shared" ref="J131:J154" si="19">+I541-H541</f>
        <v>0</v>
      </c>
      <c r="K131" s="514"/>
      <c r="L131" s="525"/>
      <c r="M131" s="514">
        <f t="shared" ref="M131:M154" si="20">IF(L541&lt;&gt;0,+H541-L541,0)</f>
        <v>0</v>
      </c>
      <c r="N131" s="525"/>
      <c r="O131" s="514">
        <f t="shared" ref="O131:O154" si="21">IF(N541&lt;&gt;0,+I541-N541,0)</f>
        <v>0</v>
      </c>
      <c r="P131" s="514">
        <f t="shared" ref="P131:P154" si="22">+O541-M541</f>
        <v>0</v>
      </c>
    </row>
    <row r="132" spans="2:16" ht="12.5">
      <c r="B132" s="195" t="str">
        <f t="shared" si="18"/>
        <v/>
      </c>
      <c r="C132" s="507">
        <f>IF(D93="","-",+C131+1)</f>
        <v>2052</v>
      </c>
      <c r="D132" s="374">
        <f>IF(F131+SUM(E$99:E131)=D$92,F131,D$92-SUM(E$99:E131))</f>
        <v>908087.14285714598</v>
      </c>
      <c r="E132" s="522">
        <f>IF(+J96&lt;F131,J96,D132)</f>
        <v>90808.71428571429</v>
      </c>
      <c r="F132" s="523">
        <f t="shared" si="13"/>
        <v>817278.42857143166</v>
      </c>
      <c r="G132" s="523">
        <f t="shared" si="14"/>
        <v>862682.78571428882</v>
      </c>
      <c r="H132" s="526">
        <f t="shared" si="15"/>
        <v>183610.80777741288</v>
      </c>
      <c r="I132" s="577">
        <f t="shared" si="16"/>
        <v>183610.80777741288</v>
      </c>
      <c r="J132" s="514">
        <f t="shared" si="19"/>
        <v>0</v>
      </c>
      <c r="K132" s="514"/>
      <c r="L132" s="525"/>
      <c r="M132" s="514">
        <f t="shared" si="20"/>
        <v>0</v>
      </c>
      <c r="N132" s="525"/>
      <c r="O132" s="514">
        <f t="shared" si="21"/>
        <v>0</v>
      </c>
      <c r="P132" s="514">
        <f t="shared" si="22"/>
        <v>0</v>
      </c>
    </row>
    <row r="133" spans="2:16" ht="12.5">
      <c r="B133" s="195" t="str">
        <f t="shared" si="18"/>
        <v/>
      </c>
      <c r="C133" s="507">
        <f>IF(D93="","-",+C132+1)</f>
        <v>2053</v>
      </c>
      <c r="D133" s="374">
        <f>IF(F132+SUM(E$99:E132)=D$92,F132,D$92-SUM(E$99:E132))</f>
        <v>817278.42857143166</v>
      </c>
      <c r="E133" s="522">
        <f>IF(+J96&lt;F132,J96,D133)</f>
        <v>90808.71428571429</v>
      </c>
      <c r="F133" s="523">
        <f t="shared" si="13"/>
        <v>726469.71428571735</v>
      </c>
      <c r="G133" s="523">
        <f t="shared" si="14"/>
        <v>771874.07142857451</v>
      </c>
      <c r="H133" s="526">
        <f t="shared" si="15"/>
        <v>173842.16635723409</v>
      </c>
      <c r="I133" s="577">
        <f t="shared" si="16"/>
        <v>173842.16635723409</v>
      </c>
      <c r="J133" s="514">
        <f t="shared" si="19"/>
        <v>0</v>
      </c>
      <c r="K133" s="514"/>
      <c r="L133" s="525"/>
      <c r="M133" s="514">
        <f t="shared" si="20"/>
        <v>0</v>
      </c>
      <c r="N133" s="525"/>
      <c r="O133" s="514">
        <f t="shared" si="21"/>
        <v>0</v>
      </c>
      <c r="P133" s="514">
        <f t="shared" si="22"/>
        <v>0</v>
      </c>
    </row>
    <row r="134" spans="2:16" ht="12.5">
      <c r="B134" s="195" t="str">
        <f t="shared" si="18"/>
        <v/>
      </c>
      <c r="C134" s="507">
        <f>IF(D93="","-",+C133+1)</f>
        <v>2054</v>
      </c>
      <c r="D134" s="374">
        <f>IF(F133+SUM(E$99:E133)=D$92,F133,D$92-SUM(E$99:E133))</f>
        <v>726469.71428571735</v>
      </c>
      <c r="E134" s="522">
        <f>IF(+J96&lt;F133,J96,D134)</f>
        <v>90808.71428571429</v>
      </c>
      <c r="F134" s="523">
        <f t="shared" si="13"/>
        <v>635661.00000000303</v>
      </c>
      <c r="G134" s="523">
        <f t="shared" si="14"/>
        <v>681065.35714286019</v>
      </c>
      <c r="H134" s="526">
        <f t="shared" si="15"/>
        <v>164073.52493705531</v>
      </c>
      <c r="I134" s="577">
        <f t="shared" si="16"/>
        <v>164073.52493705531</v>
      </c>
      <c r="J134" s="514">
        <f t="shared" si="19"/>
        <v>0</v>
      </c>
      <c r="K134" s="514"/>
      <c r="L134" s="525"/>
      <c r="M134" s="514">
        <f t="shared" si="20"/>
        <v>0</v>
      </c>
      <c r="N134" s="525"/>
      <c r="O134" s="514">
        <f t="shared" si="21"/>
        <v>0</v>
      </c>
      <c r="P134" s="514">
        <f t="shared" si="22"/>
        <v>0</v>
      </c>
    </row>
    <row r="135" spans="2:16" ht="12.5">
      <c r="B135" s="195" t="str">
        <f t="shared" si="18"/>
        <v/>
      </c>
      <c r="C135" s="507">
        <f>IF(D93="","-",+C134+1)</f>
        <v>2055</v>
      </c>
      <c r="D135" s="374">
        <f>IF(F134+SUM(E$99:E134)=D$92,F134,D$92-SUM(E$99:E134))</f>
        <v>635661.00000000303</v>
      </c>
      <c r="E135" s="522">
        <f>IF(+J96&lt;F134,J96,D135)</f>
        <v>90808.71428571429</v>
      </c>
      <c r="F135" s="523">
        <f t="shared" si="13"/>
        <v>544852.28571428871</v>
      </c>
      <c r="G135" s="523">
        <f t="shared" si="14"/>
        <v>590256.64285714587</v>
      </c>
      <c r="H135" s="526">
        <f t="shared" si="15"/>
        <v>154304.88351687655</v>
      </c>
      <c r="I135" s="577">
        <f t="shared" si="16"/>
        <v>154304.88351687655</v>
      </c>
      <c r="J135" s="514">
        <f t="shared" si="19"/>
        <v>0</v>
      </c>
      <c r="K135" s="514"/>
      <c r="L135" s="525"/>
      <c r="M135" s="514">
        <f t="shared" si="20"/>
        <v>0</v>
      </c>
      <c r="N135" s="525"/>
      <c r="O135" s="514">
        <f t="shared" si="21"/>
        <v>0</v>
      </c>
      <c r="P135" s="514">
        <f t="shared" si="22"/>
        <v>0</v>
      </c>
    </row>
    <row r="136" spans="2:16" ht="12.5">
      <c r="B136" s="195" t="str">
        <f t="shared" si="18"/>
        <v/>
      </c>
      <c r="C136" s="507">
        <f>IF(D93="","-",+C135+1)</f>
        <v>2056</v>
      </c>
      <c r="D136" s="374">
        <f>IF(F135+SUM(E$99:E135)=D$92,F135,D$92-SUM(E$99:E135))</f>
        <v>544852.28571428871</v>
      </c>
      <c r="E136" s="522">
        <f>IF(+J96&lt;F135,J96,D136)</f>
        <v>90808.71428571429</v>
      </c>
      <c r="F136" s="523">
        <f t="shared" si="13"/>
        <v>454043.57142857439</v>
      </c>
      <c r="G136" s="523">
        <f t="shared" si="14"/>
        <v>499447.92857143155</v>
      </c>
      <c r="H136" s="526">
        <f t="shared" si="15"/>
        <v>144536.2420966978</v>
      </c>
      <c r="I136" s="577">
        <f t="shared" si="16"/>
        <v>144536.2420966978</v>
      </c>
      <c r="J136" s="514">
        <f t="shared" si="19"/>
        <v>0</v>
      </c>
      <c r="K136" s="514"/>
      <c r="L136" s="525"/>
      <c r="M136" s="514">
        <f t="shared" si="20"/>
        <v>0</v>
      </c>
      <c r="N136" s="525"/>
      <c r="O136" s="514">
        <f t="shared" si="21"/>
        <v>0</v>
      </c>
      <c r="P136" s="514">
        <f t="shared" si="22"/>
        <v>0</v>
      </c>
    </row>
    <row r="137" spans="2:16" ht="12.5">
      <c r="B137" s="195" t="str">
        <f t="shared" si="18"/>
        <v/>
      </c>
      <c r="C137" s="507">
        <f>IF(D93="","-",+C136+1)</f>
        <v>2057</v>
      </c>
      <c r="D137" s="374">
        <f>IF(F136+SUM(E$99:E136)=D$92,F136,D$92-SUM(E$99:E136))</f>
        <v>454043.57142857439</v>
      </c>
      <c r="E137" s="522">
        <f>IF(+J96&lt;F136,J96,D137)</f>
        <v>90808.71428571429</v>
      </c>
      <c r="F137" s="523">
        <f t="shared" si="13"/>
        <v>363234.85714286007</v>
      </c>
      <c r="G137" s="523">
        <f t="shared" si="14"/>
        <v>408639.21428571723</v>
      </c>
      <c r="H137" s="526">
        <f t="shared" si="15"/>
        <v>134767.60067651904</v>
      </c>
      <c r="I137" s="577">
        <f t="shared" si="16"/>
        <v>134767.60067651904</v>
      </c>
      <c r="J137" s="514">
        <f t="shared" si="19"/>
        <v>0</v>
      </c>
      <c r="K137" s="514"/>
      <c r="L137" s="525"/>
      <c r="M137" s="514">
        <f t="shared" si="20"/>
        <v>0</v>
      </c>
      <c r="N137" s="525"/>
      <c r="O137" s="514">
        <f t="shared" si="21"/>
        <v>0</v>
      </c>
      <c r="P137" s="514">
        <f t="shared" si="22"/>
        <v>0</v>
      </c>
    </row>
    <row r="138" spans="2:16" ht="12.5">
      <c r="B138" s="195" t="str">
        <f t="shared" si="18"/>
        <v/>
      </c>
      <c r="C138" s="507">
        <f>IF(D93="","-",+C137+1)</f>
        <v>2058</v>
      </c>
      <c r="D138" s="374">
        <f>IF(F137+SUM(E$99:E137)=D$92,F137,D$92-SUM(E$99:E137))</f>
        <v>363234.85714286007</v>
      </c>
      <c r="E138" s="522">
        <f>IF(+J96&lt;F137,J96,D138)</f>
        <v>90808.71428571429</v>
      </c>
      <c r="F138" s="523">
        <f t="shared" si="13"/>
        <v>272426.14285714575</v>
      </c>
      <c r="G138" s="523">
        <f t="shared" si="14"/>
        <v>317830.50000000291</v>
      </c>
      <c r="H138" s="526">
        <f t="shared" si="15"/>
        <v>124998.95925634027</v>
      </c>
      <c r="I138" s="577">
        <f t="shared" si="16"/>
        <v>124998.95925634027</v>
      </c>
      <c r="J138" s="514">
        <f t="shared" si="19"/>
        <v>0</v>
      </c>
      <c r="K138" s="514"/>
      <c r="L138" s="525"/>
      <c r="M138" s="514">
        <f t="shared" si="20"/>
        <v>0</v>
      </c>
      <c r="N138" s="525"/>
      <c r="O138" s="514">
        <f t="shared" si="21"/>
        <v>0</v>
      </c>
      <c r="P138" s="514">
        <f t="shared" si="22"/>
        <v>0</v>
      </c>
    </row>
    <row r="139" spans="2:16" ht="12.5">
      <c r="B139" s="195" t="str">
        <f t="shared" si="18"/>
        <v/>
      </c>
      <c r="C139" s="507">
        <f>IF(D93="","-",+C138+1)</f>
        <v>2059</v>
      </c>
      <c r="D139" s="374">
        <f>IF(F138+SUM(E$99:E138)=D$92,F138,D$92-SUM(E$99:E138))</f>
        <v>272426.14285714575</v>
      </c>
      <c r="E139" s="522">
        <f>IF(+J96&lt;F138,J96,D139)</f>
        <v>90808.71428571429</v>
      </c>
      <c r="F139" s="523">
        <f t="shared" si="13"/>
        <v>181617.42857143146</v>
      </c>
      <c r="G139" s="523">
        <f t="shared" si="14"/>
        <v>227021.78571428859</v>
      </c>
      <c r="H139" s="526">
        <f t="shared" si="15"/>
        <v>115230.3178361615</v>
      </c>
      <c r="I139" s="577">
        <f t="shared" si="16"/>
        <v>115230.3178361615</v>
      </c>
      <c r="J139" s="514">
        <f t="shared" si="19"/>
        <v>0</v>
      </c>
      <c r="K139" s="514"/>
      <c r="L139" s="525"/>
      <c r="M139" s="514">
        <f t="shared" si="20"/>
        <v>0</v>
      </c>
      <c r="N139" s="525"/>
      <c r="O139" s="514">
        <f t="shared" si="21"/>
        <v>0</v>
      </c>
      <c r="P139" s="514">
        <f t="shared" si="22"/>
        <v>0</v>
      </c>
    </row>
    <row r="140" spans="2:16" ht="12.5">
      <c r="B140" s="195" t="str">
        <f t="shared" si="18"/>
        <v/>
      </c>
      <c r="C140" s="507">
        <f>IF(D93="","-",+C139+1)</f>
        <v>2060</v>
      </c>
      <c r="D140" s="374">
        <f>IF(F139+SUM(E$99:E139)=D$92,F139,D$92-SUM(E$99:E139))</f>
        <v>181617.42857143146</v>
      </c>
      <c r="E140" s="522">
        <f>IF(+J96&lt;F139,J96,D140)</f>
        <v>90808.71428571429</v>
      </c>
      <c r="F140" s="523">
        <f t="shared" si="13"/>
        <v>90808.714285717171</v>
      </c>
      <c r="G140" s="523">
        <f t="shared" si="14"/>
        <v>136213.07142857433</v>
      </c>
      <c r="H140" s="526">
        <f t="shared" si="15"/>
        <v>105461.67641598274</v>
      </c>
      <c r="I140" s="577">
        <f t="shared" si="16"/>
        <v>105461.67641598274</v>
      </c>
      <c r="J140" s="514">
        <f t="shared" si="19"/>
        <v>0</v>
      </c>
      <c r="K140" s="514"/>
      <c r="L140" s="525"/>
      <c r="M140" s="514">
        <f t="shared" si="20"/>
        <v>0</v>
      </c>
      <c r="N140" s="525"/>
      <c r="O140" s="514">
        <f t="shared" si="21"/>
        <v>0</v>
      </c>
      <c r="P140" s="514">
        <f t="shared" si="22"/>
        <v>0</v>
      </c>
    </row>
    <row r="141" spans="2:16" ht="12.5">
      <c r="B141" s="195" t="str">
        <f t="shared" si="18"/>
        <v/>
      </c>
      <c r="C141" s="507">
        <f>IF(D93="","-",+C140+1)</f>
        <v>2061</v>
      </c>
      <c r="D141" s="374">
        <f>IF(F140+SUM(E$99:E140)=D$92,F140,D$92-SUM(E$99:E140))</f>
        <v>90808.714285717171</v>
      </c>
      <c r="E141" s="522">
        <f>IF(+J96&lt;F140,J96,D141)</f>
        <v>90808.71428571429</v>
      </c>
      <c r="F141" s="523">
        <f t="shared" si="13"/>
        <v>2.8812792152166367E-9</v>
      </c>
      <c r="G141" s="523">
        <f t="shared" si="14"/>
        <v>45404.357142860026</v>
      </c>
      <c r="H141" s="526">
        <f t="shared" si="15"/>
        <v>95693.034995803988</v>
      </c>
      <c r="I141" s="577">
        <f t="shared" si="16"/>
        <v>95693.034995803988</v>
      </c>
      <c r="J141" s="514">
        <f t="shared" si="19"/>
        <v>0</v>
      </c>
      <c r="K141" s="514"/>
      <c r="L141" s="525"/>
      <c r="M141" s="514">
        <f t="shared" si="20"/>
        <v>0</v>
      </c>
      <c r="N141" s="525"/>
      <c r="O141" s="514">
        <f t="shared" si="21"/>
        <v>0</v>
      </c>
      <c r="P141" s="514">
        <f t="shared" si="22"/>
        <v>0</v>
      </c>
    </row>
    <row r="142" spans="2:16" ht="12.5">
      <c r="B142" s="195" t="str">
        <f t="shared" si="18"/>
        <v/>
      </c>
      <c r="C142" s="507">
        <f>IF(D93="","-",+C141+1)</f>
        <v>2062</v>
      </c>
      <c r="D142" s="374">
        <f>IF(F141+SUM(E$99:E141)=D$92,F141,D$92-SUM(E$99:E141))</f>
        <v>2.8812792152166367E-9</v>
      </c>
      <c r="E142" s="522">
        <f>IF(+J96&lt;F141,J96,D142)</f>
        <v>2.8812792152166367E-9</v>
      </c>
      <c r="F142" s="523">
        <f t="shared" si="13"/>
        <v>0</v>
      </c>
      <c r="G142" s="523">
        <f t="shared" si="14"/>
        <v>1.4406396076083183E-9</v>
      </c>
      <c r="H142" s="526">
        <f t="shared" si="15"/>
        <v>3.0362543390594221E-9</v>
      </c>
      <c r="I142" s="577">
        <f t="shared" si="16"/>
        <v>3.0362543390594221E-9</v>
      </c>
      <c r="J142" s="514">
        <f t="shared" si="19"/>
        <v>0</v>
      </c>
      <c r="K142" s="514"/>
      <c r="L142" s="525"/>
      <c r="M142" s="514">
        <f t="shared" si="20"/>
        <v>0</v>
      </c>
      <c r="N142" s="525"/>
      <c r="O142" s="514">
        <f t="shared" si="21"/>
        <v>0</v>
      </c>
      <c r="P142" s="514">
        <f t="shared" si="22"/>
        <v>0</v>
      </c>
    </row>
    <row r="143" spans="2:16" ht="12.5">
      <c r="B143" s="195" t="str">
        <f t="shared" si="18"/>
        <v/>
      </c>
      <c r="C143" s="507">
        <f>IF(D93="","-",+C142+1)</f>
        <v>2063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3"/>
        <v>0</v>
      </c>
      <c r="G143" s="523">
        <f t="shared" si="14"/>
        <v>0</v>
      </c>
      <c r="H143" s="526">
        <f t="shared" si="15"/>
        <v>0</v>
      </c>
      <c r="I143" s="577">
        <f t="shared" si="16"/>
        <v>0</v>
      </c>
      <c r="J143" s="514">
        <f t="shared" si="19"/>
        <v>0</v>
      </c>
      <c r="K143" s="514"/>
      <c r="L143" s="525"/>
      <c r="M143" s="514">
        <f t="shared" si="20"/>
        <v>0</v>
      </c>
      <c r="N143" s="525"/>
      <c r="O143" s="514">
        <f t="shared" si="21"/>
        <v>0</v>
      </c>
      <c r="P143" s="514">
        <f t="shared" si="22"/>
        <v>0</v>
      </c>
    </row>
    <row r="144" spans="2:16" ht="12.5">
      <c r="B144" s="195" t="str">
        <f t="shared" si="18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3"/>
        <v>0</v>
      </c>
      <c r="G144" s="523">
        <f t="shared" si="14"/>
        <v>0</v>
      </c>
      <c r="H144" s="526">
        <f t="shared" si="15"/>
        <v>0</v>
      </c>
      <c r="I144" s="577">
        <f t="shared" si="16"/>
        <v>0</v>
      </c>
      <c r="J144" s="514">
        <f t="shared" si="19"/>
        <v>0</v>
      </c>
      <c r="K144" s="514"/>
      <c r="L144" s="525"/>
      <c r="M144" s="514">
        <f t="shared" si="20"/>
        <v>0</v>
      </c>
      <c r="N144" s="525"/>
      <c r="O144" s="514">
        <f t="shared" si="21"/>
        <v>0</v>
      </c>
      <c r="P144" s="514">
        <f t="shared" si="22"/>
        <v>0</v>
      </c>
    </row>
    <row r="145" spans="2:16" ht="12.5">
      <c r="B145" s="195" t="str">
        <f t="shared" si="18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3"/>
        <v>0</v>
      </c>
      <c r="G145" s="523">
        <f t="shared" si="14"/>
        <v>0</v>
      </c>
      <c r="H145" s="526">
        <f t="shared" si="15"/>
        <v>0</v>
      </c>
      <c r="I145" s="577">
        <f t="shared" si="16"/>
        <v>0</v>
      </c>
      <c r="J145" s="514">
        <f t="shared" si="19"/>
        <v>0</v>
      </c>
      <c r="K145" s="514"/>
      <c r="L145" s="525"/>
      <c r="M145" s="514">
        <f t="shared" si="20"/>
        <v>0</v>
      </c>
      <c r="N145" s="525"/>
      <c r="O145" s="514">
        <f t="shared" si="21"/>
        <v>0</v>
      </c>
      <c r="P145" s="514">
        <f t="shared" si="22"/>
        <v>0</v>
      </c>
    </row>
    <row r="146" spans="2:16" ht="12.5">
      <c r="B146" s="195" t="str">
        <f t="shared" si="18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3"/>
        <v>0</v>
      </c>
      <c r="G146" s="523">
        <f t="shared" si="14"/>
        <v>0</v>
      </c>
      <c r="H146" s="526">
        <f t="shared" si="15"/>
        <v>0</v>
      </c>
      <c r="I146" s="577">
        <f t="shared" si="16"/>
        <v>0</v>
      </c>
      <c r="J146" s="514">
        <f t="shared" si="19"/>
        <v>0</v>
      </c>
      <c r="K146" s="514"/>
      <c r="L146" s="525"/>
      <c r="M146" s="514">
        <f t="shared" si="20"/>
        <v>0</v>
      </c>
      <c r="N146" s="525"/>
      <c r="O146" s="514">
        <f t="shared" si="21"/>
        <v>0</v>
      </c>
      <c r="P146" s="514">
        <f t="shared" si="22"/>
        <v>0</v>
      </c>
    </row>
    <row r="147" spans="2:16" ht="12.5">
      <c r="B147" s="195" t="str">
        <f t="shared" si="18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3"/>
        <v>0</v>
      </c>
      <c r="G147" s="523">
        <f t="shared" si="14"/>
        <v>0</v>
      </c>
      <c r="H147" s="526">
        <f t="shared" si="15"/>
        <v>0</v>
      </c>
      <c r="I147" s="577">
        <f t="shared" si="16"/>
        <v>0</v>
      </c>
      <c r="J147" s="514">
        <f t="shared" si="19"/>
        <v>0</v>
      </c>
      <c r="K147" s="514"/>
      <c r="L147" s="525"/>
      <c r="M147" s="514">
        <f t="shared" si="20"/>
        <v>0</v>
      </c>
      <c r="N147" s="525"/>
      <c r="O147" s="514">
        <f t="shared" si="21"/>
        <v>0</v>
      </c>
      <c r="P147" s="514">
        <f t="shared" si="22"/>
        <v>0</v>
      </c>
    </row>
    <row r="148" spans="2:16" ht="12.5">
      <c r="B148" s="195" t="str">
        <f t="shared" si="18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3"/>
        <v>0</v>
      </c>
      <c r="G148" s="523">
        <f t="shared" si="14"/>
        <v>0</v>
      </c>
      <c r="H148" s="526">
        <f t="shared" si="15"/>
        <v>0</v>
      </c>
      <c r="I148" s="577">
        <f t="shared" si="16"/>
        <v>0</v>
      </c>
      <c r="J148" s="514">
        <f t="shared" si="19"/>
        <v>0</v>
      </c>
      <c r="K148" s="514"/>
      <c r="L148" s="525"/>
      <c r="M148" s="514">
        <f t="shared" si="20"/>
        <v>0</v>
      </c>
      <c r="N148" s="525"/>
      <c r="O148" s="514">
        <f t="shared" si="21"/>
        <v>0</v>
      </c>
      <c r="P148" s="514">
        <f t="shared" si="22"/>
        <v>0</v>
      </c>
    </row>
    <row r="149" spans="2:16" ht="12.5">
      <c r="B149" s="195" t="str">
        <f t="shared" si="18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3"/>
        <v>0</v>
      </c>
      <c r="G149" s="523">
        <f t="shared" si="14"/>
        <v>0</v>
      </c>
      <c r="H149" s="526">
        <f t="shared" si="15"/>
        <v>0</v>
      </c>
      <c r="I149" s="577">
        <f t="shared" si="16"/>
        <v>0</v>
      </c>
      <c r="J149" s="514">
        <f t="shared" si="19"/>
        <v>0</v>
      </c>
      <c r="K149" s="514"/>
      <c r="L149" s="525"/>
      <c r="M149" s="514">
        <f t="shared" si="20"/>
        <v>0</v>
      </c>
      <c r="N149" s="525"/>
      <c r="O149" s="514">
        <f t="shared" si="21"/>
        <v>0</v>
      </c>
      <c r="P149" s="514">
        <f t="shared" si="22"/>
        <v>0</v>
      </c>
    </row>
    <row r="150" spans="2:16" ht="12.5">
      <c r="B150" s="195" t="str">
        <f t="shared" si="18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3"/>
        <v>0</v>
      </c>
      <c r="G150" s="523">
        <f t="shared" si="14"/>
        <v>0</v>
      </c>
      <c r="H150" s="526">
        <f t="shared" si="15"/>
        <v>0</v>
      </c>
      <c r="I150" s="577">
        <f t="shared" si="16"/>
        <v>0</v>
      </c>
      <c r="J150" s="514">
        <f t="shared" si="19"/>
        <v>0</v>
      </c>
      <c r="K150" s="514"/>
      <c r="L150" s="525"/>
      <c r="M150" s="514">
        <f t="shared" si="20"/>
        <v>0</v>
      </c>
      <c r="N150" s="525"/>
      <c r="O150" s="514">
        <f t="shared" si="21"/>
        <v>0</v>
      </c>
      <c r="P150" s="514">
        <f t="shared" si="22"/>
        <v>0</v>
      </c>
    </row>
    <row r="151" spans="2:16" ht="12.5">
      <c r="B151" s="195" t="str">
        <f t="shared" si="18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3"/>
        <v>0</v>
      </c>
      <c r="G151" s="523">
        <f t="shared" si="14"/>
        <v>0</v>
      </c>
      <c r="H151" s="526">
        <f t="shared" si="15"/>
        <v>0</v>
      </c>
      <c r="I151" s="577">
        <f t="shared" si="16"/>
        <v>0</v>
      </c>
      <c r="J151" s="514">
        <f t="shared" si="19"/>
        <v>0</v>
      </c>
      <c r="K151" s="514"/>
      <c r="L151" s="525"/>
      <c r="M151" s="514">
        <f t="shared" si="20"/>
        <v>0</v>
      </c>
      <c r="N151" s="525"/>
      <c r="O151" s="514">
        <f t="shared" si="21"/>
        <v>0</v>
      </c>
      <c r="P151" s="514">
        <f t="shared" si="22"/>
        <v>0</v>
      </c>
    </row>
    <row r="152" spans="2:16" ht="12.5">
      <c r="B152" s="195" t="str">
        <f t="shared" si="18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3"/>
        <v>0</v>
      </c>
      <c r="G152" s="523">
        <f t="shared" si="14"/>
        <v>0</v>
      </c>
      <c r="H152" s="526">
        <f t="shared" si="15"/>
        <v>0</v>
      </c>
      <c r="I152" s="577">
        <f t="shared" si="16"/>
        <v>0</v>
      </c>
      <c r="J152" s="514">
        <f t="shared" si="19"/>
        <v>0</v>
      </c>
      <c r="K152" s="514"/>
      <c r="L152" s="525"/>
      <c r="M152" s="514">
        <f t="shared" si="20"/>
        <v>0</v>
      </c>
      <c r="N152" s="525"/>
      <c r="O152" s="514">
        <f t="shared" si="21"/>
        <v>0</v>
      </c>
      <c r="P152" s="514">
        <f t="shared" si="22"/>
        <v>0</v>
      </c>
    </row>
    <row r="153" spans="2:16" ht="12.5">
      <c r="B153" s="195" t="str">
        <f t="shared" si="18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3"/>
        <v>0</v>
      </c>
      <c r="G153" s="523">
        <f t="shared" si="14"/>
        <v>0</v>
      </c>
      <c r="H153" s="526">
        <f t="shared" si="15"/>
        <v>0</v>
      </c>
      <c r="I153" s="577">
        <f t="shared" si="16"/>
        <v>0</v>
      </c>
      <c r="J153" s="514">
        <f t="shared" si="19"/>
        <v>0</v>
      </c>
      <c r="K153" s="514"/>
      <c r="L153" s="525"/>
      <c r="M153" s="514">
        <f t="shared" si="20"/>
        <v>0</v>
      </c>
      <c r="N153" s="525"/>
      <c r="O153" s="514">
        <f t="shared" si="21"/>
        <v>0</v>
      </c>
      <c r="P153" s="514">
        <f t="shared" si="22"/>
        <v>0</v>
      </c>
    </row>
    <row r="154" spans="2:16" ht="13" thickBot="1">
      <c r="B154" s="195" t="str">
        <f t="shared" si="18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3"/>
        <v>0</v>
      </c>
      <c r="G154" s="528">
        <f t="shared" si="14"/>
        <v>0</v>
      </c>
      <c r="H154" s="530">
        <f t="shared" si="15"/>
        <v>0</v>
      </c>
      <c r="I154" s="579">
        <f t="shared" si="16"/>
        <v>0</v>
      </c>
      <c r="J154" s="533">
        <f t="shared" si="19"/>
        <v>0</v>
      </c>
      <c r="K154" s="514"/>
      <c r="L154" s="532"/>
      <c r="M154" s="533">
        <f t="shared" si="20"/>
        <v>0</v>
      </c>
      <c r="N154" s="532"/>
      <c r="O154" s="533">
        <f t="shared" si="21"/>
        <v>0</v>
      </c>
      <c r="P154" s="533">
        <f t="shared" si="22"/>
        <v>0</v>
      </c>
    </row>
    <row r="155" spans="2:16" ht="12.5">
      <c r="C155" s="374" t="s">
        <v>78</v>
      </c>
      <c r="D155" s="375"/>
      <c r="E155" s="375">
        <f>SUM(E99:E154)</f>
        <v>3813965.9999999995</v>
      </c>
      <c r="F155" s="375"/>
      <c r="G155" s="375"/>
      <c r="H155" s="375">
        <f>SUM(H99:H154)</f>
        <v>12634032.235164102</v>
      </c>
      <c r="I155" s="375">
        <f>SUM(I99:I154)</f>
        <v>12634032.235164102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" priority="1" stopIfTrue="1" operator="equal">
      <formula>$I$10</formula>
    </cfRule>
  </conditionalFormatting>
  <conditionalFormatting sqref="C99:C154">
    <cfRule type="cellIs" dxfId="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zoomScale="80" zoomScaleNormal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74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240163.83980112415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240163.83980112415</v>
      </c>
      <c r="O6" s="269"/>
      <c r="P6" s="269"/>
    </row>
    <row r="7" spans="1:16" ht="13.5" thickBot="1">
      <c r="C7" s="467" t="s">
        <v>48</v>
      </c>
      <c r="D7" s="624" t="s">
        <v>461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3"/>
      <c r="K8" s="474"/>
      <c r="L8" s="474"/>
      <c r="M8" s="474"/>
      <c r="N8" s="474"/>
      <c r="O8" s="663"/>
      <c r="P8" s="340"/>
    </row>
    <row r="9" spans="1:16" ht="13.5" thickBot="1">
      <c r="C9" s="476" t="s">
        <v>50</v>
      </c>
      <c r="D9" s="477" t="s">
        <v>462</v>
      </c>
      <c r="E9" s="637" t="s">
        <v>475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2910918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IF(G5="",0,SWE.WS.F.BPU.ATRR.Projected!F$13)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69307.571428571435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2019</v>
      </c>
      <c r="D17" s="631">
        <v>0</v>
      </c>
      <c r="E17" s="630">
        <v>45372</v>
      </c>
      <c r="F17" s="631">
        <v>1905628</v>
      </c>
      <c r="G17" s="630">
        <v>140230</v>
      </c>
      <c r="H17" s="639">
        <v>140230</v>
      </c>
      <c r="I17" s="511">
        <f t="shared" ref="I17:I72" si="0">H17-G17</f>
        <v>0</v>
      </c>
      <c r="J17" s="511"/>
      <c r="K17" s="512">
        <f>+G17</f>
        <v>140230</v>
      </c>
      <c r="L17" s="513">
        <f t="shared" ref="L17:L18" si="1">IF(K17&lt;&gt;0,+G17-K17,0)</f>
        <v>0</v>
      </c>
      <c r="M17" s="512">
        <f>+H17</f>
        <v>140230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2020</v>
      </c>
      <c r="D18" s="631">
        <v>1905628</v>
      </c>
      <c r="E18" s="630">
        <v>47585.365853658535</v>
      </c>
      <c r="F18" s="631">
        <v>1858042.6341463414</v>
      </c>
      <c r="G18" s="630">
        <v>240163.83980112415</v>
      </c>
      <c r="H18" s="639">
        <v>240163.83980112415</v>
      </c>
      <c r="I18" s="511">
        <f t="shared" si="0"/>
        <v>0</v>
      </c>
      <c r="J18" s="511"/>
      <c r="K18" s="518">
        <f>+G18</f>
        <v>240163.83980112415</v>
      </c>
      <c r="L18" s="519">
        <f t="shared" si="1"/>
        <v>0</v>
      </c>
      <c r="M18" s="518">
        <f>+H18</f>
        <v>240163.83980112415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2021</v>
      </c>
      <c r="D19" s="523">
        <f>IF(F18+SUM(E$17:E18)=D$10,F18,D$10-SUM(E$17:E18))</f>
        <v>2817960.6341463416</v>
      </c>
      <c r="E19" s="522">
        <f>IF(+I14&lt;F18,I14,D19)</f>
        <v>69307.571428571435</v>
      </c>
      <c r="F19" s="523">
        <f t="shared" ref="F19:F72" si="4">+D19-E19</f>
        <v>2748653.0627177702</v>
      </c>
      <c r="G19" s="524">
        <f t="shared" ref="G19:G72" si="5">+I$12*((D19+F19)/2)+E19</f>
        <v>366614.76933181076</v>
      </c>
      <c r="H19" s="491">
        <f t="shared" ref="H19:H72" si="6">+I$13*((D19+F19)/2)+E19</f>
        <v>366614.76933181076</v>
      </c>
      <c r="I19" s="511">
        <f t="shared" si="0"/>
        <v>0</v>
      </c>
      <c r="J19" s="511"/>
      <c r="K19" s="525"/>
      <c r="L19" s="514">
        <f t="shared" ref="L19:L72" si="7">IF(K19&lt;&gt;0,+G19-K19,0)</f>
        <v>0</v>
      </c>
      <c r="M19" s="525"/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8">IF(D20=F19,"","IU")</f>
        <v/>
      </c>
      <c r="C20" s="507">
        <f>IF(D11="","-",+C19+1)</f>
        <v>2022</v>
      </c>
      <c r="D20" s="523">
        <f>IF(F19+SUM(E$17:E19)=D$10,F19,D$10-SUM(E$17:E19))</f>
        <v>2748653.0627177702</v>
      </c>
      <c r="E20" s="522">
        <f>IF(+I14&lt;F19,I14,D20)</f>
        <v>69307.571428571435</v>
      </c>
      <c r="F20" s="523">
        <f t="shared" si="4"/>
        <v>2679345.4912891989</v>
      </c>
      <c r="G20" s="524">
        <f t="shared" si="5"/>
        <v>359211.47498554958</v>
      </c>
      <c r="H20" s="491">
        <f t="shared" si="6"/>
        <v>359211.47498554958</v>
      </c>
      <c r="I20" s="511">
        <f t="shared" si="0"/>
        <v>0</v>
      </c>
      <c r="J20" s="511"/>
      <c r="K20" s="525"/>
      <c r="L20" s="514">
        <f t="shared" si="7"/>
        <v>0</v>
      </c>
      <c r="M20" s="525"/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8"/>
        <v/>
      </c>
      <c r="C21" s="507">
        <f>IF(D11="","-",+C20+1)</f>
        <v>2023</v>
      </c>
      <c r="D21" s="523">
        <f>IF(F20+SUM(E$17:E20)=D$10,F20,D$10-SUM(E$17:E20))</f>
        <v>2679345.4912891989</v>
      </c>
      <c r="E21" s="522">
        <f>IF(+I14&lt;F20,I14,D21)</f>
        <v>69307.571428571435</v>
      </c>
      <c r="F21" s="523">
        <f t="shared" si="4"/>
        <v>2610037.9198606275</v>
      </c>
      <c r="G21" s="524">
        <f t="shared" si="5"/>
        <v>351808.18063928833</v>
      </c>
      <c r="H21" s="491">
        <f t="shared" si="6"/>
        <v>351808.18063928833</v>
      </c>
      <c r="I21" s="511">
        <f t="shared" si="0"/>
        <v>0</v>
      </c>
      <c r="J21" s="511"/>
      <c r="K21" s="525"/>
      <c r="L21" s="514">
        <f t="shared" si="7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8"/>
        <v/>
      </c>
      <c r="C22" s="507">
        <f>IF(D11="","-",+C21+1)</f>
        <v>2024</v>
      </c>
      <c r="D22" s="523">
        <f>IF(F21+SUM(E$17:E21)=D$10,F21,D$10-SUM(E$17:E21))</f>
        <v>2610037.9198606275</v>
      </c>
      <c r="E22" s="522">
        <f>IF(+I14&lt;F21,I14,D22)</f>
        <v>69307.571428571435</v>
      </c>
      <c r="F22" s="523">
        <f t="shared" si="4"/>
        <v>2540730.3484320561</v>
      </c>
      <c r="G22" s="524">
        <f t="shared" si="5"/>
        <v>344404.88629302714</v>
      </c>
      <c r="H22" s="491">
        <f t="shared" si="6"/>
        <v>344404.88629302714</v>
      </c>
      <c r="I22" s="511">
        <f t="shared" si="0"/>
        <v>0</v>
      </c>
      <c r="J22" s="511"/>
      <c r="K22" s="525"/>
      <c r="L22" s="514">
        <f t="shared" si="7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8"/>
        <v/>
      </c>
      <c r="C23" s="507">
        <f>IF(D11="","-",+C22+1)</f>
        <v>2025</v>
      </c>
      <c r="D23" s="523">
        <f>IF(F22+SUM(E$17:E22)=D$10,F22,D$10-SUM(E$17:E22))</f>
        <v>2540730.3484320561</v>
      </c>
      <c r="E23" s="522">
        <f>IF(+I14&lt;F22,I14,D23)</f>
        <v>69307.571428571435</v>
      </c>
      <c r="F23" s="523">
        <f t="shared" si="4"/>
        <v>2471422.7770034848</v>
      </c>
      <c r="G23" s="524">
        <f t="shared" si="5"/>
        <v>337001.5919467659</v>
      </c>
      <c r="H23" s="491">
        <f t="shared" si="6"/>
        <v>337001.5919467659</v>
      </c>
      <c r="I23" s="511">
        <f t="shared" si="0"/>
        <v>0</v>
      </c>
      <c r="J23" s="511"/>
      <c r="K23" s="525"/>
      <c r="L23" s="514">
        <f t="shared" si="7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8"/>
        <v/>
      </c>
      <c r="C24" s="507">
        <f>IF(D11="","-",+C23+1)</f>
        <v>2026</v>
      </c>
      <c r="D24" s="523">
        <f>IF(F23+SUM(E$17:E23)=D$10,F23,D$10-SUM(E$17:E23))</f>
        <v>2471422.7770034848</v>
      </c>
      <c r="E24" s="522">
        <f>IF(+I14&lt;F23,I14,D24)</f>
        <v>69307.571428571435</v>
      </c>
      <c r="F24" s="523">
        <f t="shared" si="4"/>
        <v>2402115.2055749134</v>
      </c>
      <c r="G24" s="524">
        <f t="shared" si="5"/>
        <v>329598.29760050477</v>
      </c>
      <c r="H24" s="491">
        <f t="shared" si="6"/>
        <v>329598.29760050477</v>
      </c>
      <c r="I24" s="511">
        <f t="shared" si="0"/>
        <v>0</v>
      </c>
      <c r="J24" s="511"/>
      <c r="K24" s="525"/>
      <c r="L24" s="514">
        <f t="shared" si="7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8"/>
        <v/>
      </c>
      <c r="C25" s="507">
        <f>IF(D11="","-",+C24+1)</f>
        <v>2027</v>
      </c>
      <c r="D25" s="523">
        <f>IF(F24+SUM(E$17:E24)=D$10,F24,D$10-SUM(E$17:E24))</f>
        <v>2402115.2055749134</v>
      </c>
      <c r="E25" s="522">
        <f>IF(+I14&lt;F24,I14,D25)</f>
        <v>69307.571428571435</v>
      </c>
      <c r="F25" s="523">
        <f t="shared" si="4"/>
        <v>2332807.6341463421</v>
      </c>
      <c r="G25" s="524">
        <f t="shared" si="5"/>
        <v>322195.00325424346</v>
      </c>
      <c r="H25" s="491">
        <f t="shared" si="6"/>
        <v>322195.00325424346</v>
      </c>
      <c r="I25" s="511">
        <f t="shared" si="0"/>
        <v>0</v>
      </c>
      <c r="J25" s="511"/>
      <c r="K25" s="525"/>
      <c r="L25" s="514">
        <f t="shared" si="7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8"/>
        <v/>
      </c>
      <c r="C26" s="507">
        <f>IF(D11="","-",+C25+1)</f>
        <v>2028</v>
      </c>
      <c r="D26" s="523">
        <f>IF(F25+SUM(E$17:E25)=D$10,F25,D$10-SUM(E$17:E25))</f>
        <v>2332807.6341463421</v>
      </c>
      <c r="E26" s="522">
        <f>IF(+I14&lt;F25,I14,D26)</f>
        <v>69307.571428571435</v>
      </c>
      <c r="F26" s="523">
        <f t="shared" si="4"/>
        <v>2263500.0627177707</v>
      </c>
      <c r="G26" s="524">
        <f t="shared" si="5"/>
        <v>314791.70890798233</v>
      </c>
      <c r="H26" s="491">
        <f t="shared" si="6"/>
        <v>314791.70890798233</v>
      </c>
      <c r="I26" s="511">
        <f t="shared" si="0"/>
        <v>0</v>
      </c>
      <c r="J26" s="511"/>
      <c r="K26" s="525"/>
      <c r="L26" s="514">
        <f t="shared" si="7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8"/>
        <v/>
      </c>
      <c r="C27" s="507">
        <f>IF(D11="","-",+C26+1)</f>
        <v>2029</v>
      </c>
      <c r="D27" s="523">
        <f>IF(F26+SUM(E$17:E26)=D$10,F26,D$10-SUM(E$17:E26))</f>
        <v>2263500.0627177707</v>
      </c>
      <c r="E27" s="522">
        <f>IF(+I14&lt;F26,I14,D27)</f>
        <v>69307.571428571435</v>
      </c>
      <c r="F27" s="523">
        <f t="shared" si="4"/>
        <v>2194192.4912891993</v>
      </c>
      <c r="G27" s="524">
        <f t="shared" si="5"/>
        <v>307388.41456172103</v>
      </c>
      <c r="H27" s="491">
        <f t="shared" si="6"/>
        <v>307388.41456172103</v>
      </c>
      <c r="I27" s="511">
        <f t="shared" si="0"/>
        <v>0</v>
      </c>
      <c r="J27" s="511"/>
      <c r="K27" s="525"/>
      <c r="L27" s="514">
        <f t="shared" si="7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8"/>
        <v/>
      </c>
      <c r="C28" s="507">
        <f>IF(D11="","-",+C27+1)</f>
        <v>2030</v>
      </c>
      <c r="D28" s="523">
        <f>IF(F27+SUM(E$17:E27)=D$10,F27,D$10-SUM(E$17:E27))</f>
        <v>2194192.4912891993</v>
      </c>
      <c r="E28" s="522">
        <f>IF(+I14&lt;F27,I14,D28)</f>
        <v>69307.571428571435</v>
      </c>
      <c r="F28" s="523">
        <f t="shared" si="4"/>
        <v>2124884.919860628</v>
      </c>
      <c r="G28" s="524">
        <f t="shared" si="5"/>
        <v>299985.1202154599</v>
      </c>
      <c r="H28" s="491">
        <f t="shared" si="6"/>
        <v>299985.1202154599</v>
      </c>
      <c r="I28" s="511">
        <f t="shared" si="0"/>
        <v>0</v>
      </c>
      <c r="J28" s="511"/>
      <c r="K28" s="525"/>
      <c r="L28" s="514">
        <f t="shared" si="7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8"/>
        <v/>
      </c>
      <c r="C29" s="507">
        <f>IF(D11="","-",+C28+1)</f>
        <v>2031</v>
      </c>
      <c r="D29" s="523">
        <f>IF(F28+SUM(E$17:E28)=D$10,F28,D$10-SUM(E$17:E28))</f>
        <v>2124884.919860628</v>
      </c>
      <c r="E29" s="522">
        <f>IF(+I14&lt;F28,I14,D29)</f>
        <v>69307.571428571435</v>
      </c>
      <c r="F29" s="523">
        <f t="shared" si="4"/>
        <v>2055577.3484320566</v>
      </c>
      <c r="G29" s="524">
        <f t="shared" si="5"/>
        <v>292581.82586919866</v>
      </c>
      <c r="H29" s="491">
        <f t="shared" si="6"/>
        <v>292581.82586919866</v>
      </c>
      <c r="I29" s="511">
        <f t="shared" si="0"/>
        <v>0</v>
      </c>
      <c r="J29" s="511"/>
      <c r="K29" s="525"/>
      <c r="L29" s="514">
        <f t="shared" si="7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8"/>
        <v/>
      </c>
      <c r="C30" s="507">
        <f>IF(D11="","-",+C29+1)</f>
        <v>2032</v>
      </c>
      <c r="D30" s="523">
        <f>IF(F29+SUM(E$17:E29)=D$10,F29,D$10-SUM(E$17:E29))</f>
        <v>2055577.3484320566</v>
      </c>
      <c r="E30" s="522">
        <f>IF(+I14&lt;F29,I14,D30)</f>
        <v>69307.571428571435</v>
      </c>
      <c r="F30" s="523">
        <f t="shared" si="4"/>
        <v>1986269.7770034852</v>
      </c>
      <c r="G30" s="524">
        <f t="shared" si="5"/>
        <v>285178.53152293741</v>
      </c>
      <c r="H30" s="491">
        <f t="shared" si="6"/>
        <v>285178.53152293741</v>
      </c>
      <c r="I30" s="511">
        <f t="shared" si="0"/>
        <v>0</v>
      </c>
      <c r="J30" s="511"/>
      <c r="K30" s="525"/>
      <c r="L30" s="514">
        <f t="shared" si="7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8"/>
        <v/>
      </c>
      <c r="C31" s="507">
        <f>IF(D11="","-",+C30+1)</f>
        <v>2033</v>
      </c>
      <c r="D31" s="523">
        <f>IF(F30+SUM(E$17:E30)=D$10,F30,D$10-SUM(E$17:E30))</f>
        <v>1986269.7770034852</v>
      </c>
      <c r="E31" s="522">
        <f>IF(+I14&lt;F30,I14,D31)</f>
        <v>69307.571428571435</v>
      </c>
      <c r="F31" s="523">
        <f t="shared" si="4"/>
        <v>1916962.2055749139</v>
      </c>
      <c r="G31" s="524">
        <f t="shared" si="5"/>
        <v>277775.23717667622</v>
      </c>
      <c r="H31" s="491">
        <f t="shared" si="6"/>
        <v>277775.23717667622</v>
      </c>
      <c r="I31" s="511">
        <f t="shared" si="0"/>
        <v>0</v>
      </c>
      <c r="J31" s="511"/>
      <c r="K31" s="525"/>
      <c r="L31" s="514">
        <f t="shared" si="7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8"/>
        <v/>
      </c>
      <c r="C32" s="507">
        <f>IF(D11="","-",+C31+1)</f>
        <v>2034</v>
      </c>
      <c r="D32" s="523">
        <f>IF(F31+SUM(E$17:E31)=D$10,F31,D$10-SUM(E$17:E31))</f>
        <v>1916962.2055749139</v>
      </c>
      <c r="E32" s="522">
        <f>IF(+I14&lt;F31,I14,D32)</f>
        <v>69307.571428571435</v>
      </c>
      <c r="F32" s="523">
        <f t="shared" si="4"/>
        <v>1847654.6341463425</v>
      </c>
      <c r="G32" s="524">
        <f t="shared" si="5"/>
        <v>270371.94283041498</v>
      </c>
      <c r="H32" s="491">
        <f t="shared" si="6"/>
        <v>270371.94283041498</v>
      </c>
      <c r="I32" s="511">
        <f t="shared" si="0"/>
        <v>0</v>
      </c>
      <c r="J32" s="511"/>
      <c r="K32" s="525"/>
      <c r="L32" s="514">
        <f t="shared" si="7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8"/>
        <v/>
      </c>
      <c r="C33" s="507">
        <f>IF(D11="","-",+C32+1)</f>
        <v>2035</v>
      </c>
      <c r="D33" s="523">
        <f>IF(F32+SUM(E$17:E32)=D$10,F32,D$10-SUM(E$17:E32))</f>
        <v>1847654.6341463425</v>
      </c>
      <c r="E33" s="522">
        <f>IF(+I14&lt;F32,I14,D33)</f>
        <v>69307.571428571435</v>
      </c>
      <c r="F33" s="523">
        <f t="shared" si="4"/>
        <v>1778347.0627177712</v>
      </c>
      <c r="G33" s="524">
        <f t="shared" si="5"/>
        <v>262968.64848415379</v>
      </c>
      <c r="H33" s="491">
        <f t="shared" si="6"/>
        <v>262968.64848415379</v>
      </c>
      <c r="I33" s="511">
        <f t="shared" si="0"/>
        <v>0</v>
      </c>
      <c r="J33" s="511"/>
      <c r="K33" s="525"/>
      <c r="L33" s="514">
        <f t="shared" si="7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8"/>
        <v/>
      </c>
      <c r="C34" s="507">
        <f>IF(D11="","-",+C33+1)</f>
        <v>2036</v>
      </c>
      <c r="D34" s="523">
        <f>IF(F33+SUM(E$17:E33)=D$10,F33,D$10-SUM(E$17:E33))</f>
        <v>1778347.0627177712</v>
      </c>
      <c r="E34" s="522">
        <f>IF(+I14&lt;F33,I14,D34)</f>
        <v>69307.571428571435</v>
      </c>
      <c r="F34" s="523">
        <f t="shared" si="4"/>
        <v>1709039.4912891998</v>
      </c>
      <c r="G34" s="524">
        <f t="shared" si="5"/>
        <v>255565.35413789254</v>
      </c>
      <c r="H34" s="491">
        <f t="shared" si="6"/>
        <v>255565.35413789254</v>
      </c>
      <c r="I34" s="511">
        <f t="shared" si="0"/>
        <v>0</v>
      </c>
      <c r="J34" s="511"/>
      <c r="K34" s="525"/>
      <c r="L34" s="514">
        <f t="shared" si="7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8"/>
        <v/>
      </c>
      <c r="C35" s="507">
        <f>IF(D11="","-",+C34+1)</f>
        <v>2037</v>
      </c>
      <c r="D35" s="523">
        <f>IF(F34+SUM(E$17:E34)=D$10,F34,D$10-SUM(E$17:E34))</f>
        <v>1709039.4912891998</v>
      </c>
      <c r="E35" s="522">
        <f>IF(+I14&lt;F34,I14,D35)</f>
        <v>69307.571428571435</v>
      </c>
      <c r="F35" s="523">
        <f t="shared" si="4"/>
        <v>1639731.9198606284</v>
      </c>
      <c r="G35" s="524">
        <f t="shared" si="5"/>
        <v>248162.05979163136</v>
      </c>
      <c r="H35" s="491">
        <f t="shared" si="6"/>
        <v>248162.05979163136</v>
      </c>
      <c r="I35" s="511">
        <f t="shared" si="0"/>
        <v>0</v>
      </c>
      <c r="J35" s="511"/>
      <c r="K35" s="525"/>
      <c r="L35" s="514">
        <f t="shared" si="7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8"/>
        <v/>
      </c>
      <c r="C36" s="507">
        <f>IF(D11="","-",+C35+1)</f>
        <v>2038</v>
      </c>
      <c r="D36" s="523">
        <f>IF(F35+SUM(E$17:E35)=D$10,F35,D$10-SUM(E$17:E35))</f>
        <v>1639731.9198606284</v>
      </c>
      <c r="E36" s="522">
        <f>IF(+I14&lt;F35,I14,D36)</f>
        <v>69307.571428571435</v>
      </c>
      <c r="F36" s="523">
        <f t="shared" si="4"/>
        <v>1570424.3484320571</v>
      </c>
      <c r="G36" s="524">
        <f t="shared" si="5"/>
        <v>240758.76544537011</v>
      </c>
      <c r="H36" s="491">
        <f t="shared" si="6"/>
        <v>240758.76544537011</v>
      </c>
      <c r="I36" s="511">
        <f t="shared" si="0"/>
        <v>0</v>
      </c>
      <c r="J36" s="511"/>
      <c r="K36" s="525"/>
      <c r="L36" s="514">
        <f t="shared" si="7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8"/>
        <v/>
      </c>
      <c r="C37" s="507">
        <f>IF(D11="","-",+C36+1)</f>
        <v>2039</v>
      </c>
      <c r="D37" s="523">
        <f>IF(F36+SUM(E$17:E36)=D$10,F36,D$10-SUM(E$17:E36))</f>
        <v>1570424.3484320571</v>
      </c>
      <c r="E37" s="522">
        <f>IF(+I14&lt;F36,I14,D37)</f>
        <v>69307.571428571435</v>
      </c>
      <c r="F37" s="523">
        <f t="shared" si="4"/>
        <v>1501116.7770034857</v>
      </c>
      <c r="G37" s="524">
        <f t="shared" si="5"/>
        <v>233355.47109910892</v>
      </c>
      <c r="H37" s="491">
        <f t="shared" si="6"/>
        <v>233355.47109910892</v>
      </c>
      <c r="I37" s="511">
        <f t="shared" si="0"/>
        <v>0</v>
      </c>
      <c r="J37" s="511"/>
      <c r="K37" s="525"/>
      <c r="L37" s="514">
        <f t="shared" si="7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8"/>
        <v/>
      </c>
      <c r="C38" s="507">
        <f>IF(D11="","-",+C37+1)</f>
        <v>2040</v>
      </c>
      <c r="D38" s="523">
        <f>IF(F37+SUM(E$17:E37)=D$10,F37,D$10-SUM(E$17:E37))</f>
        <v>1501116.7770034857</v>
      </c>
      <c r="E38" s="522">
        <f>IF(+I14&lt;F37,I14,D38)</f>
        <v>69307.571428571435</v>
      </c>
      <c r="F38" s="523">
        <f t="shared" si="4"/>
        <v>1431809.2055749143</v>
      </c>
      <c r="G38" s="524">
        <f t="shared" si="5"/>
        <v>225952.17675284768</v>
      </c>
      <c r="H38" s="491">
        <f t="shared" si="6"/>
        <v>225952.17675284768</v>
      </c>
      <c r="I38" s="511">
        <f t="shared" si="0"/>
        <v>0</v>
      </c>
      <c r="J38" s="511"/>
      <c r="K38" s="525"/>
      <c r="L38" s="514">
        <f t="shared" si="7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8"/>
        <v/>
      </c>
      <c r="C39" s="507">
        <f>IF(D11="","-",+C38+1)</f>
        <v>2041</v>
      </c>
      <c r="D39" s="523">
        <f>IF(F38+SUM(E$17:E38)=D$10,F38,D$10-SUM(E$17:E38))</f>
        <v>1431809.2055749143</v>
      </c>
      <c r="E39" s="522">
        <f>IF(+I14&lt;F38,I14,D39)</f>
        <v>69307.571428571435</v>
      </c>
      <c r="F39" s="523">
        <f t="shared" si="4"/>
        <v>1362501.634146343</v>
      </c>
      <c r="G39" s="524">
        <f t="shared" si="5"/>
        <v>218548.88240658649</v>
      </c>
      <c r="H39" s="491">
        <f t="shared" si="6"/>
        <v>218548.88240658649</v>
      </c>
      <c r="I39" s="511">
        <f t="shared" si="0"/>
        <v>0</v>
      </c>
      <c r="J39" s="511"/>
      <c r="K39" s="525"/>
      <c r="L39" s="514">
        <f t="shared" si="7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8"/>
        <v/>
      </c>
      <c r="C40" s="507">
        <f>IF(D11="","-",+C39+1)</f>
        <v>2042</v>
      </c>
      <c r="D40" s="523">
        <f>IF(F39+SUM(E$17:E39)=D$10,F39,D$10-SUM(E$17:E39))</f>
        <v>1362501.634146343</v>
      </c>
      <c r="E40" s="522">
        <f>IF(+I14&lt;F39,I14,D40)</f>
        <v>69307.571428571435</v>
      </c>
      <c r="F40" s="523">
        <f t="shared" si="4"/>
        <v>1293194.0627177716</v>
      </c>
      <c r="G40" s="524">
        <f t="shared" si="5"/>
        <v>211145.58806032524</v>
      </c>
      <c r="H40" s="491">
        <f t="shared" si="6"/>
        <v>211145.58806032524</v>
      </c>
      <c r="I40" s="511">
        <f t="shared" si="0"/>
        <v>0</v>
      </c>
      <c r="J40" s="511"/>
      <c r="K40" s="525"/>
      <c r="L40" s="514">
        <f t="shared" si="7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8"/>
        <v/>
      </c>
      <c r="C41" s="507">
        <f>IF(D11="","-",+C40+1)</f>
        <v>2043</v>
      </c>
      <c r="D41" s="523">
        <f>IF(F40+SUM(E$17:E40)=D$10,F40,D$10-SUM(E$17:E40))</f>
        <v>1293194.0627177716</v>
      </c>
      <c r="E41" s="522">
        <f>IF(+I14&lt;F40,I14,D41)</f>
        <v>69307.571428571435</v>
      </c>
      <c r="F41" s="523">
        <f t="shared" si="4"/>
        <v>1223886.4912892003</v>
      </c>
      <c r="G41" s="524">
        <f t="shared" si="5"/>
        <v>203742.29371406406</v>
      </c>
      <c r="H41" s="491">
        <f t="shared" si="6"/>
        <v>203742.29371406406</v>
      </c>
      <c r="I41" s="511">
        <f t="shared" si="0"/>
        <v>0</v>
      </c>
      <c r="J41" s="511"/>
      <c r="K41" s="525"/>
      <c r="L41" s="514">
        <f t="shared" si="7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8"/>
        <v/>
      </c>
      <c r="C42" s="507">
        <f>IF(D11="","-",+C41+1)</f>
        <v>2044</v>
      </c>
      <c r="D42" s="523">
        <f>IF(F41+SUM(E$17:E41)=D$10,F41,D$10-SUM(E$17:E41))</f>
        <v>1223886.4912892003</v>
      </c>
      <c r="E42" s="522">
        <f>IF(+I14&lt;F41,I14,D42)</f>
        <v>69307.571428571435</v>
      </c>
      <c r="F42" s="523">
        <f t="shared" si="4"/>
        <v>1154578.9198606289</v>
      </c>
      <c r="G42" s="524">
        <f t="shared" si="5"/>
        <v>196338.99936780281</v>
      </c>
      <c r="H42" s="491">
        <f t="shared" si="6"/>
        <v>196338.99936780281</v>
      </c>
      <c r="I42" s="511">
        <f t="shared" si="0"/>
        <v>0</v>
      </c>
      <c r="J42" s="511"/>
      <c r="K42" s="525"/>
      <c r="L42" s="514">
        <f t="shared" si="7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8"/>
        <v/>
      </c>
      <c r="C43" s="507">
        <f>IF(D11="","-",+C42+1)</f>
        <v>2045</v>
      </c>
      <c r="D43" s="523">
        <f>IF(F42+SUM(E$17:E42)=D$10,F42,D$10-SUM(E$17:E42))</f>
        <v>1154578.9198606289</v>
      </c>
      <c r="E43" s="522">
        <f>IF(+I14&lt;F42,I14,D43)</f>
        <v>69307.571428571435</v>
      </c>
      <c r="F43" s="523">
        <f t="shared" si="4"/>
        <v>1085271.3484320575</v>
      </c>
      <c r="G43" s="524">
        <f t="shared" si="5"/>
        <v>188935.70502154162</v>
      </c>
      <c r="H43" s="491">
        <f t="shared" si="6"/>
        <v>188935.70502154162</v>
      </c>
      <c r="I43" s="511">
        <f t="shared" si="0"/>
        <v>0</v>
      </c>
      <c r="J43" s="511"/>
      <c r="K43" s="525"/>
      <c r="L43" s="514">
        <f t="shared" si="7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8"/>
        <v/>
      </c>
      <c r="C44" s="507">
        <f>IF(D11="","-",+C43+1)</f>
        <v>2046</v>
      </c>
      <c r="D44" s="523">
        <f>IF(F43+SUM(E$17:E43)=D$10,F43,D$10-SUM(E$17:E43))</f>
        <v>1085271.3484320575</v>
      </c>
      <c r="E44" s="522">
        <f>IF(+I14&lt;F43,I14,D44)</f>
        <v>69307.571428571435</v>
      </c>
      <c r="F44" s="523">
        <f t="shared" si="4"/>
        <v>1015963.7770034861</v>
      </c>
      <c r="G44" s="524">
        <f t="shared" si="5"/>
        <v>181532.41067528038</v>
      </c>
      <c r="H44" s="491">
        <f t="shared" si="6"/>
        <v>181532.41067528038</v>
      </c>
      <c r="I44" s="511">
        <f t="shared" si="0"/>
        <v>0</v>
      </c>
      <c r="J44" s="511"/>
      <c r="K44" s="525"/>
      <c r="L44" s="514">
        <f t="shared" si="7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8"/>
        <v/>
      </c>
      <c r="C45" s="507">
        <f>IF(D11="","-",+C44+1)</f>
        <v>2047</v>
      </c>
      <c r="D45" s="523">
        <f>IF(F44+SUM(E$17:E44)=D$10,F44,D$10-SUM(E$17:E44))</f>
        <v>1015963.7770034861</v>
      </c>
      <c r="E45" s="522">
        <f>IF(+I14&lt;F44,I14,D45)</f>
        <v>69307.571428571435</v>
      </c>
      <c r="F45" s="523">
        <f t="shared" si="4"/>
        <v>946656.20557491458</v>
      </c>
      <c r="G45" s="524">
        <f t="shared" si="5"/>
        <v>174129.11632901913</v>
      </c>
      <c r="H45" s="491">
        <f t="shared" si="6"/>
        <v>174129.11632901913</v>
      </c>
      <c r="I45" s="511">
        <f t="shared" si="0"/>
        <v>0</v>
      </c>
      <c r="J45" s="511"/>
      <c r="K45" s="525"/>
      <c r="L45" s="514">
        <f t="shared" si="7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8"/>
        <v/>
      </c>
      <c r="C46" s="507">
        <f>IF(D11="","-",+C45+1)</f>
        <v>2048</v>
      </c>
      <c r="D46" s="523">
        <f>IF(F45+SUM(E$17:E45)=D$10,F45,D$10-SUM(E$17:E45))</f>
        <v>946656.20557491458</v>
      </c>
      <c r="E46" s="522">
        <f>IF(+I14&lt;F45,I14,D46)</f>
        <v>69307.571428571435</v>
      </c>
      <c r="F46" s="523">
        <f t="shared" si="4"/>
        <v>877348.6341463431</v>
      </c>
      <c r="G46" s="524">
        <f t="shared" si="5"/>
        <v>166725.82198275795</v>
      </c>
      <c r="H46" s="491">
        <f t="shared" si="6"/>
        <v>166725.82198275795</v>
      </c>
      <c r="I46" s="511">
        <f t="shared" si="0"/>
        <v>0</v>
      </c>
      <c r="J46" s="511"/>
      <c r="K46" s="525"/>
      <c r="L46" s="514">
        <f t="shared" si="7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8"/>
        <v/>
      </c>
      <c r="C47" s="507">
        <f>IF(D11="","-",+C46+1)</f>
        <v>2049</v>
      </c>
      <c r="D47" s="523">
        <f>IF(F46+SUM(E$17:E46)=D$10,F46,D$10-SUM(E$17:E46))</f>
        <v>877348.6341463431</v>
      </c>
      <c r="E47" s="522">
        <f>IF(+I14&lt;F46,I14,D47)</f>
        <v>69307.571428571435</v>
      </c>
      <c r="F47" s="523">
        <f t="shared" si="4"/>
        <v>808041.06271777162</v>
      </c>
      <c r="G47" s="524">
        <f t="shared" si="5"/>
        <v>159322.5276364967</v>
      </c>
      <c r="H47" s="491">
        <f t="shared" si="6"/>
        <v>159322.5276364967</v>
      </c>
      <c r="I47" s="511">
        <f t="shared" si="0"/>
        <v>0</v>
      </c>
      <c r="J47" s="511"/>
      <c r="K47" s="525"/>
      <c r="L47" s="514">
        <f t="shared" si="7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8"/>
        <v/>
      </c>
      <c r="C48" s="507">
        <f>IF(D11="","-",+C47+1)</f>
        <v>2050</v>
      </c>
      <c r="D48" s="523">
        <f>IF(F47+SUM(E$17:E47)=D$10,F47,D$10-SUM(E$17:E47))</f>
        <v>808041.06271777162</v>
      </c>
      <c r="E48" s="522">
        <f>IF(+I14&lt;F47,I14,D48)</f>
        <v>69307.571428571435</v>
      </c>
      <c r="F48" s="523">
        <f t="shared" si="4"/>
        <v>738733.49128920014</v>
      </c>
      <c r="G48" s="524">
        <f t="shared" si="5"/>
        <v>151919.23329023545</v>
      </c>
      <c r="H48" s="491">
        <f t="shared" si="6"/>
        <v>151919.23329023545</v>
      </c>
      <c r="I48" s="511">
        <f t="shared" si="0"/>
        <v>0</v>
      </c>
      <c r="J48" s="511"/>
      <c r="K48" s="525"/>
      <c r="L48" s="514">
        <f t="shared" si="7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8"/>
        <v/>
      </c>
      <c r="C49" s="507">
        <f>IF(D11="","-",+C48+1)</f>
        <v>2051</v>
      </c>
      <c r="D49" s="523">
        <f>IF(F48+SUM(E$17:E48)=D$10,F48,D$10-SUM(E$17:E48))</f>
        <v>738733.49128920014</v>
      </c>
      <c r="E49" s="522">
        <f>IF(+I14&lt;F48,I14,D49)</f>
        <v>69307.571428571435</v>
      </c>
      <c r="F49" s="523">
        <f t="shared" si="4"/>
        <v>669425.91986062867</v>
      </c>
      <c r="G49" s="524">
        <f t="shared" si="5"/>
        <v>144515.93894397424</v>
      </c>
      <c r="H49" s="491">
        <f t="shared" si="6"/>
        <v>144515.93894397424</v>
      </c>
      <c r="I49" s="511">
        <f t="shared" si="0"/>
        <v>0</v>
      </c>
      <c r="J49" s="511"/>
      <c r="K49" s="525"/>
      <c r="L49" s="514">
        <f t="shared" si="7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8"/>
        <v/>
      </c>
      <c r="C50" s="507">
        <f>IF(D11="","-",+C49+1)</f>
        <v>2052</v>
      </c>
      <c r="D50" s="523">
        <f>IF(F49+SUM(E$17:E49)=D$10,F49,D$10-SUM(E$17:E49))</f>
        <v>669425.91986062867</v>
      </c>
      <c r="E50" s="522">
        <f>IF(+I14&lt;F49,I14,D50)</f>
        <v>69307.571428571435</v>
      </c>
      <c r="F50" s="523">
        <f t="shared" si="4"/>
        <v>600118.34843205719</v>
      </c>
      <c r="G50" s="524">
        <f t="shared" si="5"/>
        <v>137112.64459771302</v>
      </c>
      <c r="H50" s="491">
        <f t="shared" si="6"/>
        <v>137112.64459771302</v>
      </c>
      <c r="I50" s="511">
        <f t="shared" si="0"/>
        <v>0</v>
      </c>
      <c r="J50" s="511"/>
      <c r="K50" s="525"/>
      <c r="L50" s="514">
        <f t="shared" si="7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8"/>
        <v/>
      </c>
      <c r="C51" s="507">
        <f>IF(D11="","-",+C50+1)</f>
        <v>2053</v>
      </c>
      <c r="D51" s="523">
        <f>IF(F50+SUM(E$17:E50)=D$10,F50,D$10-SUM(E$17:E50))</f>
        <v>600118.34843205719</v>
      </c>
      <c r="E51" s="522">
        <f>IF(+I14&lt;F50,I14,D51)</f>
        <v>69307.571428571435</v>
      </c>
      <c r="F51" s="523">
        <f t="shared" si="4"/>
        <v>530810.77700348571</v>
      </c>
      <c r="G51" s="524">
        <f t="shared" si="5"/>
        <v>129709.35025145177</v>
      </c>
      <c r="H51" s="491">
        <f t="shared" si="6"/>
        <v>129709.35025145177</v>
      </c>
      <c r="I51" s="511">
        <f t="shared" si="0"/>
        <v>0</v>
      </c>
      <c r="J51" s="511"/>
      <c r="K51" s="525"/>
      <c r="L51" s="514">
        <f t="shared" si="7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8"/>
        <v/>
      </c>
      <c r="C52" s="507">
        <f>IF(D11="","-",+C51+1)</f>
        <v>2054</v>
      </c>
      <c r="D52" s="523">
        <f>IF(F51+SUM(E$17:E51)=D$10,F51,D$10-SUM(E$17:E51))</f>
        <v>530810.77700348571</v>
      </c>
      <c r="E52" s="522">
        <f>IF(+I14&lt;F51,I14,D52)</f>
        <v>69307.571428571435</v>
      </c>
      <c r="F52" s="523">
        <f t="shared" si="4"/>
        <v>461503.20557491429</v>
      </c>
      <c r="G52" s="524">
        <f t="shared" si="5"/>
        <v>122306.05590519056</v>
      </c>
      <c r="H52" s="491">
        <f t="shared" si="6"/>
        <v>122306.05590519056</v>
      </c>
      <c r="I52" s="511">
        <f t="shared" si="0"/>
        <v>0</v>
      </c>
      <c r="J52" s="511"/>
      <c r="K52" s="525"/>
      <c r="L52" s="514">
        <f t="shared" si="7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8"/>
        <v/>
      </c>
      <c r="C53" s="507">
        <f>IF(D11="","-",+C52+1)</f>
        <v>2055</v>
      </c>
      <c r="D53" s="523">
        <f>IF(F52+SUM(E$17:E52)=D$10,F52,D$10-SUM(E$17:E52))</f>
        <v>461503.20557491429</v>
      </c>
      <c r="E53" s="522">
        <f>IF(+I14&lt;F52,I14,D53)</f>
        <v>69307.571428571435</v>
      </c>
      <c r="F53" s="523">
        <f t="shared" si="4"/>
        <v>392195.63414634287</v>
      </c>
      <c r="G53" s="524">
        <f t="shared" si="5"/>
        <v>114902.76155892933</v>
      </c>
      <c r="H53" s="491">
        <f t="shared" si="6"/>
        <v>114902.76155892933</v>
      </c>
      <c r="I53" s="511">
        <f t="shared" si="0"/>
        <v>0</v>
      </c>
      <c r="J53" s="511"/>
      <c r="K53" s="525"/>
      <c r="L53" s="514">
        <f t="shared" si="7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8"/>
        <v/>
      </c>
      <c r="C54" s="507">
        <f>IF(D11="","-",+C53+1)</f>
        <v>2056</v>
      </c>
      <c r="D54" s="523">
        <f>IF(F53+SUM(E$17:E53)=D$10,F53,D$10-SUM(E$17:E53))</f>
        <v>392195.63414634287</v>
      </c>
      <c r="E54" s="522">
        <f>IF(+I14&lt;F53,I14,D54)</f>
        <v>69307.571428571435</v>
      </c>
      <c r="F54" s="523">
        <f t="shared" si="4"/>
        <v>322888.06271777145</v>
      </c>
      <c r="G54" s="524">
        <f t="shared" si="5"/>
        <v>107499.46721266811</v>
      </c>
      <c r="H54" s="491">
        <f t="shared" si="6"/>
        <v>107499.46721266811</v>
      </c>
      <c r="I54" s="511">
        <f t="shared" si="0"/>
        <v>0</v>
      </c>
      <c r="J54" s="511"/>
      <c r="K54" s="525"/>
      <c r="L54" s="514">
        <f t="shared" si="7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8"/>
        <v/>
      </c>
      <c r="C55" s="507">
        <f>IF(D11="","-",+C54+1)</f>
        <v>2057</v>
      </c>
      <c r="D55" s="523">
        <f>IF(F54+SUM(E$17:E54)=D$10,F54,D$10-SUM(E$17:E54))</f>
        <v>322888.06271777145</v>
      </c>
      <c r="E55" s="522">
        <f>IF(+I14&lt;F54,I14,D55)</f>
        <v>69307.571428571435</v>
      </c>
      <c r="F55" s="523">
        <f t="shared" si="4"/>
        <v>253580.49128920003</v>
      </c>
      <c r="G55" s="524">
        <f t="shared" si="5"/>
        <v>100096.17286640688</v>
      </c>
      <c r="H55" s="491">
        <f t="shared" si="6"/>
        <v>100096.17286640688</v>
      </c>
      <c r="I55" s="511">
        <f t="shared" si="0"/>
        <v>0</v>
      </c>
      <c r="J55" s="511"/>
      <c r="K55" s="525"/>
      <c r="L55" s="514">
        <f t="shared" si="7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8"/>
        <v/>
      </c>
      <c r="C56" s="507">
        <f>IF(D11="","-",+C55+1)</f>
        <v>2058</v>
      </c>
      <c r="D56" s="523">
        <f>IF(F55+SUM(E$17:E55)=D$10,F55,D$10-SUM(E$17:E55))</f>
        <v>253580.49128920003</v>
      </c>
      <c r="E56" s="522">
        <f>IF(+I14&lt;F55,I14,D56)</f>
        <v>69307.571428571435</v>
      </c>
      <c r="F56" s="523">
        <f t="shared" si="4"/>
        <v>184272.91986062861</v>
      </c>
      <c r="G56" s="524">
        <f t="shared" si="5"/>
        <v>92692.878520145663</v>
      </c>
      <c r="H56" s="491">
        <f t="shared" si="6"/>
        <v>92692.878520145663</v>
      </c>
      <c r="I56" s="511">
        <f t="shared" si="0"/>
        <v>0</v>
      </c>
      <c r="J56" s="511"/>
      <c r="K56" s="525"/>
      <c r="L56" s="514">
        <f t="shared" si="7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8"/>
        <v/>
      </c>
      <c r="C57" s="507">
        <f>IF(D11="","-",+C56+1)</f>
        <v>2059</v>
      </c>
      <c r="D57" s="523">
        <f>IF(F56+SUM(E$17:E56)=D$10,F56,D$10-SUM(E$17:E56))</f>
        <v>184272.91986062861</v>
      </c>
      <c r="E57" s="522">
        <f>IF(+I14&lt;F56,I14,D57)</f>
        <v>69307.571428571435</v>
      </c>
      <c r="F57" s="523">
        <f t="shared" si="4"/>
        <v>114965.34843205717</v>
      </c>
      <c r="G57" s="524">
        <f t="shared" si="5"/>
        <v>85289.584173884446</v>
      </c>
      <c r="H57" s="491">
        <f t="shared" si="6"/>
        <v>85289.584173884446</v>
      </c>
      <c r="I57" s="511">
        <f t="shared" si="0"/>
        <v>0</v>
      </c>
      <c r="J57" s="511"/>
      <c r="K57" s="525"/>
      <c r="L57" s="514">
        <f t="shared" si="7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8"/>
        <v/>
      </c>
      <c r="C58" s="507">
        <f>IF(D11="","-",+C57+1)</f>
        <v>2060</v>
      </c>
      <c r="D58" s="523">
        <f>IF(F57+SUM(E$17:E57)=D$10,F57,D$10-SUM(E$17:E57))</f>
        <v>114965.34843205717</v>
      </c>
      <c r="E58" s="522">
        <f>IF(+I14&lt;F57,I14,D58)</f>
        <v>69307.571428571435</v>
      </c>
      <c r="F58" s="523">
        <f t="shared" si="4"/>
        <v>45657.777003485739</v>
      </c>
      <c r="G58" s="524">
        <f t="shared" si="5"/>
        <v>77886.289827623215</v>
      </c>
      <c r="H58" s="491">
        <f t="shared" si="6"/>
        <v>77886.289827623215</v>
      </c>
      <c r="I58" s="511">
        <f t="shared" si="0"/>
        <v>0</v>
      </c>
      <c r="J58" s="511"/>
      <c r="K58" s="525"/>
      <c r="L58" s="514">
        <f t="shared" si="7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8"/>
        <v/>
      </c>
      <c r="C59" s="507">
        <f>IF(D11="","-",+C58+1)</f>
        <v>2061</v>
      </c>
      <c r="D59" s="523">
        <f>IF(F58+SUM(E$17:E58)=D$10,F58,D$10-SUM(E$17:E58))</f>
        <v>45657.777003485739</v>
      </c>
      <c r="E59" s="522">
        <f>IF(+I14&lt;F58,I14,D59)</f>
        <v>45657.777003485739</v>
      </c>
      <c r="F59" s="523">
        <f t="shared" si="4"/>
        <v>0</v>
      </c>
      <c r="G59" s="524">
        <f t="shared" si="5"/>
        <v>48096.312616446325</v>
      </c>
      <c r="H59" s="491">
        <f t="shared" si="6"/>
        <v>48096.312616446325</v>
      </c>
      <c r="I59" s="511">
        <f t="shared" si="0"/>
        <v>0</v>
      </c>
      <c r="J59" s="511"/>
      <c r="K59" s="525"/>
      <c r="L59" s="514">
        <f t="shared" si="7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8"/>
        <v/>
      </c>
      <c r="C60" s="507">
        <f>IF(D11="","-",+C59+1)</f>
        <v>2062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4"/>
        <v>0</v>
      </c>
      <c r="G60" s="524">
        <f t="shared" si="5"/>
        <v>0</v>
      </c>
      <c r="H60" s="491">
        <f t="shared" si="6"/>
        <v>0</v>
      </c>
      <c r="I60" s="511">
        <f t="shared" si="0"/>
        <v>0</v>
      </c>
      <c r="J60" s="511"/>
      <c r="K60" s="525"/>
      <c r="L60" s="514">
        <f t="shared" si="7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8"/>
        <v/>
      </c>
      <c r="C61" s="507">
        <f>IF(D11="","-",+C60+1)</f>
        <v>2063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4"/>
        <v>0</v>
      </c>
      <c r="G61" s="526">
        <f t="shared" si="5"/>
        <v>0</v>
      </c>
      <c r="H61" s="491">
        <f t="shared" si="6"/>
        <v>0</v>
      </c>
      <c r="I61" s="511">
        <f t="shared" si="0"/>
        <v>0</v>
      </c>
      <c r="J61" s="511"/>
      <c r="K61" s="525"/>
      <c r="L61" s="514">
        <f t="shared" si="7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8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4"/>
        <v>0</v>
      </c>
      <c r="G62" s="526">
        <f t="shared" si="5"/>
        <v>0</v>
      </c>
      <c r="H62" s="491">
        <f t="shared" si="6"/>
        <v>0</v>
      </c>
      <c r="I62" s="511">
        <f t="shared" si="0"/>
        <v>0</v>
      </c>
      <c r="J62" s="511"/>
      <c r="K62" s="525"/>
      <c r="L62" s="514">
        <f t="shared" si="7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8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4"/>
        <v>0</v>
      </c>
      <c r="G63" s="526">
        <f t="shared" si="5"/>
        <v>0</v>
      </c>
      <c r="H63" s="491">
        <f t="shared" si="6"/>
        <v>0</v>
      </c>
      <c r="I63" s="511">
        <f t="shared" si="0"/>
        <v>0</v>
      </c>
      <c r="J63" s="511"/>
      <c r="K63" s="525"/>
      <c r="L63" s="514">
        <f t="shared" si="7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8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4"/>
        <v>0</v>
      </c>
      <c r="G64" s="526">
        <f t="shared" si="5"/>
        <v>0</v>
      </c>
      <c r="H64" s="491">
        <f t="shared" si="6"/>
        <v>0</v>
      </c>
      <c r="I64" s="511">
        <f t="shared" si="0"/>
        <v>0</v>
      </c>
      <c r="J64" s="511"/>
      <c r="K64" s="525"/>
      <c r="L64" s="514">
        <f t="shared" si="7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8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4"/>
        <v>0</v>
      </c>
      <c r="G65" s="526">
        <f t="shared" si="5"/>
        <v>0</v>
      </c>
      <c r="H65" s="491">
        <f t="shared" si="6"/>
        <v>0</v>
      </c>
      <c r="I65" s="511">
        <f t="shared" si="0"/>
        <v>0</v>
      </c>
      <c r="J65" s="511"/>
      <c r="K65" s="525"/>
      <c r="L65" s="514">
        <f t="shared" si="7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8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4"/>
        <v>0</v>
      </c>
      <c r="G66" s="526">
        <f t="shared" si="5"/>
        <v>0</v>
      </c>
      <c r="H66" s="491">
        <f t="shared" si="6"/>
        <v>0</v>
      </c>
      <c r="I66" s="511">
        <f t="shared" si="0"/>
        <v>0</v>
      </c>
      <c r="J66" s="511"/>
      <c r="K66" s="525"/>
      <c r="L66" s="514">
        <f t="shared" si="7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8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4"/>
        <v>0</v>
      </c>
      <c r="G67" s="526">
        <f t="shared" si="5"/>
        <v>0</v>
      </c>
      <c r="H67" s="491">
        <f t="shared" si="6"/>
        <v>0</v>
      </c>
      <c r="I67" s="511">
        <f t="shared" si="0"/>
        <v>0</v>
      </c>
      <c r="J67" s="511"/>
      <c r="K67" s="525"/>
      <c r="L67" s="514">
        <f t="shared" si="7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8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4"/>
        <v>0</v>
      </c>
      <c r="G68" s="526">
        <f t="shared" si="5"/>
        <v>0</v>
      </c>
      <c r="H68" s="491">
        <f t="shared" si="6"/>
        <v>0</v>
      </c>
      <c r="I68" s="511">
        <f t="shared" si="0"/>
        <v>0</v>
      </c>
      <c r="J68" s="511"/>
      <c r="K68" s="525"/>
      <c r="L68" s="514">
        <f t="shared" si="7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8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4"/>
        <v>0</v>
      </c>
      <c r="G69" s="526">
        <f t="shared" si="5"/>
        <v>0</v>
      </c>
      <c r="H69" s="491">
        <f t="shared" si="6"/>
        <v>0</v>
      </c>
      <c r="I69" s="511">
        <f t="shared" si="0"/>
        <v>0</v>
      </c>
      <c r="J69" s="511"/>
      <c r="K69" s="525"/>
      <c r="L69" s="514">
        <f t="shared" si="7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8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4"/>
        <v>0</v>
      </c>
      <c r="G70" s="526">
        <f t="shared" si="5"/>
        <v>0</v>
      </c>
      <c r="H70" s="491">
        <f t="shared" si="6"/>
        <v>0</v>
      </c>
      <c r="I70" s="511">
        <f t="shared" si="0"/>
        <v>0</v>
      </c>
      <c r="J70" s="511"/>
      <c r="K70" s="525"/>
      <c r="L70" s="514">
        <f t="shared" si="7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8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4"/>
        <v>0</v>
      </c>
      <c r="G71" s="526">
        <f t="shared" si="5"/>
        <v>0</v>
      </c>
      <c r="H71" s="491">
        <f t="shared" si="6"/>
        <v>0</v>
      </c>
      <c r="I71" s="511">
        <f t="shared" si="0"/>
        <v>0</v>
      </c>
      <c r="J71" s="511"/>
      <c r="K71" s="525"/>
      <c r="L71" s="514">
        <f t="shared" si="7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8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4"/>
        <v>0</v>
      </c>
      <c r="G72" s="530">
        <f t="shared" si="5"/>
        <v>0</v>
      </c>
      <c r="H72" s="471">
        <f t="shared" si="6"/>
        <v>0</v>
      </c>
      <c r="I72" s="531">
        <f t="shared" si="0"/>
        <v>0</v>
      </c>
      <c r="J72" s="511"/>
      <c r="K72" s="532"/>
      <c r="L72" s="533">
        <f t="shared" si="7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2910918</v>
      </c>
      <c r="F73" s="375"/>
      <c r="G73" s="375">
        <f>SUM(G17:G72)</f>
        <v>9318511.3356062528</v>
      </c>
      <c r="H73" s="375">
        <f>SUM(H17:H72)</f>
        <v>9318511.3356062528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74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240163.83980112415</v>
      </c>
      <c r="N87" s="546">
        <f>IF(J92&lt;D11,0,VLOOKUP(J92,C17:O72,11))</f>
        <v>240163.83980112415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373863.47414547531</v>
      </c>
      <c r="N88" s="550">
        <f>IF(J92&lt;D11,0,VLOOKUP(J92,C99:P154,7))</f>
        <v>373863.47414547531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Figure Five - VBI North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133699.63434435116</v>
      </c>
      <c r="N89" s="555">
        <f>+N88-N87</f>
        <v>133699.63434435116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TA2016806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2910918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4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69307.571428571435</v>
      </c>
      <c r="K96" s="375"/>
      <c r="L96" s="375"/>
      <c r="M96" s="375"/>
      <c r="N96" s="375"/>
      <c r="O96" s="375"/>
      <c r="P96" s="272"/>
    </row>
    <row r="97" spans="1:16" ht="39">
      <c r="A97" s="662"/>
      <c r="B97" s="66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2019</v>
      </c>
      <c r="D99" s="629">
        <v>0</v>
      </c>
      <c r="E99" s="630">
        <v>45130.51162790697</v>
      </c>
      <c r="F99" s="631">
        <v>2865787.4883720931</v>
      </c>
      <c r="G99" s="631">
        <v>1432893.7441860465</v>
      </c>
      <c r="H99" s="633">
        <v>198508.2411422825</v>
      </c>
      <c r="I99" s="634">
        <v>198508.2411422825</v>
      </c>
      <c r="J99" s="514">
        <f t="shared" ref="J99:J130" si="9">+I99-H99</f>
        <v>0</v>
      </c>
      <c r="K99" s="514"/>
      <c r="L99" s="512">
        <f>+H99</f>
        <v>198508.2411422825</v>
      </c>
      <c r="M99" s="513">
        <f t="shared" ref="M99" si="10">IF(L99&lt;&gt;0,+H99-L99,0)</f>
        <v>0</v>
      </c>
      <c r="N99" s="512">
        <f>+I99</f>
        <v>198508.2411422825</v>
      </c>
      <c r="O99" s="513">
        <f t="shared" ref="O99:O130" si="11">IF(N99&lt;&gt;0,+I99-N99,0)</f>
        <v>0</v>
      </c>
      <c r="P99" s="513">
        <f t="shared" ref="P99:P130" si="12">+O99-M99</f>
        <v>0</v>
      </c>
    </row>
    <row r="100" spans="1:16" ht="12.5">
      <c r="B100" s="195" t="str">
        <f>IF(D100=F99,"","IU")</f>
        <v/>
      </c>
      <c r="C100" s="507">
        <f>IF(D93="","-",+C99+1)</f>
        <v>2020</v>
      </c>
      <c r="D100" s="374">
        <f>IF(F99+SUM(E$99:E99)=D$92,F99,D$92-SUM(E$99:E99))</f>
        <v>2865787.4883720931</v>
      </c>
      <c r="E100" s="522">
        <f>IF(+J96&lt;F99,J96,D100)</f>
        <v>69307.571428571435</v>
      </c>
      <c r="F100" s="523">
        <f t="shared" ref="F100:F154" si="13">+D100-E100</f>
        <v>2796479.9169435217</v>
      </c>
      <c r="G100" s="523">
        <f t="shared" ref="G100:G154" si="14">+(F100+D100)/2</f>
        <v>2831133.7026578076</v>
      </c>
      <c r="H100" s="526">
        <f t="shared" ref="H100:H154" si="15">+J$94*G100+E100</f>
        <v>373863.47414547531</v>
      </c>
      <c r="I100" s="577">
        <f t="shared" ref="I100:I154" si="16">+J$95*G100+E100</f>
        <v>373863.47414547531</v>
      </c>
      <c r="J100" s="514">
        <f t="shared" si="9"/>
        <v>0</v>
      </c>
      <c r="K100" s="514"/>
      <c r="L100" s="525"/>
      <c r="M100" s="514">
        <f t="shared" ref="M100:M130" si="17">IF(L100&lt;&gt;0,+H100-L100,0)</f>
        <v>0</v>
      </c>
      <c r="N100" s="525"/>
      <c r="O100" s="514">
        <f t="shared" si="11"/>
        <v>0</v>
      </c>
      <c r="P100" s="514">
        <f t="shared" si="12"/>
        <v>0</v>
      </c>
    </row>
    <row r="101" spans="1:16" ht="12.5">
      <c r="B101" s="195" t="str">
        <f t="shared" ref="B101:B154" si="18">IF(D101=F100,"","IU")</f>
        <v/>
      </c>
      <c r="C101" s="507">
        <f>IF(D93="","-",+C100+1)</f>
        <v>2021</v>
      </c>
      <c r="D101" s="374">
        <f>IF(F100+SUM(E$99:E100)=D$92,F100,D$92-SUM(E$99:E100))</f>
        <v>2796479.9169435217</v>
      </c>
      <c r="E101" s="522">
        <f>IF(+J96&lt;F100,J96,D101)</f>
        <v>69307.571428571435</v>
      </c>
      <c r="F101" s="523">
        <f t="shared" si="13"/>
        <v>2727172.3455149503</v>
      </c>
      <c r="G101" s="523">
        <f t="shared" si="14"/>
        <v>2761826.1312292358</v>
      </c>
      <c r="H101" s="526">
        <f t="shared" si="15"/>
        <v>366407.7930655852</v>
      </c>
      <c r="I101" s="577">
        <f t="shared" si="16"/>
        <v>366407.7930655852</v>
      </c>
      <c r="J101" s="514">
        <f t="shared" si="9"/>
        <v>0</v>
      </c>
      <c r="K101" s="514"/>
      <c r="L101" s="525"/>
      <c r="M101" s="514">
        <f t="shared" si="17"/>
        <v>0</v>
      </c>
      <c r="N101" s="525"/>
      <c r="O101" s="514">
        <f t="shared" si="11"/>
        <v>0</v>
      </c>
      <c r="P101" s="514">
        <f t="shared" si="12"/>
        <v>0</v>
      </c>
    </row>
    <row r="102" spans="1:16" ht="12.5">
      <c r="B102" s="195" t="str">
        <f t="shared" si="18"/>
        <v/>
      </c>
      <c r="C102" s="507">
        <f>IF(D93="","-",+C101+1)</f>
        <v>2022</v>
      </c>
      <c r="D102" s="374">
        <f>IF(F101+SUM(E$99:E101)=D$92,F101,D$92-SUM(E$99:E101))</f>
        <v>2727172.3455149503</v>
      </c>
      <c r="E102" s="522">
        <f>IF(+J96&lt;F101,J96,D102)</f>
        <v>69307.571428571435</v>
      </c>
      <c r="F102" s="523">
        <f t="shared" si="13"/>
        <v>2657864.774086379</v>
      </c>
      <c r="G102" s="523">
        <f t="shared" si="14"/>
        <v>2692518.5598006649</v>
      </c>
      <c r="H102" s="526">
        <f t="shared" si="15"/>
        <v>358952.1119856952</v>
      </c>
      <c r="I102" s="577">
        <f t="shared" si="16"/>
        <v>358952.1119856952</v>
      </c>
      <c r="J102" s="514">
        <f t="shared" si="9"/>
        <v>0</v>
      </c>
      <c r="K102" s="514"/>
      <c r="L102" s="525"/>
      <c r="M102" s="514">
        <f t="shared" si="17"/>
        <v>0</v>
      </c>
      <c r="N102" s="525"/>
      <c r="O102" s="514">
        <f t="shared" si="11"/>
        <v>0</v>
      </c>
      <c r="P102" s="514">
        <f t="shared" si="12"/>
        <v>0</v>
      </c>
    </row>
    <row r="103" spans="1:16" ht="12.5">
      <c r="B103" s="195" t="str">
        <f t="shared" si="18"/>
        <v/>
      </c>
      <c r="C103" s="507">
        <f>IF(D93="","-",+C102+1)</f>
        <v>2023</v>
      </c>
      <c r="D103" s="374">
        <f>IF(F102+SUM(E$99:E102)=D$92,F102,D$92-SUM(E$99:E102))</f>
        <v>2657864.774086379</v>
      </c>
      <c r="E103" s="522">
        <f>IF(+J96&lt;F102,J96,D103)</f>
        <v>69307.571428571435</v>
      </c>
      <c r="F103" s="523">
        <f t="shared" si="13"/>
        <v>2588557.2026578076</v>
      </c>
      <c r="G103" s="523">
        <f t="shared" si="14"/>
        <v>2623210.9883720931</v>
      </c>
      <c r="H103" s="526">
        <f t="shared" si="15"/>
        <v>351496.43090580514</v>
      </c>
      <c r="I103" s="577">
        <f t="shared" si="16"/>
        <v>351496.43090580514</v>
      </c>
      <c r="J103" s="514">
        <f t="shared" si="9"/>
        <v>0</v>
      </c>
      <c r="K103" s="514"/>
      <c r="L103" s="525"/>
      <c r="M103" s="514">
        <f t="shared" si="17"/>
        <v>0</v>
      </c>
      <c r="N103" s="525"/>
      <c r="O103" s="514">
        <f t="shared" si="11"/>
        <v>0</v>
      </c>
      <c r="P103" s="514">
        <f t="shared" si="12"/>
        <v>0</v>
      </c>
    </row>
    <row r="104" spans="1:16" ht="12.5">
      <c r="B104" s="195" t="str">
        <f t="shared" si="18"/>
        <v/>
      </c>
      <c r="C104" s="507">
        <f>IF(D93="","-",+C103+1)</f>
        <v>2024</v>
      </c>
      <c r="D104" s="374">
        <f>IF(F103+SUM(E$99:E103)=D$92,F103,D$92-SUM(E$99:E103))</f>
        <v>2588557.2026578076</v>
      </c>
      <c r="E104" s="522">
        <f>IF(+J96&lt;F103,J96,D104)</f>
        <v>69307.571428571435</v>
      </c>
      <c r="F104" s="523">
        <f t="shared" si="13"/>
        <v>2519249.6312292363</v>
      </c>
      <c r="G104" s="523">
        <f t="shared" si="14"/>
        <v>2553903.4169435222</v>
      </c>
      <c r="H104" s="526">
        <f t="shared" si="15"/>
        <v>344040.74982591515</v>
      </c>
      <c r="I104" s="577">
        <f t="shared" si="16"/>
        <v>344040.74982591515</v>
      </c>
      <c r="J104" s="514">
        <f t="shared" si="9"/>
        <v>0</v>
      </c>
      <c r="K104" s="514"/>
      <c r="L104" s="525"/>
      <c r="M104" s="514">
        <f t="shared" si="17"/>
        <v>0</v>
      </c>
      <c r="N104" s="525"/>
      <c r="O104" s="514">
        <f t="shared" si="11"/>
        <v>0</v>
      </c>
      <c r="P104" s="514">
        <f t="shared" si="12"/>
        <v>0</v>
      </c>
    </row>
    <row r="105" spans="1:16" ht="12.5">
      <c r="B105" s="195" t="str">
        <f t="shared" si="18"/>
        <v/>
      </c>
      <c r="C105" s="507">
        <f>IF(D93="","-",+C104+1)</f>
        <v>2025</v>
      </c>
      <c r="D105" s="374">
        <f>IF(F104+SUM(E$99:E104)=D$92,F104,D$92-SUM(E$99:E104))</f>
        <v>2519249.6312292363</v>
      </c>
      <c r="E105" s="522">
        <f>IF(+J96&lt;F104,J96,D105)</f>
        <v>69307.571428571435</v>
      </c>
      <c r="F105" s="523">
        <f t="shared" si="13"/>
        <v>2449942.0598006649</v>
      </c>
      <c r="G105" s="523">
        <f t="shared" si="14"/>
        <v>2484595.8455149503</v>
      </c>
      <c r="H105" s="526">
        <f t="shared" si="15"/>
        <v>336585.06874602503</v>
      </c>
      <c r="I105" s="577">
        <f t="shared" si="16"/>
        <v>336585.06874602503</v>
      </c>
      <c r="J105" s="514">
        <f t="shared" si="9"/>
        <v>0</v>
      </c>
      <c r="K105" s="514"/>
      <c r="L105" s="525"/>
      <c r="M105" s="514">
        <f t="shared" si="17"/>
        <v>0</v>
      </c>
      <c r="N105" s="525"/>
      <c r="O105" s="514">
        <f t="shared" si="11"/>
        <v>0</v>
      </c>
      <c r="P105" s="514">
        <f t="shared" si="12"/>
        <v>0</v>
      </c>
    </row>
    <row r="106" spans="1:16" ht="12.5">
      <c r="B106" s="195" t="str">
        <f t="shared" si="18"/>
        <v/>
      </c>
      <c r="C106" s="507">
        <f>IF(D93="","-",+C105+1)</f>
        <v>2026</v>
      </c>
      <c r="D106" s="374">
        <f>IF(F105+SUM(E$99:E105)=D$92,F105,D$92-SUM(E$99:E105))</f>
        <v>2449942.0598006649</v>
      </c>
      <c r="E106" s="522">
        <f>IF(+J96&lt;F105,J96,D106)</f>
        <v>69307.571428571435</v>
      </c>
      <c r="F106" s="523">
        <f t="shared" si="13"/>
        <v>2380634.4883720935</v>
      </c>
      <c r="G106" s="523">
        <f t="shared" si="14"/>
        <v>2415288.2740863794</v>
      </c>
      <c r="H106" s="526">
        <f t="shared" si="15"/>
        <v>329129.3876661351</v>
      </c>
      <c r="I106" s="577">
        <f t="shared" si="16"/>
        <v>329129.3876661351</v>
      </c>
      <c r="J106" s="514">
        <f t="shared" si="9"/>
        <v>0</v>
      </c>
      <c r="K106" s="514"/>
      <c r="L106" s="525"/>
      <c r="M106" s="514">
        <f t="shared" si="17"/>
        <v>0</v>
      </c>
      <c r="N106" s="525"/>
      <c r="O106" s="514">
        <f t="shared" si="11"/>
        <v>0</v>
      </c>
      <c r="P106" s="514">
        <f t="shared" si="12"/>
        <v>0</v>
      </c>
    </row>
    <row r="107" spans="1:16" ht="12.5">
      <c r="B107" s="195" t="str">
        <f t="shared" si="18"/>
        <v/>
      </c>
      <c r="C107" s="507">
        <f>IF(D93="","-",+C106+1)</f>
        <v>2027</v>
      </c>
      <c r="D107" s="374">
        <f>IF(F106+SUM(E$99:E106)=D$92,F106,D$92-SUM(E$99:E106))</f>
        <v>2380634.4883720935</v>
      </c>
      <c r="E107" s="522">
        <f>IF(+J96&lt;F106,J96,D107)</f>
        <v>69307.571428571435</v>
      </c>
      <c r="F107" s="523">
        <f t="shared" si="13"/>
        <v>2311326.9169435222</v>
      </c>
      <c r="G107" s="523">
        <f t="shared" si="14"/>
        <v>2345980.7026578076</v>
      </c>
      <c r="H107" s="526">
        <f t="shared" si="15"/>
        <v>321673.70658624498</v>
      </c>
      <c r="I107" s="577">
        <f t="shared" si="16"/>
        <v>321673.70658624498</v>
      </c>
      <c r="J107" s="514">
        <f t="shared" si="9"/>
        <v>0</v>
      </c>
      <c r="K107" s="514"/>
      <c r="L107" s="525"/>
      <c r="M107" s="514">
        <f t="shared" si="17"/>
        <v>0</v>
      </c>
      <c r="N107" s="525"/>
      <c r="O107" s="514">
        <f t="shared" si="11"/>
        <v>0</v>
      </c>
      <c r="P107" s="514">
        <f t="shared" si="12"/>
        <v>0</v>
      </c>
    </row>
    <row r="108" spans="1:16" ht="12.5">
      <c r="B108" s="195" t="str">
        <f t="shared" si="18"/>
        <v/>
      </c>
      <c r="C108" s="507">
        <f>IF(D93="","-",+C107+1)</f>
        <v>2028</v>
      </c>
      <c r="D108" s="374">
        <f>IF(F107+SUM(E$99:E107)=D$92,F107,D$92-SUM(E$99:E107))</f>
        <v>2311326.9169435222</v>
      </c>
      <c r="E108" s="522">
        <f>IF(+J96&lt;F107,J96,D108)</f>
        <v>69307.571428571435</v>
      </c>
      <c r="F108" s="523">
        <f t="shared" si="13"/>
        <v>2242019.3455149508</v>
      </c>
      <c r="G108" s="523">
        <f t="shared" si="14"/>
        <v>2276673.1312292367</v>
      </c>
      <c r="H108" s="526">
        <f t="shared" si="15"/>
        <v>314218.02550635498</v>
      </c>
      <c r="I108" s="577">
        <f t="shared" si="16"/>
        <v>314218.02550635498</v>
      </c>
      <c r="J108" s="514">
        <f t="shared" si="9"/>
        <v>0</v>
      </c>
      <c r="K108" s="514"/>
      <c r="L108" s="525"/>
      <c r="M108" s="514">
        <f t="shared" si="17"/>
        <v>0</v>
      </c>
      <c r="N108" s="525"/>
      <c r="O108" s="514">
        <f t="shared" si="11"/>
        <v>0</v>
      </c>
      <c r="P108" s="514">
        <f t="shared" si="12"/>
        <v>0</v>
      </c>
    </row>
    <row r="109" spans="1:16" ht="12.5">
      <c r="B109" s="195" t="str">
        <f t="shared" si="18"/>
        <v/>
      </c>
      <c r="C109" s="507">
        <f>IF(D93="","-",+C108+1)</f>
        <v>2029</v>
      </c>
      <c r="D109" s="374">
        <f>IF(F108+SUM(E$99:E108)=D$92,F108,D$92-SUM(E$99:E108))</f>
        <v>2242019.3455149508</v>
      </c>
      <c r="E109" s="522">
        <f>IF(+J96&lt;F108,J96,D109)</f>
        <v>69307.571428571435</v>
      </c>
      <c r="F109" s="523">
        <f t="shared" si="13"/>
        <v>2172711.7740863794</v>
      </c>
      <c r="G109" s="523">
        <f t="shared" si="14"/>
        <v>2207365.5598006649</v>
      </c>
      <c r="H109" s="526">
        <f t="shared" si="15"/>
        <v>306762.34442646493</v>
      </c>
      <c r="I109" s="577">
        <f t="shared" si="16"/>
        <v>306762.34442646493</v>
      </c>
      <c r="J109" s="514">
        <f t="shared" si="9"/>
        <v>0</v>
      </c>
      <c r="K109" s="514"/>
      <c r="L109" s="525"/>
      <c r="M109" s="514">
        <f t="shared" si="17"/>
        <v>0</v>
      </c>
      <c r="N109" s="525"/>
      <c r="O109" s="514">
        <f t="shared" si="11"/>
        <v>0</v>
      </c>
      <c r="P109" s="514">
        <f t="shared" si="12"/>
        <v>0</v>
      </c>
    </row>
    <row r="110" spans="1:16" ht="12.5">
      <c r="B110" s="195" t="str">
        <f t="shared" si="18"/>
        <v/>
      </c>
      <c r="C110" s="507">
        <f>IF(D93="","-",+C109+1)</f>
        <v>2030</v>
      </c>
      <c r="D110" s="374">
        <f>IF(F109+SUM(E$99:E109)=D$92,F109,D$92-SUM(E$99:E109))</f>
        <v>2172711.7740863794</v>
      </c>
      <c r="E110" s="522">
        <f>IF(+J96&lt;F109,J96,D110)</f>
        <v>69307.571428571435</v>
      </c>
      <c r="F110" s="523">
        <f t="shared" si="13"/>
        <v>2103404.2026578081</v>
      </c>
      <c r="G110" s="523">
        <f t="shared" si="14"/>
        <v>2138057.988372094</v>
      </c>
      <c r="H110" s="526">
        <f t="shared" si="15"/>
        <v>299306.66334657493</v>
      </c>
      <c r="I110" s="577">
        <f t="shared" si="16"/>
        <v>299306.66334657493</v>
      </c>
      <c r="J110" s="514">
        <f t="shared" si="9"/>
        <v>0</v>
      </c>
      <c r="K110" s="514"/>
      <c r="L110" s="525"/>
      <c r="M110" s="514">
        <f t="shared" si="17"/>
        <v>0</v>
      </c>
      <c r="N110" s="525"/>
      <c r="O110" s="514">
        <f t="shared" si="11"/>
        <v>0</v>
      </c>
      <c r="P110" s="514">
        <f t="shared" si="12"/>
        <v>0</v>
      </c>
    </row>
    <row r="111" spans="1:16" ht="12.5">
      <c r="B111" s="195" t="str">
        <f t="shared" si="18"/>
        <v/>
      </c>
      <c r="C111" s="507">
        <f>IF(D93="","-",+C110+1)</f>
        <v>2031</v>
      </c>
      <c r="D111" s="374">
        <f>IF(F110+SUM(E$99:E110)=D$92,F110,D$92-SUM(E$99:E110))</f>
        <v>2103404.2026578081</v>
      </c>
      <c r="E111" s="522">
        <f>IF(+J96&lt;F110,J96,D111)</f>
        <v>69307.571428571435</v>
      </c>
      <c r="F111" s="523">
        <f t="shared" si="13"/>
        <v>2034096.6312292367</v>
      </c>
      <c r="G111" s="523">
        <f t="shared" si="14"/>
        <v>2068750.4169435224</v>
      </c>
      <c r="H111" s="526">
        <f t="shared" si="15"/>
        <v>291850.98226668488</v>
      </c>
      <c r="I111" s="577">
        <f t="shared" si="16"/>
        <v>291850.98226668488</v>
      </c>
      <c r="J111" s="514">
        <f t="shared" si="9"/>
        <v>0</v>
      </c>
      <c r="K111" s="514"/>
      <c r="L111" s="525"/>
      <c r="M111" s="514">
        <f t="shared" si="17"/>
        <v>0</v>
      </c>
      <c r="N111" s="525"/>
      <c r="O111" s="514">
        <f t="shared" si="11"/>
        <v>0</v>
      </c>
      <c r="P111" s="514">
        <f t="shared" si="12"/>
        <v>0</v>
      </c>
    </row>
    <row r="112" spans="1:16" ht="12.5">
      <c r="B112" s="195" t="str">
        <f t="shared" si="18"/>
        <v/>
      </c>
      <c r="C112" s="507">
        <f>IF(D93="","-",+C111+1)</f>
        <v>2032</v>
      </c>
      <c r="D112" s="374">
        <f>IF(F111+SUM(E$99:E111)=D$92,F111,D$92-SUM(E$99:E111))</f>
        <v>2034096.6312292367</v>
      </c>
      <c r="E112" s="522">
        <f>IF(+J96&lt;F111,J96,D112)</f>
        <v>69307.571428571435</v>
      </c>
      <c r="F112" s="523">
        <f t="shared" si="13"/>
        <v>1964789.0598006654</v>
      </c>
      <c r="G112" s="523">
        <f t="shared" si="14"/>
        <v>1999442.845514951</v>
      </c>
      <c r="H112" s="526">
        <f t="shared" si="15"/>
        <v>284395.30118679482</v>
      </c>
      <c r="I112" s="577">
        <f t="shared" si="16"/>
        <v>284395.30118679482</v>
      </c>
      <c r="J112" s="514">
        <f t="shared" si="9"/>
        <v>0</v>
      </c>
      <c r="K112" s="514"/>
      <c r="L112" s="525"/>
      <c r="M112" s="514">
        <f t="shared" si="17"/>
        <v>0</v>
      </c>
      <c r="N112" s="525"/>
      <c r="O112" s="514">
        <f t="shared" si="11"/>
        <v>0</v>
      </c>
      <c r="P112" s="514">
        <f t="shared" si="12"/>
        <v>0</v>
      </c>
    </row>
    <row r="113" spans="2:16" ht="12.5">
      <c r="B113" s="195" t="str">
        <f t="shared" si="18"/>
        <v/>
      </c>
      <c r="C113" s="507">
        <f>IF(D93="","-",+C112+1)</f>
        <v>2033</v>
      </c>
      <c r="D113" s="374">
        <f>IF(F112+SUM(E$99:E112)=D$92,F112,D$92-SUM(E$99:E112))</f>
        <v>1964789.0598006654</v>
      </c>
      <c r="E113" s="522">
        <f>IF(+J96&lt;F112,J96,D113)</f>
        <v>69307.571428571435</v>
      </c>
      <c r="F113" s="523">
        <f t="shared" si="13"/>
        <v>1895481.488372094</v>
      </c>
      <c r="G113" s="523">
        <f t="shared" si="14"/>
        <v>1930135.2740863797</v>
      </c>
      <c r="H113" s="526">
        <f t="shared" si="15"/>
        <v>276939.62010690477</v>
      </c>
      <c r="I113" s="577">
        <f t="shared" si="16"/>
        <v>276939.62010690477</v>
      </c>
      <c r="J113" s="514">
        <f t="shared" si="9"/>
        <v>0</v>
      </c>
      <c r="K113" s="514"/>
      <c r="L113" s="525"/>
      <c r="M113" s="514">
        <f t="shared" si="17"/>
        <v>0</v>
      </c>
      <c r="N113" s="525"/>
      <c r="O113" s="514">
        <f t="shared" si="11"/>
        <v>0</v>
      </c>
      <c r="P113" s="514">
        <f t="shared" si="12"/>
        <v>0</v>
      </c>
    </row>
    <row r="114" spans="2:16" ht="12.5">
      <c r="B114" s="195" t="str">
        <f t="shared" si="18"/>
        <v/>
      </c>
      <c r="C114" s="507">
        <f>IF(D93="","-",+C113+1)</f>
        <v>2034</v>
      </c>
      <c r="D114" s="374">
        <f>IF(F113+SUM(E$99:E113)=D$92,F113,D$92-SUM(E$99:E113))</f>
        <v>1895481.488372094</v>
      </c>
      <c r="E114" s="522">
        <f>IF(+J96&lt;F113,J96,D114)</f>
        <v>69307.571428571435</v>
      </c>
      <c r="F114" s="523">
        <f t="shared" si="13"/>
        <v>1826173.9169435226</v>
      </c>
      <c r="G114" s="523">
        <f t="shared" si="14"/>
        <v>1860827.7026578083</v>
      </c>
      <c r="H114" s="526">
        <f t="shared" si="15"/>
        <v>269483.93902701477</v>
      </c>
      <c r="I114" s="577">
        <f t="shared" si="16"/>
        <v>269483.93902701477</v>
      </c>
      <c r="J114" s="514">
        <f t="shared" si="9"/>
        <v>0</v>
      </c>
      <c r="K114" s="514"/>
      <c r="L114" s="525"/>
      <c r="M114" s="514">
        <f t="shared" si="17"/>
        <v>0</v>
      </c>
      <c r="N114" s="525"/>
      <c r="O114" s="514">
        <f t="shared" si="11"/>
        <v>0</v>
      </c>
      <c r="P114" s="514">
        <f t="shared" si="12"/>
        <v>0</v>
      </c>
    </row>
    <row r="115" spans="2:16" ht="12.5">
      <c r="B115" s="195" t="str">
        <f t="shared" si="18"/>
        <v/>
      </c>
      <c r="C115" s="507">
        <f>IF(D93="","-",+C114+1)</f>
        <v>2035</v>
      </c>
      <c r="D115" s="374">
        <f>IF(F114+SUM(E$99:E114)=D$92,F114,D$92-SUM(E$99:E114))</f>
        <v>1826173.9169435226</v>
      </c>
      <c r="E115" s="522">
        <f>IF(+J96&lt;F114,J96,D115)</f>
        <v>69307.571428571435</v>
      </c>
      <c r="F115" s="523">
        <f t="shared" si="13"/>
        <v>1756866.3455149513</v>
      </c>
      <c r="G115" s="523">
        <f t="shared" si="14"/>
        <v>1791520.131229237</v>
      </c>
      <c r="H115" s="526">
        <f t="shared" si="15"/>
        <v>262028.25794712472</v>
      </c>
      <c r="I115" s="577">
        <f t="shared" si="16"/>
        <v>262028.25794712472</v>
      </c>
      <c r="J115" s="514">
        <f t="shared" si="9"/>
        <v>0</v>
      </c>
      <c r="K115" s="514"/>
      <c r="L115" s="525"/>
      <c r="M115" s="514">
        <f t="shared" si="17"/>
        <v>0</v>
      </c>
      <c r="N115" s="525"/>
      <c r="O115" s="514">
        <f t="shared" si="11"/>
        <v>0</v>
      </c>
      <c r="P115" s="514">
        <f t="shared" si="12"/>
        <v>0</v>
      </c>
    </row>
    <row r="116" spans="2:16" ht="12.5">
      <c r="B116" s="195" t="str">
        <f t="shared" si="18"/>
        <v/>
      </c>
      <c r="C116" s="507">
        <f>IF(D93="","-",+C115+1)</f>
        <v>2036</v>
      </c>
      <c r="D116" s="374">
        <f>IF(F115+SUM(E$99:E115)=D$92,F115,D$92-SUM(E$99:E115))</f>
        <v>1756866.3455149513</v>
      </c>
      <c r="E116" s="522">
        <f>IF(+J96&lt;F115,J96,D116)</f>
        <v>69307.571428571435</v>
      </c>
      <c r="F116" s="523">
        <f t="shared" si="13"/>
        <v>1687558.7740863799</v>
      </c>
      <c r="G116" s="523">
        <f t="shared" si="14"/>
        <v>1722212.5598006656</v>
      </c>
      <c r="H116" s="526">
        <f t="shared" si="15"/>
        <v>254572.57686723466</v>
      </c>
      <c r="I116" s="577">
        <f t="shared" si="16"/>
        <v>254572.57686723466</v>
      </c>
      <c r="J116" s="514">
        <f t="shared" si="9"/>
        <v>0</v>
      </c>
      <c r="K116" s="514"/>
      <c r="L116" s="525"/>
      <c r="M116" s="514">
        <f t="shared" si="17"/>
        <v>0</v>
      </c>
      <c r="N116" s="525"/>
      <c r="O116" s="514">
        <f t="shared" si="11"/>
        <v>0</v>
      </c>
      <c r="P116" s="514">
        <f t="shared" si="12"/>
        <v>0</v>
      </c>
    </row>
    <row r="117" spans="2:16" ht="12.5">
      <c r="B117" s="195" t="str">
        <f t="shared" si="18"/>
        <v/>
      </c>
      <c r="C117" s="507">
        <f>IF(D93="","-",+C116+1)</f>
        <v>2037</v>
      </c>
      <c r="D117" s="374">
        <f>IF(F116+SUM(E$99:E116)=D$92,F116,D$92-SUM(E$99:E116))</f>
        <v>1687558.7740863799</v>
      </c>
      <c r="E117" s="522">
        <f>IF(+J96&lt;F116,J96,D117)</f>
        <v>69307.571428571435</v>
      </c>
      <c r="F117" s="523">
        <f t="shared" si="13"/>
        <v>1618251.2026578085</v>
      </c>
      <c r="G117" s="523">
        <f t="shared" si="14"/>
        <v>1652904.9883720942</v>
      </c>
      <c r="H117" s="526">
        <f t="shared" si="15"/>
        <v>247116.89578734466</v>
      </c>
      <c r="I117" s="577">
        <f t="shared" si="16"/>
        <v>247116.89578734466</v>
      </c>
      <c r="J117" s="514">
        <f t="shared" si="9"/>
        <v>0</v>
      </c>
      <c r="K117" s="514"/>
      <c r="L117" s="525"/>
      <c r="M117" s="514">
        <f t="shared" si="17"/>
        <v>0</v>
      </c>
      <c r="N117" s="525"/>
      <c r="O117" s="514">
        <f t="shared" si="11"/>
        <v>0</v>
      </c>
      <c r="P117" s="514">
        <f t="shared" si="12"/>
        <v>0</v>
      </c>
    </row>
    <row r="118" spans="2:16" ht="12.5">
      <c r="B118" s="195" t="str">
        <f t="shared" si="18"/>
        <v/>
      </c>
      <c r="C118" s="507">
        <f>IF(D93="","-",+C117+1)</f>
        <v>2038</v>
      </c>
      <c r="D118" s="374">
        <f>IF(F117+SUM(E$99:E117)=D$92,F117,D$92-SUM(E$99:E117))</f>
        <v>1618251.2026578085</v>
      </c>
      <c r="E118" s="522">
        <f>IF(+J96&lt;F117,J96,D118)</f>
        <v>69307.571428571435</v>
      </c>
      <c r="F118" s="523">
        <f t="shared" si="13"/>
        <v>1548943.6312292372</v>
      </c>
      <c r="G118" s="523">
        <f t="shared" si="14"/>
        <v>1583597.4169435229</v>
      </c>
      <c r="H118" s="526">
        <f t="shared" si="15"/>
        <v>239661.21470745461</v>
      </c>
      <c r="I118" s="577">
        <f t="shared" si="16"/>
        <v>239661.21470745461</v>
      </c>
      <c r="J118" s="514">
        <f t="shared" si="9"/>
        <v>0</v>
      </c>
      <c r="K118" s="514"/>
      <c r="L118" s="525"/>
      <c r="M118" s="514">
        <f t="shared" si="17"/>
        <v>0</v>
      </c>
      <c r="N118" s="525"/>
      <c r="O118" s="514">
        <f t="shared" si="11"/>
        <v>0</v>
      </c>
      <c r="P118" s="514">
        <f t="shared" si="12"/>
        <v>0</v>
      </c>
    </row>
    <row r="119" spans="2:16" ht="12.5">
      <c r="B119" s="195" t="str">
        <f t="shared" si="18"/>
        <v/>
      </c>
      <c r="C119" s="507">
        <f>IF(D93="","-",+C118+1)</f>
        <v>2039</v>
      </c>
      <c r="D119" s="374">
        <f>IF(F118+SUM(E$99:E118)=D$92,F118,D$92-SUM(E$99:E118))</f>
        <v>1548943.6312292372</v>
      </c>
      <c r="E119" s="522">
        <f>IF(+J96&lt;F118,J96,D119)</f>
        <v>69307.571428571435</v>
      </c>
      <c r="F119" s="523">
        <f t="shared" si="13"/>
        <v>1479636.0598006658</v>
      </c>
      <c r="G119" s="523">
        <f t="shared" si="14"/>
        <v>1514289.8455149515</v>
      </c>
      <c r="H119" s="526">
        <f t="shared" si="15"/>
        <v>232205.53362756455</v>
      </c>
      <c r="I119" s="577">
        <f t="shared" si="16"/>
        <v>232205.53362756455</v>
      </c>
      <c r="J119" s="514">
        <f t="shared" si="9"/>
        <v>0</v>
      </c>
      <c r="K119" s="514"/>
      <c r="L119" s="525"/>
      <c r="M119" s="514">
        <f t="shared" si="17"/>
        <v>0</v>
      </c>
      <c r="N119" s="525"/>
      <c r="O119" s="514">
        <f t="shared" si="11"/>
        <v>0</v>
      </c>
      <c r="P119" s="514">
        <f t="shared" si="12"/>
        <v>0</v>
      </c>
    </row>
    <row r="120" spans="2:16" ht="12.5">
      <c r="B120" s="195" t="str">
        <f t="shared" si="18"/>
        <v/>
      </c>
      <c r="C120" s="507">
        <f>IF(D93="","-",+C119+1)</f>
        <v>2040</v>
      </c>
      <c r="D120" s="374">
        <f>IF(F119+SUM(E$99:E119)=D$92,F119,D$92-SUM(E$99:E119))</f>
        <v>1479636.0598006658</v>
      </c>
      <c r="E120" s="522">
        <f>IF(+J96&lt;F119,J96,D120)</f>
        <v>69307.571428571435</v>
      </c>
      <c r="F120" s="523">
        <f t="shared" si="13"/>
        <v>1410328.4883720945</v>
      </c>
      <c r="G120" s="523">
        <f t="shared" si="14"/>
        <v>1444982.2740863801</v>
      </c>
      <c r="H120" s="526">
        <f t="shared" si="15"/>
        <v>224749.8525476745</v>
      </c>
      <c r="I120" s="577">
        <f t="shared" si="16"/>
        <v>224749.8525476745</v>
      </c>
      <c r="J120" s="514">
        <f t="shared" si="9"/>
        <v>0</v>
      </c>
      <c r="K120" s="514"/>
      <c r="L120" s="525"/>
      <c r="M120" s="514">
        <f t="shared" si="17"/>
        <v>0</v>
      </c>
      <c r="N120" s="525"/>
      <c r="O120" s="514">
        <f t="shared" si="11"/>
        <v>0</v>
      </c>
      <c r="P120" s="514">
        <f t="shared" si="12"/>
        <v>0</v>
      </c>
    </row>
    <row r="121" spans="2:16" ht="12.5">
      <c r="B121" s="195" t="str">
        <f t="shared" si="18"/>
        <v/>
      </c>
      <c r="C121" s="507">
        <f>IF(D93="","-",+C120+1)</f>
        <v>2041</v>
      </c>
      <c r="D121" s="374">
        <f>IF(F120+SUM(E$99:E120)=D$92,F120,D$92-SUM(E$99:E120))</f>
        <v>1410328.4883720945</v>
      </c>
      <c r="E121" s="522">
        <f>IF(+J96&lt;F120,J96,D121)</f>
        <v>69307.571428571435</v>
      </c>
      <c r="F121" s="523">
        <f t="shared" si="13"/>
        <v>1341020.9169435231</v>
      </c>
      <c r="G121" s="523">
        <f t="shared" si="14"/>
        <v>1375674.7026578088</v>
      </c>
      <c r="H121" s="526">
        <f t="shared" si="15"/>
        <v>217294.1714677845</v>
      </c>
      <c r="I121" s="577">
        <f t="shared" si="16"/>
        <v>217294.1714677845</v>
      </c>
      <c r="J121" s="514">
        <f t="shared" si="9"/>
        <v>0</v>
      </c>
      <c r="K121" s="514"/>
      <c r="L121" s="525"/>
      <c r="M121" s="514">
        <f t="shared" si="17"/>
        <v>0</v>
      </c>
      <c r="N121" s="525"/>
      <c r="O121" s="514">
        <f t="shared" si="11"/>
        <v>0</v>
      </c>
      <c r="P121" s="514">
        <f t="shared" si="12"/>
        <v>0</v>
      </c>
    </row>
    <row r="122" spans="2:16" ht="12.5">
      <c r="B122" s="195" t="str">
        <f t="shared" si="18"/>
        <v/>
      </c>
      <c r="C122" s="507">
        <f>IF(D93="","-",+C121+1)</f>
        <v>2042</v>
      </c>
      <c r="D122" s="374">
        <f>IF(F121+SUM(E$99:E121)=D$92,F121,D$92-SUM(E$99:E121))</f>
        <v>1341020.9169435231</v>
      </c>
      <c r="E122" s="522">
        <f>IF(+J96&lt;F121,J96,D122)</f>
        <v>69307.571428571435</v>
      </c>
      <c r="F122" s="523">
        <f t="shared" si="13"/>
        <v>1271713.3455149517</v>
      </c>
      <c r="G122" s="523">
        <f t="shared" si="14"/>
        <v>1306367.1312292374</v>
      </c>
      <c r="H122" s="526">
        <f t="shared" si="15"/>
        <v>209838.49038789445</v>
      </c>
      <c r="I122" s="577">
        <f t="shared" si="16"/>
        <v>209838.49038789445</v>
      </c>
      <c r="J122" s="514">
        <f t="shared" si="9"/>
        <v>0</v>
      </c>
      <c r="K122" s="514"/>
      <c r="L122" s="525"/>
      <c r="M122" s="514">
        <f t="shared" si="17"/>
        <v>0</v>
      </c>
      <c r="N122" s="525"/>
      <c r="O122" s="514">
        <f t="shared" si="11"/>
        <v>0</v>
      </c>
      <c r="P122" s="514">
        <f t="shared" si="12"/>
        <v>0</v>
      </c>
    </row>
    <row r="123" spans="2:16" ht="12.5">
      <c r="B123" s="195" t="str">
        <f t="shared" si="18"/>
        <v/>
      </c>
      <c r="C123" s="507">
        <f>IF(D93="","-",+C122+1)</f>
        <v>2043</v>
      </c>
      <c r="D123" s="374">
        <f>IF(F122+SUM(E$99:E122)=D$92,F122,D$92-SUM(E$99:E122))</f>
        <v>1271713.3455149517</v>
      </c>
      <c r="E123" s="522">
        <f>IF(+J96&lt;F122,J96,D123)</f>
        <v>69307.571428571435</v>
      </c>
      <c r="F123" s="523">
        <f t="shared" si="13"/>
        <v>1202405.7740863804</v>
      </c>
      <c r="G123" s="523">
        <f t="shared" si="14"/>
        <v>1237059.5598006661</v>
      </c>
      <c r="H123" s="526">
        <f t="shared" si="15"/>
        <v>202382.80930800439</v>
      </c>
      <c r="I123" s="577">
        <f t="shared" si="16"/>
        <v>202382.80930800439</v>
      </c>
      <c r="J123" s="514">
        <f t="shared" si="9"/>
        <v>0</v>
      </c>
      <c r="K123" s="514"/>
      <c r="L123" s="525"/>
      <c r="M123" s="514">
        <f t="shared" si="17"/>
        <v>0</v>
      </c>
      <c r="N123" s="525"/>
      <c r="O123" s="514">
        <f t="shared" si="11"/>
        <v>0</v>
      </c>
      <c r="P123" s="514">
        <f t="shared" si="12"/>
        <v>0</v>
      </c>
    </row>
    <row r="124" spans="2:16" ht="12.5">
      <c r="B124" s="195" t="str">
        <f t="shared" si="18"/>
        <v/>
      </c>
      <c r="C124" s="507">
        <f>IF(D93="","-",+C123+1)</f>
        <v>2044</v>
      </c>
      <c r="D124" s="374">
        <f>IF(F123+SUM(E$99:E123)=D$92,F123,D$92-SUM(E$99:E123))</f>
        <v>1202405.7740863804</v>
      </c>
      <c r="E124" s="522">
        <f>IF(+J96&lt;F123,J96,D124)</f>
        <v>69307.571428571435</v>
      </c>
      <c r="F124" s="523">
        <f t="shared" si="13"/>
        <v>1133098.202657809</v>
      </c>
      <c r="G124" s="523">
        <f t="shared" si="14"/>
        <v>1167751.9883720947</v>
      </c>
      <c r="H124" s="526">
        <f t="shared" si="15"/>
        <v>194927.12822811436</v>
      </c>
      <c r="I124" s="577">
        <f t="shared" si="16"/>
        <v>194927.12822811436</v>
      </c>
      <c r="J124" s="514">
        <f t="shared" si="9"/>
        <v>0</v>
      </c>
      <c r="K124" s="514"/>
      <c r="L124" s="525"/>
      <c r="M124" s="514">
        <f t="shared" si="17"/>
        <v>0</v>
      </c>
      <c r="N124" s="525"/>
      <c r="O124" s="514">
        <f t="shared" si="11"/>
        <v>0</v>
      </c>
      <c r="P124" s="514">
        <f t="shared" si="12"/>
        <v>0</v>
      </c>
    </row>
    <row r="125" spans="2:16" ht="12.5">
      <c r="B125" s="195" t="str">
        <f t="shared" si="18"/>
        <v/>
      </c>
      <c r="C125" s="507">
        <f>IF(D93="","-",+C124+1)</f>
        <v>2045</v>
      </c>
      <c r="D125" s="374">
        <f>IF(F124+SUM(E$99:E124)=D$92,F124,D$92-SUM(E$99:E124))</f>
        <v>1133098.202657809</v>
      </c>
      <c r="E125" s="522">
        <f>IF(+J96&lt;F124,J96,D125)</f>
        <v>69307.571428571435</v>
      </c>
      <c r="F125" s="523">
        <f t="shared" si="13"/>
        <v>1063790.6312292377</v>
      </c>
      <c r="G125" s="523">
        <f t="shared" si="14"/>
        <v>1098444.4169435233</v>
      </c>
      <c r="H125" s="526">
        <f t="shared" si="15"/>
        <v>187471.44714822434</v>
      </c>
      <c r="I125" s="577">
        <f t="shared" si="16"/>
        <v>187471.44714822434</v>
      </c>
      <c r="J125" s="514">
        <f t="shared" si="9"/>
        <v>0</v>
      </c>
      <c r="K125" s="514"/>
      <c r="L125" s="525"/>
      <c r="M125" s="514">
        <f t="shared" si="17"/>
        <v>0</v>
      </c>
      <c r="N125" s="525"/>
      <c r="O125" s="514">
        <f t="shared" si="11"/>
        <v>0</v>
      </c>
      <c r="P125" s="514">
        <f t="shared" si="12"/>
        <v>0</v>
      </c>
    </row>
    <row r="126" spans="2:16" ht="12.5">
      <c r="B126" s="195" t="str">
        <f t="shared" si="18"/>
        <v/>
      </c>
      <c r="C126" s="507">
        <f>IF(D93="","-",+C125+1)</f>
        <v>2046</v>
      </c>
      <c r="D126" s="374">
        <f>IF(F125+SUM(E$99:E125)=D$92,F125,D$92-SUM(E$99:E125))</f>
        <v>1063790.6312292377</v>
      </c>
      <c r="E126" s="522">
        <f>IF(+J96&lt;F125,J96,D126)</f>
        <v>69307.571428571435</v>
      </c>
      <c r="F126" s="523">
        <f t="shared" si="13"/>
        <v>994483.05980066617</v>
      </c>
      <c r="G126" s="523">
        <f t="shared" si="14"/>
        <v>1029136.845514952</v>
      </c>
      <c r="H126" s="526">
        <f t="shared" si="15"/>
        <v>180015.76606833428</v>
      </c>
      <c r="I126" s="577">
        <f t="shared" si="16"/>
        <v>180015.76606833428</v>
      </c>
      <c r="J126" s="514">
        <f t="shared" si="9"/>
        <v>0</v>
      </c>
      <c r="K126" s="514"/>
      <c r="L126" s="525"/>
      <c r="M126" s="514">
        <f t="shared" si="17"/>
        <v>0</v>
      </c>
      <c r="N126" s="525"/>
      <c r="O126" s="514">
        <f t="shared" si="11"/>
        <v>0</v>
      </c>
      <c r="P126" s="514">
        <f t="shared" si="12"/>
        <v>0</v>
      </c>
    </row>
    <row r="127" spans="2:16" ht="12.5">
      <c r="B127" s="195" t="str">
        <f t="shared" si="18"/>
        <v/>
      </c>
      <c r="C127" s="507">
        <f>IF(D93="","-",+C126+1)</f>
        <v>2047</v>
      </c>
      <c r="D127" s="374">
        <f>IF(F126+SUM(E$99:E126)=D$92,F126,D$92-SUM(E$99:E126))</f>
        <v>994483.05980066617</v>
      </c>
      <c r="E127" s="522">
        <f>IF(+J96&lt;F126,J96,D127)</f>
        <v>69307.571428571435</v>
      </c>
      <c r="F127" s="523">
        <f t="shared" si="13"/>
        <v>925175.4883720947</v>
      </c>
      <c r="G127" s="523">
        <f t="shared" si="14"/>
        <v>959829.27408638038</v>
      </c>
      <c r="H127" s="526">
        <f t="shared" si="15"/>
        <v>172560.08498844423</v>
      </c>
      <c r="I127" s="577">
        <f t="shared" si="16"/>
        <v>172560.08498844423</v>
      </c>
      <c r="J127" s="514">
        <f t="shared" si="9"/>
        <v>0</v>
      </c>
      <c r="K127" s="514"/>
      <c r="L127" s="525"/>
      <c r="M127" s="514">
        <f t="shared" si="17"/>
        <v>0</v>
      </c>
      <c r="N127" s="525"/>
      <c r="O127" s="514">
        <f t="shared" si="11"/>
        <v>0</v>
      </c>
      <c r="P127" s="514">
        <f t="shared" si="12"/>
        <v>0</v>
      </c>
    </row>
    <row r="128" spans="2:16" ht="12.5">
      <c r="B128" s="195" t="str">
        <f t="shared" si="18"/>
        <v/>
      </c>
      <c r="C128" s="507">
        <f>IF(D93="","-",+C127+1)</f>
        <v>2048</v>
      </c>
      <c r="D128" s="374">
        <f>IF(F127+SUM(E$99:E127)=D$92,F127,D$92-SUM(E$99:E127))</f>
        <v>925175.4883720947</v>
      </c>
      <c r="E128" s="522">
        <f>IF(+J96&lt;F127,J96,D128)</f>
        <v>69307.571428571435</v>
      </c>
      <c r="F128" s="523">
        <f t="shared" si="13"/>
        <v>855867.91694352322</v>
      </c>
      <c r="G128" s="523">
        <f t="shared" si="14"/>
        <v>890521.70265780902</v>
      </c>
      <c r="H128" s="526">
        <f t="shared" si="15"/>
        <v>165104.40390855417</v>
      </c>
      <c r="I128" s="577">
        <f t="shared" si="16"/>
        <v>165104.40390855417</v>
      </c>
      <c r="J128" s="514">
        <f t="shared" si="9"/>
        <v>0</v>
      </c>
      <c r="K128" s="514"/>
      <c r="L128" s="525"/>
      <c r="M128" s="514">
        <f t="shared" si="17"/>
        <v>0</v>
      </c>
      <c r="N128" s="525"/>
      <c r="O128" s="514">
        <f t="shared" si="11"/>
        <v>0</v>
      </c>
      <c r="P128" s="514">
        <f t="shared" si="12"/>
        <v>0</v>
      </c>
    </row>
    <row r="129" spans="2:16" ht="12.5">
      <c r="B129" s="195" t="str">
        <f t="shared" si="18"/>
        <v/>
      </c>
      <c r="C129" s="507">
        <f>IF(D93="","-",+C128+1)</f>
        <v>2049</v>
      </c>
      <c r="D129" s="374">
        <f>IF(F128+SUM(E$99:E128)=D$92,F128,D$92-SUM(E$99:E128))</f>
        <v>855867.91694352322</v>
      </c>
      <c r="E129" s="522">
        <f>IF(+J96&lt;F128,J96,D129)</f>
        <v>69307.571428571435</v>
      </c>
      <c r="F129" s="523">
        <f t="shared" si="13"/>
        <v>786560.34551495174</v>
      </c>
      <c r="G129" s="523">
        <f t="shared" si="14"/>
        <v>821214.13122923742</v>
      </c>
      <c r="H129" s="526">
        <f t="shared" si="15"/>
        <v>157648.72282866412</v>
      </c>
      <c r="I129" s="577">
        <f t="shared" si="16"/>
        <v>157648.72282866412</v>
      </c>
      <c r="J129" s="514">
        <f t="shared" si="9"/>
        <v>0</v>
      </c>
      <c r="K129" s="514"/>
      <c r="L129" s="525"/>
      <c r="M129" s="514">
        <f t="shared" si="17"/>
        <v>0</v>
      </c>
      <c r="N129" s="525"/>
      <c r="O129" s="514">
        <f t="shared" si="11"/>
        <v>0</v>
      </c>
      <c r="P129" s="514">
        <f t="shared" si="12"/>
        <v>0</v>
      </c>
    </row>
    <row r="130" spans="2:16" ht="12.5">
      <c r="B130" s="195" t="str">
        <f t="shared" si="18"/>
        <v/>
      </c>
      <c r="C130" s="507">
        <f>IF(D93="","-",+C129+1)</f>
        <v>2050</v>
      </c>
      <c r="D130" s="374">
        <f>IF(F129+SUM(E$99:E129)=D$92,F129,D$92-SUM(E$99:E129))</f>
        <v>786560.34551495174</v>
      </c>
      <c r="E130" s="522">
        <f>IF(+J96&lt;F129,J96,D130)</f>
        <v>69307.571428571435</v>
      </c>
      <c r="F130" s="523">
        <f t="shared" si="13"/>
        <v>717252.77408638026</v>
      </c>
      <c r="G130" s="523">
        <f t="shared" si="14"/>
        <v>751906.55980066606</v>
      </c>
      <c r="H130" s="526">
        <f t="shared" si="15"/>
        <v>150193.04174877406</v>
      </c>
      <c r="I130" s="577">
        <f t="shared" si="16"/>
        <v>150193.04174877406</v>
      </c>
      <c r="J130" s="514">
        <f t="shared" si="9"/>
        <v>0</v>
      </c>
      <c r="K130" s="514"/>
      <c r="L130" s="525"/>
      <c r="M130" s="514">
        <f t="shared" si="17"/>
        <v>0</v>
      </c>
      <c r="N130" s="525"/>
      <c r="O130" s="514">
        <f t="shared" si="11"/>
        <v>0</v>
      </c>
      <c r="P130" s="514">
        <f t="shared" si="12"/>
        <v>0</v>
      </c>
    </row>
    <row r="131" spans="2:16" ht="12.5">
      <c r="B131" s="195" t="str">
        <f t="shared" si="18"/>
        <v/>
      </c>
      <c r="C131" s="507">
        <f>IF(D93="","-",+C130+1)</f>
        <v>2051</v>
      </c>
      <c r="D131" s="374">
        <f>IF(F130+SUM(E$99:E130)=D$92,F130,D$92-SUM(E$99:E130))</f>
        <v>717252.77408638026</v>
      </c>
      <c r="E131" s="522">
        <f>IF(+J96&lt;F130,J96,D131)</f>
        <v>69307.571428571435</v>
      </c>
      <c r="F131" s="523">
        <f t="shared" si="13"/>
        <v>647945.20265780878</v>
      </c>
      <c r="G131" s="523">
        <f t="shared" si="14"/>
        <v>682598.98837209446</v>
      </c>
      <c r="H131" s="526">
        <f t="shared" si="15"/>
        <v>142737.36066888401</v>
      </c>
      <c r="I131" s="577">
        <f t="shared" si="16"/>
        <v>142737.36066888401</v>
      </c>
      <c r="J131" s="514">
        <f t="shared" ref="J131:J154" si="19">+I541-H541</f>
        <v>0</v>
      </c>
      <c r="K131" s="514"/>
      <c r="L131" s="525"/>
      <c r="M131" s="514">
        <f t="shared" ref="M131:M154" si="20">IF(L541&lt;&gt;0,+H541-L541,0)</f>
        <v>0</v>
      </c>
      <c r="N131" s="525"/>
      <c r="O131" s="514">
        <f t="shared" ref="O131:O154" si="21">IF(N541&lt;&gt;0,+I541-N541,0)</f>
        <v>0</v>
      </c>
      <c r="P131" s="514">
        <f t="shared" ref="P131:P154" si="22">+O541-M541</f>
        <v>0</v>
      </c>
    </row>
    <row r="132" spans="2:16" ht="12.5">
      <c r="B132" s="195" t="str">
        <f t="shared" si="18"/>
        <v/>
      </c>
      <c r="C132" s="507">
        <f>IF(D93="","-",+C131+1)</f>
        <v>2052</v>
      </c>
      <c r="D132" s="374">
        <f>IF(F131+SUM(E$99:E131)=D$92,F131,D$92-SUM(E$99:E131))</f>
        <v>647945.20265780878</v>
      </c>
      <c r="E132" s="522">
        <f>IF(+J96&lt;F131,J96,D132)</f>
        <v>69307.571428571435</v>
      </c>
      <c r="F132" s="523">
        <f t="shared" si="13"/>
        <v>578637.6312292373</v>
      </c>
      <c r="G132" s="523">
        <f t="shared" si="14"/>
        <v>613291.4169435231</v>
      </c>
      <c r="H132" s="526">
        <f t="shared" si="15"/>
        <v>135281.67958899398</v>
      </c>
      <c r="I132" s="577">
        <f t="shared" si="16"/>
        <v>135281.67958899398</v>
      </c>
      <c r="J132" s="514">
        <f t="shared" si="19"/>
        <v>0</v>
      </c>
      <c r="K132" s="514"/>
      <c r="L132" s="525"/>
      <c r="M132" s="514">
        <f t="shared" si="20"/>
        <v>0</v>
      </c>
      <c r="N132" s="525"/>
      <c r="O132" s="514">
        <f t="shared" si="21"/>
        <v>0</v>
      </c>
      <c r="P132" s="514">
        <f t="shared" si="22"/>
        <v>0</v>
      </c>
    </row>
    <row r="133" spans="2:16" ht="12.5">
      <c r="B133" s="195" t="str">
        <f t="shared" si="18"/>
        <v/>
      </c>
      <c r="C133" s="507">
        <f>IF(D93="","-",+C132+1)</f>
        <v>2053</v>
      </c>
      <c r="D133" s="374">
        <f>IF(F132+SUM(E$99:E132)=D$92,F132,D$92-SUM(E$99:E132))</f>
        <v>578637.6312292373</v>
      </c>
      <c r="E133" s="522">
        <f>IF(+J96&lt;F132,J96,D133)</f>
        <v>69307.571428571435</v>
      </c>
      <c r="F133" s="523">
        <f t="shared" si="13"/>
        <v>509330.05980066588</v>
      </c>
      <c r="G133" s="523">
        <f t="shared" si="14"/>
        <v>543983.84551495162</v>
      </c>
      <c r="H133" s="526">
        <f t="shared" si="15"/>
        <v>127825.99850910393</v>
      </c>
      <c r="I133" s="577">
        <f t="shared" si="16"/>
        <v>127825.99850910393</v>
      </c>
      <c r="J133" s="514">
        <f t="shared" si="19"/>
        <v>0</v>
      </c>
      <c r="K133" s="514"/>
      <c r="L133" s="525"/>
      <c r="M133" s="514">
        <f t="shared" si="20"/>
        <v>0</v>
      </c>
      <c r="N133" s="525"/>
      <c r="O133" s="514">
        <f t="shared" si="21"/>
        <v>0</v>
      </c>
      <c r="P133" s="514">
        <f t="shared" si="22"/>
        <v>0</v>
      </c>
    </row>
    <row r="134" spans="2:16" ht="12.5">
      <c r="B134" s="195" t="str">
        <f t="shared" si="18"/>
        <v/>
      </c>
      <c r="C134" s="507">
        <f>IF(D93="","-",+C133+1)</f>
        <v>2054</v>
      </c>
      <c r="D134" s="374">
        <f>IF(F133+SUM(E$99:E133)=D$92,F133,D$92-SUM(E$99:E133))</f>
        <v>509330.05980066588</v>
      </c>
      <c r="E134" s="522">
        <f>IF(+J96&lt;F133,J96,D134)</f>
        <v>69307.571428571435</v>
      </c>
      <c r="F134" s="523">
        <f t="shared" si="13"/>
        <v>440022.48837209446</v>
      </c>
      <c r="G134" s="523">
        <f t="shared" si="14"/>
        <v>474676.27408638014</v>
      </c>
      <c r="H134" s="526">
        <f t="shared" si="15"/>
        <v>120370.31742921387</v>
      </c>
      <c r="I134" s="577">
        <f t="shared" si="16"/>
        <v>120370.31742921387</v>
      </c>
      <c r="J134" s="514">
        <f t="shared" si="19"/>
        <v>0</v>
      </c>
      <c r="K134" s="514"/>
      <c r="L134" s="525"/>
      <c r="M134" s="514">
        <f t="shared" si="20"/>
        <v>0</v>
      </c>
      <c r="N134" s="525"/>
      <c r="O134" s="514">
        <f t="shared" si="21"/>
        <v>0</v>
      </c>
      <c r="P134" s="514">
        <f t="shared" si="22"/>
        <v>0</v>
      </c>
    </row>
    <row r="135" spans="2:16" ht="12.5">
      <c r="B135" s="195" t="str">
        <f t="shared" si="18"/>
        <v/>
      </c>
      <c r="C135" s="507">
        <f>IF(D93="","-",+C134+1)</f>
        <v>2055</v>
      </c>
      <c r="D135" s="374">
        <f>IF(F134+SUM(E$99:E134)=D$92,F134,D$92-SUM(E$99:E134))</f>
        <v>440022.48837209446</v>
      </c>
      <c r="E135" s="522">
        <f>IF(+J96&lt;F134,J96,D135)</f>
        <v>69307.571428571435</v>
      </c>
      <c r="F135" s="523">
        <f t="shared" si="13"/>
        <v>370714.91694352304</v>
      </c>
      <c r="G135" s="523">
        <f t="shared" si="14"/>
        <v>405368.70265780878</v>
      </c>
      <c r="H135" s="526">
        <f t="shared" si="15"/>
        <v>112914.63634932385</v>
      </c>
      <c r="I135" s="577">
        <f t="shared" si="16"/>
        <v>112914.63634932385</v>
      </c>
      <c r="J135" s="514">
        <f t="shared" si="19"/>
        <v>0</v>
      </c>
      <c r="K135" s="514"/>
      <c r="L135" s="525"/>
      <c r="M135" s="514">
        <f t="shared" si="20"/>
        <v>0</v>
      </c>
      <c r="N135" s="525"/>
      <c r="O135" s="514">
        <f t="shared" si="21"/>
        <v>0</v>
      </c>
      <c r="P135" s="514">
        <f t="shared" si="22"/>
        <v>0</v>
      </c>
    </row>
    <row r="136" spans="2:16" ht="12.5">
      <c r="B136" s="195" t="str">
        <f t="shared" si="18"/>
        <v/>
      </c>
      <c r="C136" s="507">
        <f>IF(D93="","-",+C135+1)</f>
        <v>2056</v>
      </c>
      <c r="D136" s="374">
        <f>IF(F135+SUM(E$99:E135)=D$92,F135,D$92-SUM(E$99:E135))</f>
        <v>370714.91694352304</v>
      </c>
      <c r="E136" s="522">
        <f>IF(+J96&lt;F135,J96,D136)</f>
        <v>69307.571428571435</v>
      </c>
      <c r="F136" s="523">
        <f t="shared" si="13"/>
        <v>301407.34551495162</v>
      </c>
      <c r="G136" s="523">
        <f t="shared" si="14"/>
        <v>336061.1312292373</v>
      </c>
      <c r="H136" s="526">
        <f t="shared" si="15"/>
        <v>105458.95526943379</v>
      </c>
      <c r="I136" s="577">
        <f t="shared" si="16"/>
        <v>105458.95526943379</v>
      </c>
      <c r="J136" s="514">
        <f t="shared" si="19"/>
        <v>0</v>
      </c>
      <c r="K136" s="514"/>
      <c r="L136" s="525"/>
      <c r="M136" s="514">
        <f t="shared" si="20"/>
        <v>0</v>
      </c>
      <c r="N136" s="525"/>
      <c r="O136" s="514">
        <f t="shared" si="21"/>
        <v>0</v>
      </c>
      <c r="P136" s="514">
        <f t="shared" si="22"/>
        <v>0</v>
      </c>
    </row>
    <row r="137" spans="2:16" ht="12.5">
      <c r="B137" s="195" t="str">
        <f t="shared" si="18"/>
        <v/>
      </c>
      <c r="C137" s="507">
        <f>IF(D93="","-",+C136+1)</f>
        <v>2057</v>
      </c>
      <c r="D137" s="374">
        <f>IF(F136+SUM(E$99:E136)=D$92,F136,D$92-SUM(E$99:E136))</f>
        <v>301407.34551495162</v>
      </c>
      <c r="E137" s="522">
        <f>IF(+J96&lt;F136,J96,D137)</f>
        <v>69307.571428571435</v>
      </c>
      <c r="F137" s="523">
        <f t="shared" si="13"/>
        <v>232099.7740863802</v>
      </c>
      <c r="G137" s="523">
        <f t="shared" si="14"/>
        <v>266753.55980066594</v>
      </c>
      <c r="H137" s="526">
        <f t="shared" si="15"/>
        <v>98003.27418954375</v>
      </c>
      <c r="I137" s="577">
        <f t="shared" si="16"/>
        <v>98003.27418954375</v>
      </c>
      <c r="J137" s="514">
        <f t="shared" si="19"/>
        <v>0</v>
      </c>
      <c r="K137" s="514"/>
      <c r="L137" s="525"/>
      <c r="M137" s="514">
        <f t="shared" si="20"/>
        <v>0</v>
      </c>
      <c r="N137" s="525"/>
      <c r="O137" s="514">
        <f t="shared" si="21"/>
        <v>0</v>
      </c>
      <c r="P137" s="514">
        <f t="shared" si="22"/>
        <v>0</v>
      </c>
    </row>
    <row r="138" spans="2:16" ht="12.5">
      <c r="B138" s="195" t="str">
        <f t="shared" si="18"/>
        <v/>
      </c>
      <c r="C138" s="507">
        <f>IF(D93="","-",+C137+1)</f>
        <v>2058</v>
      </c>
      <c r="D138" s="374">
        <f>IF(F137+SUM(E$99:E137)=D$92,F137,D$92-SUM(E$99:E137))</f>
        <v>232099.7740863802</v>
      </c>
      <c r="E138" s="522">
        <f>IF(+J96&lt;F137,J96,D138)</f>
        <v>69307.571428571435</v>
      </c>
      <c r="F138" s="523">
        <f t="shared" si="13"/>
        <v>162792.20265780878</v>
      </c>
      <c r="G138" s="523">
        <f t="shared" si="14"/>
        <v>197445.98837209449</v>
      </c>
      <c r="H138" s="526">
        <f t="shared" si="15"/>
        <v>90547.593109653695</v>
      </c>
      <c r="I138" s="577">
        <f t="shared" si="16"/>
        <v>90547.593109653695</v>
      </c>
      <c r="J138" s="514">
        <f t="shared" si="19"/>
        <v>0</v>
      </c>
      <c r="K138" s="514"/>
      <c r="L138" s="525"/>
      <c r="M138" s="514">
        <f t="shared" si="20"/>
        <v>0</v>
      </c>
      <c r="N138" s="525"/>
      <c r="O138" s="514">
        <f t="shared" si="21"/>
        <v>0</v>
      </c>
      <c r="P138" s="514">
        <f t="shared" si="22"/>
        <v>0</v>
      </c>
    </row>
    <row r="139" spans="2:16" ht="12.5">
      <c r="B139" s="195" t="str">
        <f t="shared" si="18"/>
        <v/>
      </c>
      <c r="C139" s="507">
        <f>IF(D93="","-",+C138+1)</f>
        <v>2059</v>
      </c>
      <c r="D139" s="374">
        <f>IF(F138+SUM(E$99:E138)=D$92,F138,D$92-SUM(E$99:E138))</f>
        <v>162792.20265780878</v>
      </c>
      <c r="E139" s="522">
        <f>IF(+J96&lt;F138,J96,D139)</f>
        <v>69307.571428571435</v>
      </c>
      <c r="F139" s="523">
        <f t="shared" si="13"/>
        <v>93484.631229237348</v>
      </c>
      <c r="G139" s="523">
        <f t="shared" si="14"/>
        <v>128138.41694352307</v>
      </c>
      <c r="H139" s="526">
        <f t="shared" si="15"/>
        <v>83091.912029763655</v>
      </c>
      <c r="I139" s="577">
        <f t="shared" si="16"/>
        <v>83091.912029763655</v>
      </c>
      <c r="J139" s="514">
        <f t="shared" si="19"/>
        <v>0</v>
      </c>
      <c r="K139" s="514"/>
      <c r="L139" s="525"/>
      <c r="M139" s="514">
        <f t="shared" si="20"/>
        <v>0</v>
      </c>
      <c r="N139" s="525"/>
      <c r="O139" s="514">
        <f t="shared" si="21"/>
        <v>0</v>
      </c>
      <c r="P139" s="514">
        <f t="shared" si="22"/>
        <v>0</v>
      </c>
    </row>
    <row r="140" spans="2:16" ht="12.5">
      <c r="B140" s="195" t="str">
        <f t="shared" si="18"/>
        <v/>
      </c>
      <c r="C140" s="507">
        <f>IF(D93="","-",+C139+1)</f>
        <v>2060</v>
      </c>
      <c r="D140" s="374">
        <f>IF(F139+SUM(E$99:E139)=D$92,F139,D$92-SUM(E$99:E139))</f>
        <v>93484.631229237348</v>
      </c>
      <c r="E140" s="522">
        <f>IF(+J96&lt;F139,J96,D140)</f>
        <v>69307.571428571435</v>
      </c>
      <c r="F140" s="523">
        <f t="shared" si="13"/>
        <v>24177.059800665913</v>
      </c>
      <c r="G140" s="523">
        <f t="shared" si="14"/>
        <v>58830.84551495163</v>
      </c>
      <c r="H140" s="526">
        <f t="shared" si="15"/>
        <v>75636.230949873614</v>
      </c>
      <c r="I140" s="577">
        <f t="shared" si="16"/>
        <v>75636.230949873614</v>
      </c>
      <c r="J140" s="514">
        <f t="shared" si="19"/>
        <v>0</v>
      </c>
      <c r="K140" s="514"/>
      <c r="L140" s="525"/>
      <c r="M140" s="514">
        <f t="shared" si="20"/>
        <v>0</v>
      </c>
      <c r="N140" s="525"/>
      <c r="O140" s="514">
        <f t="shared" si="21"/>
        <v>0</v>
      </c>
      <c r="P140" s="514">
        <f t="shared" si="22"/>
        <v>0</v>
      </c>
    </row>
    <row r="141" spans="2:16" ht="12.5">
      <c r="B141" s="195" t="str">
        <f t="shared" si="18"/>
        <v/>
      </c>
      <c r="C141" s="507">
        <f>IF(D93="","-",+C140+1)</f>
        <v>2061</v>
      </c>
      <c r="D141" s="374">
        <f>IF(F140+SUM(E$99:E140)=D$92,F140,D$92-SUM(E$99:E140))</f>
        <v>24177.059800665913</v>
      </c>
      <c r="E141" s="522">
        <f>IF(+J96&lt;F140,J96,D141)</f>
        <v>24177.059800665913</v>
      </c>
      <c r="F141" s="523">
        <f t="shared" si="13"/>
        <v>0</v>
      </c>
      <c r="G141" s="523">
        <f t="shared" si="14"/>
        <v>12088.529900332956</v>
      </c>
      <c r="H141" s="526">
        <f t="shared" si="15"/>
        <v>25477.469291344489</v>
      </c>
      <c r="I141" s="577">
        <f t="shared" si="16"/>
        <v>25477.469291344489</v>
      </c>
      <c r="J141" s="514">
        <f t="shared" si="19"/>
        <v>0</v>
      </c>
      <c r="K141" s="514"/>
      <c r="L141" s="525"/>
      <c r="M141" s="514">
        <f t="shared" si="20"/>
        <v>0</v>
      </c>
      <c r="N141" s="525"/>
      <c r="O141" s="514">
        <f t="shared" si="21"/>
        <v>0</v>
      </c>
      <c r="P141" s="514">
        <f t="shared" si="22"/>
        <v>0</v>
      </c>
    </row>
    <row r="142" spans="2:16" ht="12.5">
      <c r="B142" s="195" t="str">
        <f t="shared" si="18"/>
        <v/>
      </c>
      <c r="C142" s="507">
        <f>IF(D93="","-",+C141+1)</f>
        <v>2062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3"/>
        <v>0</v>
      </c>
      <c r="G142" s="523">
        <f t="shared" si="14"/>
        <v>0</v>
      </c>
      <c r="H142" s="526">
        <f t="shared" si="15"/>
        <v>0</v>
      </c>
      <c r="I142" s="577">
        <f t="shared" si="16"/>
        <v>0</v>
      </c>
      <c r="J142" s="514">
        <f t="shared" si="19"/>
        <v>0</v>
      </c>
      <c r="K142" s="514"/>
      <c r="L142" s="525"/>
      <c r="M142" s="514">
        <f t="shared" si="20"/>
        <v>0</v>
      </c>
      <c r="N142" s="525"/>
      <c r="O142" s="514">
        <f t="shared" si="21"/>
        <v>0</v>
      </c>
      <c r="P142" s="514">
        <f t="shared" si="22"/>
        <v>0</v>
      </c>
    </row>
    <row r="143" spans="2:16" ht="12.5">
      <c r="B143" s="195" t="str">
        <f t="shared" si="18"/>
        <v/>
      </c>
      <c r="C143" s="507">
        <f>IF(D93="","-",+C142+1)</f>
        <v>2063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3"/>
        <v>0</v>
      </c>
      <c r="G143" s="523">
        <f t="shared" si="14"/>
        <v>0</v>
      </c>
      <c r="H143" s="526">
        <f t="shared" si="15"/>
        <v>0</v>
      </c>
      <c r="I143" s="577">
        <f t="shared" si="16"/>
        <v>0</v>
      </c>
      <c r="J143" s="514">
        <f t="shared" si="19"/>
        <v>0</v>
      </c>
      <c r="K143" s="514"/>
      <c r="L143" s="525"/>
      <c r="M143" s="514">
        <f t="shared" si="20"/>
        <v>0</v>
      </c>
      <c r="N143" s="525"/>
      <c r="O143" s="514">
        <f t="shared" si="21"/>
        <v>0</v>
      </c>
      <c r="P143" s="514">
        <f t="shared" si="22"/>
        <v>0</v>
      </c>
    </row>
    <row r="144" spans="2:16" ht="12.5">
      <c r="B144" s="195" t="str">
        <f t="shared" si="18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3"/>
        <v>0</v>
      </c>
      <c r="G144" s="523">
        <f t="shared" si="14"/>
        <v>0</v>
      </c>
      <c r="H144" s="526">
        <f t="shared" si="15"/>
        <v>0</v>
      </c>
      <c r="I144" s="577">
        <f t="shared" si="16"/>
        <v>0</v>
      </c>
      <c r="J144" s="514">
        <f t="shared" si="19"/>
        <v>0</v>
      </c>
      <c r="K144" s="514"/>
      <c r="L144" s="525"/>
      <c r="M144" s="514">
        <f t="shared" si="20"/>
        <v>0</v>
      </c>
      <c r="N144" s="525"/>
      <c r="O144" s="514">
        <f t="shared" si="21"/>
        <v>0</v>
      </c>
      <c r="P144" s="514">
        <f t="shared" si="22"/>
        <v>0</v>
      </c>
    </row>
    <row r="145" spans="2:16" ht="12.5">
      <c r="B145" s="195" t="str">
        <f t="shared" si="18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3"/>
        <v>0</v>
      </c>
      <c r="G145" s="523">
        <f t="shared" si="14"/>
        <v>0</v>
      </c>
      <c r="H145" s="526">
        <f t="shared" si="15"/>
        <v>0</v>
      </c>
      <c r="I145" s="577">
        <f t="shared" si="16"/>
        <v>0</v>
      </c>
      <c r="J145" s="514">
        <f t="shared" si="19"/>
        <v>0</v>
      </c>
      <c r="K145" s="514"/>
      <c r="L145" s="525"/>
      <c r="M145" s="514">
        <f t="shared" si="20"/>
        <v>0</v>
      </c>
      <c r="N145" s="525"/>
      <c r="O145" s="514">
        <f t="shared" si="21"/>
        <v>0</v>
      </c>
      <c r="P145" s="514">
        <f t="shared" si="22"/>
        <v>0</v>
      </c>
    </row>
    <row r="146" spans="2:16" ht="12.5">
      <c r="B146" s="195" t="str">
        <f t="shared" si="18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3"/>
        <v>0</v>
      </c>
      <c r="G146" s="523">
        <f t="shared" si="14"/>
        <v>0</v>
      </c>
      <c r="H146" s="526">
        <f t="shared" si="15"/>
        <v>0</v>
      </c>
      <c r="I146" s="577">
        <f t="shared" si="16"/>
        <v>0</v>
      </c>
      <c r="J146" s="514">
        <f t="shared" si="19"/>
        <v>0</v>
      </c>
      <c r="K146" s="514"/>
      <c r="L146" s="525"/>
      <c r="M146" s="514">
        <f t="shared" si="20"/>
        <v>0</v>
      </c>
      <c r="N146" s="525"/>
      <c r="O146" s="514">
        <f t="shared" si="21"/>
        <v>0</v>
      </c>
      <c r="P146" s="514">
        <f t="shared" si="22"/>
        <v>0</v>
      </c>
    </row>
    <row r="147" spans="2:16" ht="12.5">
      <c r="B147" s="195" t="str">
        <f t="shared" si="18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3"/>
        <v>0</v>
      </c>
      <c r="G147" s="523">
        <f t="shared" si="14"/>
        <v>0</v>
      </c>
      <c r="H147" s="526">
        <f t="shared" si="15"/>
        <v>0</v>
      </c>
      <c r="I147" s="577">
        <f t="shared" si="16"/>
        <v>0</v>
      </c>
      <c r="J147" s="514">
        <f t="shared" si="19"/>
        <v>0</v>
      </c>
      <c r="K147" s="514"/>
      <c r="L147" s="525"/>
      <c r="M147" s="514">
        <f t="shared" si="20"/>
        <v>0</v>
      </c>
      <c r="N147" s="525"/>
      <c r="O147" s="514">
        <f t="shared" si="21"/>
        <v>0</v>
      </c>
      <c r="P147" s="514">
        <f t="shared" si="22"/>
        <v>0</v>
      </c>
    </row>
    <row r="148" spans="2:16" ht="12.5">
      <c r="B148" s="195" t="str">
        <f t="shared" si="18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3"/>
        <v>0</v>
      </c>
      <c r="G148" s="523">
        <f t="shared" si="14"/>
        <v>0</v>
      </c>
      <c r="H148" s="526">
        <f t="shared" si="15"/>
        <v>0</v>
      </c>
      <c r="I148" s="577">
        <f t="shared" si="16"/>
        <v>0</v>
      </c>
      <c r="J148" s="514">
        <f t="shared" si="19"/>
        <v>0</v>
      </c>
      <c r="K148" s="514"/>
      <c r="L148" s="525"/>
      <c r="M148" s="514">
        <f t="shared" si="20"/>
        <v>0</v>
      </c>
      <c r="N148" s="525"/>
      <c r="O148" s="514">
        <f t="shared" si="21"/>
        <v>0</v>
      </c>
      <c r="P148" s="514">
        <f t="shared" si="22"/>
        <v>0</v>
      </c>
    </row>
    <row r="149" spans="2:16" ht="12.5">
      <c r="B149" s="195" t="str">
        <f t="shared" si="18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3"/>
        <v>0</v>
      </c>
      <c r="G149" s="523">
        <f t="shared" si="14"/>
        <v>0</v>
      </c>
      <c r="H149" s="526">
        <f t="shared" si="15"/>
        <v>0</v>
      </c>
      <c r="I149" s="577">
        <f t="shared" si="16"/>
        <v>0</v>
      </c>
      <c r="J149" s="514">
        <f t="shared" si="19"/>
        <v>0</v>
      </c>
      <c r="K149" s="514"/>
      <c r="L149" s="525"/>
      <c r="M149" s="514">
        <f t="shared" si="20"/>
        <v>0</v>
      </c>
      <c r="N149" s="525"/>
      <c r="O149" s="514">
        <f t="shared" si="21"/>
        <v>0</v>
      </c>
      <c r="P149" s="514">
        <f t="shared" si="22"/>
        <v>0</v>
      </c>
    </row>
    <row r="150" spans="2:16" ht="12.5">
      <c r="B150" s="195" t="str">
        <f t="shared" si="18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3"/>
        <v>0</v>
      </c>
      <c r="G150" s="523">
        <f t="shared" si="14"/>
        <v>0</v>
      </c>
      <c r="H150" s="526">
        <f t="shared" si="15"/>
        <v>0</v>
      </c>
      <c r="I150" s="577">
        <f t="shared" si="16"/>
        <v>0</v>
      </c>
      <c r="J150" s="514">
        <f t="shared" si="19"/>
        <v>0</v>
      </c>
      <c r="K150" s="514"/>
      <c r="L150" s="525"/>
      <c r="M150" s="514">
        <f t="shared" si="20"/>
        <v>0</v>
      </c>
      <c r="N150" s="525"/>
      <c r="O150" s="514">
        <f t="shared" si="21"/>
        <v>0</v>
      </c>
      <c r="P150" s="514">
        <f t="shared" si="22"/>
        <v>0</v>
      </c>
    </row>
    <row r="151" spans="2:16" ht="12.5">
      <c r="B151" s="195" t="str">
        <f t="shared" si="18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3"/>
        <v>0</v>
      </c>
      <c r="G151" s="523">
        <f t="shared" si="14"/>
        <v>0</v>
      </c>
      <c r="H151" s="526">
        <f t="shared" si="15"/>
        <v>0</v>
      </c>
      <c r="I151" s="577">
        <f t="shared" si="16"/>
        <v>0</v>
      </c>
      <c r="J151" s="514">
        <f t="shared" si="19"/>
        <v>0</v>
      </c>
      <c r="K151" s="514"/>
      <c r="L151" s="525"/>
      <c r="M151" s="514">
        <f t="shared" si="20"/>
        <v>0</v>
      </c>
      <c r="N151" s="525"/>
      <c r="O151" s="514">
        <f t="shared" si="21"/>
        <v>0</v>
      </c>
      <c r="P151" s="514">
        <f t="shared" si="22"/>
        <v>0</v>
      </c>
    </row>
    <row r="152" spans="2:16" ht="12.5">
      <c r="B152" s="195" t="str">
        <f t="shared" si="18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3"/>
        <v>0</v>
      </c>
      <c r="G152" s="523">
        <f t="shared" si="14"/>
        <v>0</v>
      </c>
      <c r="H152" s="526">
        <f t="shared" si="15"/>
        <v>0</v>
      </c>
      <c r="I152" s="577">
        <f t="shared" si="16"/>
        <v>0</v>
      </c>
      <c r="J152" s="514">
        <f t="shared" si="19"/>
        <v>0</v>
      </c>
      <c r="K152" s="514"/>
      <c r="L152" s="525"/>
      <c r="M152" s="514">
        <f t="shared" si="20"/>
        <v>0</v>
      </c>
      <c r="N152" s="525"/>
      <c r="O152" s="514">
        <f t="shared" si="21"/>
        <v>0</v>
      </c>
      <c r="P152" s="514">
        <f t="shared" si="22"/>
        <v>0</v>
      </c>
    </row>
    <row r="153" spans="2:16" ht="12.5">
      <c r="B153" s="195" t="str">
        <f t="shared" si="18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3"/>
        <v>0</v>
      </c>
      <c r="G153" s="523">
        <f t="shared" si="14"/>
        <v>0</v>
      </c>
      <c r="H153" s="526">
        <f t="shared" si="15"/>
        <v>0</v>
      </c>
      <c r="I153" s="577">
        <f t="shared" si="16"/>
        <v>0</v>
      </c>
      <c r="J153" s="514">
        <f t="shared" si="19"/>
        <v>0</v>
      </c>
      <c r="K153" s="514"/>
      <c r="L153" s="525"/>
      <c r="M153" s="514">
        <f t="shared" si="20"/>
        <v>0</v>
      </c>
      <c r="N153" s="525"/>
      <c r="O153" s="514">
        <f t="shared" si="21"/>
        <v>0</v>
      </c>
      <c r="P153" s="514">
        <f t="shared" si="22"/>
        <v>0</v>
      </c>
    </row>
    <row r="154" spans="2:16" ht="13" thickBot="1">
      <c r="B154" s="195" t="str">
        <f t="shared" si="18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3"/>
        <v>0</v>
      </c>
      <c r="G154" s="528">
        <f t="shared" si="14"/>
        <v>0</v>
      </c>
      <c r="H154" s="530">
        <f t="shared" si="15"/>
        <v>0</v>
      </c>
      <c r="I154" s="579">
        <f t="shared" si="16"/>
        <v>0</v>
      </c>
      <c r="J154" s="533">
        <f t="shared" si="19"/>
        <v>0</v>
      </c>
      <c r="K154" s="514"/>
      <c r="L154" s="532"/>
      <c r="M154" s="533">
        <f t="shared" si="20"/>
        <v>0</v>
      </c>
      <c r="N154" s="532"/>
      <c r="O154" s="533">
        <f t="shared" si="21"/>
        <v>0</v>
      </c>
      <c r="P154" s="533">
        <f t="shared" si="22"/>
        <v>0</v>
      </c>
    </row>
    <row r="155" spans="2:16" ht="12.5">
      <c r="C155" s="374" t="s">
        <v>78</v>
      </c>
      <c r="D155" s="375"/>
      <c r="E155" s="375">
        <f>SUM(E99:E154)</f>
        <v>2910918</v>
      </c>
      <c r="F155" s="375"/>
      <c r="G155" s="375"/>
      <c r="H155" s="375">
        <f>SUM(H99:H154)</f>
        <v>9438729.6648882814</v>
      </c>
      <c r="I155" s="375">
        <f>SUM(I99:I154)</f>
        <v>9438729.6648882814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3" priority="1" stopIfTrue="1" operator="equal">
      <formula>$I$10</formula>
    </cfRule>
  </conditionalFormatting>
  <conditionalFormatting sqref="C99:C154">
    <cfRule type="cellIs" dxfId="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0" max="16383" man="1"/>
  </row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P162"/>
  <sheetViews>
    <sheetView view="pageBreakPreview" topLeftCell="H1" zoomScale="80" zoomScaleNormal="100" zoomScaleSheetLayoutView="80" workbookViewId="0">
      <selection activeCell="P1" sqref="P1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nk of 74</v>
      </c>
    </row>
    <row r="2" spans="1:16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9" t="s">
        <v>129</v>
      </c>
    </row>
    <row r="3" spans="1:16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/>
      <c r="P3" s="115">
        <v>1</v>
      </c>
    </row>
    <row r="4" spans="1:16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6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0</v>
      </c>
      <c r="P5" s="1"/>
    </row>
    <row r="6" spans="1:16" ht="15.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0</v>
      </c>
      <c r="O6" s="1"/>
      <c r="P6" s="1"/>
    </row>
    <row r="7" spans="1:16" ht="13.5" thickBot="1">
      <c r="C7" s="32" t="s">
        <v>48</v>
      </c>
      <c r="D7" s="108" t="s">
        <v>394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53" t="str">
        <f>IF(D10&lt;100000,"DOES NOT MEET SPP $100,000 MINIMUM INVESTMENT FOR REGIONAL BPU SHARING.","")</f>
        <v>DOES NOT MEET SPP $100,000 MINIMUM INVESTMENT FOR REGIONAL BPU SHARING.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50</v>
      </c>
      <c r="D9" s="110" t="s">
        <v>263</v>
      </c>
      <c r="E9" s="39"/>
      <c r="F9" s="39"/>
      <c r="G9" s="39"/>
      <c r="H9" s="39"/>
      <c r="I9" s="40"/>
      <c r="J9" s="41"/>
      <c r="O9" s="42"/>
      <c r="P9" s="4"/>
    </row>
    <row r="10" spans="1:16" ht="13">
      <c r="C10" s="43" t="s">
        <v>51</v>
      </c>
      <c r="D10" s="44">
        <v>0</v>
      </c>
      <c r="E10" s="12" t="s">
        <v>52</v>
      </c>
      <c r="F10" s="42"/>
      <c r="G10" s="45"/>
      <c r="H10" s="45"/>
      <c r="I10" s="46">
        <f>+SWE.WS.F.BPU.ATRR.Projected!L19</f>
        <v>2020</v>
      </c>
      <c r="J10" s="41"/>
      <c r="K10" s="22" t="s">
        <v>53</v>
      </c>
      <c r="O10" s="4"/>
      <c r="P10" s="4"/>
    </row>
    <row r="11" spans="1:16" ht="12.5">
      <c r="C11" s="47" t="s">
        <v>54</v>
      </c>
      <c r="D11" s="48">
        <v>2016</v>
      </c>
      <c r="E11" s="47" t="s">
        <v>55</v>
      </c>
      <c r="F11" s="45"/>
      <c r="G11" s="7"/>
      <c r="H11" s="7"/>
      <c r="I11" s="49">
        <f>IF(G5="",0,SWE.WS.F.BPU.ATRR.Projected!F$13)</f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 ht="12.5">
      <c r="C12" s="47" t="s">
        <v>56</v>
      </c>
      <c r="D12" s="44">
        <v>4</v>
      </c>
      <c r="E12" s="47" t="s">
        <v>57</v>
      </c>
      <c r="F12" s="45"/>
      <c r="G12" s="7"/>
      <c r="H12" s="7"/>
      <c r="I12" s="51">
        <f>SWE.WS.F.BPU.ATRR.Projected!$F$81</f>
        <v>0.10681797376050146</v>
      </c>
      <c r="J12" s="52"/>
      <c r="K12" t="s">
        <v>58</v>
      </c>
      <c r="O12" s="4"/>
      <c r="P12" s="4"/>
    </row>
    <row r="13" spans="1:16" ht="12.5">
      <c r="C13" s="47" t="s">
        <v>59</v>
      </c>
      <c r="D13" s="49">
        <f>+SWE.WS.F.BPU.ATRR.Projected!F$93</f>
        <v>42</v>
      </c>
      <c r="E13" s="47" t="s">
        <v>60</v>
      </c>
      <c r="F13" s="45"/>
      <c r="G13" s="7"/>
      <c r="H13" s="7"/>
      <c r="I13" s="51">
        <f>IF(G5="",I12,SWE.WS.F.BPU.ATRR.Projected!$F$80)</f>
        <v>0.10681797376050146</v>
      </c>
      <c r="J13" s="52"/>
      <c r="K13" s="22" t="s">
        <v>61</v>
      </c>
      <c r="L13" s="11"/>
      <c r="M13" s="11"/>
      <c r="N13" s="11"/>
      <c r="O13" s="4"/>
      <c r="P13" s="4"/>
    </row>
    <row r="14" spans="1:16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0</v>
      </c>
      <c r="J14" s="22"/>
      <c r="K14" s="22"/>
      <c r="L14" s="22"/>
      <c r="M14" s="22"/>
      <c r="N14" s="22"/>
      <c r="O14" s="4"/>
      <c r="P14" s="4"/>
    </row>
    <row r="15" spans="1:16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392</v>
      </c>
      <c r="H15" s="181" t="s">
        <v>393</v>
      </c>
      <c r="I15" s="54" t="s">
        <v>68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6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30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2016</v>
      </c>
      <c r="D17" s="65">
        <v>0</v>
      </c>
      <c r="E17" s="182">
        <f>IF(D10&gt;=100000,I$14/12*(12-D12),0)</f>
        <v>0</v>
      </c>
      <c r="F17" s="70">
        <f>IF(D11=C17,+D10-E17,+D17-E17)</f>
        <v>0</v>
      </c>
      <c r="G17" s="66">
        <f t="shared" ref="G17:G48" si="0">+I$12*((D17+F17)/2)+E17</f>
        <v>0</v>
      </c>
      <c r="H17" s="53">
        <f t="shared" ref="H17:H48" si="1">+I$13*((D17+F17)/2)+E17</f>
        <v>0</v>
      </c>
      <c r="I17" s="67">
        <f t="shared" ref="I17:I48" si="2">H17-G17</f>
        <v>0</v>
      </c>
      <c r="J17" s="67"/>
      <c r="K17" s="131"/>
      <c r="L17" s="68">
        <f t="shared" ref="L17:L48" si="3">IF(K17&lt;&gt;0,+G17-K17,0)</f>
        <v>0</v>
      </c>
      <c r="M17" s="131"/>
      <c r="N17" s="68">
        <f t="shared" ref="N17:N48" si="4">IF(M17&lt;&gt;0,+H17-M17,0)</f>
        <v>0</v>
      </c>
      <c r="O17" s="69">
        <f t="shared" ref="O17:O48" si="5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2017</v>
      </c>
      <c r="D18" s="70">
        <f>IF(F17+SUM(E$17:E17)=D$10,F17,D$10-SUM(E$17:E17))</f>
        <v>0</v>
      </c>
      <c r="E18" s="71">
        <f>IF(+I14&lt;F17,I14,D18)</f>
        <v>0</v>
      </c>
      <c r="F18" s="70">
        <f t="shared" ref="F18:F48" si="6">+D18-E18</f>
        <v>0</v>
      </c>
      <c r="G18" s="72">
        <f t="shared" si="0"/>
        <v>0</v>
      </c>
      <c r="H18" s="53">
        <f t="shared" si="1"/>
        <v>0</v>
      </c>
      <c r="I18" s="67">
        <f t="shared" si="2"/>
        <v>0</v>
      </c>
      <c r="J18" s="67"/>
      <c r="K18" s="150"/>
      <c r="L18" s="69">
        <f t="shared" si="3"/>
        <v>0</v>
      </c>
      <c r="M18" s="150"/>
      <c r="N18" s="69">
        <f t="shared" si="4"/>
        <v>0</v>
      </c>
      <c r="O18" s="69">
        <f t="shared" si="5"/>
        <v>0</v>
      </c>
      <c r="P18" s="4"/>
    </row>
    <row r="19" spans="2:16" ht="12.5">
      <c r="B19" s="9" t="str">
        <f>IF(D19=F18,"","IU")</f>
        <v/>
      </c>
      <c r="C19" s="64">
        <f>IF(D11="","-",+C18+1)</f>
        <v>2018</v>
      </c>
      <c r="D19" s="70">
        <f>IF(F18+SUM(E$17:E18)=D$10,F18,D$10-SUM(E$17:E18))</f>
        <v>0</v>
      </c>
      <c r="E19" s="71">
        <f>IF(+I14&lt;F18,I14,D19)</f>
        <v>0</v>
      </c>
      <c r="F19" s="70">
        <f t="shared" si="6"/>
        <v>0</v>
      </c>
      <c r="G19" s="72">
        <f t="shared" si="0"/>
        <v>0</v>
      </c>
      <c r="H19" s="53">
        <f t="shared" si="1"/>
        <v>0</v>
      </c>
      <c r="I19" s="67">
        <f t="shared" si="2"/>
        <v>0</v>
      </c>
      <c r="J19" s="67"/>
      <c r="K19" s="150"/>
      <c r="L19" s="69">
        <f t="shared" si="3"/>
        <v>0</v>
      </c>
      <c r="M19" s="150"/>
      <c r="N19" s="69">
        <f t="shared" si="4"/>
        <v>0</v>
      </c>
      <c r="O19" s="69">
        <f t="shared" si="5"/>
        <v>0</v>
      </c>
      <c r="P19" s="4"/>
    </row>
    <row r="20" spans="2:16" ht="12.5">
      <c r="B20" s="9" t="str">
        <f t="shared" ref="B20:B72" si="7">IF(D20=F19,"","IU")</f>
        <v/>
      </c>
      <c r="C20" s="64">
        <f>IF(D11="","-",+C19+1)</f>
        <v>2019</v>
      </c>
      <c r="D20" s="70">
        <f>IF(F19+SUM(E$17:E19)=D$10,F19,D$10-SUM(E$17:E19))</f>
        <v>0</v>
      </c>
      <c r="E20" s="71">
        <f>IF(+I14&lt;F19,I14,D20)</f>
        <v>0</v>
      </c>
      <c r="F20" s="70">
        <f t="shared" si="6"/>
        <v>0</v>
      </c>
      <c r="G20" s="72">
        <f t="shared" si="0"/>
        <v>0</v>
      </c>
      <c r="H20" s="53">
        <f t="shared" si="1"/>
        <v>0</v>
      </c>
      <c r="I20" s="67">
        <f t="shared" si="2"/>
        <v>0</v>
      </c>
      <c r="J20" s="67"/>
      <c r="K20" s="150"/>
      <c r="L20" s="69">
        <f t="shared" si="3"/>
        <v>0</v>
      </c>
      <c r="M20" s="150"/>
      <c r="N20" s="69">
        <f t="shared" si="4"/>
        <v>0</v>
      </c>
      <c r="O20" s="69">
        <f t="shared" si="5"/>
        <v>0</v>
      </c>
      <c r="P20" s="4"/>
    </row>
    <row r="21" spans="2:16" ht="12.5">
      <c r="B21" s="9" t="str">
        <f t="shared" si="7"/>
        <v/>
      </c>
      <c r="C21" s="64">
        <f>IF(D11="","-",+C20+1)</f>
        <v>2020</v>
      </c>
      <c r="D21" s="70">
        <f>IF(F20+SUM(E$17:E20)=D$10,F20,D$10-SUM(E$17:E20))</f>
        <v>0</v>
      </c>
      <c r="E21" s="71">
        <f>IF(+I14&lt;F20,I14,D21)</f>
        <v>0</v>
      </c>
      <c r="F21" s="70">
        <f t="shared" si="6"/>
        <v>0</v>
      </c>
      <c r="G21" s="72">
        <f t="shared" si="0"/>
        <v>0</v>
      </c>
      <c r="H21" s="53">
        <f t="shared" si="1"/>
        <v>0</v>
      </c>
      <c r="I21" s="67">
        <f t="shared" si="2"/>
        <v>0</v>
      </c>
      <c r="J21" s="67"/>
      <c r="K21" s="150"/>
      <c r="L21" s="69">
        <f t="shared" si="3"/>
        <v>0</v>
      </c>
      <c r="M21" s="150"/>
      <c r="N21" s="69">
        <f t="shared" si="4"/>
        <v>0</v>
      </c>
      <c r="O21" s="69">
        <f t="shared" si="5"/>
        <v>0</v>
      </c>
      <c r="P21" s="4"/>
    </row>
    <row r="22" spans="2:16" ht="12.5">
      <c r="B22" s="9" t="str">
        <f t="shared" si="7"/>
        <v/>
      </c>
      <c r="C22" s="64">
        <f>IF(D11="","-",+C21+1)</f>
        <v>2021</v>
      </c>
      <c r="D22" s="70">
        <f>IF(F21+SUM(E$17:E21)=D$10,F21,D$10-SUM(E$17:E21))</f>
        <v>0</v>
      </c>
      <c r="E22" s="71">
        <f>IF(+I14&lt;F21,I14,D22)</f>
        <v>0</v>
      </c>
      <c r="F22" s="70">
        <f t="shared" si="6"/>
        <v>0</v>
      </c>
      <c r="G22" s="72">
        <f t="shared" si="0"/>
        <v>0</v>
      </c>
      <c r="H22" s="53">
        <f t="shared" si="1"/>
        <v>0</v>
      </c>
      <c r="I22" s="67">
        <f t="shared" si="2"/>
        <v>0</v>
      </c>
      <c r="J22" s="67"/>
      <c r="K22" s="150"/>
      <c r="L22" s="69">
        <f t="shared" si="3"/>
        <v>0</v>
      </c>
      <c r="M22" s="150"/>
      <c r="N22" s="69">
        <f t="shared" si="4"/>
        <v>0</v>
      </c>
      <c r="O22" s="69">
        <f t="shared" si="5"/>
        <v>0</v>
      </c>
      <c r="P22" s="4"/>
    </row>
    <row r="23" spans="2:16" ht="12.5">
      <c r="B23" s="9" t="str">
        <f t="shared" si="7"/>
        <v/>
      </c>
      <c r="C23" s="64">
        <f>IF(D11="","-",+C22+1)</f>
        <v>2022</v>
      </c>
      <c r="D23" s="70">
        <f>IF(F22+SUM(E$17:E22)=D$10,F22,D$10-SUM(E$17:E22))</f>
        <v>0</v>
      </c>
      <c r="E23" s="71">
        <f>IF(+I14&lt;F22,I14,D23)</f>
        <v>0</v>
      </c>
      <c r="F23" s="70">
        <f t="shared" si="6"/>
        <v>0</v>
      </c>
      <c r="G23" s="72">
        <f t="shared" si="0"/>
        <v>0</v>
      </c>
      <c r="H23" s="53">
        <f t="shared" si="1"/>
        <v>0</v>
      </c>
      <c r="I23" s="67">
        <f t="shared" si="2"/>
        <v>0</v>
      </c>
      <c r="J23" s="67"/>
      <c r="K23" s="150"/>
      <c r="L23" s="69">
        <f t="shared" si="3"/>
        <v>0</v>
      </c>
      <c r="M23" s="150"/>
      <c r="N23" s="69">
        <f t="shared" si="4"/>
        <v>0</v>
      </c>
      <c r="O23" s="69">
        <f t="shared" si="5"/>
        <v>0</v>
      </c>
      <c r="P23" s="4"/>
    </row>
    <row r="24" spans="2:16" ht="12.5">
      <c r="B24" s="9" t="str">
        <f t="shared" si="7"/>
        <v/>
      </c>
      <c r="C24" s="64">
        <f>IF(D11="","-",+C23+1)</f>
        <v>2023</v>
      </c>
      <c r="D24" s="70">
        <f>IF(F23+SUM(E$17:E23)=D$10,F23,D$10-SUM(E$17:E23))</f>
        <v>0</v>
      </c>
      <c r="E24" s="71">
        <f>IF(+I14&lt;F23,I14,D24)</f>
        <v>0</v>
      </c>
      <c r="F24" s="70">
        <f t="shared" si="6"/>
        <v>0</v>
      </c>
      <c r="G24" s="72">
        <f t="shared" si="0"/>
        <v>0</v>
      </c>
      <c r="H24" s="53">
        <f t="shared" si="1"/>
        <v>0</v>
      </c>
      <c r="I24" s="67">
        <f t="shared" si="2"/>
        <v>0</v>
      </c>
      <c r="J24" s="67"/>
      <c r="K24" s="150"/>
      <c r="L24" s="69">
        <f t="shared" si="3"/>
        <v>0</v>
      </c>
      <c r="M24" s="150"/>
      <c r="N24" s="69">
        <f t="shared" si="4"/>
        <v>0</v>
      </c>
      <c r="O24" s="69">
        <f t="shared" si="5"/>
        <v>0</v>
      </c>
      <c r="P24" s="4"/>
    </row>
    <row r="25" spans="2:16" ht="12.5">
      <c r="B25" s="9" t="str">
        <f t="shared" si="7"/>
        <v/>
      </c>
      <c r="C25" s="64">
        <f>IF(D11="","-",+C24+1)</f>
        <v>2024</v>
      </c>
      <c r="D25" s="70">
        <f>IF(F24+SUM(E$17:E24)=D$10,F24,D$10-SUM(E$17:E24))</f>
        <v>0</v>
      </c>
      <c r="E25" s="71">
        <f>IF(+I14&lt;F24,I14,D25)</f>
        <v>0</v>
      </c>
      <c r="F25" s="70">
        <f t="shared" si="6"/>
        <v>0</v>
      </c>
      <c r="G25" s="72">
        <f t="shared" si="0"/>
        <v>0</v>
      </c>
      <c r="H25" s="53">
        <f t="shared" si="1"/>
        <v>0</v>
      </c>
      <c r="I25" s="67">
        <f t="shared" si="2"/>
        <v>0</v>
      </c>
      <c r="J25" s="67"/>
      <c r="K25" s="150"/>
      <c r="L25" s="69">
        <f t="shared" si="3"/>
        <v>0</v>
      </c>
      <c r="M25" s="150"/>
      <c r="N25" s="69">
        <f t="shared" si="4"/>
        <v>0</v>
      </c>
      <c r="O25" s="69">
        <f t="shared" si="5"/>
        <v>0</v>
      </c>
      <c r="P25" s="4"/>
    </row>
    <row r="26" spans="2:16" ht="12.5">
      <c r="B26" s="9" t="str">
        <f t="shared" si="7"/>
        <v/>
      </c>
      <c r="C26" s="64">
        <f>IF(D11="","-",+C25+1)</f>
        <v>2025</v>
      </c>
      <c r="D26" s="70">
        <f>IF(F25+SUM(E$17:E25)=D$10,F25,D$10-SUM(E$17:E25))</f>
        <v>0</v>
      </c>
      <c r="E26" s="71">
        <f>IF(+I14&lt;F25,I14,D26)</f>
        <v>0</v>
      </c>
      <c r="F26" s="70">
        <f t="shared" si="6"/>
        <v>0</v>
      </c>
      <c r="G26" s="72">
        <f t="shared" si="0"/>
        <v>0</v>
      </c>
      <c r="H26" s="53">
        <f t="shared" si="1"/>
        <v>0</v>
      </c>
      <c r="I26" s="67">
        <f t="shared" si="2"/>
        <v>0</v>
      </c>
      <c r="J26" s="67"/>
      <c r="K26" s="150"/>
      <c r="L26" s="69">
        <f t="shared" si="3"/>
        <v>0</v>
      </c>
      <c r="M26" s="150"/>
      <c r="N26" s="69">
        <f t="shared" si="4"/>
        <v>0</v>
      </c>
      <c r="O26" s="69">
        <f t="shared" si="5"/>
        <v>0</v>
      </c>
      <c r="P26" s="4"/>
    </row>
    <row r="27" spans="2:16" ht="12.5">
      <c r="B27" s="9" t="str">
        <f t="shared" si="7"/>
        <v/>
      </c>
      <c r="C27" s="64">
        <f>IF(D11="","-",+C26+1)</f>
        <v>2026</v>
      </c>
      <c r="D27" s="70">
        <f>IF(F26+SUM(E$17:E26)=D$10,F26,D$10-SUM(E$17:E26))</f>
        <v>0</v>
      </c>
      <c r="E27" s="71">
        <f>IF(+I14&lt;F26,I14,D27)</f>
        <v>0</v>
      </c>
      <c r="F27" s="70">
        <f t="shared" si="6"/>
        <v>0</v>
      </c>
      <c r="G27" s="72">
        <f t="shared" si="0"/>
        <v>0</v>
      </c>
      <c r="H27" s="53">
        <f t="shared" si="1"/>
        <v>0</v>
      </c>
      <c r="I27" s="67">
        <f t="shared" si="2"/>
        <v>0</v>
      </c>
      <c r="J27" s="67"/>
      <c r="K27" s="150"/>
      <c r="L27" s="69">
        <f t="shared" si="3"/>
        <v>0</v>
      </c>
      <c r="M27" s="150"/>
      <c r="N27" s="69">
        <f t="shared" si="4"/>
        <v>0</v>
      </c>
      <c r="O27" s="69">
        <f t="shared" si="5"/>
        <v>0</v>
      </c>
      <c r="P27" s="4"/>
    </row>
    <row r="28" spans="2:16" ht="12.5">
      <c r="B28" s="9" t="str">
        <f t="shared" si="7"/>
        <v/>
      </c>
      <c r="C28" s="64">
        <f>IF(D11="","-",+C27+1)</f>
        <v>2027</v>
      </c>
      <c r="D28" s="70">
        <f>IF(F27+SUM(E$17:E27)=D$10,F27,D$10-SUM(E$17:E27))</f>
        <v>0</v>
      </c>
      <c r="E28" s="71">
        <f>IF(+I14&lt;F27,I14,D28)</f>
        <v>0</v>
      </c>
      <c r="F28" s="70">
        <f t="shared" si="6"/>
        <v>0</v>
      </c>
      <c r="G28" s="72">
        <f t="shared" si="0"/>
        <v>0</v>
      </c>
      <c r="H28" s="53">
        <f t="shared" si="1"/>
        <v>0</v>
      </c>
      <c r="I28" s="67">
        <f t="shared" si="2"/>
        <v>0</v>
      </c>
      <c r="J28" s="67"/>
      <c r="K28" s="150"/>
      <c r="L28" s="69">
        <f t="shared" si="3"/>
        <v>0</v>
      </c>
      <c r="M28" s="150"/>
      <c r="N28" s="69">
        <f t="shared" si="4"/>
        <v>0</v>
      </c>
      <c r="O28" s="69">
        <f t="shared" si="5"/>
        <v>0</v>
      </c>
      <c r="P28" s="4"/>
    </row>
    <row r="29" spans="2:16" ht="12.5">
      <c r="B29" s="9" t="str">
        <f t="shared" si="7"/>
        <v/>
      </c>
      <c r="C29" s="64">
        <f>IF(D11="","-",+C28+1)</f>
        <v>2028</v>
      </c>
      <c r="D29" s="70">
        <f>IF(F28+SUM(E$17:E28)=D$10,F28,D$10-SUM(E$17:E28))</f>
        <v>0</v>
      </c>
      <c r="E29" s="71">
        <f>IF(+I14&lt;F28,I14,D29)</f>
        <v>0</v>
      </c>
      <c r="F29" s="70">
        <f t="shared" si="6"/>
        <v>0</v>
      </c>
      <c r="G29" s="72">
        <f t="shared" si="0"/>
        <v>0</v>
      </c>
      <c r="H29" s="53">
        <f t="shared" si="1"/>
        <v>0</v>
      </c>
      <c r="I29" s="67">
        <f t="shared" si="2"/>
        <v>0</v>
      </c>
      <c r="J29" s="67"/>
      <c r="K29" s="150"/>
      <c r="L29" s="69">
        <f t="shared" si="3"/>
        <v>0</v>
      </c>
      <c r="M29" s="150"/>
      <c r="N29" s="69">
        <f t="shared" si="4"/>
        <v>0</v>
      </c>
      <c r="O29" s="69">
        <f t="shared" si="5"/>
        <v>0</v>
      </c>
      <c r="P29" s="4"/>
    </row>
    <row r="30" spans="2:16" ht="12.5">
      <c r="B30" s="9" t="str">
        <f t="shared" si="7"/>
        <v/>
      </c>
      <c r="C30" s="64">
        <f>IF(D11="","-",+C29+1)</f>
        <v>2029</v>
      </c>
      <c r="D30" s="70">
        <f>IF(F29+SUM(E$17:E29)=D$10,F29,D$10-SUM(E$17:E29))</f>
        <v>0</v>
      </c>
      <c r="E30" s="71">
        <f>IF(+I14&lt;F29,I14,D30)</f>
        <v>0</v>
      </c>
      <c r="F30" s="70">
        <f t="shared" si="6"/>
        <v>0</v>
      </c>
      <c r="G30" s="72">
        <f t="shared" si="0"/>
        <v>0</v>
      </c>
      <c r="H30" s="53">
        <f t="shared" si="1"/>
        <v>0</v>
      </c>
      <c r="I30" s="67">
        <f t="shared" si="2"/>
        <v>0</v>
      </c>
      <c r="J30" s="67"/>
      <c r="K30" s="150"/>
      <c r="L30" s="69">
        <f t="shared" si="3"/>
        <v>0</v>
      </c>
      <c r="M30" s="150"/>
      <c r="N30" s="69">
        <f t="shared" si="4"/>
        <v>0</v>
      </c>
      <c r="O30" s="69">
        <f t="shared" si="5"/>
        <v>0</v>
      </c>
      <c r="P30" s="4"/>
    </row>
    <row r="31" spans="2:16" ht="12.5">
      <c r="B31" s="9" t="str">
        <f t="shared" si="7"/>
        <v/>
      </c>
      <c r="C31" s="64">
        <f>IF(D11="","-",+C30+1)</f>
        <v>2030</v>
      </c>
      <c r="D31" s="70">
        <f>IF(F30+SUM(E$17:E30)=D$10,F30,D$10-SUM(E$17:E30))</f>
        <v>0</v>
      </c>
      <c r="E31" s="71">
        <f>IF(+I14&lt;F30,I14,D31)</f>
        <v>0</v>
      </c>
      <c r="F31" s="70">
        <f t="shared" si="6"/>
        <v>0</v>
      </c>
      <c r="G31" s="72">
        <f t="shared" si="0"/>
        <v>0</v>
      </c>
      <c r="H31" s="53">
        <f t="shared" si="1"/>
        <v>0</v>
      </c>
      <c r="I31" s="67">
        <f t="shared" si="2"/>
        <v>0</v>
      </c>
      <c r="J31" s="67"/>
      <c r="K31" s="150"/>
      <c r="L31" s="69">
        <f t="shared" si="3"/>
        <v>0</v>
      </c>
      <c r="M31" s="150"/>
      <c r="N31" s="69">
        <f t="shared" si="4"/>
        <v>0</v>
      </c>
      <c r="O31" s="69">
        <f t="shared" si="5"/>
        <v>0</v>
      </c>
      <c r="P31" s="4"/>
    </row>
    <row r="32" spans="2:16" ht="12.5">
      <c r="B32" s="9" t="str">
        <f t="shared" si="7"/>
        <v/>
      </c>
      <c r="C32" s="64">
        <f>IF(D11="","-",+C31+1)</f>
        <v>2031</v>
      </c>
      <c r="D32" s="70">
        <f>IF(F31+SUM(E$17:E31)=D$10,F31,D$10-SUM(E$17:E31))</f>
        <v>0</v>
      </c>
      <c r="E32" s="71">
        <f>IF(+I14&lt;F31,I14,D32)</f>
        <v>0</v>
      </c>
      <c r="F32" s="70">
        <f t="shared" si="6"/>
        <v>0</v>
      </c>
      <c r="G32" s="72">
        <f t="shared" si="0"/>
        <v>0</v>
      </c>
      <c r="H32" s="53">
        <f t="shared" si="1"/>
        <v>0</v>
      </c>
      <c r="I32" s="67">
        <f t="shared" si="2"/>
        <v>0</v>
      </c>
      <c r="J32" s="67"/>
      <c r="K32" s="150"/>
      <c r="L32" s="69">
        <f t="shared" si="3"/>
        <v>0</v>
      </c>
      <c r="M32" s="150"/>
      <c r="N32" s="69">
        <f t="shared" si="4"/>
        <v>0</v>
      </c>
      <c r="O32" s="69">
        <f t="shared" si="5"/>
        <v>0</v>
      </c>
      <c r="P32" s="4"/>
    </row>
    <row r="33" spans="2:16" ht="12.5">
      <c r="B33" s="9" t="str">
        <f t="shared" si="7"/>
        <v/>
      </c>
      <c r="C33" s="64">
        <f>IF(D11="","-",+C32+1)</f>
        <v>2032</v>
      </c>
      <c r="D33" s="70">
        <f>IF(F32+SUM(E$17:E32)=D$10,F32,D$10-SUM(E$17:E32))</f>
        <v>0</v>
      </c>
      <c r="E33" s="71">
        <f>IF(+I14&lt;F32,I14,D33)</f>
        <v>0</v>
      </c>
      <c r="F33" s="70">
        <f t="shared" si="6"/>
        <v>0</v>
      </c>
      <c r="G33" s="72">
        <f t="shared" si="0"/>
        <v>0</v>
      </c>
      <c r="H33" s="53">
        <f t="shared" si="1"/>
        <v>0</v>
      </c>
      <c r="I33" s="67">
        <f t="shared" si="2"/>
        <v>0</v>
      </c>
      <c r="J33" s="67"/>
      <c r="K33" s="150"/>
      <c r="L33" s="69">
        <f t="shared" si="3"/>
        <v>0</v>
      </c>
      <c r="M33" s="150"/>
      <c r="N33" s="69">
        <f t="shared" si="4"/>
        <v>0</v>
      </c>
      <c r="O33" s="69">
        <f t="shared" si="5"/>
        <v>0</v>
      </c>
      <c r="P33" s="4"/>
    </row>
    <row r="34" spans="2:16" ht="12.5">
      <c r="B34" s="9" t="str">
        <f t="shared" si="7"/>
        <v/>
      </c>
      <c r="C34" s="64">
        <f>IF(D11="","-",+C33+1)</f>
        <v>2033</v>
      </c>
      <c r="D34" s="70">
        <f>IF(F33+SUM(E$17:E33)=D$10,F33,D$10-SUM(E$17:E33))</f>
        <v>0</v>
      </c>
      <c r="E34" s="71">
        <f>IF(+I14&lt;F33,I14,D34)</f>
        <v>0</v>
      </c>
      <c r="F34" s="70">
        <f t="shared" si="6"/>
        <v>0</v>
      </c>
      <c r="G34" s="72">
        <f t="shared" si="0"/>
        <v>0</v>
      </c>
      <c r="H34" s="53">
        <f t="shared" si="1"/>
        <v>0</v>
      </c>
      <c r="I34" s="67">
        <f t="shared" si="2"/>
        <v>0</v>
      </c>
      <c r="J34" s="67"/>
      <c r="K34" s="150"/>
      <c r="L34" s="69">
        <f t="shared" si="3"/>
        <v>0</v>
      </c>
      <c r="M34" s="150"/>
      <c r="N34" s="69">
        <f t="shared" si="4"/>
        <v>0</v>
      </c>
      <c r="O34" s="69">
        <f t="shared" si="5"/>
        <v>0</v>
      </c>
      <c r="P34" s="4"/>
    </row>
    <row r="35" spans="2:16" ht="12.5">
      <c r="B35" s="9" t="str">
        <f t="shared" si="7"/>
        <v/>
      </c>
      <c r="C35" s="64">
        <f>IF(D11="","-",+C34+1)</f>
        <v>2034</v>
      </c>
      <c r="D35" s="70">
        <f>IF(F34+SUM(E$17:E34)=D$10,F34,D$10-SUM(E$17:E34))</f>
        <v>0</v>
      </c>
      <c r="E35" s="71">
        <f>IF(+I14&lt;F34,I14,D35)</f>
        <v>0</v>
      </c>
      <c r="F35" s="70">
        <f t="shared" si="6"/>
        <v>0</v>
      </c>
      <c r="G35" s="72">
        <f t="shared" si="0"/>
        <v>0</v>
      </c>
      <c r="H35" s="53">
        <f t="shared" si="1"/>
        <v>0</v>
      </c>
      <c r="I35" s="67">
        <f t="shared" si="2"/>
        <v>0</v>
      </c>
      <c r="J35" s="67"/>
      <c r="K35" s="150"/>
      <c r="L35" s="69">
        <f t="shared" si="3"/>
        <v>0</v>
      </c>
      <c r="M35" s="150"/>
      <c r="N35" s="69">
        <f t="shared" si="4"/>
        <v>0</v>
      </c>
      <c r="O35" s="69">
        <f t="shared" si="5"/>
        <v>0</v>
      </c>
      <c r="P35" s="4"/>
    </row>
    <row r="36" spans="2:16" ht="12.5">
      <c r="B36" s="9" t="str">
        <f t="shared" si="7"/>
        <v/>
      </c>
      <c r="C36" s="64">
        <f>IF(D11="","-",+C35+1)</f>
        <v>2035</v>
      </c>
      <c r="D36" s="70">
        <f>IF(F35+SUM(E$17:E35)=D$10,F35,D$10-SUM(E$17:E35))</f>
        <v>0</v>
      </c>
      <c r="E36" s="71">
        <f>IF(+I14&lt;F35,I14,D36)</f>
        <v>0</v>
      </c>
      <c r="F36" s="70">
        <f t="shared" si="6"/>
        <v>0</v>
      </c>
      <c r="G36" s="72">
        <f t="shared" si="0"/>
        <v>0</v>
      </c>
      <c r="H36" s="53">
        <f t="shared" si="1"/>
        <v>0</v>
      </c>
      <c r="I36" s="67">
        <f t="shared" si="2"/>
        <v>0</v>
      </c>
      <c r="J36" s="67"/>
      <c r="K36" s="150"/>
      <c r="L36" s="69">
        <f t="shared" si="3"/>
        <v>0</v>
      </c>
      <c r="M36" s="150"/>
      <c r="N36" s="69">
        <f t="shared" si="4"/>
        <v>0</v>
      </c>
      <c r="O36" s="69">
        <f t="shared" si="5"/>
        <v>0</v>
      </c>
      <c r="P36" s="4"/>
    </row>
    <row r="37" spans="2:16" ht="12.5">
      <c r="B37" s="9" t="str">
        <f t="shared" si="7"/>
        <v/>
      </c>
      <c r="C37" s="64">
        <f>IF(D11="","-",+C36+1)</f>
        <v>2036</v>
      </c>
      <c r="D37" s="70">
        <f>IF(F36+SUM(E$17:E36)=D$10,F36,D$10-SUM(E$17:E36))</f>
        <v>0</v>
      </c>
      <c r="E37" s="71">
        <f>IF(+I14&lt;F36,I14,D37)</f>
        <v>0</v>
      </c>
      <c r="F37" s="70">
        <f t="shared" si="6"/>
        <v>0</v>
      </c>
      <c r="G37" s="72">
        <f t="shared" si="0"/>
        <v>0</v>
      </c>
      <c r="H37" s="53">
        <f t="shared" si="1"/>
        <v>0</v>
      </c>
      <c r="I37" s="67">
        <f t="shared" si="2"/>
        <v>0</v>
      </c>
      <c r="J37" s="67"/>
      <c r="K37" s="150"/>
      <c r="L37" s="69">
        <f t="shared" si="3"/>
        <v>0</v>
      </c>
      <c r="M37" s="150"/>
      <c r="N37" s="69">
        <f t="shared" si="4"/>
        <v>0</v>
      </c>
      <c r="O37" s="69">
        <f t="shared" si="5"/>
        <v>0</v>
      </c>
      <c r="P37" s="4"/>
    </row>
    <row r="38" spans="2:16" ht="12.5">
      <c r="B38" s="9" t="str">
        <f t="shared" si="7"/>
        <v/>
      </c>
      <c r="C38" s="64">
        <f>IF(D11="","-",+C37+1)</f>
        <v>2037</v>
      </c>
      <c r="D38" s="70">
        <f>IF(F37+SUM(E$17:E37)=D$10,F37,D$10-SUM(E$17:E37))</f>
        <v>0</v>
      </c>
      <c r="E38" s="71">
        <f>IF(+I14&lt;F37,I14,D38)</f>
        <v>0</v>
      </c>
      <c r="F38" s="70">
        <f t="shared" si="6"/>
        <v>0</v>
      </c>
      <c r="G38" s="72">
        <f t="shared" si="0"/>
        <v>0</v>
      </c>
      <c r="H38" s="53">
        <f t="shared" si="1"/>
        <v>0</v>
      </c>
      <c r="I38" s="67">
        <f t="shared" si="2"/>
        <v>0</v>
      </c>
      <c r="J38" s="67"/>
      <c r="K38" s="150"/>
      <c r="L38" s="69">
        <f t="shared" si="3"/>
        <v>0</v>
      </c>
      <c r="M38" s="150"/>
      <c r="N38" s="69">
        <f t="shared" si="4"/>
        <v>0</v>
      </c>
      <c r="O38" s="69">
        <f t="shared" si="5"/>
        <v>0</v>
      </c>
      <c r="P38" s="4"/>
    </row>
    <row r="39" spans="2:16" ht="12.5">
      <c r="B39" s="9" t="str">
        <f t="shared" si="7"/>
        <v/>
      </c>
      <c r="C39" s="64">
        <f>IF(D11="","-",+C38+1)</f>
        <v>2038</v>
      </c>
      <c r="D39" s="70">
        <f>IF(F38+SUM(E$17:E38)=D$10,F38,D$10-SUM(E$17:E38))</f>
        <v>0</v>
      </c>
      <c r="E39" s="71">
        <f>IF(+I14&lt;F38,I14,D39)</f>
        <v>0</v>
      </c>
      <c r="F39" s="70">
        <f t="shared" si="6"/>
        <v>0</v>
      </c>
      <c r="G39" s="72">
        <f t="shared" si="0"/>
        <v>0</v>
      </c>
      <c r="H39" s="53">
        <f t="shared" si="1"/>
        <v>0</v>
      </c>
      <c r="I39" s="67">
        <f t="shared" si="2"/>
        <v>0</v>
      </c>
      <c r="J39" s="67"/>
      <c r="K39" s="150"/>
      <c r="L39" s="69">
        <f t="shared" si="3"/>
        <v>0</v>
      </c>
      <c r="M39" s="150"/>
      <c r="N39" s="69">
        <f t="shared" si="4"/>
        <v>0</v>
      </c>
      <c r="O39" s="69">
        <f t="shared" si="5"/>
        <v>0</v>
      </c>
      <c r="P39" s="4"/>
    </row>
    <row r="40" spans="2:16" ht="12.5">
      <c r="B40" s="9" t="str">
        <f t="shared" si="7"/>
        <v/>
      </c>
      <c r="C40" s="64">
        <f>IF(D11="","-",+C39+1)</f>
        <v>2039</v>
      </c>
      <c r="D40" s="70">
        <f>IF(F39+SUM(E$17:E39)=D$10,F39,D$10-SUM(E$17:E39))</f>
        <v>0</v>
      </c>
      <c r="E40" s="71">
        <f>IF(+I14&lt;F39,I14,D40)</f>
        <v>0</v>
      </c>
      <c r="F40" s="70">
        <f t="shared" si="6"/>
        <v>0</v>
      </c>
      <c r="G40" s="72">
        <f t="shared" si="0"/>
        <v>0</v>
      </c>
      <c r="H40" s="53">
        <f t="shared" si="1"/>
        <v>0</v>
      </c>
      <c r="I40" s="67">
        <f t="shared" si="2"/>
        <v>0</v>
      </c>
      <c r="J40" s="67"/>
      <c r="K40" s="150"/>
      <c r="L40" s="69">
        <f t="shared" si="3"/>
        <v>0</v>
      </c>
      <c r="M40" s="150"/>
      <c r="N40" s="69">
        <f t="shared" si="4"/>
        <v>0</v>
      </c>
      <c r="O40" s="69">
        <f t="shared" si="5"/>
        <v>0</v>
      </c>
      <c r="P40" s="4"/>
    </row>
    <row r="41" spans="2:16" ht="12.5">
      <c r="B41" s="9" t="str">
        <f t="shared" si="7"/>
        <v/>
      </c>
      <c r="C41" s="64">
        <f>IF(D11="","-",+C40+1)</f>
        <v>2040</v>
      </c>
      <c r="D41" s="70">
        <f>IF(F40+SUM(E$17:E40)=D$10,F40,D$10-SUM(E$17:E40))</f>
        <v>0</v>
      </c>
      <c r="E41" s="71">
        <f>IF(+I14&lt;F40,I14,D41)</f>
        <v>0</v>
      </c>
      <c r="F41" s="70">
        <f t="shared" si="6"/>
        <v>0</v>
      </c>
      <c r="G41" s="72">
        <f t="shared" si="0"/>
        <v>0</v>
      </c>
      <c r="H41" s="53">
        <f t="shared" si="1"/>
        <v>0</v>
      </c>
      <c r="I41" s="67">
        <f t="shared" si="2"/>
        <v>0</v>
      </c>
      <c r="J41" s="67"/>
      <c r="K41" s="150"/>
      <c r="L41" s="69">
        <f t="shared" si="3"/>
        <v>0</v>
      </c>
      <c r="M41" s="150"/>
      <c r="N41" s="69">
        <f t="shared" si="4"/>
        <v>0</v>
      </c>
      <c r="O41" s="69">
        <f t="shared" si="5"/>
        <v>0</v>
      </c>
      <c r="P41" s="4"/>
    </row>
    <row r="42" spans="2:16" ht="12.5">
      <c r="B42" s="9" t="str">
        <f t="shared" si="7"/>
        <v/>
      </c>
      <c r="C42" s="64">
        <f>IF(D11="","-",+C41+1)</f>
        <v>2041</v>
      </c>
      <c r="D42" s="70">
        <f>IF(F41+SUM(E$17:E41)=D$10,F41,D$10-SUM(E$17:E41))</f>
        <v>0</v>
      </c>
      <c r="E42" s="71">
        <f>IF(+I14&lt;F41,I14,D42)</f>
        <v>0</v>
      </c>
      <c r="F42" s="70">
        <f t="shared" si="6"/>
        <v>0</v>
      </c>
      <c r="G42" s="72">
        <f t="shared" si="0"/>
        <v>0</v>
      </c>
      <c r="H42" s="53">
        <f t="shared" si="1"/>
        <v>0</v>
      </c>
      <c r="I42" s="67">
        <f t="shared" si="2"/>
        <v>0</v>
      </c>
      <c r="J42" s="67"/>
      <c r="K42" s="150"/>
      <c r="L42" s="69">
        <f t="shared" si="3"/>
        <v>0</v>
      </c>
      <c r="M42" s="150"/>
      <c r="N42" s="69">
        <f t="shared" si="4"/>
        <v>0</v>
      </c>
      <c r="O42" s="69">
        <f t="shared" si="5"/>
        <v>0</v>
      </c>
      <c r="P42" s="4"/>
    </row>
    <row r="43" spans="2:16" ht="12.5">
      <c r="B43" s="9" t="str">
        <f t="shared" si="7"/>
        <v/>
      </c>
      <c r="C43" s="64">
        <f>IF(D11="","-",+C42+1)</f>
        <v>2042</v>
      </c>
      <c r="D43" s="70">
        <f>IF(F42+SUM(E$17:E42)=D$10,F42,D$10-SUM(E$17:E42))</f>
        <v>0</v>
      </c>
      <c r="E43" s="71">
        <f>IF(+I14&lt;F42,I14,D43)</f>
        <v>0</v>
      </c>
      <c r="F43" s="70">
        <f t="shared" si="6"/>
        <v>0</v>
      </c>
      <c r="G43" s="72">
        <f t="shared" si="0"/>
        <v>0</v>
      </c>
      <c r="H43" s="53">
        <f t="shared" si="1"/>
        <v>0</v>
      </c>
      <c r="I43" s="67">
        <f t="shared" si="2"/>
        <v>0</v>
      </c>
      <c r="J43" s="67"/>
      <c r="K43" s="150"/>
      <c r="L43" s="69">
        <f t="shared" si="3"/>
        <v>0</v>
      </c>
      <c r="M43" s="150"/>
      <c r="N43" s="69">
        <f t="shared" si="4"/>
        <v>0</v>
      </c>
      <c r="O43" s="69">
        <f t="shared" si="5"/>
        <v>0</v>
      </c>
      <c r="P43" s="4"/>
    </row>
    <row r="44" spans="2:16" ht="12.5">
      <c r="B44" s="9" t="str">
        <f t="shared" si="7"/>
        <v/>
      </c>
      <c r="C44" s="64">
        <f>IF(D11="","-",+C43+1)</f>
        <v>2043</v>
      </c>
      <c r="D44" s="70">
        <f>IF(F43+SUM(E$17:E43)=D$10,F43,D$10-SUM(E$17:E43))</f>
        <v>0</v>
      </c>
      <c r="E44" s="71">
        <f>IF(+I14&lt;F43,I14,D44)</f>
        <v>0</v>
      </c>
      <c r="F44" s="70">
        <f t="shared" si="6"/>
        <v>0</v>
      </c>
      <c r="G44" s="72">
        <f t="shared" si="0"/>
        <v>0</v>
      </c>
      <c r="H44" s="53">
        <f t="shared" si="1"/>
        <v>0</v>
      </c>
      <c r="I44" s="67">
        <f t="shared" si="2"/>
        <v>0</v>
      </c>
      <c r="J44" s="67"/>
      <c r="K44" s="150"/>
      <c r="L44" s="69">
        <f t="shared" si="3"/>
        <v>0</v>
      </c>
      <c r="M44" s="150"/>
      <c r="N44" s="69">
        <f t="shared" si="4"/>
        <v>0</v>
      </c>
      <c r="O44" s="69">
        <f t="shared" si="5"/>
        <v>0</v>
      </c>
      <c r="P44" s="4"/>
    </row>
    <row r="45" spans="2:16" ht="12.5">
      <c r="B45" s="9" t="str">
        <f t="shared" si="7"/>
        <v/>
      </c>
      <c r="C45" s="64">
        <f>IF(D11="","-",+C44+1)</f>
        <v>2044</v>
      </c>
      <c r="D45" s="70">
        <f>IF(F44+SUM(E$17:E44)=D$10,F44,D$10-SUM(E$17:E44))</f>
        <v>0</v>
      </c>
      <c r="E45" s="71">
        <f>IF(+I14&lt;F44,I14,D45)</f>
        <v>0</v>
      </c>
      <c r="F45" s="70">
        <f t="shared" si="6"/>
        <v>0</v>
      </c>
      <c r="G45" s="72">
        <f t="shared" si="0"/>
        <v>0</v>
      </c>
      <c r="H45" s="53">
        <f t="shared" si="1"/>
        <v>0</v>
      </c>
      <c r="I45" s="67">
        <f t="shared" si="2"/>
        <v>0</v>
      </c>
      <c r="J45" s="67"/>
      <c r="K45" s="150"/>
      <c r="L45" s="69">
        <f t="shared" si="3"/>
        <v>0</v>
      </c>
      <c r="M45" s="150"/>
      <c r="N45" s="69">
        <f t="shared" si="4"/>
        <v>0</v>
      </c>
      <c r="O45" s="69">
        <f t="shared" si="5"/>
        <v>0</v>
      </c>
      <c r="P45" s="4"/>
    </row>
    <row r="46" spans="2:16" ht="12.5">
      <c r="B46" s="9" t="str">
        <f t="shared" si="7"/>
        <v/>
      </c>
      <c r="C46" s="64">
        <f>IF(D11="","-",+C45+1)</f>
        <v>2045</v>
      </c>
      <c r="D46" s="70">
        <f>IF(F45+SUM(E$17:E45)=D$10,F45,D$10-SUM(E$17:E45))</f>
        <v>0</v>
      </c>
      <c r="E46" s="71">
        <f>IF(+I14&lt;F45,I14,D46)</f>
        <v>0</v>
      </c>
      <c r="F46" s="70">
        <f t="shared" si="6"/>
        <v>0</v>
      </c>
      <c r="G46" s="72">
        <f t="shared" si="0"/>
        <v>0</v>
      </c>
      <c r="H46" s="53">
        <f t="shared" si="1"/>
        <v>0</v>
      </c>
      <c r="I46" s="67">
        <f t="shared" si="2"/>
        <v>0</v>
      </c>
      <c r="J46" s="67"/>
      <c r="K46" s="150"/>
      <c r="L46" s="69">
        <f t="shared" si="3"/>
        <v>0</v>
      </c>
      <c r="M46" s="150"/>
      <c r="N46" s="69">
        <f t="shared" si="4"/>
        <v>0</v>
      </c>
      <c r="O46" s="69">
        <f t="shared" si="5"/>
        <v>0</v>
      </c>
      <c r="P46" s="4"/>
    </row>
    <row r="47" spans="2:16" ht="12.5">
      <c r="B47" s="9" t="str">
        <f t="shared" si="7"/>
        <v/>
      </c>
      <c r="C47" s="64">
        <f>IF(D11="","-",+C46+1)</f>
        <v>2046</v>
      </c>
      <c r="D47" s="70">
        <f>IF(F46+SUM(E$17:E46)=D$10,F46,D$10-SUM(E$17:E46))</f>
        <v>0</v>
      </c>
      <c r="E47" s="71">
        <f>IF(+I14&lt;F46,I14,D47)</f>
        <v>0</v>
      </c>
      <c r="F47" s="70">
        <f t="shared" si="6"/>
        <v>0</v>
      </c>
      <c r="G47" s="72">
        <f t="shared" si="0"/>
        <v>0</v>
      </c>
      <c r="H47" s="53">
        <f t="shared" si="1"/>
        <v>0</v>
      </c>
      <c r="I47" s="67">
        <f t="shared" si="2"/>
        <v>0</v>
      </c>
      <c r="J47" s="67"/>
      <c r="K47" s="150"/>
      <c r="L47" s="69">
        <f t="shared" si="3"/>
        <v>0</v>
      </c>
      <c r="M47" s="150"/>
      <c r="N47" s="69">
        <f t="shared" si="4"/>
        <v>0</v>
      </c>
      <c r="O47" s="69">
        <f t="shared" si="5"/>
        <v>0</v>
      </c>
      <c r="P47" s="4"/>
    </row>
    <row r="48" spans="2:16" ht="12.5">
      <c r="B48" s="9" t="str">
        <f t="shared" si="7"/>
        <v/>
      </c>
      <c r="C48" s="64">
        <f>IF(D11="","-",+C47+1)</f>
        <v>2047</v>
      </c>
      <c r="D48" s="70">
        <f>IF(F47+SUM(E$17:E47)=D$10,F47,D$10-SUM(E$17:E47))</f>
        <v>0</v>
      </c>
      <c r="E48" s="71">
        <f>IF(+I14&lt;F47,I14,D48)</f>
        <v>0</v>
      </c>
      <c r="F48" s="70">
        <f t="shared" si="6"/>
        <v>0</v>
      </c>
      <c r="G48" s="72">
        <f t="shared" si="0"/>
        <v>0</v>
      </c>
      <c r="H48" s="53">
        <f t="shared" si="1"/>
        <v>0</v>
      </c>
      <c r="I48" s="67">
        <f t="shared" si="2"/>
        <v>0</v>
      </c>
      <c r="J48" s="67"/>
      <c r="K48" s="150"/>
      <c r="L48" s="69">
        <f t="shared" si="3"/>
        <v>0</v>
      </c>
      <c r="M48" s="150"/>
      <c r="N48" s="69">
        <f t="shared" si="4"/>
        <v>0</v>
      </c>
      <c r="O48" s="69">
        <f t="shared" si="5"/>
        <v>0</v>
      </c>
      <c r="P48" s="4"/>
    </row>
    <row r="49" spans="2:16" ht="12.5">
      <c r="B49" s="9" t="str">
        <f t="shared" si="7"/>
        <v/>
      </c>
      <c r="C49" s="64">
        <f>IF(D11="","-",+C48+1)</f>
        <v>2048</v>
      </c>
      <c r="D49" s="70">
        <f>IF(F48+SUM(E$17:E48)=D$10,F48,D$10-SUM(E$17:E48))</f>
        <v>0</v>
      </c>
      <c r="E49" s="71">
        <f>IF(+I14&lt;F48,I14,D49)</f>
        <v>0</v>
      </c>
      <c r="F49" s="70">
        <f t="shared" ref="F49:F72" si="8">+D49-E49</f>
        <v>0</v>
      </c>
      <c r="G49" s="72">
        <f t="shared" ref="G49:G72" si="9">+I$12*((D49+F49)/2)+E49</f>
        <v>0</v>
      </c>
      <c r="H49" s="53">
        <f t="shared" ref="H49:H72" si="10">+I$13*((D49+F49)/2)+E49</f>
        <v>0</v>
      </c>
      <c r="I49" s="67">
        <f t="shared" ref="I49:I72" si="11">H49-G49</f>
        <v>0</v>
      </c>
      <c r="J49" s="67"/>
      <c r="K49" s="150"/>
      <c r="L49" s="69">
        <f t="shared" ref="L49:L72" si="12">IF(K49&lt;&gt;0,+G49-K49,0)</f>
        <v>0</v>
      </c>
      <c r="M49" s="150"/>
      <c r="N49" s="69">
        <f t="shared" ref="N49:N72" si="13">IF(M49&lt;&gt;0,+H49-M49,0)</f>
        <v>0</v>
      </c>
      <c r="O49" s="69">
        <f t="shared" ref="O49:O72" si="14">+N49-L49</f>
        <v>0</v>
      </c>
      <c r="P49" s="4"/>
    </row>
    <row r="50" spans="2:16" ht="12.5">
      <c r="B50" s="9" t="str">
        <f t="shared" si="7"/>
        <v/>
      </c>
      <c r="C50" s="64">
        <f>IF(D11="","-",+C49+1)</f>
        <v>2049</v>
      </c>
      <c r="D50" s="70">
        <f>IF(F49+SUM(E$17:E49)=D$10,F49,D$10-SUM(E$17:E49))</f>
        <v>0</v>
      </c>
      <c r="E50" s="71">
        <f>IF(+I14&lt;F49,I14,D50)</f>
        <v>0</v>
      </c>
      <c r="F50" s="70">
        <f t="shared" si="8"/>
        <v>0</v>
      </c>
      <c r="G50" s="72">
        <f t="shared" si="9"/>
        <v>0</v>
      </c>
      <c r="H50" s="53">
        <f t="shared" si="10"/>
        <v>0</v>
      </c>
      <c r="I50" s="67">
        <f t="shared" si="11"/>
        <v>0</v>
      </c>
      <c r="J50" s="67"/>
      <c r="K50" s="150"/>
      <c r="L50" s="69">
        <f t="shared" si="12"/>
        <v>0</v>
      </c>
      <c r="M50" s="150"/>
      <c r="N50" s="69">
        <f t="shared" si="13"/>
        <v>0</v>
      </c>
      <c r="O50" s="69">
        <f t="shared" si="14"/>
        <v>0</v>
      </c>
      <c r="P50" s="4"/>
    </row>
    <row r="51" spans="2:16" ht="12.5">
      <c r="B51" s="9" t="str">
        <f t="shared" si="7"/>
        <v/>
      </c>
      <c r="C51" s="64">
        <f>IF(D11="","-",+C50+1)</f>
        <v>2050</v>
      </c>
      <c r="D51" s="70">
        <f>IF(F50+SUM(E$17:E50)=D$10,F50,D$10-SUM(E$17:E50))</f>
        <v>0</v>
      </c>
      <c r="E51" s="71">
        <f>IF(+I14&lt;F50,I14,D51)</f>
        <v>0</v>
      </c>
      <c r="F51" s="70">
        <f t="shared" si="8"/>
        <v>0</v>
      </c>
      <c r="G51" s="72">
        <f t="shared" si="9"/>
        <v>0</v>
      </c>
      <c r="H51" s="53">
        <f t="shared" si="10"/>
        <v>0</v>
      </c>
      <c r="I51" s="67">
        <f t="shared" si="11"/>
        <v>0</v>
      </c>
      <c r="J51" s="67"/>
      <c r="K51" s="150"/>
      <c r="L51" s="69">
        <f t="shared" si="12"/>
        <v>0</v>
      </c>
      <c r="M51" s="150"/>
      <c r="N51" s="69">
        <f t="shared" si="13"/>
        <v>0</v>
      </c>
      <c r="O51" s="69">
        <f t="shared" si="14"/>
        <v>0</v>
      </c>
      <c r="P51" s="4"/>
    </row>
    <row r="52" spans="2:16" ht="12.5">
      <c r="B52" s="9" t="str">
        <f t="shared" si="7"/>
        <v/>
      </c>
      <c r="C52" s="64">
        <f>IF(D11="","-",+C51+1)</f>
        <v>2051</v>
      </c>
      <c r="D52" s="70">
        <f>IF(F51+SUM(E$17:E51)=D$10,F51,D$10-SUM(E$17:E51))</f>
        <v>0</v>
      </c>
      <c r="E52" s="71">
        <f>IF(+I14&lt;F51,I14,D52)</f>
        <v>0</v>
      </c>
      <c r="F52" s="70">
        <f t="shared" si="8"/>
        <v>0</v>
      </c>
      <c r="G52" s="72">
        <f t="shared" si="9"/>
        <v>0</v>
      </c>
      <c r="H52" s="53">
        <f t="shared" si="10"/>
        <v>0</v>
      </c>
      <c r="I52" s="67">
        <f t="shared" si="11"/>
        <v>0</v>
      </c>
      <c r="J52" s="67"/>
      <c r="K52" s="150"/>
      <c r="L52" s="69">
        <f t="shared" si="12"/>
        <v>0</v>
      </c>
      <c r="M52" s="150"/>
      <c r="N52" s="69">
        <f t="shared" si="13"/>
        <v>0</v>
      </c>
      <c r="O52" s="69">
        <f t="shared" si="14"/>
        <v>0</v>
      </c>
      <c r="P52" s="4"/>
    </row>
    <row r="53" spans="2:16" ht="12.5">
      <c r="B53" s="9" t="str">
        <f t="shared" si="7"/>
        <v/>
      </c>
      <c r="C53" s="64">
        <f>IF(D11="","-",+C52+1)</f>
        <v>2052</v>
      </c>
      <c r="D53" s="70">
        <f>IF(F52+SUM(E$17:E52)=D$10,F52,D$10-SUM(E$17:E52))</f>
        <v>0</v>
      </c>
      <c r="E53" s="71">
        <f>IF(+I14&lt;F52,I14,D53)</f>
        <v>0</v>
      </c>
      <c r="F53" s="70">
        <f t="shared" si="8"/>
        <v>0</v>
      </c>
      <c r="G53" s="72">
        <f t="shared" si="9"/>
        <v>0</v>
      </c>
      <c r="H53" s="53">
        <f t="shared" si="10"/>
        <v>0</v>
      </c>
      <c r="I53" s="67">
        <f t="shared" si="11"/>
        <v>0</v>
      </c>
      <c r="J53" s="67"/>
      <c r="K53" s="150"/>
      <c r="L53" s="69">
        <f t="shared" si="12"/>
        <v>0</v>
      </c>
      <c r="M53" s="150"/>
      <c r="N53" s="69">
        <f t="shared" si="13"/>
        <v>0</v>
      </c>
      <c r="O53" s="69">
        <f t="shared" si="14"/>
        <v>0</v>
      </c>
      <c r="P53" s="4"/>
    </row>
    <row r="54" spans="2:16" ht="12.5">
      <c r="B54" s="9" t="str">
        <f t="shared" si="7"/>
        <v/>
      </c>
      <c r="C54" s="64">
        <f>IF(D11="","-",+C53+1)</f>
        <v>2053</v>
      </c>
      <c r="D54" s="70">
        <f>IF(F53+SUM(E$17:E53)=D$10,F53,D$10-SUM(E$17:E53))</f>
        <v>0</v>
      </c>
      <c r="E54" s="71">
        <f>IF(+I14&lt;F53,I14,D54)</f>
        <v>0</v>
      </c>
      <c r="F54" s="70">
        <f t="shared" si="8"/>
        <v>0</v>
      </c>
      <c r="G54" s="72">
        <f t="shared" si="9"/>
        <v>0</v>
      </c>
      <c r="H54" s="53">
        <f t="shared" si="10"/>
        <v>0</v>
      </c>
      <c r="I54" s="67">
        <f t="shared" si="11"/>
        <v>0</v>
      </c>
      <c r="J54" s="67"/>
      <c r="K54" s="150"/>
      <c r="L54" s="69">
        <f t="shared" si="12"/>
        <v>0</v>
      </c>
      <c r="M54" s="150"/>
      <c r="N54" s="69">
        <f t="shared" si="13"/>
        <v>0</v>
      </c>
      <c r="O54" s="69">
        <f t="shared" si="14"/>
        <v>0</v>
      </c>
      <c r="P54" s="4"/>
    </row>
    <row r="55" spans="2:16" ht="12.5">
      <c r="B55" s="9" t="str">
        <f t="shared" si="7"/>
        <v/>
      </c>
      <c r="C55" s="64">
        <f>IF(D11="","-",+C54+1)</f>
        <v>2054</v>
      </c>
      <c r="D55" s="70">
        <f>IF(F54+SUM(E$17:E54)=D$10,F54,D$10-SUM(E$17:E54))</f>
        <v>0</v>
      </c>
      <c r="E55" s="71">
        <f>IF(+I14&lt;F54,I14,D55)</f>
        <v>0</v>
      </c>
      <c r="F55" s="70">
        <f t="shared" si="8"/>
        <v>0</v>
      </c>
      <c r="G55" s="72">
        <f t="shared" si="9"/>
        <v>0</v>
      </c>
      <c r="H55" s="53">
        <f t="shared" si="10"/>
        <v>0</v>
      </c>
      <c r="I55" s="67">
        <f t="shared" si="11"/>
        <v>0</v>
      </c>
      <c r="J55" s="67"/>
      <c r="K55" s="150"/>
      <c r="L55" s="69">
        <f t="shared" si="12"/>
        <v>0</v>
      </c>
      <c r="M55" s="150"/>
      <c r="N55" s="69">
        <f t="shared" si="13"/>
        <v>0</v>
      </c>
      <c r="O55" s="69">
        <f t="shared" si="14"/>
        <v>0</v>
      </c>
      <c r="P55" s="4"/>
    </row>
    <row r="56" spans="2:16" ht="12.5">
      <c r="B56" s="9" t="str">
        <f t="shared" si="7"/>
        <v/>
      </c>
      <c r="C56" s="64">
        <f>IF(D11="","-",+C55+1)</f>
        <v>2055</v>
      </c>
      <c r="D56" s="70">
        <f>IF(F55+SUM(E$17:E55)=D$10,F55,D$10-SUM(E$17:E55))</f>
        <v>0</v>
      </c>
      <c r="E56" s="71">
        <f>IF(+I14&lt;F55,I14,D56)</f>
        <v>0</v>
      </c>
      <c r="F56" s="70">
        <f t="shared" si="8"/>
        <v>0</v>
      </c>
      <c r="G56" s="72">
        <f t="shared" si="9"/>
        <v>0</v>
      </c>
      <c r="H56" s="53">
        <f t="shared" si="10"/>
        <v>0</v>
      </c>
      <c r="I56" s="67">
        <f t="shared" si="11"/>
        <v>0</v>
      </c>
      <c r="J56" s="67"/>
      <c r="K56" s="150"/>
      <c r="L56" s="69">
        <f t="shared" si="12"/>
        <v>0</v>
      </c>
      <c r="M56" s="150"/>
      <c r="N56" s="69">
        <f t="shared" si="13"/>
        <v>0</v>
      </c>
      <c r="O56" s="69">
        <f t="shared" si="14"/>
        <v>0</v>
      </c>
      <c r="P56" s="4"/>
    </row>
    <row r="57" spans="2:16" ht="12.5">
      <c r="B57" s="9" t="str">
        <f t="shared" si="7"/>
        <v/>
      </c>
      <c r="C57" s="64">
        <f>IF(D11="","-",+C56+1)</f>
        <v>2056</v>
      </c>
      <c r="D57" s="70">
        <f>IF(F56+SUM(E$17:E56)=D$10,F56,D$10-SUM(E$17:E56))</f>
        <v>0</v>
      </c>
      <c r="E57" s="71">
        <f>IF(+I14&lt;F56,I14,D57)</f>
        <v>0</v>
      </c>
      <c r="F57" s="70">
        <f t="shared" si="8"/>
        <v>0</v>
      </c>
      <c r="G57" s="72">
        <f t="shared" si="9"/>
        <v>0</v>
      </c>
      <c r="H57" s="53">
        <f t="shared" si="10"/>
        <v>0</v>
      </c>
      <c r="I57" s="67">
        <f t="shared" si="11"/>
        <v>0</v>
      </c>
      <c r="J57" s="67"/>
      <c r="K57" s="150"/>
      <c r="L57" s="69">
        <f t="shared" si="12"/>
        <v>0</v>
      </c>
      <c r="M57" s="150"/>
      <c r="N57" s="69">
        <f t="shared" si="13"/>
        <v>0</v>
      </c>
      <c r="O57" s="69">
        <f t="shared" si="14"/>
        <v>0</v>
      </c>
      <c r="P57" s="4"/>
    </row>
    <row r="58" spans="2:16" ht="12.5">
      <c r="B58" s="9" t="str">
        <f t="shared" si="7"/>
        <v/>
      </c>
      <c r="C58" s="64">
        <f>IF(D11="","-",+C57+1)</f>
        <v>2057</v>
      </c>
      <c r="D58" s="70">
        <f>IF(F57+SUM(E$17:E57)=D$10,F57,D$10-SUM(E$17:E57))</f>
        <v>0</v>
      </c>
      <c r="E58" s="71">
        <f>IF(+I14&lt;F57,I14,D58)</f>
        <v>0</v>
      </c>
      <c r="F58" s="70">
        <f t="shared" si="8"/>
        <v>0</v>
      </c>
      <c r="G58" s="72">
        <f t="shared" si="9"/>
        <v>0</v>
      </c>
      <c r="H58" s="53">
        <f t="shared" si="10"/>
        <v>0</v>
      </c>
      <c r="I58" s="67">
        <f t="shared" si="11"/>
        <v>0</v>
      </c>
      <c r="J58" s="67"/>
      <c r="K58" s="150"/>
      <c r="L58" s="69">
        <f t="shared" si="12"/>
        <v>0</v>
      </c>
      <c r="M58" s="150"/>
      <c r="N58" s="69">
        <f t="shared" si="13"/>
        <v>0</v>
      </c>
      <c r="O58" s="69">
        <f t="shared" si="14"/>
        <v>0</v>
      </c>
      <c r="P58" s="4"/>
    </row>
    <row r="59" spans="2:16" ht="12.5">
      <c r="B59" s="9" t="str">
        <f t="shared" si="7"/>
        <v/>
      </c>
      <c r="C59" s="64">
        <f>IF(D11="","-",+C58+1)</f>
        <v>2058</v>
      </c>
      <c r="D59" s="70">
        <f>IF(F58+SUM(E$17:E58)=D$10,F58,D$10-SUM(E$17:E58))</f>
        <v>0</v>
      </c>
      <c r="E59" s="71">
        <f>IF(+I14&lt;F58,I14,D59)</f>
        <v>0</v>
      </c>
      <c r="F59" s="70">
        <f t="shared" si="8"/>
        <v>0</v>
      </c>
      <c r="G59" s="72">
        <f t="shared" si="9"/>
        <v>0</v>
      </c>
      <c r="H59" s="53">
        <f t="shared" si="10"/>
        <v>0</v>
      </c>
      <c r="I59" s="67">
        <f t="shared" si="11"/>
        <v>0</v>
      </c>
      <c r="J59" s="67"/>
      <c r="K59" s="150"/>
      <c r="L59" s="69">
        <f t="shared" si="12"/>
        <v>0</v>
      </c>
      <c r="M59" s="150"/>
      <c r="N59" s="69">
        <f t="shared" si="13"/>
        <v>0</v>
      </c>
      <c r="O59" s="69">
        <f t="shared" si="14"/>
        <v>0</v>
      </c>
      <c r="P59" s="4"/>
    </row>
    <row r="60" spans="2:16" ht="12.5">
      <c r="B60" s="9" t="str">
        <f t="shared" si="7"/>
        <v/>
      </c>
      <c r="C60" s="64">
        <f>IF(D11="","-",+C59+1)</f>
        <v>2059</v>
      </c>
      <c r="D60" s="70">
        <f>IF(F59+SUM(E$17:E59)=D$10,F59,D$10-SUM(E$17:E59))</f>
        <v>0</v>
      </c>
      <c r="E60" s="71">
        <f>IF(+I14&lt;F59,I14,D60)</f>
        <v>0</v>
      </c>
      <c r="F60" s="70">
        <f t="shared" si="8"/>
        <v>0</v>
      </c>
      <c r="G60" s="72">
        <f t="shared" si="9"/>
        <v>0</v>
      </c>
      <c r="H60" s="53">
        <f t="shared" si="10"/>
        <v>0</v>
      </c>
      <c r="I60" s="67">
        <f t="shared" si="11"/>
        <v>0</v>
      </c>
      <c r="J60" s="67"/>
      <c r="K60" s="150"/>
      <c r="L60" s="69">
        <f t="shared" si="12"/>
        <v>0</v>
      </c>
      <c r="M60" s="150"/>
      <c r="N60" s="69">
        <f t="shared" si="13"/>
        <v>0</v>
      </c>
      <c r="O60" s="69">
        <f t="shared" si="14"/>
        <v>0</v>
      </c>
      <c r="P60" s="4"/>
    </row>
    <row r="61" spans="2:16" ht="12.5">
      <c r="B61" s="9" t="str">
        <f t="shared" si="7"/>
        <v/>
      </c>
      <c r="C61" s="64">
        <f>IF(D11="","-",+C60+1)</f>
        <v>2060</v>
      </c>
      <c r="D61" s="70">
        <f>IF(F60+SUM(E$17:E60)=D$10,F60,D$10-SUM(E$17:E60))</f>
        <v>0</v>
      </c>
      <c r="E61" s="71">
        <f>IF(+I14&lt;F60,I14,D61)</f>
        <v>0</v>
      </c>
      <c r="F61" s="70">
        <f t="shared" si="8"/>
        <v>0</v>
      </c>
      <c r="G61" s="73">
        <f t="shared" si="9"/>
        <v>0</v>
      </c>
      <c r="H61" s="53">
        <f t="shared" si="10"/>
        <v>0</v>
      </c>
      <c r="I61" s="67">
        <f t="shared" si="11"/>
        <v>0</v>
      </c>
      <c r="J61" s="67"/>
      <c r="K61" s="150"/>
      <c r="L61" s="69">
        <f t="shared" si="12"/>
        <v>0</v>
      </c>
      <c r="M61" s="150"/>
      <c r="N61" s="69">
        <f t="shared" si="13"/>
        <v>0</v>
      </c>
      <c r="O61" s="69">
        <f t="shared" si="14"/>
        <v>0</v>
      </c>
      <c r="P61" s="4"/>
    </row>
    <row r="62" spans="2:16" ht="12.5">
      <c r="B62" s="9" t="str">
        <f t="shared" si="7"/>
        <v/>
      </c>
      <c r="C62" s="64">
        <f>IF(D11="","-",+C61+1)</f>
        <v>2061</v>
      </c>
      <c r="D62" s="70">
        <f>IF(F61+SUM(E$17:E61)=D$10,F61,D$10-SUM(E$17:E61))</f>
        <v>0</v>
      </c>
      <c r="E62" s="71">
        <f>IF(+I14&lt;F61,I14,D62)</f>
        <v>0</v>
      </c>
      <c r="F62" s="70">
        <f t="shared" si="8"/>
        <v>0</v>
      </c>
      <c r="G62" s="73">
        <f t="shared" si="9"/>
        <v>0</v>
      </c>
      <c r="H62" s="53">
        <f t="shared" si="10"/>
        <v>0</v>
      </c>
      <c r="I62" s="67">
        <f t="shared" si="11"/>
        <v>0</v>
      </c>
      <c r="J62" s="67"/>
      <c r="K62" s="150"/>
      <c r="L62" s="69">
        <f t="shared" si="12"/>
        <v>0</v>
      </c>
      <c r="M62" s="150"/>
      <c r="N62" s="69">
        <f t="shared" si="13"/>
        <v>0</v>
      </c>
      <c r="O62" s="69">
        <f t="shared" si="14"/>
        <v>0</v>
      </c>
      <c r="P62" s="4"/>
    </row>
    <row r="63" spans="2:16" ht="12.5">
      <c r="B63" s="9" t="str">
        <f t="shared" si="7"/>
        <v/>
      </c>
      <c r="C63" s="64">
        <f>IF(D11="","-",+C62+1)</f>
        <v>2062</v>
      </c>
      <c r="D63" s="70">
        <f>IF(F62+SUM(E$17:E62)=D$10,F62,D$10-SUM(E$17:E62))</f>
        <v>0</v>
      </c>
      <c r="E63" s="71">
        <f>IF(+I14&lt;F62,I14,D63)</f>
        <v>0</v>
      </c>
      <c r="F63" s="70">
        <f t="shared" si="8"/>
        <v>0</v>
      </c>
      <c r="G63" s="73">
        <f t="shared" si="9"/>
        <v>0</v>
      </c>
      <c r="H63" s="53">
        <f t="shared" si="10"/>
        <v>0</v>
      </c>
      <c r="I63" s="67">
        <f t="shared" si="11"/>
        <v>0</v>
      </c>
      <c r="J63" s="67"/>
      <c r="K63" s="150"/>
      <c r="L63" s="69">
        <f t="shared" si="12"/>
        <v>0</v>
      </c>
      <c r="M63" s="150"/>
      <c r="N63" s="69">
        <f t="shared" si="13"/>
        <v>0</v>
      </c>
      <c r="O63" s="69">
        <f t="shared" si="14"/>
        <v>0</v>
      </c>
      <c r="P63" s="4"/>
    </row>
    <row r="64" spans="2:16" ht="12.5">
      <c r="B64" s="9" t="str">
        <f t="shared" si="7"/>
        <v/>
      </c>
      <c r="C64" s="64">
        <f>IF(D11="","-",+C63+1)</f>
        <v>2063</v>
      </c>
      <c r="D64" s="70">
        <f>IF(F63+SUM(E$17:E63)=D$10,F63,D$10-SUM(E$17:E63))</f>
        <v>0</v>
      </c>
      <c r="E64" s="71">
        <f>IF(+I14&lt;F63,I14,D64)</f>
        <v>0</v>
      </c>
      <c r="F64" s="70">
        <f t="shared" si="8"/>
        <v>0</v>
      </c>
      <c r="G64" s="73">
        <f t="shared" si="9"/>
        <v>0</v>
      </c>
      <c r="H64" s="53">
        <f t="shared" si="10"/>
        <v>0</v>
      </c>
      <c r="I64" s="67">
        <f t="shared" si="11"/>
        <v>0</v>
      </c>
      <c r="J64" s="67"/>
      <c r="K64" s="150"/>
      <c r="L64" s="69">
        <f t="shared" si="12"/>
        <v>0</v>
      </c>
      <c r="M64" s="150"/>
      <c r="N64" s="69">
        <f t="shared" si="13"/>
        <v>0</v>
      </c>
      <c r="O64" s="69">
        <f t="shared" si="14"/>
        <v>0</v>
      </c>
      <c r="P64" s="4"/>
    </row>
    <row r="65" spans="2:16" ht="12.5">
      <c r="B65" s="9" t="str">
        <f t="shared" si="7"/>
        <v/>
      </c>
      <c r="C65" s="64">
        <f>IF(D11="","-",+C64+1)</f>
        <v>2064</v>
      </c>
      <c r="D65" s="70">
        <f>IF(F64+SUM(E$17:E64)=D$10,F64,D$10-SUM(E$17:E64))</f>
        <v>0</v>
      </c>
      <c r="E65" s="71">
        <f>IF(+I14&lt;F64,I14,D65)</f>
        <v>0</v>
      </c>
      <c r="F65" s="70">
        <f t="shared" si="8"/>
        <v>0</v>
      </c>
      <c r="G65" s="73">
        <f t="shared" si="9"/>
        <v>0</v>
      </c>
      <c r="H65" s="53">
        <f t="shared" si="10"/>
        <v>0</v>
      </c>
      <c r="I65" s="67">
        <f t="shared" si="11"/>
        <v>0</v>
      </c>
      <c r="J65" s="67"/>
      <c r="K65" s="150"/>
      <c r="L65" s="69">
        <f t="shared" si="12"/>
        <v>0</v>
      </c>
      <c r="M65" s="150"/>
      <c r="N65" s="69">
        <f t="shared" si="13"/>
        <v>0</v>
      </c>
      <c r="O65" s="69">
        <f t="shared" si="14"/>
        <v>0</v>
      </c>
      <c r="P65" s="4"/>
    </row>
    <row r="66" spans="2:16" ht="12.5">
      <c r="B66" s="9" t="str">
        <f t="shared" si="7"/>
        <v/>
      </c>
      <c r="C66" s="64">
        <f>IF(D11="","-",+C65+1)</f>
        <v>2065</v>
      </c>
      <c r="D66" s="70">
        <f>IF(F65+SUM(E$17:E65)=D$10,F65,D$10-SUM(E$17:E65))</f>
        <v>0</v>
      </c>
      <c r="E66" s="71">
        <f>IF(+I14&lt;F65,I14,D66)</f>
        <v>0</v>
      </c>
      <c r="F66" s="70">
        <f t="shared" si="8"/>
        <v>0</v>
      </c>
      <c r="G66" s="73">
        <f t="shared" si="9"/>
        <v>0</v>
      </c>
      <c r="H66" s="53">
        <f t="shared" si="10"/>
        <v>0</v>
      </c>
      <c r="I66" s="67">
        <f t="shared" si="11"/>
        <v>0</v>
      </c>
      <c r="J66" s="67"/>
      <c r="K66" s="150"/>
      <c r="L66" s="69">
        <f t="shared" si="12"/>
        <v>0</v>
      </c>
      <c r="M66" s="150"/>
      <c r="N66" s="69">
        <f t="shared" si="13"/>
        <v>0</v>
      </c>
      <c r="O66" s="69">
        <f t="shared" si="14"/>
        <v>0</v>
      </c>
      <c r="P66" s="4"/>
    </row>
    <row r="67" spans="2:16" ht="12.5">
      <c r="B67" s="9" t="str">
        <f t="shared" si="7"/>
        <v/>
      </c>
      <c r="C67" s="64">
        <f>IF(D11="","-",+C66+1)</f>
        <v>2066</v>
      </c>
      <c r="D67" s="70">
        <f>IF(F66+SUM(E$17:E66)=D$10,F66,D$10-SUM(E$17:E66))</f>
        <v>0</v>
      </c>
      <c r="E67" s="71">
        <f>IF(+I14&lt;F66,I14,D67)</f>
        <v>0</v>
      </c>
      <c r="F67" s="70">
        <f t="shared" si="8"/>
        <v>0</v>
      </c>
      <c r="G67" s="73">
        <f t="shared" si="9"/>
        <v>0</v>
      </c>
      <c r="H67" s="53">
        <f t="shared" si="10"/>
        <v>0</v>
      </c>
      <c r="I67" s="67">
        <f t="shared" si="11"/>
        <v>0</v>
      </c>
      <c r="J67" s="67"/>
      <c r="K67" s="150"/>
      <c r="L67" s="69">
        <f t="shared" si="12"/>
        <v>0</v>
      </c>
      <c r="M67" s="150"/>
      <c r="N67" s="69">
        <f t="shared" si="13"/>
        <v>0</v>
      </c>
      <c r="O67" s="69">
        <f t="shared" si="14"/>
        <v>0</v>
      </c>
      <c r="P67" s="4"/>
    </row>
    <row r="68" spans="2:16" ht="12.5">
      <c r="B68" s="9" t="str">
        <f t="shared" si="7"/>
        <v/>
      </c>
      <c r="C68" s="64">
        <f>IF(D11="","-",+C67+1)</f>
        <v>2067</v>
      </c>
      <c r="D68" s="70">
        <f>IF(F67+SUM(E$17:E67)=D$10,F67,D$10-SUM(E$17:E67))</f>
        <v>0</v>
      </c>
      <c r="E68" s="71">
        <f>IF(+I14&lt;F67,I14,D68)</f>
        <v>0</v>
      </c>
      <c r="F68" s="70">
        <f t="shared" si="8"/>
        <v>0</v>
      </c>
      <c r="G68" s="73">
        <f t="shared" si="9"/>
        <v>0</v>
      </c>
      <c r="H68" s="53">
        <f t="shared" si="10"/>
        <v>0</v>
      </c>
      <c r="I68" s="67">
        <f t="shared" si="11"/>
        <v>0</v>
      </c>
      <c r="J68" s="67"/>
      <c r="K68" s="150"/>
      <c r="L68" s="69">
        <f t="shared" si="12"/>
        <v>0</v>
      </c>
      <c r="M68" s="150"/>
      <c r="N68" s="69">
        <f t="shared" si="13"/>
        <v>0</v>
      </c>
      <c r="O68" s="69">
        <f t="shared" si="14"/>
        <v>0</v>
      </c>
      <c r="P68" s="4"/>
    </row>
    <row r="69" spans="2:16" ht="12.5">
      <c r="B69" s="9" t="str">
        <f t="shared" si="7"/>
        <v/>
      </c>
      <c r="C69" s="64">
        <f>IF(D11="","-",+C68+1)</f>
        <v>2068</v>
      </c>
      <c r="D69" s="70">
        <f>IF(F68+SUM(E$17:E68)=D$10,F68,D$10-SUM(E$17:E68))</f>
        <v>0</v>
      </c>
      <c r="E69" s="71">
        <f>IF(+I14&lt;F68,I14,D69)</f>
        <v>0</v>
      </c>
      <c r="F69" s="70">
        <f t="shared" si="8"/>
        <v>0</v>
      </c>
      <c r="G69" s="73">
        <f t="shared" si="9"/>
        <v>0</v>
      </c>
      <c r="H69" s="53">
        <f t="shared" si="10"/>
        <v>0</v>
      </c>
      <c r="I69" s="67">
        <f t="shared" si="11"/>
        <v>0</v>
      </c>
      <c r="J69" s="67"/>
      <c r="K69" s="150"/>
      <c r="L69" s="69">
        <f t="shared" si="12"/>
        <v>0</v>
      </c>
      <c r="M69" s="150"/>
      <c r="N69" s="69">
        <f t="shared" si="13"/>
        <v>0</v>
      </c>
      <c r="O69" s="69">
        <f t="shared" si="14"/>
        <v>0</v>
      </c>
      <c r="P69" s="4"/>
    </row>
    <row r="70" spans="2:16" ht="12.5">
      <c r="B70" s="9" t="str">
        <f t="shared" si="7"/>
        <v/>
      </c>
      <c r="C70" s="64">
        <f>IF(D11="","-",+C69+1)</f>
        <v>2069</v>
      </c>
      <c r="D70" s="70">
        <f>IF(F69+SUM(E$17:E69)=D$10,F69,D$10-SUM(E$17:E69))</f>
        <v>0</v>
      </c>
      <c r="E70" s="71">
        <f>IF(+I14&lt;F69,I14,D70)</f>
        <v>0</v>
      </c>
      <c r="F70" s="70">
        <f t="shared" si="8"/>
        <v>0</v>
      </c>
      <c r="G70" s="73">
        <f t="shared" si="9"/>
        <v>0</v>
      </c>
      <c r="H70" s="53">
        <f t="shared" si="10"/>
        <v>0</v>
      </c>
      <c r="I70" s="67">
        <f t="shared" si="11"/>
        <v>0</v>
      </c>
      <c r="J70" s="67"/>
      <c r="K70" s="150"/>
      <c r="L70" s="69">
        <f t="shared" si="12"/>
        <v>0</v>
      </c>
      <c r="M70" s="150"/>
      <c r="N70" s="69">
        <f t="shared" si="13"/>
        <v>0</v>
      </c>
      <c r="O70" s="69">
        <f t="shared" si="14"/>
        <v>0</v>
      </c>
      <c r="P70" s="4"/>
    </row>
    <row r="71" spans="2:16" ht="12.5">
      <c r="B71" s="9" t="str">
        <f t="shared" si="7"/>
        <v/>
      </c>
      <c r="C71" s="64">
        <f>IF(D11="","-",+C70+1)</f>
        <v>2070</v>
      </c>
      <c r="D71" s="70">
        <f>IF(F70+SUM(E$17:E70)=D$10,F70,D$10-SUM(E$17:E70))</f>
        <v>0</v>
      </c>
      <c r="E71" s="71">
        <f>IF(+I14&lt;F70,I14,D71)</f>
        <v>0</v>
      </c>
      <c r="F71" s="70">
        <f t="shared" si="8"/>
        <v>0</v>
      </c>
      <c r="G71" s="73">
        <f t="shared" si="9"/>
        <v>0</v>
      </c>
      <c r="H71" s="53">
        <f t="shared" si="10"/>
        <v>0</v>
      </c>
      <c r="I71" s="67">
        <f t="shared" si="11"/>
        <v>0</v>
      </c>
      <c r="J71" s="67"/>
      <c r="K71" s="150"/>
      <c r="L71" s="69">
        <f t="shared" si="12"/>
        <v>0</v>
      </c>
      <c r="M71" s="150"/>
      <c r="N71" s="69">
        <f t="shared" si="13"/>
        <v>0</v>
      </c>
      <c r="O71" s="69">
        <f t="shared" si="14"/>
        <v>0</v>
      </c>
      <c r="P71" s="4"/>
    </row>
    <row r="72" spans="2:16" ht="13" thickBot="1">
      <c r="B72" s="9" t="str">
        <f t="shared" si="7"/>
        <v/>
      </c>
      <c r="C72" s="74">
        <f>IF(D11="","-",+C71+1)</f>
        <v>2071</v>
      </c>
      <c r="D72" s="75">
        <f>IF(F71+SUM(E$17:E71)=D$10,F71,D$10-SUM(E$17:E71))</f>
        <v>0</v>
      </c>
      <c r="E72" s="76">
        <f>IF(+I14&lt;F71,I14,D72)</f>
        <v>0</v>
      </c>
      <c r="F72" s="75">
        <f t="shared" si="8"/>
        <v>0</v>
      </c>
      <c r="G72" s="77">
        <f t="shared" si="9"/>
        <v>0</v>
      </c>
      <c r="H72" s="35">
        <f t="shared" si="10"/>
        <v>0</v>
      </c>
      <c r="I72" s="78">
        <f t="shared" si="11"/>
        <v>0</v>
      </c>
      <c r="J72" s="67"/>
      <c r="K72" s="151"/>
      <c r="L72" s="79">
        <f t="shared" si="12"/>
        <v>0</v>
      </c>
      <c r="M72" s="151"/>
      <c r="N72" s="79">
        <f t="shared" si="13"/>
        <v>0</v>
      </c>
      <c r="O72" s="79">
        <f t="shared" si="14"/>
        <v>0</v>
      </c>
      <c r="P72" s="4"/>
    </row>
    <row r="73" spans="2:16" ht="12.5">
      <c r="C73" s="65" t="s">
        <v>78</v>
      </c>
      <c r="D73" s="22"/>
      <c r="E73" s="22">
        <f>SUM(E17:E72)</f>
        <v>0</v>
      </c>
      <c r="F73" s="22"/>
      <c r="G73" s="22">
        <f>SUM(G17:G72)</f>
        <v>0</v>
      </c>
      <c r="H73" s="22">
        <f>SUM(H17:H72)</f>
        <v>0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2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2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2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2:16" ht="13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4"/>
      <c r="P77" s="4"/>
    </row>
    <row r="78" spans="2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2:16" ht="12.5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6" ht="12.5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0" t="str">
        <f ca="1">P1</f>
        <v>SWEPCO Project nk of 74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9" t="s">
        <v>128</v>
      </c>
    </row>
    <row r="85" spans="1:16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</row>
    <row r="86" spans="1:16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2020</v>
      </c>
      <c r="M86" s="141" t="s">
        <v>9</v>
      </c>
      <c r="N86" s="145" t="s">
        <v>159</v>
      </c>
      <c r="O86" s="142" t="s">
        <v>11</v>
      </c>
      <c r="P86" s="1"/>
    </row>
    <row r="87" spans="1:16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395</v>
      </c>
      <c r="M87" s="85">
        <f>IF(J92&lt;D11,0,VLOOKUP(J92,C17:O72,9))</f>
        <v>0</v>
      </c>
      <c r="N87" s="85">
        <f>IF(J92&lt;D11,0,VLOOKUP(J92,C17:O72,11))</f>
        <v>0</v>
      </c>
      <c r="O87" s="86">
        <f>+N87-M87</f>
        <v>0</v>
      </c>
      <c r="P87" s="1"/>
    </row>
    <row r="88" spans="1:16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396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</row>
    <row r="89" spans="1:16" ht="13.5" thickBot="1">
      <c r="C89" s="32" t="s">
        <v>84</v>
      </c>
      <c r="D89" s="121" t="str">
        <f>+D7</f>
        <v>insert project name here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</row>
    <row r="90" spans="1:16" ht="13.5" thickBot="1">
      <c r="C90" s="80"/>
      <c r="D90" s="83" t="str">
        <f>D8</f>
        <v>DOES NOT MEET SPP $100,000 MINIMUM INVESTMENT FOR REGIONAL BPU SHARING.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</row>
    <row r="91" spans="1:16" ht="13.5" thickBot="1">
      <c r="A91" s="17"/>
      <c r="C91" s="92" t="s">
        <v>85</v>
      </c>
      <c r="D91" s="109" t="str">
        <f>+D9</f>
        <v>TP______</v>
      </c>
      <c r="E91" s="93"/>
      <c r="F91" s="93"/>
      <c r="G91" s="93"/>
      <c r="H91" s="93"/>
      <c r="I91" s="93"/>
      <c r="J91" s="93"/>
      <c r="K91" s="94"/>
      <c r="P91" s="42"/>
    </row>
    <row r="92" spans="1:16" ht="13">
      <c r="C92" s="47" t="s">
        <v>51</v>
      </c>
      <c r="D92" s="105">
        <f>IF(D11=I10,0,D10)</f>
        <v>0</v>
      </c>
      <c r="E92" s="10" t="s">
        <v>86</v>
      </c>
      <c r="H92" s="45"/>
      <c r="I92" s="45"/>
      <c r="J92" s="46">
        <f>+'SWE.WS.G.BPU.ATRR.True-up'!M16</f>
        <v>2020</v>
      </c>
      <c r="K92" s="41"/>
      <c r="L92" s="22" t="s">
        <v>87</v>
      </c>
      <c r="P92" s="4"/>
    </row>
    <row r="93" spans="1:16" ht="12.5">
      <c r="C93" s="47" t="s">
        <v>54</v>
      </c>
      <c r="D93" s="106">
        <f>IF(D11=I10,"",D11)</f>
        <v>2016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 ht="12.5">
      <c r="C94" s="47" t="s">
        <v>56</v>
      </c>
      <c r="D94" s="105">
        <f>IF(D11=I10,"",D12)</f>
        <v>4</v>
      </c>
      <c r="E94" s="47" t="s">
        <v>57</v>
      </c>
      <c r="F94" s="45"/>
      <c r="G94" s="45"/>
      <c r="J94" s="51">
        <f>'SWE.WS.G.BPU.ATRR.True-up'!$F$81</f>
        <v>0.10757383250073754</v>
      </c>
      <c r="K94" s="52"/>
      <c r="L94" t="s">
        <v>88</v>
      </c>
      <c r="P94" s="4"/>
    </row>
    <row r="95" spans="1:16" ht="12.5">
      <c r="C95" s="47" t="s">
        <v>59</v>
      </c>
      <c r="D95" s="49">
        <f>'SWE.WS.G.BPU.ATRR.True-up'!F$93</f>
        <v>42</v>
      </c>
      <c r="E95" s="47" t="s">
        <v>60</v>
      </c>
      <c r="F95" s="45"/>
      <c r="G95" s="45"/>
      <c r="J95" s="51">
        <f>IF(H87="",J94,'SWE.WS.G.BPU.ATRR.True-up'!$F$80)</f>
        <v>0.10757383250073754</v>
      </c>
      <c r="K95" s="11"/>
      <c r="L95" s="22" t="s">
        <v>61</v>
      </c>
      <c r="M95" s="11"/>
      <c r="N95" s="11"/>
      <c r="O95" s="11"/>
      <c r="P95" s="4"/>
    </row>
    <row r="96" spans="1:16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</row>
    <row r="97" spans="1:16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392</v>
      </c>
      <c r="I97" s="181" t="s">
        <v>393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</row>
    <row r="98" spans="1:16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29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</row>
    <row r="99" spans="1:16" ht="12.5">
      <c r="C99" s="64">
        <f>IF(D93= "","-",D93)</f>
        <v>2016</v>
      </c>
      <c r="D99" s="65">
        <f>IF(D93=C99,0,D92)</f>
        <v>0</v>
      </c>
      <c r="E99" s="72">
        <f>IF(D11=I10,0,J96/12*(12-D94))</f>
        <v>0</v>
      </c>
      <c r="F99" s="70">
        <f>IF(D93=C99,+D92-E99,+D99-E99)</f>
        <v>0</v>
      </c>
      <c r="G99" s="101">
        <f t="shared" ref="G99:G130" si="15">+(F99+D99)/2</f>
        <v>0</v>
      </c>
      <c r="H99" s="125">
        <f>+J94*G99+E99</f>
        <v>0</v>
      </c>
      <c r="I99" s="126">
        <f>+J95*G99+E99</f>
        <v>0</v>
      </c>
      <c r="J99" s="69">
        <f t="shared" ref="J99:J130" si="16">+I99-H99</f>
        <v>0</v>
      </c>
      <c r="K99" s="69"/>
      <c r="L99" s="149"/>
      <c r="M99" s="68">
        <f t="shared" ref="M99:M130" si="17">IF(L99&lt;&gt;0,+H99-L99,0)</f>
        <v>0</v>
      </c>
      <c r="N99" s="149"/>
      <c r="O99" s="68">
        <f t="shared" ref="O99:O130" si="18">IF(N99&lt;&gt;0,+I99-N99,0)</f>
        <v>0</v>
      </c>
      <c r="P99" s="68">
        <f t="shared" ref="P99:P130" si="19">+O99-M99</f>
        <v>0</v>
      </c>
    </row>
    <row r="100" spans="1:16" ht="12.5">
      <c r="B100" s="9" t="str">
        <f>IF(D100=F99,"","IU")</f>
        <v/>
      </c>
      <c r="C100" s="64">
        <f>IF(D93="","-",+C99+1)</f>
        <v>2017</v>
      </c>
      <c r="D100" s="65">
        <f>IF(F99+SUM(E$99:E99)=D$92,F99,D$92-SUM(E$99:E99))</f>
        <v>0</v>
      </c>
      <c r="E100" s="71">
        <f>IF(+J96&lt;F99,J96,D100)</f>
        <v>0</v>
      </c>
      <c r="F100" s="70">
        <f t="shared" ref="F100:F130" si="20">+D100-E100</f>
        <v>0</v>
      </c>
      <c r="G100" s="70">
        <f t="shared" si="15"/>
        <v>0</v>
      </c>
      <c r="H100" s="73">
        <f t="shared" ref="H100:H112" si="21">+J$94*G100+E100</f>
        <v>0</v>
      </c>
      <c r="I100" s="127">
        <f t="shared" ref="I100:I112" si="22">+J$95*G100+E100</f>
        <v>0</v>
      </c>
      <c r="J100" s="69">
        <f t="shared" si="16"/>
        <v>0</v>
      </c>
      <c r="K100" s="69"/>
      <c r="L100" s="150"/>
      <c r="M100" s="69">
        <f t="shared" si="17"/>
        <v>0</v>
      </c>
      <c r="N100" s="150"/>
      <c r="O100" s="69">
        <f t="shared" si="18"/>
        <v>0</v>
      </c>
      <c r="P100" s="69">
        <f t="shared" si="19"/>
        <v>0</v>
      </c>
    </row>
    <row r="101" spans="1:16" ht="12.5">
      <c r="B101" s="9" t="str">
        <f t="shared" ref="B101:B154" si="23">IF(D101=F100,"","IU")</f>
        <v/>
      </c>
      <c r="C101" s="64">
        <f>IF(D93="","-",+C100+1)</f>
        <v>2018</v>
      </c>
      <c r="D101" s="65">
        <f>IF(F100+SUM(E$99:E100)=D$92,F100,D$92-SUM(E$99:E100))</f>
        <v>0</v>
      </c>
      <c r="E101" s="71">
        <f>IF(+J96&lt;F100,J96,D101)</f>
        <v>0</v>
      </c>
      <c r="F101" s="70">
        <f t="shared" si="20"/>
        <v>0</v>
      </c>
      <c r="G101" s="70">
        <f t="shared" si="15"/>
        <v>0</v>
      </c>
      <c r="H101" s="73">
        <f t="shared" si="21"/>
        <v>0</v>
      </c>
      <c r="I101" s="127">
        <f t="shared" si="22"/>
        <v>0</v>
      </c>
      <c r="J101" s="69">
        <f t="shared" si="16"/>
        <v>0</v>
      </c>
      <c r="K101" s="69"/>
      <c r="L101" s="150"/>
      <c r="M101" s="69">
        <f t="shared" si="17"/>
        <v>0</v>
      </c>
      <c r="N101" s="150"/>
      <c r="O101" s="69">
        <f t="shared" si="18"/>
        <v>0</v>
      </c>
      <c r="P101" s="69">
        <f t="shared" si="19"/>
        <v>0</v>
      </c>
    </row>
    <row r="102" spans="1:16" ht="12.5">
      <c r="B102" s="9" t="str">
        <f t="shared" si="23"/>
        <v/>
      </c>
      <c r="C102" s="64">
        <f>IF(D93="","-",+C101+1)</f>
        <v>2019</v>
      </c>
      <c r="D102" s="65">
        <f>IF(F101+SUM(E$99:E101)=D$92,F101,D$92-SUM(E$99:E101))</f>
        <v>0</v>
      </c>
      <c r="E102" s="71">
        <f>IF(+J96&lt;F101,J96,D102)</f>
        <v>0</v>
      </c>
      <c r="F102" s="70">
        <f t="shared" si="20"/>
        <v>0</v>
      </c>
      <c r="G102" s="70">
        <f t="shared" si="15"/>
        <v>0</v>
      </c>
      <c r="H102" s="73">
        <f t="shared" si="21"/>
        <v>0</v>
      </c>
      <c r="I102" s="127">
        <f t="shared" si="22"/>
        <v>0</v>
      </c>
      <c r="J102" s="69">
        <f t="shared" si="16"/>
        <v>0</v>
      </c>
      <c r="K102" s="69"/>
      <c r="L102" s="150"/>
      <c r="M102" s="69">
        <f t="shared" si="17"/>
        <v>0</v>
      </c>
      <c r="N102" s="150"/>
      <c r="O102" s="69">
        <f t="shared" si="18"/>
        <v>0</v>
      </c>
      <c r="P102" s="69">
        <f t="shared" si="19"/>
        <v>0</v>
      </c>
    </row>
    <row r="103" spans="1:16" ht="12.5">
      <c r="B103" s="9" t="str">
        <f t="shared" si="23"/>
        <v/>
      </c>
      <c r="C103" s="64">
        <f>IF(D93="","-",+C102+1)</f>
        <v>2020</v>
      </c>
      <c r="D103" s="65">
        <f>IF(F102+SUM(E$99:E102)=D$92,F102,D$92-SUM(E$99:E102))</f>
        <v>0</v>
      </c>
      <c r="E103" s="71">
        <f>IF(+J96&lt;F102,J96,D103)</f>
        <v>0</v>
      </c>
      <c r="F103" s="70">
        <f t="shared" si="20"/>
        <v>0</v>
      </c>
      <c r="G103" s="70">
        <f t="shared" si="15"/>
        <v>0</v>
      </c>
      <c r="H103" s="73">
        <f t="shared" si="21"/>
        <v>0</v>
      </c>
      <c r="I103" s="127">
        <f t="shared" si="22"/>
        <v>0</v>
      </c>
      <c r="J103" s="69">
        <f t="shared" si="16"/>
        <v>0</v>
      </c>
      <c r="K103" s="69"/>
      <c r="L103" s="150"/>
      <c r="M103" s="69">
        <f t="shared" si="17"/>
        <v>0</v>
      </c>
      <c r="N103" s="150"/>
      <c r="O103" s="69">
        <f t="shared" si="18"/>
        <v>0</v>
      </c>
      <c r="P103" s="69">
        <f t="shared" si="19"/>
        <v>0</v>
      </c>
    </row>
    <row r="104" spans="1:16" ht="12.5">
      <c r="B104" s="9" t="str">
        <f t="shared" si="23"/>
        <v/>
      </c>
      <c r="C104" s="64">
        <f>IF(D93="","-",+C103+1)</f>
        <v>2021</v>
      </c>
      <c r="D104" s="65">
        <f>IF(F103+SUM(E$99:E103)=D$92,F103,D$92-SUM(E$99:E103))</f>
        <v>0</v>
      </c>
      <c r="E104" s="71">
        <f>IF(+J96&lt;F103,J96,D104)</f>
        <v>0</v>
      </c>
      <c r="F104" s="70">
        <f t="shared" si="20"/>
        <v>0</v>
      </c>
      <c r="G104" s="70">
        <f t="shared" si="15"/>
        <v>0</v>
      </c>
      <c r="H104" s="73">
        <f t="shared" si="21"/>
        <v>0</v>
      </c>
      <c r="I104" s="127">
        <f t="shared" si="22"/>
        <v>0</v>
      </c>
      <c r="J104" s="69">
        <f t="shared" si="16"/>
        <v>0</v>
      </c>
      <c r="K104" s="69"/>
      <c r="L104" s="150"/>
      <c r="M104" s="69">
        <f t="shared" si="17"/>
        <v>0</v>
      </c>
      <c r="N104" s="150"/>
      <c r="O104" s="69">
        <f t="shared" si="18"/>
        <v>0</v>
      </c>
      <c r="P104" s="69">
        <f t="shared" si="19"/>
        <v>0</v>
      </c>
    </row>
    <row r="105" spans="1:16" ht="12.5">
      <c r="B105" s="9" t="str">
        <f t="shared" si="23"/>
        <v/>
      </c>
      <c r="C105" s="64">
        <f>IF(D93="","-",+C104+1)</f>
        <v>2022</v>
      </c>
      <c r="D105" s="65">
        <f>IF(F104+SUM(E$99:E104)=D$92,F104,D$92-SUM(E$99:E104))</f>
        <v>0</v>
      </c>
      <c r="E105" s="71">
        <f>IF(+J96&lt;F104,J96,D105)</f>
        <v>0</v>
      </c>
      <c r="F105" s="70">
        <f t="shared" si="20"/>
        <v>0</v>
      </c>
      <c r="G105" s="70">
        <f t="shared" si="15"/>
        <v>0</v>
      </c>
      <c r="H105" s="73">
        <f t="shared" si="21"/>
        <v>0</v>
      </c>
      <c r="I105" s="127">
        <f t="shared" si="22"/>
        <v>0</v>
      </c>
      <c r="J105" s="69">
        <f t="shared" si="16"/>
        <v>0</v>
      </c>
      <c r="K105" s="69"/>
      <c r="L105" s="150"/>
      <c r="M105" s="69">
        <f t="shared" si="17"/>
        <v>0</v>
      </c>
      <c r="N105" s="150"/>
      <c r="O105" s="69">
        <f t="shared" si="18"/>
        <v>0</v>
      </c>
      <c r="P105" s="69">
        <f t="shared" si="19"/>
        <v>0</v>
      </c>
    </row>
    <row r="106" spans="1:16" ht="12.5">
      <c r="B106" s="9" t="str">
        <f t="shared" si="23"/>
        <v/>
      </c>
      <c r="C106" s="64">
        <f>IF(D93="","-",+C105+1)</f>
        <v>2023</v>
      </c>
      <c r="D106" s="65">
        <f>IF(F105+SUM(E$99:E105)=D$92,F105,D$92-SUM(E$99:E105))</f>
        <v>0</v>
      </c>
      <c r="E106" s="71">
        <f>IF(+J96&lt;F105,J96,D106)</f>
        <v>0</v>
      </c>
      <c r="F106" s="70">
        <f t="shared" si="20"/>
        <v>0</v>
      </c>
      <c r="G106" s="70">
        <f t="shared" si="15"/>
        <v>0</v>
      </c>
      <c r="H106" s="73">
        <f t="shared" si="21"/>
        <v>0</v>
      </c>
      <c r="I106" s="127">
        <f t="shared" si="22"/>
        <v>0</v>
      </c>
      <c r="J106" s="69">
        <f t="shared" si="16"/>
        <v>0</v>
      </c>
      <c r="K106" s="69"/>
      <c r="L106" s="150"/>
      <c r="M106" s="69">
        <f t="shared" si="17"/>
        <v>0</v>
      </c>
      <c r="N106" s="150"/>
      <c r="O106" s="69">
        <f t="shared" si="18"/>
        <v>0</v>
      </c>
      <c r="P106" s="69">
        <f t="shared" si="19"/>
        <v>0</v>
      </c>
    </row>
    <row r="107" spans="1:16" ht="12.5">
      <c r="B107" s="9" t="str">
        <f t="shared" si="23"/>
        <v/>
      </c>
      <c r="C107" s="64">
        <f>IF(D93="","-",+C106+1)</f>
        <v>2024</v>
      </c>
      <c r="D107" s="65">
        <f>IF(F106+SUM(E$99:E106)=D$92,F106,D$92-SUM(E$99:E106))</f>
        <v>0</v>
      </c>
      <c r="E107" s="71">
        <f>IF(+J96&lt;F106,J96,D107)</f>
        <v>0</v>
      </c>
      <c r="F107" s="70">
        <f t="shared" si="20"/>
        <v>0</v>
      </c>
      <c r="G107" s="70">
        <f t="shared" si="15"/>
        <v>0</v>
      </c>
      <c r="H107" s="73">
        <f t="shared" si="21"/>
        <v>0</v>
      </c>
      <c r="I107" s="127">
        <f t="shared" si="22"/>
        <v>0</v>
      </c>
      <c r="J107" s="69">
        <f t="shared" si="16"/>
        <v>0</v>
      </c>
      <c r="K107" s="69"/>
      <c r="L107" s="150"/>
      <c r="M107" s="69">
        <f t="shared" si="17"/>
        <v>0</v>
      </c>
      <c r="N107" s="150"/>
      <c r="O107" s="69">
        <f t="shared" si="18"/>
        <v>0</v>
      </c>
      <c r="P107" s="69">
        <f t="shared" si="19"/>
        <v>0</v>
      </c>
    </row>
    <row r="108" spans="1:16" ht="12.5">
      <c r="B108" s="9" t="str">
        <f t="shared" si="23"/>
        <v/>
      </c>
      <c r="C108" s="64">
        <f>IF(D93="","-",+C107+1)</f>
        <v>2025</v>
      </c>
      <c r="D108" s="65">
        <f>IF(F107+SUM(E$99:E107)=D$92,F107,D$92-SUM(E$99:E107))</f>
        <v>0</v>
      </c>
      <c r="E108" s="71">
        <f>IF(+J96&lt;F107,J96,D108)</f>
        <v>0</v>
      </c>
      <c r="F108" s="70">
        <f t="shared" si="20"/>
        <v>0</v>
      </c>
      <c r="G108" s="70">
        <f t="shared" si="15"/>
        <v>0</v>
      </c>
      <c r="H108" s="73">
        <f t="shared" si="21"/>
        <v>0</v>
      </c>
      <c r="I108" s="127">
        <f t="shared" si="22"/>
        <v>0</v>
      </c>
      <c r="J108" s="69">
        <f t="shared" si="16"/>
        <v>0</v>
      </c>
      <c r="K108" s="69"/>
      <c r="L108" s="150"/>
      <c r="M108" s="69">
        <f t="shared" si="17"/>
        <v>0</v>
      </c>
      <c r="N108" s="150"/>
      <c r="O108" s="69">
        <f t="shared" si="18"/>
        <v>0</v>
      </c>
      <c r="P108" s="69">
        <f t="shared" si="19"/>
        <v>0</v>
      </c>
    </row>
    <row r="109" spans="1:16" ht="12.5">
      <c r="B109" s="9" t="str">
        <f t="shared" si="23"/>
        <v/>
      </c>
      <c r="C109" s="64">
        <f>IF(D93="","-",+C108+1)</f>
        <v>2026</v>
      </c>
      <c r="D109" s="65">
        <f>IF(F108+SUM(E$99:E108)=D$92,F108,D$92-SUM(E$99:E108))</f>
        <v>0</v>
      </c>
      <c r="E109" s="71">
        <f>IF(+J96&lt;F108,J96,D109)</f>
        <v>0</v>
      </c>
      <c r="F109" s="70">
        <f t="shared" si="20"/>
        <v>0</v>
      </c>
      <c r="G109" s="70">
        <f t="shared" si="15"/>
        <v>0</v>
      </c>
      <c r="H109" s="73">
        <f t="shared" si="21"/>
        <v>0</v>
      </c>
      <c r="I109" s="127">
        <f t="shared" si="22"/>
        <v>0</v>
      </c>
      <c r="J109" s="69">
        <f t="shared" si="16"/>
        <v>0</v>
      </c>
      <c r="K109" s="69"/>
      <c r="L109" s="150"/>
      <c r="M109" s="69">
        <f t="shared" si="17"/>
        <v>0</v>
      </c>
      <c r="N109" s="150"/>
      <c r="O109" s="69">
        <f t="shared" si="18"/>
        <v>0</v>
      </c>
      <c r="P109" s="69">
        <f t="shared" si="19"/>
        <v>0</v>
      </c>
    </row>
    <row r="110" spans="1:16" ht="12.5">
      <c r="B110" s="9" t="str">
        <f t="shared" si="23"/>
        <v/>
      </c>
      <c r="C110" s="64">
        <f>IF(D93="","-",+C109+1)</f>
        <v>2027</v>
      </c>
      <c r="D110" s="65">
        <f>IF(F109+SUM(E$99:E109)=D$92,F109,D$92-SUM(E$99:E109))</f>
        <v>0</v>
      </c>
      <c r="E110" s="71">
        <f>IF(+J96&lt;F109,J96,D110)</f>
        <v>0</v>
      </c>
      <c r="F110" s="70">
        <f t="shared" si="20"/>
        <v>0</v>
      </c>
      <c r="G110" s="70">
        <f t="shared" si="15"/>
        <v>0</v>
      </c>
      <c r="H110" s="73">
        <f t="shared" si="21"/>
        <v>0</v>
      </c>
      <c r="I110" s="127">
        <f t="shared" si="22"/>
        <v>0</v>
      </c>
      <c r="J110" s="69">
        <f t="shared" si="16"/>
        <v>0</v>
      </c>
      <c r="K110" s="69"/>
      <c r="L110" s="150"/>
      <c r="M110" s="69">
        <f t="shared" si="17"/>
        <v>0</v>
      </c>
      <c r="N110" s="150"/>
      <c r="O110" s="69">
        <f t="shared" si="18"/>
        <v>0</v>
      </c>
      <c r="P110" s="69">
        <f t="shared" si="19"/>
        <v>0</v>
      </c>
    </row>
    <row r="111" spans="1:16" ht="12.5">
      <c r="B111" s="9" t="str">
        <f t="shared" si="23"/>
        <v/>
      </c>
      <c r="C111" s="64">
        <f>IF(D93="","-",+C110+1)</f>
        <v>2028</v>
      </c>
      <c r="D111" s="65">
        <f>IF(F110+SUM(E$99:E110)=D$92,F110,D$92-SUM(E$99:E110))</f>
        <v>0</v>
      </c>
      <c r="E111" s="71">
        <f>IF(+J96&lt;F110,J96,D111)</f>
        <v>0</v>
      </c>
      <c r="F111" s="70">
        <f t="shared" si="20"/>
        <v>0</v>
      </c>
      <c r="G111" s="70">
        <f t="shared" si="15"/>
        <v>0</v>
      </c>
      <c r="H111" s="73">
        <f t="shared" si="21"/>
        <v>0</v>
      </c>
      <c r="I111" s="127">
        <f t="shared" si="22"/>
        <v>0</v>
      </c>
      <c r="J111" s="69">
        <f t="shared" si="16"/>
        <v>0</v>
      </c>
      <c r="K111" s="69"/>
      <c r="L111" s="150"/>
      <c r="M111" s="69">
        <f t="shared" si="17"/>
        <v>0</v>
      </c>
      <c r="N111" s="150"/>
      <c r="O111" s="69">
        <f t="shared" si="18"/>
        <v>0</v>
      </c>
      <c r="P111" s="69">
        <f t="shared" si="19"/>
        <v>0</v>
      </c>
    </row>
    <row r="112" spans="1:16" ht="12.5">
      <c r="B112" s="9" t="str">
        <f t="shared" si="23"/>
        <v/>
      </c>
      <c r="C112" s="64">
        <f>IF(D93="","-",+C111+1)</f>
        <v>2029</v>
      </c>
      <c r="D112" s="65">
        <f>IF(F111+SUM(E$99:E111)=D$92,F111,D$92-SUM(E$99:E111))</f>
        <v>0</v>
      </c>
      <c r="E112" s="71">
        <f>IF(+J96&lt;F111,J96,D112)</f>
        <v>0</v>
      </c>
      <c r="F112" s="70">
        <f t="shared" si="20"/>
        <v>0</v>
      </c>
      <c r="G112" s="70">
        <f t="shared" si="15"/>
        <v>0</v>
      </c>
      <c r="H112" s="73">
        <f t="shared" si="21"/>
        <v>0</v>
      </c>
      <c r="I112" s="127">
        <f t="shared" si="22"/>
        <v>0</v>
      </c>
      <c r="J112" s="69">
        <f t="shared" si="16"/>
        <v>0</v>
      </c>
      <c r="K112" s="69"/>
      <c r="L112" s="150"/>
      <c r="M112" s="69">
        <f t="shared" si="17"/>
        <v>0</v>
      </c>
      <c r="N112" s="150"/>
      <c r="O112" s="69">
        <f t="shared" si="18"/>
        <v>0</v>
      </c>
      <c r="P112" s="69">
        <f t="shared" si="19"/>
        <v>0</v>
      </c>
    </row>
    <row r="113" spans="2:16" ht="12.5">
      <c r="B113" s="9" t="str">
        <f t="shared" si="23"/>
        <v/>
      </c>
      <c r="C113" s="64">
        <f>IF(D93="","-",+C112+1)</f>
        <v>2030</v>
      </c>
      <c r="D113" s="65">
        <f>IF(F112+SUM(E$99:E112)=D$92,F112,D$92-SUM(E$99:E112))</f>
        <v>0</v>
      </c>
      <c r="E113" s="71">
        <f>IF(+J96&lt;F112,J96,D113)</f>
        <v>0</v>
      </c>
      <c r="F113" s="70">
        <f t="shared" si="20"/>
        <v>0</v>
      </c>
      <c r="G113" s="70">
        <f t="shared" si="15"/>
        <v>0</v>
      </c>
      <c r="H113" s="73">
        <f t="shared" ref="H113:H154" si="24">+J$94*G113+E113</f>
        <v>0</v>
      </c>
      <c r="I113" s="127">
        <f t="shared" ref="I113:I154" si="25">+J$95*G113+E113</f>
        <v>0</v>
      </c>
      <c r="J113" s="69">
        <f t="shared" si="16"/>
        <v>0</v>
      </c>
      <c r="K113" s="69"/>
      <c r="L113" s="150"/>
      <c r="M113" s="69">
        <f t="shared" si="17"/>
        <v>0</v>
      </c>
      <c r="N113" s="150"/>
      <c r="O113" s="69">
        <f t="shared" si="18"/>
        <v>0</v>
      </c>
      <c r="P113" s="69">
        <f t="shared" si="19"/>
        <v>0</v>
      </c>
    </row>
    <row r="114" spans="2:16" ht="12.5">
      <c r="B114" s="9" t="str">
        <f t="shared" si="23"/>
        <v/>
      </c>
      <c r="C114" s="64">
        <f>IF(D93="","-",+C113+1)</f>
        <v>2031</v>
      </c>
      <c r="D114" s="65">
        <f>IF(F113+SUM(E$99:E113)=D$92,F113,D$92-SUM(E$99:E113))</f>
        <v>0</v>
      </c>
      <c r="E114" s="71">
        <f>IF(+J96&lt;F113,J96,D114)</f>
        <v>0</v>
      </c>
      <c r="F114" s="70">
        <f t="shared" si="20"/>
        <v>0</v>
      </c>
      <c r="G114" s="70">
        <f t="shared" si="15"/>
        <v>0</v>
      </c>
      <c r="H114" s="73">
        <f t="shared" si="24"/>
        <v>0</v>
      </c>
      <c r="I114" s="127">
        <f t="shared" si="25"/>
        <v>0</v>
      </c>
      <c r="J114" s="69">
        <f t="shared" si="16"/>
        <v>0</v>
      </c>
      <c r="K114" s="69"/>
      <c r="L114" s="150"/>
      <c r="M114" s="69">
        <f t="shared" si="17"/>
        <v>0</v>
      </c>
      <c r="N114" s="150"/>
      <c r="O114" s="69">
        <f t="shared" si="18"/>
        <v>0</v>
      </c>
      <c r="P114" s="69">
        <f t="shared" si="19"/>
        <v>0</v>
      </c>
    </row>
    <row r="115" spans="2:16" ht="12.5">
      <c r="B115" s="9" t="str">
        <f t="shared" si="23"/>
        <v/>
      </c>
      <c r="C115" s="64">
        <f>IF(D93="","-",+C114+1)</f>
        <v>2032</v>
      </c>
      <c r="D115" s="65">
        <f>IF(F114+SUM(E$99:E114)=D$92,F114,D$92-SUM(E$99:E114))</f>
        <v>0</v>
      </c>
      <c r="E115" s="71">
        <f>IF(+J96&lt;F114,J96,D115)</f>
        <v>0</v>
      </c>
      <c r="F115" s="70">
        <f t="shared" si="20"/>
        <v>0</v>
      </c>
      <c r="G115" s="70">
        <f t="shared" si="15"/>
        <v>0</v>
      </c>
      <c r="H115" s="73">
        <f t="shared" si="24"/>
        <v>0</v>
      </c>
      <c r="I115" s="127">
        <f t="shared" si="25"/>
        <v>0</v>
      </c>
      <c r="J115" s="69">
        <f t="shared" si="16"/>
        <v>0</v>
      </c>
      <c r="K115" s="69"/>
      <c r="L115" s="150"/>
      <c r="M115" s="69">
        <f t="shared" si="17"/>
        <v>0</v>
      </c>
      <c r="N115" s="150"/>
      <c r="O115" s="69">
        <f t="shared" si="18"/>
        <v>0</v>
      </c>
      <c r="P115" s="69">
        <f t="shared" si="19"/>
        <v>0</v>
      </c>
    </row>
    <row r="116" spans="2:16" ht="12.5">
      <c r="B116" s="9" t="str">
        <f t="shared" si="23"/>
        <v/>
      </c>
      <c r="C116" s="64">
        <f>IF(D93="","-",+C115+1)</f>
        <v>2033</v>
      </c>
      <c r="D116" s="65">
        <f>IF(F115+SUM(E$99:E115)=D$92,F115,D$92-SUM(E$99:E115))</f>
        <v>0</v>
      </c>
      <c r="E116" s="71">
        <f>IF(+J96&lt;F115,J96,D116)</f>
        <v>0</v>
      </c>
      <c r="F116" s="70">
        <f t="shared" si="20"/>
        <v>0</v>
      </c>
      <c r="G116" s="70">
        <f t="shared" si="15"/>
        <v>0</v>
      </c>
      <c r="H116" s="73">
        <f t="shared" si="24"/>
        <v>0</v>
      </c>
      <c r="I116" s="127">
        <f t="shared" si="25"/>
        <v>0</v>
      </c>
      <c r="J116" s="69">
        <f t="shared" si="16"/>
        <v>0</v>
      </c>
      <c r="K116" s="69"/>
      <c r="L116" s="150"/>
      <c r="M116" s="69">
        <f t="shared" si="17"/>
        <v>0</v>
      </c>
      <c r="N116" s="150"/>
      <c r="O116" s="69">
        <f t="shared" si="18"/>
        <v>0</v>
      </c>
      <c r="P116" s="69">
        <f t="shared" si="19"/>
        <v>0</v>
      </c>
    </row>
    <row r="117" spans="2:16" ht="12.5">
      <c r="B117" s="9" t="str">
        <f t="shared" si="23"/>
        <v/>
      </c>
      <c r="C117" s="64">
        <f>IF(D93="","-",+C116+1)</f>
        <v>2034</v>
      </c>
      <c r="D117" s="65">
        <f>IF(F116+SUM(E$99:E116)=D$92,F116,D$92-SUM(E$99:E116))</f>
        <v>0</v>
      </c>
      <c r="E117" s="71">
        <f>IF(+J96&lt;F116,J96,D117)</f>
        <v>0</v>
      </c>
      <c r="F117" s="70">
        <f t="shared" si="20"/>
        <v>0</v>
      </c>
      <c r="G117" s="70">
        <f t="shared" si="15"/>
        <v>0</v>
      </c>
      <c r="H117" s="73">
        <f t="shared" si="24"/>
        <v>0</v>
      </c>
      <c r="I117" s="127">
        <f t="shared" si="25"/>
        <v>0</v>
      </c>
      <c r="J117" s="69">
        <f t="shared" si="16"/>
        <v>0</v>
      </c>
      <c r="K117" s="69"/>
      <c r="L117" s="150"/>
      <c r="M117" s="69">
        <f t="shared" si="17"/>
        <v>0</v>
      </c>
      <c r="N117" s="150"/>
      <c r="O117" s="69">
        <f t="shared" si="18"/>
        <v>0</v>
      </c>
      <c r="P117" s="69">
        <f t="shared" si="19"/>
        <v>0</v>
      </c>
    </row>
    <row r="118" spans="2:16" ht="12.5">
      <c r="B118" s="9" t="str">
        <f t="shared" si="23"/>
        <v/>
      </c>
      <c r="C118" s="64">
        <f>IF(D93="","-",+C117+1)</f>
        <v>2035</v>
      </c>
      <c r="D118" s="65">
        <f>IF(F117+SUM(E$99:E117)=D$92,F117,D$92-SUM(E$99:E117))</f>
        <v>0</v>
      </c>
      <c r="E118" s="71">
        <f>IF(+J96&lt;F117,J96,D118)</f>
        <v>0</v>
      </c>
      <c r="F118" s="70">
        <f t="shared" si="20"/>
        <v>0</v>
      </c>
      <c r="G118" s="70">
        <f t="shared" si="15"/>
        <v>0</v>
      </c>
      <c r="H118" s="73">
        <f t="shared" si="24"/>
        <v>0</v>
      </c>
      <c r="I118" s="127">
        <f t="shared" si="25"/>
        <v>0</v>
      </c>
      <c r="J118" s="69">
        <f t="shared" si="16"/>
        <v>0</v>
      </c>
      <c r="K118" s="69"/>
      <c r="L118" s="150"/>
      <c r="M118" s="69">
        <f t="shared" si="17"/>
        <v>0</v>
      </c>
      <c r="N118" s="150"/>
      <c r="O118" s="69">
        <f t="shared" si="18"/>
        <v>0</v>
      </c>
      <c r="P118" s="69">
        <f t="shared" si="19"/>
        <v>0</v>
      </c>
    </row>
    <row r="119" spans="2:16" ht="12.5">
      <c r="B119" s="9" t="str">
        <f t="shared" si="23"/>
        <v/>
      </c>
      <c r="C119" s="64">
        <f>IF(D93="","-",+C118+1)</f>
        <v>2036</v>
      </c>
      <c r="D119" s="65">
        <f>IF(F118+SUM(E$99:E118)=D$92,F118,D$92-SUM(E$99:E118))</f>
        <v>0</v>
      </c>
      <c r="E119" s="71">
        <f>IF(+J96&lt;F118,J96,D119)</f>
        <v>0</v>
      </c>
      <c r="F119" s="70">
        <f t="shared" si="20"/>
        <v>0</v>
      </c>
      <c r="G119" s="70">
        <f t="shared" si="15"/>
        <v>0</v>
      </c>
      <c r="H119" s="73">
        <f t="shared" si="24"/>
        <v>0</v>
      </c>
      <c r="I119" s="127">
        <f t="shared" si="25"/>
        <v>0</v>
      </c>
      <c r="J119" s="69">
        <f t="shared" si="16"/>
        <v>0</v>
      </c>
      <c r="K119" s="69"/>
      <c r="L119" s="150"/>
      <c r="M119" s="69">
        <f t="shared" si="17"/>
        <v>0</v>
      </c>
      <c r="N119" s="150"/>
      <c r="O119" s="69">
        <f t="shared" si="18"/>
        <v>0</v>
      </c>
      <c r="P119" s="69">
        <f t="shared" si="19"/>
        <v>0</v>
      </c>
    </row>
    <row r="120" spans="2:16" ht="12.5">
      <c r="B120" s="9" t="str">
        <f t="shared" si="23"/>
        <v/>
      </c>
      <c r="C120" s="64">
        <f>IF(D93="","-",+C119+1)</f>
        <v>2037</v>
      </c>
      <c r="D120" s="65">
        <f>IF(F119+SUM(E$99:E119)=D$92,F119,D$92-SUM(E$99:E119))</f>
        <v>0</v>
      </c>
      <c r="E120" s="71">
        <f>IF(+J96&lt;F119,J96,D120)</f>
        <v>0</v>
      </c>
      <c r="F120" s="70">
        <f t="shared" si="20"/>
        <v>0</v>
      </c>
      <c r="G120" s="70">
        <f t="shared" si="15"/>
        <v>0</v>
      </c>
      <c r="H120" s="73">
        <f t="shared" si="24"/>
        <v>0</v>
      </c>
      <c r="I120" s="127">
        <f t="shared" si="25"/>
        <v>0</v>
      </c>
      <c r="J120" s="69">
        <f t="shared" si="16"/>
        <v>0</v>
      </c>
      <c r="K120" s="69"/>
      <c r="L120" s="150"/>
      <c r="M120" s="69">
        <f t="shared" si="17"/>
        <v>0</v>
      </c>
      <c r="N120" s="150"/>
      <c r="O120" s="69">
        <f t="shared" si="18"/>
        <v>0</v>
      </c>
      <c r="P120" s="69">
        <f t="shared" si="19"/>
        <v>0</v>
      </c>
    </row>
    <row r="121" spans="2:16" ht="12.5">
      <c r="B121" s="9" t="str">
        <f t="shared" si="23"/>
        <v/>
      </c>
      <c r="C121" s="64">
        <f>IF(D93="","-",+C120+1)</f>
        <v>2038</v>
      </c>
      <c r="D121" s="65">
        <f>IF(F120+SUM(E$99:E120)=D$92,F120,D$92-SUM(E$99:E120))</f>
        <v>0</v>
      </c>
      <c r="E121" s="71">
        <f>IF(+J96&lt;F120,J96,D121)</f>
        <v>0</v>
      </c>
      <c r="F121" s="70">
        <f t="shared" si="20"/>
        <v>0</v>
      </c>
      <c r="G121" s="70">
        <f t="shared" si="15"/>
        <v>0</v>
      </c>
      <c r="H121" s="73">
        <f t="shared" si="24"/>
        <v>0</v>
      </c>
      <c r="I121" s="127">
        <f t="shared" si="25"/>
        <v>0</v>
      </c>
      <c r="J121" s="69">
        <f t="shared" si="16"/>
        <v>0</v>
      </c>
      <c r="K121" s="69"/>
      <c r="L121" s="150"/>
      <c r="M121" s="69">
        <f t="shared" si="17"/>
        <v>0</v>
      </c>
      <c r="N121" s="150"/>
      <c r="O121" s="69">
        <f t="shared" si="18"/>
        <v>0</v>
      </c>
      <c r="P121" s="69">
        <f t="shared" si="19"/>
        <v>0</v>
      </c>
    </row>
    <row r="122" spans="2:16" ht="12.5">
      <c r="B122" s="9" t="str">
        <f t="shared" si="23"/>
        <v/>
      </c>
      <c r="C122" s="64">
        <f>IF(D93="","-",+C121+1)</f>
        <v>2039</v>
      </c>
      <c r="D122" s="65">
        <f>IF(F121+SUM(E$99:E121)=D$92,F121,D$92-SUM(E$99:E121))</f>
        <v>0</v>
      </c>
      <c r="E122" s="71">
        <f>IF(+J96&lt;F121,J96,D122)</f>
        <v>0</v>
      </c>
      <c r="F122" s="70">
        <f t="shared" si="20"/>
        <v>0</v>
      </c>
      <c r="G122" s="70">
        <f t="shared" si="15"/>
        <v>0</v>
      </c>
      <c r="H122" s="73">
        <f t="shared" si="24"/>
        <v>0</v>
      </c>
      <c r="I122" s="127">
        <f t="shared" si="25"/>
        <v>0</v>
      </c>
      <c r="J122" s="69">
        <f t="shared" si="16"/>
        <v>0</v>
      </c>
      <c r="K122" s="69"/>
      <c r="L122" s="150"/>
      <c r="M122" s="69">
        <f t="shared" si="17"/>
        <v>0</v>
      </c>
      <c r="N122" s="150"/>
      <c r="O122" s="69">
        <f t="shared" si="18"/>
        <v>0</v>
      </c>
      <c r="P122" s="69">
        <f t="shared" si="19"/>
        <v>0</v>
      </c>
    </row>
    <row r="123" spans="2:16" ht="12.5">
      <c r="B123" s="9" t="str">
        <f t="shared" si="23"/>
        <v/>
      </c>
      <c r="C123" s="64">
        <f>IF(D93="","-",+C122+1)</f>
        <v>2040</v>
      </c>
      <c r="D123" s="65">
        <f>IF(F122+SUM(E$99:E122)=D$92,F122,D$92-SUM(E$99:E122))</f>
        <v>0</v>
      </c>
      <c r="E123" s="71">
        <f>IF(+J96&lt;F122,J96,D123)</f>
        <v>0</v>
      </c>
      <c r="F123" s="70">
        <f t="shared" si="20"/>
        <v>0</v>
      </c>
      <c r="G123" s="70">
        <f t="shared" si="15"/>
        <v>0</v>
      </c>
      <c r="H123" s="73">
        <f t="shared" si="24"/>
        <v>0</v>
      </c>
      <c r="I123" s="127">
        <f t="shared" si="25"/>
        <v>0</v>
      </c>
      <c r="J123" s="69">
        <f t="shared" si="16"/>
        <v>0</v>
      </c>
      <c r="K123" s="69"/>
      <c r="L123" s="150"/>
      <c r="M123" s="69">
        <f t="shared" si="17"/>
        <v>0</v>
      </c>
      <c r="N123" s="150"/>
      <c r="O123" s="69">
        <f t="shared" si="18"/>
        <v>0</v>
      </c>
      <c r="P123" s="69">
        <f t="shared" si="19"/>
        <v>0</v>
      </c>
    </row>
    <row r="124" spans="2:16" ht="12.5">
      <c r="B124" s="9" t="str">
        <f t="shared" si="23"/>
        <v/>
      </c>
      <c r="C124" s="64">
        <f>IF(D93="","-",+C123+1)</f>
        <v>2041</v>
      </c>
      <c r="D124" s="65">
        <f>IF(F123+SUM(E$99:E123)=D$92,F123,D$92-SUM(E$99:E123))</f>
        <v>0</v>
      </c>
      <c r="E124" s="71">
        <f>IF(+J96&lt;F123,J96,D124)</f>
        <v>0</v>
      </c>
      <c r="F124" s="70">
        <f t="shared" si="20"/>
        <v>0</v>
      </c>
      <c r="G124" s="70">
        <f t="shared" si="15"/>
        <v>0</v>
      </c>
      <c r="H124" s="73">
        <f t="shared" si="24"/>
        <v>0</v>
      </c>
      <c r="I124" s="127">
        <f t="shared" si="25"/>
        <v>0</v>
      </c>
      <c r="J124" s="69">
        <f t="shared" si="16"/>
        <v>0</v>
      </c>
      <c r="K124" s="69"/>
      <c r="L124" s="150"/>
      <c r="M124" s="69">
        <f t="shared" si="17"/>
        <v>0</v>
      </c>
      <c r="N124" s="150"/>
      <c r="O124" s="69">
        <f t="shared" si="18"/>
        <v>0</v>
      </c>
      <c r="P124" s="69">
        <f t="shared" si="19"/>
        <v>0</v>
      </c>
    </row>
    <row r="125" spans="2:16" ht="12.5">
      <c r="B125" s="9" t="str">
        <f t="shared" si="23"/>
        <v/>
      </c>
      <c r="C125" s="64">
        <f>IF(D93="","-",+C124+1)</f>
        <v>2042</v>
      </c>
      <c r="D125" s="65">
        <f>IF(F124+SUM(E$99:E124)=D$92,F124,D$92-SUM(E$99:E124))</f>
        <v>0</v>
      </c>
      <c r="E125" s="71">
        <f>IF(+J96&lt;F124,J96,D125)</f>
        <v>0</v>
      </c>
      <c r="F125" s="70">
        <f t="shared" si="20"/>
        <v>0</v>
      </c>
      <c r="G125" s="70">
        <f t="shared" si="15"/>
        <v>0</v>
      </c>
      <c r="H125" s="73">
        <f t="shared" si="24"/>
        <v>0</v>
      </c>
      <c r="I125" s="127">
        <f t="shared" si="25"/>
        <v>0</v>
      </c>
      <c r="J125" s="69">
        <f t="shared" si="16"/>
        <v>0</v>
      </c>
      <c r="K125" s="69"/>
      <c r="L125" s="150"/>
      <c r="M125" s="69">
        <f t="shared" si="17"/>
        <v>0</v>
      </c>
      <c r="N125" s="150"/>
      <c r="O125" s="69">
        <f t="shared" si="18"/>
        <v>0</v>
      </c>
      <c r="P125" s="69">
        <f t="shared" si="19"/>
        <v>0</v>
      </c>
    </row>
    <row r="126" spans="2:16" ht="12.5">
      <c r="B126" s="9" t="str">
        <f t="shared" si="23"/>
        <v/>
      </c>
      <c r="C126" s="64">
        <f>IF(D93="","-",+C125+1)</f>
        <v>2043</v>
      </c>
      <c r="D126" s="65">
        <f>IF(F125+SUM(E$99:E125)=D$92,F125,D$92-SUM(E$99:E125))</f>
        <v>0</v>
      </c>
      <c r="E126" s="71">
        <f>IF(+J96&lt;F125,J96,D126)</f>
        <v>0</v>
      </c>
      <c r="F126" s="70">
        <f t="shared" si="20"/>
        <v>0</v>
      </c>
      <c r="G126" s="70">
        <f t="shared" si="15"/>
        <v>0</v>
      </c>
      <c r="H126" s="73">
        <f t="shared" si="24"/>
        <v>0</v>
      </c>
      <c r="I126" s="127">
        <f t="shared" si="25"/>
        <v>0</v>
      </c>
      <c r="J126" s="69">
        <f t="shared" si="16"/>
        <v>0</v>
      </c>
      <c r="K126" s="69"/>
      <c r="L126" s="150"/>
      <c r="M126" s="69">
        <f t="shared" si="17"/>
        <v>0</v>
      </c>
      <c r="N126" s="150"/>
      <c r="O126" s="69">
        <f t="shared" si="18"/>
        <v>0</v>
      </c>
      <c r="P126" s="69">
        <f t="shared" si="19"/>
        <v>0</v>
      </c>
    </row>
    <row r="127" spans="2:16" ht="12.5">
      <c r="B127" s="9" t="str">
        <f t="shared" si="23"/>
        <v/>
      </c>
      <c r="C127" s="64">
        <f>IF(D93="","-",+C126+1)</f>
        <v>2044</v>
      </c>
      <c r="D127" s="65">
        <f>IF(F126+SUM(E$99:E126)=D$92,F126,D$92-SUM(E$99:E126))</f>
        <v>0</v>
      </c>
      <c r="E127" s="71">
        <f>IF(+J96&lt;F126,J96,D127)</f>
        <v>0</v>
      </c>
      <c r="F127" s="70">
        <f t="shared" si="20"/>
        <v>0</v>
      </c>
      <c r="G127" s="70">
        <f t="shared" si="15"/>
        <v>0</v>
      </c>
      <c r="H127" s="73">
        <f t="shared" si="24"/>
        <v>0</v>
      </c>
      <c r="I127" s="127">
        <f t="shared" si="25"/>
        <v>0</v>
      </c>
      <c r="J127" s="69">
        <f t="shared" si="16"/>
        <v>0</v>
      </c>
      <c r="K127" s="69"/>
      <c r="L127" s="150"/>
      <c r="M127" s="69">
        <f t="shared" si="17"/>
        <v>0</v>
      </c>
      <c r="N127" s="150"/>
      <c r="O127" s="69">
        <f t="shared" si="18"/>
        <v>0</v>
      </c>
      <c r="P127" s="69">
        <f t="shared" si="19"/>
        <v>0</v>
      </c>
    </row>
    <row r="128" spans="2:16" ht="12.5">
      <c r="B128" s="9" t="str">
        <f t="shared" si="23"/>
        <v/>
      </c>
      <c r="C128" s="64">
        <f>IF(D93="","-",+C127+1)</f>
        <v>2045</v>
      </c>
      <c r="D128" s="65">
        <f>IF(F127+SUM(E$99:E127)=D$92,F127,D$92-SUM(E$99:E127))</f>
        <v>0</v>
      </c>
      <c r="E128" s="71">
        <f>IF(+J96&lt;F127,J96,D128)</f>
        <v>0</v>
      </c>
      <c r="F128" s="70">
        <f t="shared" si="20"/>
        <v>0</v>
      </c>
      <c r="G128" s="70">
        <f t="shared" si="15"/>
        <v>0</v>
      </c>
      <c r="H128" s="73">
        <f t="shared" si="24"/>
        <v>0</v>
      </c>
      <c r="I128" s="127">
        <f t="shared" si="25"/>
        <v>0</v>
      </c>
      <c r="J128" s="69">
        <f t="shared" si="16"/>
        <v>0</v>
      </c>
      <c r="K128" s="69"/>
      <c r="L128" s="150"/>
      <c r="M128" s="69">
        <f t="shared" si="17"/>
        <v>0</v>
      </c>
      <c r="N128" s="150"/>
      <c r="O128" s="69">
        <f t="shared" si="18"/>
        <v>0</v>
      </c>
      <c r="P128" s="69">
        <f t="shared" si="19"/>
        <v>0</v>
      </c>
    </row>
    <row r="129" spans="2:16" ht="12.5">
      <c r="B129" s="9" t="str">
        <f t="shared" si="23"/>
        <v/>
      </c>
      <c r="C129" s="64">
        <f>IF(D93="","-",+C128+1)</f>
        <v>2046</v>
      </c>
      <c r="D129" s="65">
        <f>IF(F128+SUM(E$99:E128)=D$92,F128,D$92-SUM(E$99:E128))</f>
        <v>0</v>
      </c>
      <c r="E129" s="71">
        <f>IF(+J96&lt;F128,J96,D129)</f>
        <v>0</v>
      </c>
      <c r="F129" s="70">
        <f t="shared" si="20"/>
        <v>0</v>
      </c>
      <c r="G129" s="70">
        <f t="shared" si="15"/>
        <v>0</v>
      </c>
      <c r="H129" s="73">
        <f t="shared" si="24"/>
        <v>0</v>
      </c>
      <c r="I129" s="127">
        <f t="shared" si="25"/>
        <v>0</v>
      </c>
      <c r="J129" s="69">
        <f t="shared" si="16"/>
        <v>0</v>
      </c>
      <c r="K129" s="69"/>
      <c r="L129" s="150"/>
      <c r="M129" s="69">
        <f t="shared" si="17"/>
        <v>0</v>
      </c>
      <c r="N129" s="150"/>
      <c r="O129" s="69">
        <f t="shared" si="18"/>
        <v>0</v>
      </c>
      <c r="P129" s="69">
        <f t="shared" si="19"/>
        <v>0</v>
      </c>
    </row>
    <row r="130" spans="2:16" ht="12.5">
      <c r="B130" s="9" t="str">
        <f t="shared" si="23"/>
        <v/>
      </c>
      <c r="C130" s="64">
        <f>IF(D93="","-",+C129+1)</f>
        <v>2047</v>
      </c>
      <c r="D130" s="65">
        <f>IF(F129+SUM(E$99:E129)=D$92,F129,D$92-SUM(E$99:E129))</f>
        <v>0</v>
      </c>
      <c r="E130" s="71">
        <f>IF(+J96&lt;F129,J96,D130)</f>
        <v>0</v>
      </c>
      <c r="F130" s="70">
        <f t="shared" si="20"/>
        <v>0</v>
      </c>
      <c r="G130" s="70">
        <f t="shared" si="15"/>
        <v>0</v>
      </c>
      <c r="H130" s="73">
        <f t="shared" si="24"/>
        <v>0</v>
      </c>
      <c r="I130" s="127">
        <f t="shared" si="25"/>
        <v>0</v>
      </c>
      <c r="J130" s="69">
        <f t="shared" si="16"/>
        <v>0</v>
      </c>
      <c r="K130" s="69"/>
      <c r="L130" s="150"/>
      <c r="M130" s="69">
        <f t="shared" si="17"/>
        <v>0</v>
      </c>
      <c r="N130" s="150"/>
      <c r="O130" s="69">
        <f t="shared" si="18"/>
        <v>0</v>
      </c>
      <c r="P130" s="69">
        <f t="shared" si="19"/>
        <v>0</v>
      </c>
    </row>
    <row r="131" spans="2:16" ht="12.5">
      <c r="B131" s="9" t="str">
        <f t="shared" si="23"/>
        <v/>
      </c>
      <c r="C131" s="64">
        <f>IF(D93="","-",+C130+1)</f>
        <v>2048</v>
      </c>
      <c r="D131" s="65">
        <f>IF(F130+SUM(E$99:E130)=D$92,F130,D$92-SUM(E$99:E130))</f>
        <v>0</v>
      </c>
      <c r="E131" s="71">
        <f>IF(+J96&lt;F130,J96,D131)</f>
        <v>0</v>
      </c>
      <c r="F131" s="70">
        <f t="shared" ref="F131:F154" si="26">+D131-E131</f>
        <v>0</v>
      </c>
      <c r="G131" s="70">
        <f t="shared" ref="G131:G154" si="27">+(F131+D131)/2</f>
        <v>0</v>
      </c>
      <c r="H131" s="73">
        <f t="shared" si="24"/>
        <v>0</v>
      </c>
      <c r="I131" s="127">
        <f t="shared" si="25"/>
        <v>0</v>
      </c>
      <c r="J131" s="69">
        <f t="shared" ref="J131:J154" si="28">+I541-H541</f>
        <v>0</v>
      </c>
      <c r="K131" s="69"/>
      <c r="L131" s="150"/>
      <c r="M131" s="69">
        <f t="shared" ref="M131:M154" si="29">IF(L541&lt;&gt;0,+H541-L541,0)</f>
        <v>0</v>
      </c>
      <c r="N131" s="150"/>
      <c r="O131" s="69">
        <f t="shared" ref="O131:O154" si="30">IF(N541&lt;&gt;0,+I541-N541,0)</f>
        <v>0</v>
      </c>
      <c r="P131" s="69">
        <f t="shared" ref="P131:P154" si="31">+O541-M541</f>
        <v>0</v>
      </c>
    </row>
    <row r="132" spans="2:16" ht="12.5">
      <c r="B132" s="9" t="str">
        <f t="shared" si="23"/>
        <v/>
      </c>
      <c r="C132" s="64">
        <f>IF(D93="","-",+C131+1)</f>
        <v>2049</v>
      </c>
      <c r="D132" s="65">
        <f>IF(F131+SUM(E$99:E131)=D$92,F131,D$92-SUM(E$99:E131))</f>
        <v>0</v>
      </c>
      <c r="E132" s="71">
        <f>IF(+J96&lt;F131,J96,D132)</f>
        <v>0</v>
      </c>
      <c r="F132" s="70">
        <f t="shared" si="26"/>
        <v>0</v>
      </c>
      <c r="G132" s="70">
        <f t="shared" si="27"/>
        <v>0</v>
      </c>
      <c r="H132" s="73">
        <f t="shared" si="24"/>
        <v>0</v>
      </c>
      <c r="I132" s="127">
        <f t="shared" si="25"/>
        <v>0</v>
      </c>
      <c r="J132" s="69">
        <f t="shared" si="28"/>
        <v>0</v>
      </c>
      <c r="K132" s="69"/>
      <c r="L132" s="150"/>
      <c r="M132" s="69">
        <f t="shared" si="29"/>
        <v>0</v>
      </c>
      <c r="N132" s="150"/>
      <c r="O132" s="69">
        <f t="shared" si="30"/>
        <v>0</v>
      </c>
      <c r="P132" s="69">
        <f t="shared" si="31"/>
        <v>0</v>
      </c>
    </row>
    <row r="133" spans="2:16" ht="12.5">
      <c r="B133" s="9" t="str">
        <f t="shared" si="23"/>
        <v/>
      </c>
      <c r="C133" s="64">
        <f>IF(D93="","-",+C132+1)</f>
        <v>2050</v>
      </c>
      <c r="D133" s="65">
        <f>IF(F132+SUM(E$99:E132)=D$92,F132,D$92-SUM(E$99:E132))</f>
        <v>0</v>
      </c>
      <c r="E133" s="71">
        <f>IF(+J96&lt;F132,J96,D133)</f>
        <v>0</v>
      </c>
      <c r="F133" s="70">
        <f t="shared" si="26"/>
        <v>0</v>
      </c>
      <c r="G133" s="70">
        <f t="shared" si="27"/>
        <v>0</v>
      </c>
      <c r="H133" s="73">
        <f t="shared" si="24"/>
        <v>0</v>
      </c>
      <c r="I133" s="127">
        <f t="shared" si="25"/>
        <v>0</v>
      </c>
      <c r="J133" s="69">
        <f t="shared" si="28"/>
        <v>0</v>
      </c>
      <c r="K133" s="69"/>
      <c r="L133" s="150"/>
      <c r="M133" s="69">
        <f t="shared" si="29"/>
        <v>0</v>
      </c>
      <c r="N133" s="150"/>
      <c r="O133" s="69">
        <f t="shared" si="30"/>
        <v>0</v>
      </c>
      <c r="P133" s="69">
        <f t="shared" si="31"/>
        <v>0</v>
      </c>
    </row>
    <row r="134" spans="2:16" ht="12.5">
      <c r="B134" s="9" t="str">
        <f t="shared" si="23"/>
        <v/>
      </c>
      <c r="C134" s="64">
        <f>IF(D93="","-",+C133+1)</f>
        <v>2051</v>
      </c>
      <c r="D134" s="65">
        <f>IF(F133+SUM(E$99:E133)=D$92,F133,D$92-SUM(E$99:E133))</f>
        <v>0</v>
      </c>
      <c r="E134" s="71">
        <f>IF(+J96&lt;F133,J96,D134)</f>
        <v>0</v>
      </c>
      <c r="F134" s="70">
        <f t="shared" si="26"/>
        <v>0</v>
      </c>
      <c r="G134" s="70">
        <f t="shared" si="27"/>
        <v>0</v>
      </c>
      <c r="H134" s="73">
        <f t="shared" si="24"/>
        <v>0</v>
      </c>
      <c r="I134" s="127">
        <f t="shared" si="25"/>
        <v>0</v>
      </c>
      <c r="J134" s="69">
        <f t="shared" si="28"/>
        <v>0</v>
      </c>
      <c r="K134" s="69"/>
      <c r="L134" s="150"/>
      <c r="M134" s="69">
        <f t="shared" si="29"/>
        <v>0</v>
      </c>
      <c r="N134" s="150"/>
      <c r="O134" s="69">
        <f t="shared" si="30"/>
        <v>0</v>
      </c>
      <c r="P134" s="69">
        <f t="shared" si="31"/>
        <v>0</v>
      </c>
    </row>
    <row r="135" spans="2:16" ht="12.5">
      <c r="B135" s="9" t="str">
        <f t="shared" si="23"/>
        <v/>
      </c>
      <c r="C135" s="64">
        <f>IF(D93="","-",+C134+1)</f>
        <v>2052</v>
      </c>
      <c r="D135" s="65">
        <f>IF(F134+SUM(E$99:E134)=D$92,F134,D$92-SUM(E$99:E134))</f>
        <v>0</v>
      </c>
      <c r="E135" s="71">
        <f>IF(+J96&lt;F134,J96,D135)</f>
        <v>0</v>
      </c>
      <c r="F135" s="70">
        <f t="shared" si="26"/>
        <v>0</v>
      </c>
      <c r="G135" s="70">
        <f t="shared" si="27"/>
        <v>0</v>
      </c>
      <c r="H135" s="73">
        <f t="shared" si="24"/>
        <v>0</v>
      </c>
      <c r="I135" s="127">
        <f t="shared" si="25"/>
        <v>0</v>
      </c>
      <c r="J135" s="69">
        <f t="shared" si="28"/>
        <v>0</v>
      </c>
      <c r="K135" s="69"/>
      <c r="L135" s="150"/>
      <c r="M135" s="69">
        <f t="shared" si="29"/>
        <v>0</v>
      </c>
      <c r="N135" s="150"/>
      <c r="O135" s="69">
        <f t="shared" si="30"/>
        <v>0</v>
      </c>
      <c r="P135" s="69">
        <f t="shared" si="31"/>
        <v>0</v>
      </c>
    </row>
    <row r="136" spans="2:16" ht="12.5">
      <c r="B136" s="9" t="str">
        <f t="shared" si="23"/>
        <v/>
      </c>
      <c r="C136" s="64">
        <f>IF(D93="","-",+C135+1)</f>
        <v>2053</v>
      </c>
      <c r="D136" s="65">
        <f>IF(F135+SUM(E$99:E135)=D$92,F135,D$92-SUM(E$99:E135))</f>
        <v>0</v>
      </c>
      <c r="E136" s="71">
        <f>IF(+J96&lt;F135,J96,D136)</f>
        <v>0</v>
      </c>
      <c r="F136" s="70">
        <f t="shared" si="26"/>
        <v>0</v>
      </c>
      <c r="G136" s="70">
        <f t="shared" si="27"/>
        <v>0</v>
      </c>
      <c r="H136" s="73">
        <f t="shared" si="24"/>
        <v>0</v>
      </c>
      <c r="I136" s="127">
        <f t="shared" si="25"/>
        <v>0</v>
      </c>
      <c r="J136" s="69">
        <f t="shared" si="28"/>
        <v>0</v>
      </c>
      <c r="K136" s="69"/>
      <c r="L136" s="150"/>
      <c r="M136" s="69">
        <f t="shared" si="29"/>
        <v>0</v>
      </c>
      <c r="N136" s="150"/>
      <c r="O136" s="69">
        <f t="shared" si="30"/>
        <v>0</v>
      </c>
      <c r="P136" s="69">
        <f t="shared" si="31"/>
        <v>0</v>
      </c>
    </row>
    <row r="137" spans="2:16" ht="12.5">
      <c r="B137" s="9" t="str">
        <f t="shared" si="23"/>
        <v/>
      </c>
      <c r="C137" s="64">
        <f>IF(D93="","-",+C136+1)</f>
        <v>2054</v>
      </c>
      <c r="D137" s="65">
        <f>IF(F136+SUM(E$99:E136)=D$92,F136,D$92-SUM(E$99:E136))</f>
        <v>0</v>
      </c>
      <c r="E137" s="71">
        <f>IF(+J96&lt;F136,J96,D137)</f>
        <v>0</v>
      </c>
      <c r="F137" s="70">
        <f t="shared" si="26"/>
        <v>0</v>
      </c>
      <c r="G137" s="70">
        <f t="shared" si="27"/>
        <v>0</v>
      </c>
      <c r="H137" s="73">
        <f t="shared" si="24"/>
        <v>0</v>
      </c>
      <c r="I137" s="127">
        <f t="shared" si="25"/>
        <v>0</v>
      </c>
      <c r="J137" s="69">
        <f t="shared" si="28"/>
        <v>0</v>
      </c>
      <c r="K137" s="69"/>
      <c r="L137" s="150"/>
      <c r="M137" s="69">
        <f t="shared" si="29"/>
        <v>0</v>
      </c>
      <c r="N137" s="150"/>
      <c r="O137" s="69">
        <f t="shared" si="30"/>
        <v>0</v>
      </c>
      <c r="P137" s="69">
        <f t="shared" si="31"/>
        <v>0</v>
      </c>
    </row>
    <row r="138" spans="2:16" ht="12.5">
      <c r="B138" s="9" t="str">
        <f t="shared" si="23"/>
        <v/>
      </c>
      <c r="C138" s="64">
        <f>IF(D93="","-",+C137+1)</f>
        <v>2055</v>
      </c>
      <c r="D138" s="65">
        <f>IF(F137+SUM(E$99:E137)=D$92,F137,D$92-SUM(E$99:E137))</f>
        <v>0</v>
      </c>
      <c r="E138" s="71">
        <f>IF(+J96&lt;F137,J96,D138)</f>
        <v>0</v>
      </c>
      <c r="F138" s="70">
        <f t="shared" si="26"/>
        <v>0</v>
      </c>
      <c r="G138" s="70">
        <f t="shared" si="27"/>
        <v>0</v>
      </c>
      <c r="H138" s="73">
        <f t="shared" si="24"/>
        <v>0</v>
      </c>
      <c r="I138" s="127">
        <f t="shared" si="25"/>
        <v>0</v>
      </c>
      <c r="J138" s="69">
        <f t="shared" si="28"/>
        <v>0</v>
      </c>
      <c r="K138" s="69"/>
      <c r="L138" s="150"/>
      <c r="M138" s="69">
        <f t="shared" si="29"/>
        <v>0</v>
      </c>
      <c r="N138" s="150"/>
      <c r="O138" s="69">
        <f t="shared" si="30"/>
        <v>0</v>
      </c>
      <c r="P138" s="69">
        <f t="shared" si="31"/>
        <v>0</v>
      </c>
    </row>
    <row r="139" spans="2:16" ht="12.5">
      <c r="B139" s="9" t="str">
        <f t="shared" si="23"/>
        <v/>
      </c>
      <c r="C139" s="64">
        <f>IF(D93="","-",+C138+1)</f>
        <v>2056</v>
      </c>
      <c r="D139" s="65">
        <f>IF(F138+SUM(E$99:E138)=D$92,F138,D$92-SUM(E$99:E138))</f>
        <v>0</v>
      </c>
      <c r="E139" s="71">
        <f>IF(+J96&lt;F138,J96,D139)</f>
        <v>0</v>
      </c>
      <c r="F139" s="70">
        <f t="shared" si="26"/>
        <v>0</v>
      </c>
      <c r="G139" s="70">
        <f t="shared" si="27"/>
        <v>0</v>
      </c>
      <c r="H139" s="73">
        <f t="shared" si="24"/>
        <v>0</v>
      </c>
      <c r="I139" s="127">
        <f t="shared" si="25"/>
        <v>0</v>
      </c>
      <c r="J139" s="69">
        <f t="shared" si="28"/>
        <v>0</v>
      </c>
      <c r="K139" s="69"/>
      <c r="L139" s="150"/>
      <c r="M139" s="69">
        <f t="shared" si="29"/>
        <v>0</v>
      </c>
      <c r="N139" s="150"/>
      <c r="O139" s="69">
        <f t="shared" si="30"/>
        <v>0</v>
      </c>
      <c r="P139" s="69">
        <f t="shared" si="31"/>
        <v>0</v>
      </c>
    </row>
    <row r="140" spans="2:16" ht="12.5">
      <c r="B140" s="9" t="str">
        <f t="shared" si="23"/>
        <v/>
      </c>
      <c r="C140" s="64">
        <f>IF(D93="","-",+C139+1)</f>
        <v>2057</v>
      </c>
      <c r="D140" s="65">
        <f>IF(F139+SUM(E$99:E139)=D$92,F139,D$92-SUM(E$99:E139))</f>
        <v>0</v>
      </c>
      <c r="E140" s="71">
        <f>IF(+J96&lt;F139,J96,D140)</f>
        <v>0</v>
      </c>
      <c r="F140" s="70">
        <f t="shared" si="26"/>
        <v>0</v>
      </c>
      <c r="G140" s="70">
        <f t="shared" si="27"/>
        <v>0</v>
      </c>
      <c r="H140" s="73">
        <f t="shared" si="24"/>
        <v>0</v>
      </c>
      <c r="I140" s="127">
        <f t="shared" si="25"/>
        <v>0</v>
      </c>
      <c r="J140" s="69">
        <f t="shared" si="28"/>
        <v>0</v>
      </c>
      <c r="K140" s="69"/>
      <c r="L140" s="150"/>
      <c r="M140" s="69">
        <f t="shared" si="29"/>
        <v>0</v>
      </c>
      <c r="N140" s="150"/>
      <c r="O140" s="69">
        <f t="shared" si="30"/>
        <v>0</v>
      </c>
      <c r="P140" s="69">
        <f t="shared" si="31"/>
        <v>0</v>
      </c>
    </row>
    <row r="141" spans="2:16" ht="12.5">
      <c r="B141" s="9" t="str">
        <f t="shared" si="23"/>
        <v/>
      </c>
      <c r="C141" s="64">
        <f>IF(D93="","-",+C140+1)</f>
        <v>2058</v>
      </c>
      <c r="D141" s="65">
        <f>IF(F140+SUM(E$99:E140)=D$92,F140,D$92-SUM(E$99:E140))</f>
        <v>0</v>
      </c>
      <c r="E141" s="71">
        <f>IF(+J96&lt;F140,J96,D141)</f>
        <v>0</v>
      </c>
      <c r="F141" s="70">
        <f t="shared" si="26"/>
        <v>0</v>
      </c>
      <c r="G141" s="70">
        <f t="shared" si="27"/>
        <v>0</v>
      </c>
      <c r="H141" s="73">
        <f t="shared" si="24"/>
        <v>0</v>
      </c>
      <c r="I141" s="127">
        <f t="shared" si="25"/>
        <v>0</v>
      </c>
      <c r="J141" s="69">
        <f t="shared" si="28"/>
        <v>0</v>
      </c>
      <c r="K141" s="69"/>
      <c r="L141" s="150"/>
      <c r="M141" s="69">
        <f t="shared" si="29"/>
        <v>0</v>
      </c>
      <c r="N141" s="150"/>
      <c r="O141" s="69">
        <f t="shared" si="30"/>
        <v>0</v>
      </c>
      <c r="P141" s="69">
        <f t="shared" si="31"/>
        <v>0</v>
      </c>
    </row>
    <row r="142" spans="2:16" ht="12.5">
      <c r="B142" s="9" t="str">
        <f t="shared" si="23"/>
        <v/>
      </c>
      <c r="C142" s="64">
        <f>IF(D93="","-",+C141+1)</f>
        <v>2059</v>
      </c>
      <c r="D142" s="65">
        <f>IF(F141+SUM(E$99:E141)=D$92,F141,D$92-SUM(E$99:E141))</f>
        <v>0</v>
      </c>
      <c r="E142" s="71">
        <f>IF(+J96&lt;F141,J96,D142)</f>
        <v>0</v>
      </c>
      <c r="F142" s="70">
        <f t="shared" si="26"/>
        <v>0</v>
      </c>
      <c r="G142" s="70">
        <f t="shared" si="27"/>
        <v>0</v>
      </c>
      <c r="H142" s="73">
        <f t="shared" si="24"/>
        <v>0</v>
      </c>
      <c r="I142" s="127">
        <f t="shared" si="25"/>
        <v>0</v>
      </c>
      <c r="J142" s="69">
        <f t="shared" si="28"/>
        <v>0</v>
      </c>
      <c r="K142" s="69"/>
      <c r="L142" s="150"/>
      <c r="M142" s="69">
        <f t="shared" si="29"/>
        <v>0</v>
      </c>
      <c r="N142" s="150"/>
      <c r="O142" s="69">
        <f t="shared" si="30"/>
        <v>0</v>
      </c>
      <c r="P142" s="69">
        <f t="shared" si="31"/>
        <v>0</v>
      </c>
    </row>
    <row r="143" spans="2:16" ht="12.5">
      <c r="B143" s="9" t="str">
        <f t="shared" si="23"/>
        <v/>
      </c>
      <c r="C143" s="64">
        <f>IF(D93="","-",+C142+1)</f>
        <v>2060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26"/>
        <v>0</v>
      </c>
      <c r="G143" s="70">
        <f t="shared" si="27"/>
        <v>0</v>
      </c>
      <c r="H143" s="73">
        <f t="shared" si="24"/>
        <v>0</v>
      </c>
      <c r="I143" s="127">
        <f t="shared" si="25"/>
        <v>0</v>
      </c>
      <c r="J143" s="69">
        <f t="shared" si="28"/>
        <v>0</v>
      </c>
      <c r="K143" s="69"/>
      <c r="L143" s="150"/>
      <c r="M143" s="69">
        <f t="shared" si="29"/>
        <v>0</v>
      </c>
      <c r="N143" s="150"/>
      <c r="O143" s="69">
        <f t="shared" si="30"/>
        <v>0</v>
      </c>
      <c r="P143" s="69">
        <f t="shared" si="31"/>
        <v>0</v>
      </c>
    </row>
    <row r="144" spans="2:16" ht="12.5">
      <c r="B144" s="9" t="str">
        <f t="shared" si="23"/>
        <v/>
      </c>
      <c r="C144" s="64">
        <f>IF(D93="","-",+C143+1)</f>
        <v>2061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26"/>
        <v>0</v>
      </c>
      <c r="G144" s="70">
        <f t="shared" si="27"/>
        <v>0</v>
      </c>
      <c r="H144" s="73">
        <f t="shared" si="24"/>
        <v>0</v>
      </c>
      <c r="I144" s="127">
        <f t="shared" si="25"/>
        <v>0</v>
      </c>
      <c r="J144" s="69">
        <f t="shared" si="28"/>
        <v>0</v>
      </c>
      <c r="K144" s="69"/>
      <c r="L144" s="150"/>
      <c r="M144" s="69">
        <f t="shared" si="29"/>
        <v>0</v>
      </c>
      <c r="N144" s="150"/>
      <c r="O144" s="69">
        <f t="shared" si="30"/>
        <v>0</v>
      </c>
      <c r="P144" s="69">
        <f t="shared" si="31"/>
        <v>0</v>
      </c>
    </row>
    <row r="145" spans="2:16" ht="12.5">
      <c r="B145" s="9" t="str">
        <f t="shared" si="23"/>
        <v/>
      </c>
      <c r="C145" s="64">
        <f>IF(D93="","-",+C144+1)</f>
        <v>2062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26"/>
        <v>0</v>
      </c>
      <c r="G145" s="70">
        <f t="shared" si="27"/>
        <v>0</v>
      </c>
      <c r="H145" s="73">
        <f t="shared" si="24"/>
        <v>0</v>
      </c>
      <c r="I145" s="127">
        <f t="shared" si="25"/>
        <v>0</v>
      </c>
      <c r="J145" s="69">
        <f t="shared" si="28"/>
        <v>0</v>
      </c>
      <c r="K145" s="69"/>
      <c r="L145" s="150"/>
      <c r="M145" s="69">
        <f t="shared" si="29"/>
        <v>0</v>
      </c>
      <c r="N145" s="150"/>
      <c r="O145" s="69">
        <f t="shared" si="30"/>
        <v>0</v>
      </c>
      <c r="P145" s="69">
        <f t="shared" si="31"/>
        <v>0</v>
      </c>
    </row>
    <row r="146" spans="2:16" ht="12.5">
      <c r="B146" s="9" t="str">
        <f t="shared" si="23"/>
        <v/>
      </c>
      <c r="C146" s="64">
        <f>IF(D93="","-",+C145+1)</f>
        <v>2063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26"/>
        <v>0</v>
      </c>
      <c r="G146" s="70">
        <f t="shared" si="27"/>
        <v>0</v>
      </c>
      <c r="H146" s="73">
        <f t="shared" si="24"/>
        <v>0</v>
      </c>
      <c r="I146" s="127">
        <f t="shared" si="25"/>
        <v>0</v>
      </c>
      <c r="J146" s="69">
        <f t="shared" si="28"/>
        <v>0</v>
      </c>
      <c r="K146" s="69"/>
      <c r="L146" s="150"/>
      <c r="M146" s="69">
        <f t="shared" si="29"/>
        <v>0</v>
      </c>
      <c r="N146" s="150"/>
      <c r="O146" s="69">
        <f t="shared" si="30"/>
        <v>0</v>
      </c>
      <c r="P146" s="69">
        <f t="shared" si="31"/>
        <v>0</v>
      </c>
    </row>
    <row r="147" spans="2:16" ht="12.5">
      <c r="B147" s="9" t="str">
        <f t="shared" si="23"/>
        <v/>
      </c>
      <c r="C147" s="64">
        <f>IF(D93="","-",+C146+1)</f>
        <v>2064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26"/>
        <v>0</v>
      </c>
      <c r="G147" s="70">
        <f t="shared" si="27"/>
        <v>0</v>
      </c>
      <c r="H147" s="73">
        <f t="shared" si="24"/>
        <v>0</v>
      </c>
      <c r="I147" s="127">
        <f t="shared" si="25"/>
        <v>0</v>
      </c>
      <c r="J147" s="69">
        <f t="shared" si="28"/>
        <v>0</v>
      </c>
      <c r="K147" s="69"/>
      <c r="L147" s="150"/>
      <c r="M147" s="69">
        <f t="shared" si="29"/>
        <v>0</v>
      </c>
      <c r="N147" s="150"/>
      <c r="O147" s="69">
        <f t="shared" si="30"/>
        <v>0</v>
      </c>
      <c r="P147" s="69">
        <f t="shared" si="31"/>
        <v>0</v>
      </c>
    </row>
    <row r="148" spans="2:16" ht="12.5">
      <c r="B148" s="9" t="str">
        <f t="shared" si="23"/>
        <v/>
      </c>
      <c r="C148" s="64">
        <f>IF(D93="","-",+C147+1)</f>
        <v>2065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26"/>
        <v>0</v>
      </c>
      <c r="G148" s="70">
        <f t="shared" si="27"/>
        <v>0</v>
      </c>
      <c r="H148" s="73">
        <f t="shared" si="24"/>
        <v>0</v>
      </c>
      <c r="I148" s="127">
        <f t="shared" si="25"/>
        <v>0</v>
      </c>
      <c r="J148" s="69">
        <f t="shared" si="28"/>
        <v>0</v>
      </c>
      <c r="K148" s="69"/>
      <c r="L148" s="150"/>
      <c r="M148" s="69">
        <f t="shared" si="29"/>
        <v>0</v>
      </c>
      <c r="N148" s="150"/>
      <c r="O148" s="69">
        <f t="shared" si="30"/>
        <v>0</v>
      </c>
      <c r="P148" s="69">
        <f t="shared" si="31"/>
        <v>0</v>
      </c>
    </row>
    <row r="149" spans="2:16" ht="12.5">
      <c r="B149" s="9" t="str">
        <f t="shared" si="23"/>
        <v/>
      </c>
      <c r="C149" s="64">
        <f>IF(D93="","-",+C148+1)</f>
        <v>2066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26"/>
        <v>0</v>
      </c>
      <c r="G149" s="70">
        <f t="shared" si="27"/>
        <v>0</v>
      </c>
      <c r="H149" s="73">
        <f t="shared" si="24"/>
        <v>0</v>
      </c>
      <c r="I149" s="127">
        <f t="shared" si="25"/>
        <v>0</v>
      </c>
      <c r="J149" s="69">
        <f t="shared" si="28"/>
        <v>0</v>
      </c>
      <c r="K149" s="69"/>
      <c r="L149" s="150"/>
      <c r="M149" s="69">
        <f t="shared" si="29"/>
        <v>0</v>
      </c>
      <c r="N149" s="150"/>
      <c r="O149" s="69">
        <f t="shared" si="30"/>
        <v>0</v>
      </c>
      <c r="P149" s="69">
        <f t="shared" si="31"/>
        <v>0</v>
      </c>
    </row>
    <row r="150" spans="2:16" ht="12.5">
      <c r="B150" s="9" t="str">
        <f t="shared" si="23"/>
        <v/>
      </c>
      <c r="C150" s="64">
        <f>IF(D93="","-",+C149+1)</f>
        <v>2067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26"/>
        <v>0</v>
      </c>
      <c r="G150" s="70">
        <f t="shared" si="27"/>
        <v>0</v>
      </c>
      <c r="H150" s="73">
        <f t="shared" si="24"/>
        <v>0</v>
      </c>
      <c r="I150" s="127">
        <f t="shared" si="25"/>
        <v>0</v>
      </c>
      <c r="J150" s="69">
        <f t="shared" si="28"/>
        <v>0</v>
      </c>
      <c r="K150" s="69"/>
      <c r="L150" s="150"/>
      <c r="M150" s="69">
        <f t="shared" si="29"/>
        <v>0</v>
      </c>
      <c r="N150" s="150"/>
      <c r="O150" s="69">
        <f t="shared" si="30"/>
        <v>0</v>
      </c>
      <c r="P150" s="69">
        <f t="shared" si="31"/>
        <v>0</v>
      </c>
    </row>
    <row r="151" spans="2:16" ht="12.5">
      <c r="B151" s="9" t="str">
        <f t="shared" si="23"/>
        <v/>
      </c>
      <c r="C151" s="64">
        <f>IF(D93="","-",+C150+1)</f>
        <v>2068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26"/>
        <v>0</v>
      </c>
      <c r="G151" s="70">
        <f t="shared" si="27"/>
        <v>0</v>
      </c>
      <c r="H151" s="73">
        <f t="shared" si="24"/>
        <v>0</v>
      </c>
      <c r="I151" s="127">
        <f t="shared" si="25"/>
        <v>0</v>
      </c>
      <c r="J151" s="69">
        <f t="shared" si="28"/>
        <v>0</v>
      </c>
      <c r="K151" s="69"/>
      <c r="L151" s="150"/>
      <c r="M151" s="69">
        <f t="shared" si="29"/>
        <v>0</v>
      </c>
      <c r="N151" s="150"/>
      <c r="O151" s="69">
        <f t="shared" si="30"/>
        <v>0</v>
      </c>
      <c r="P151" s="69">
        <f t="shared" si="31"/>
        <v>0</v>
      </c>
    </row>
    <row r="152" spans="2:16" ht="12.5">
      <c r="B152" s="9" t="str">
        <f t="shared" si="23"/>
        <v/>
      </c>
      <c r="C152" s="64">
        <f>IF(D93="","-",+C151+1)</f>
        <v>2069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26"/>
        <v>0</v>
      </c>
      <c r="G152" s="70">
        <f t="shared" si="27"/>
        <v>0</v>
      </c>
      <c r="H152" s="73">
        <f t="shared" si="24"/>
        <v>0</v>
      </c>
      <c r="I152" s="127">
        <f t="shared" si="25"/>
        <v>0</v>
      </c>
      <c r="J152" s="69">
        <f t="shared" si="28"/>
        <v>0</v>
      </c>
      <c r="K152" s="69"/>
      <c r="L152" s="150"/>
      <c r="M152" s="69">
        <f t="shared" si="29"/>
        <v>0</v>
      </c>
      <c r="N152" s="150"/>
      <c r="O152" s="69">
        <f t="shared" si="30"/>
        <v>0</v>
      </c>
      <c r="P152" s="69">
        <f t="shared" si="31"/>
        <v>0</v>
      </c>
    </row>
    <row r="153" spans="2:16" ht="12.5">
      <c r="B153" s="9" t="str">
        <f t="shared" si="23"/>
        <v/>
      </c>
      <c r="C153" s="64">
        <f>IF(D93="","-",+C152+1)</f>
        <v>2070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26"/>
        <v>0</v>
      </c>
      <c r="G153" s="70">
        <f t="shared" si="27"/>
        <v>0</v>
      </c>
      <c r="H153" s="73">
        <f t="shared" si="24"/>
        <v>0</v>
      </c>
      <c r="I153" s="127">
        <f t="shared" si="25"/>
        <v>0</v>
      </c>
      <c r="J153" s="69">
        <f t="shared" si="28"/>
        <v>0</v>
      </c>
      <c r="K153" s="69"/>
      <c r="L153" s="150"/>
      <c r="M153" s="69">
        <f t="shared" si="29"/>
        <v>0</v>
      </c>
      <c r="N153" s="150"/>
      <c r="O153" s="69">
        <f t="shared" si="30"/>
        <v>0</v>
      </c>
      <c r="P153" s="69">
        <f t="shared" si="31"/>
        <v>0</v>
      </c>
    </row>
    <row r="154" spans="2:16" ht="13" thickBot="1">
      <c r="B154" s="9" t="str">
        <f t="shared" si="23"/>
        <v/>
      </c>
      <c r="C154" s="74">
        <f>IF(D93="","-",+C153+1)</f>
        <v>2071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26"/>
        <v>0</v>
      </c>
      <c r="G154" s="75">
        <f t="shared" si="27"/>
        <v>0</v>
      </c>
      <c r="H154" s="77">
        <f t="shared" si="24"/>
        <v>0</v>
      </c>
      <c r="I154" s="128">
        <f t="shared" si="25"/>
        <v>0</v>
      </c>
      <c r="J154" s="79">
        <f t="shared" si="28"/>
        <v>0</v>
      </c>
      <c r="K154" s="69"/>
      <c r="L154" s="151"/>
      <c r="M154" s="79">
        <f t="shared" si="29"/>
        <v>0</v>
      </c>
      <c r="N154" s="151"/>
      <c r="O154" s="79">
        <f t="shared" si="30"/>
        <v>0</v>
      </c>
      <c r="P154" s="79">
        <f t="shared" si="31"/>
        <v>0</v>
      </c>
    </row>
    <row r="155" spans="2:16" ht="12.5">
      <c r="C155" s="65" t="s">
        <v>78</v>
      </c>
      <c r="D155" s="22"/>
      <c r="E155" s="22">
        <f>SUM(E99:E154)</f>
        <v>0</v>
      </c>
      <c r="F155" s="22"/>
      <c r="G155" s="22"/>
      <c r="H155" s="22">
        <f>SUM(H99:H154)</f>
        <v>0</v>
      </c>
      <c r="I155" s="22">
        <f>SUM(I99:I154)</f>
        <v>0</v>
      </c>
      <c r="J155" s="22">
        <f>SUM(J99:J154)</f>
        <v>0</v>
      </c>
      <c r="K155" s="22"/>
      <c r="L155" s="22"/>
      <c r="M155" s="22"/>
      <c r="N155" s="22"/>
      <c r="O155" s="2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</row>
    <row r="157" spans="2:16" ht="12.5">
      <c r="C157" s="103"/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</row>
    <row r="158" spans="2:16" ht="13">
      <c r="C158" s="123" t="s">
        <v>132</v>
      </c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</row>
    <row r="159" spans="2:16" ht="13">
      <c r="C159" s="32" t="s">
        <v>79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</row>
    <row r="160" spans="2:16" ht="13">
      <c r="C160" s="104" t="s">
        <v>80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</row>
    <row r="161" spans="3:16" ht="13">
      <c r="C161" s="104"/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</row>
    <row r="162" spans="3:16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20" t="s">
        <v>131</v>
      </c>
    </row>
  </sheetData>
  <phoneticPr fontId="0" type="noConversion"/>
  <conditionalFormatting sqref="C17:C72">
    <cfRule type="cellIs" dxfId="1" priority="1" stopIfTrue="1" operator="equal">
      <formula>$I$10</formula>
    </cfRule>
  </conditionalFormatting>
  <conditionalFormatting sqref="C99:C154">
    <cfRule type="cellIs" dxfId="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Q162"/>
  <sheetViews>
    <sheetView view="pageBreakPreview" topLeftCell="A85" zoomScale="80" zoomScaleNormal="100" zoomScaleSheetLayoutView="80" workbookViewId="0">
      <selection activeCell="L109" sqref="L109:N109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5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300373.53346769244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300373.53346769244</v>
      </c>
      <c r="O6" s="269"/>
      <c r="P6" s="269"/>
    </row>
    <row r="7" spans="1:17" ht="13.5" thickBot="1">
      <c r="C7" s="467" t="s">
        <v>48</v>
      </c>
      <c r="D7" s="468" t="s">
        <v>243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144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2981768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70994.476190476184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2111061</v>
      </c>
      <c r="E17" s="509">
        <v>0</v>
      </c>
      <c r="F17" s="508">
        <v>2111061</v>
      </c>
      <c r="G17" s="509">
        <v>26962</v>
      </c>
      <c r="H17" s="510">
        <v>26962</v>
      </c>
      <c r="I17" s="511">
        <f t="shared" ref="I17:I48" si="0">H17-G17</f>
        <v>0</v>
      </c>
      <c r="J17" s="511"/>
      <c r="K17" s="512">
        <v>26962</v>
      </c>
      <c r="L17" s="513">
        <f t="shared" ref="L17:L48" si="1">IF(K17&lt;&gt;0,+G17-K17,0)</f>
        <v>0</v>
      </c>
      <c r="M17" s="512">
        <v>26962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2981232</v>
      </c>
      <c r="E18" s="516">
        <v>78453</v>
      </c>
      <c r="F18" s="515">
        <v>2902778</v>
      </c>
      <c r="G18" s="516">
        <v>495771</v>
      </c>
      <c r="H18" s="510">
        <v>495771</v>
      </c>
      <c r="I18" s="517">
        <v>0</v>
      </c>
      <c r="J18" s="511"/>
      <c r="K18" s="518">
        <f t="shared" ref="K18:K23" si="4">G18</f>
        <v>495771</v>
      </c>
      <c r="L18" s="519">
        <f t="shared" si="1"/>
        <v>0</v>
      </c>
      <c r="M18" s="518">
        <f t="shared" ref="M18:M23" si="5">H18</f>
        <v>495771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2902779</v>
      </c>
      <c r="E19" s="516">
        <v>72712.975609756104</v>
      </c>
      <c r="F19" s="515">
        <v>2830066.0243902439</v>
      </c>
      <c r="G19" s="516">
        <v>514747.16993514739</v>
      </c>
      <c r="H19" s="510">
        <v>514747.16993514739</v>
      </c>
      <c r="I19" s="517">
        <v>0</v>
      </c>
      <c r="J19" s="511"/>
      <c r="K19" s="518">
        <f t="shared" si="4"/>
        <v>514747.16993514739</v>
      </c>
      <c r="L19" s="519">
        <f t="shared" si="1"/>
        <v>0</v>
      </c>
      <c r="M19" s="518">
        <f t="shared" si="5"/>
        <v>514747.16993514739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2830066.0243902439</v>
      </c>
      <c r="E20" s="520">
        <v>70981.71428571429</v>
      </c>
      <c r="F20" s="515">
        <v>2759084.3101045298</v>
      </c>
      <c r="G20" s="516">
        <v>481313.11934217566</v>
      </c>
      <c r="H20" s="510">
        <v>481313.11934217566</v>
      </c>
      <c r="I20" s="517">
        <v>0</v>
      </c>
      <c r="J20" s="511"/>
      <c r="K20" s="518">
        <f t="shared" si="4"/>
        <v>481313.11934217566</v>
      </c>
      <c r="L20" s="519">
        <f t="shared" si="1"/>
        <v>0</v>
      </c>
      <c r="M20" s="518">
        <f t="shared" si="5"/>
        <v>481313.11934217566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2759084.3101045298</v>
      </c>
      <c r="E21" s="520">
        <v>70981.71428571429</v>
      </c>
      <c r="F21" s="515">
        <v>2688102.5958188158</v>
      </c>
      <c r="G21" s="516">
        <v>447281.35299477971</v>
      </c>
      <c r="H21" s="510">
        <v>447281.35299477971</v>
      </c>
      <c r="I21" s="511">
        <v>0</v>
      </c>
      <c r="J21" s="511"/>
      <c r="K21" s="518">
        <f t="shared" si="4"/>
        <v>447281.35299477971</v>
      </c>
      <c r="L21" s="519">
        <f t="shared" ref="L21:L26" si="7">IF(K21&lt;&gt;0,+G21-K21,0)</f>
        <v>0</v>
      </c>
      <c r="M21" s="518">
        <f t="shared" si="5"/>
        <v>447281.35299477971</v>
      </c>
      <c r="N21" s="514">
        <f t="shared" ref="N21:N26" si="8">IF(M21&lt;&gt;0,+H21-M21,0)</f>
        <v>0</v>
      </c>
      <c r="O21" s="514">
        <f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2688102.5958188158</v>
      </c>
      <c r="E22" s="520">
        <v>70981.71428571429</v>
      </c>
      <c r="F22" s="515">
        <v>2617120.8815331017</v>
      </c>
      <c r="G22" s="516">
        <v>424058.82256501901</v>
      </c>
      <c r="H22" s="510">
        <v>424058.82256501901</v>
      </c>
      <c r="I22" s="511">
        <v>0</v>
      </c>
      <c r="J22" s="511"/>
      <c r="K22" s="518">
        <f t="shared" si="4"/>
        <v>424058.82256501901</v>
      </c>
      <c r="L22" s="519">
        <f t="shared" si="7"/>
        <v>0</v>
      </c>
      <c r="M22" s="518">
        <f t="shared" si="5"/>
        <v>424058.82256501901</v>
      </c>
      <c r="N22" s="514">
        <f t="shared" si="8"/>
        <v>0</v>
      </c>
      <c r="O22" s="514">
        <f t="shared" si="3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2617120.8815331017</v>
      </c>
      <c r="E23" s="520">
        <v>70981.71428571429</v>
      </c>
      <c r="F23" s="515">
        <v>2546139.1672473876</v>
      </c>
      <c r="G23" s="516">
        <v>406320.46656296717</v>
      </c>
      <c r="H23" s="510">
        <v>406320.46656296717</v>
      </c>
      <c r="I23" s="511">
        <v>0</v>
      </c>
      <c r="J23" s="511"/>
      <c r="K23" s="518">
        <f t="shared" si="4"/>
        <v>406320.46656296717</v>
      </c>
      <c r="L23" s="519">
        <f t="shared" si="7"/>
        <v>0</v>
      </c>
      <c r="M23" s="518">
        <f t="shared" si="5"/>
        <v>406320.46656296717</v>
      </c>
      <c r="N23" s="514">
        <f t="shared" si="8"/>
        <v>0</v>
      </c>
      <c r="O23" s="514">
        <f>+N23-L23</f>
        <v>0</v>
      </c>
      <c r="P23" s="272"/>
    </row>
    <row r="24" spans="2:16" ht="12.5">
      <c r="B24" s="195" t="str">
        <f t="shared" si="6"/>
        <v>IU</v>
      </c>
      <c r="C24" s="507">
        <f>IF(D11="","-",+C23+1)</f>
        <v>2016</v>
      </c>
      <c r="D24" s="515">
        <v>2546675.1672473866</v>
      </c>
      <c r="E24" s="520">
        <v>70994.476190476184</v>
      </c>
      <c r="F24" s="515">
        <v>2475680.6910569104</v>
      </c>
      <c r="G24" s="516">
        <v>393030.95863797772</v>
      </c>
      <c r="H24" s="510">
        <v>393030.95863797772</v>
      </c>
      <c r="I24" s="511">
        <f t="shared" si="0"/>
        <v>0</v>
      </c>
      <c r="J24" s="511"/>
      <c r="K24" s="518">
        <f>G24</f>
        <v>393030.95863797772</v>
      </c>
      <c r="L24" s="519">
        <f t="shared" si="7"/>
        <v>0</v>
      </c>
      <c r="M24" s="518">
        <f>H24</f>
        <v>393030.95863797772</v>
      </c>
      <c r="N24" s="514">
        <f t="shared" si="8"/>
        <v>0</v>
      </c>
      <c r="O24" s="514">
        <f>+N24-L24</f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2475680.6910569104</v>
      </c>
      <c r="E25" s="520">
        <v>69343.441860465115</v>
      </c>
      <c r="F25" s="515">
        <v>2406337.2491964451</v>
      </c>
      <c r="G25" s="516">
        <v>371766.22774985479</v>
      </c>
      <c r="H25" s="510">
        <v>371766.22774985479</v>
      </c>
      <c r="I25" s="511">
        <f t="shared" si="0"/>
        <v>0</v>
      </c>
      <c r="J25" s="511"/>
      <c r="K25" s="518">
        <f>G25</f>
        <v>371766.22774985479</v>
      </c>
      <c r="L25" s="519">
        <f t="shared" si="7"/>
        <v>0</v>
      </c>
      <c r="M25" s="518">
        <f>H25</f>
        <v>371766.22774985479</v>
      </c>
      <c r="N25" s="514">
        <f t="shared" si="8"/>
        <v>0</v>
      </c>
      <c r="O25" s="514">
        <f>+N25-L25</f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2406337.2491964451</v>
      </c>
      <c r="E26" s="520">
        <v>72726.048780487807</v>
      </c>
      <c r="F26" s="515">
        <v>2333611.2004159573</v>
      </c>
      <c r="G26" s="516">
        <v>373935.78736543196</v>
      </c>
      <c r="H26" s="510">
        <v>373935.78736543196</v>
      </c>
      <c r="I26" s="511">
        <f t="shared" si="0"/>
        <v>0</v>
      </c>
      <c r="J26" s="511"/>
      <c r="K26" s="518">
        <f>G26</f>
        <v>373935.78736543196</v>
      </c>
      <c r="L26" s="519">
        <f t="shared" si="7"/>
        <v>0</v>
      </c>
      <c r="M26" s="518">
        <f>H26</f>
        <v>373935.78736543196</v>
      </c>
      <c r="N26" s="514">
        <f t="shared" si="8"/>
        <v>0</v>
      </c>
      <c r="O26" s="514">
        <f>+N26-L26</f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2333611.2004159573</v>
      </c>
      <c r="E27" s="520">
        <v>72726.048780487807</v>
      </c>
      <c r="F27" s="515">
        <v>2260885.1516354694</v>
      </c>
      <c r="G27" s="516">
        <v>364692.73572706321</v>
      </c>
      <c r="H27" s="510">
        <v>364692.73572706321</v>
      </c>
      <c r="I27" s="511">
        <f t="shared" si="0"/>
        <v>0</v>
      </c>
      <c r="J27" s="511"/>
      <c r="K27" s="518">
        <f>G27</f>
        <v>364692.73572706321</v>
      </c>
      <c r="L27" s="519">
        <f t="shared" ref="L27" si="9">IF(K27&lt;&gt;0,+G27-K27,0)</f>
        <v>0</v>
      </c>
      <c r="M27" s="518">
        <f>H27</f>
        <v>364692.73572706321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2260885.1516354694</v>
      </c>
      <c r="E28" s="520">
        <v>72726.048780487807</v>
      </c>
      <c r="F28" s="515">
        <v>2188159.1028549816</v>
      </c>
      <c r="G28" s="516">
        <v>300373.53346769244</v>
      </c>
      <c r="H28" s="510">
        <v>300373.53346769244</v>
      </c>
      <c r="I28" s="511">
        <f t="shared" si="0"/>
        <v>0</v>
      </c>
      <c r="J28" s="511"/>
      <c r="K28" s="518">
        <f>G28</f>
        <v>300373.53346769244</v>
      </c>
      <c r="L28" s="519">
        <f t="shared" ref="L28" si="10">IF(K28&lt;&gt;0,+G28-K28,0)</f>
        <v>0</v>
      </c>
      <c r="M28" s="518">
        <f>H28</f>
        <v>300373.53346769244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2021</v>
      </c>
      <c r="D29" s="523">
        <f>IF(F28+SUM(E$17:E28)=D$10,F28,D$10-SUM(E$17:E28))</f>
        <v>2188159.1028549816</v>
      </c>
      <c r="E29" s="522">
        <f>IF(+I14&lt;F28,I14,D29)</f>
        <v>70994.476190476184</v>
      </c>
      <c r="F29" s="523">
        <f t="shared" ref="F29:F48" si="11">+D29-E29</f>
        <v>2117164.6266645053</v>
      </c>
      <c r="G29" s="524">
        <f t="shared" ref="G29:G72" si="12">+I$12*((D29+F29)/2)+E29</f>
        <v>300937.45477561455</v>
      </c>
      <c r="H29" s="491">
        <f t="shared" ref="H29:H72" si="13">+I$13*((D29+F29)/2)+E29</f>
        <v>300937.45477561455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/>
      </c>
      <c r="C30" s="507">
        <f>IF(D11="","-",+C29+1)</f>
        <v>2022</v>
      </c>
      <c r="D30" s="523">
        <f>IF(F29+SUM(E$17:E29)=D$10,F29,D$10-SUM(E$17:E29))</f>
        <v>2117164.6266645053</v>
      </c>
      <c r="E30" s="522">
        <f>IF(+I14&lt;F29,I14,D30)</f>
        <v>70994.476190476184</v>
      </c>
      <c r="F30" s="523">
        <f t="shared" si="11"/>
        <v>2046170.1504740291</v>
      </c>
      <c r="G30" s="524">
        <f t="shared" si="12"/>
        <v>293353.96868075978</v>
      </c>
      <c r="H30" s="491">
        <f t="shared" si="13"/>
        <v>293353.96868075978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2046170.1504740291</v>
      </c>
      <c r="E31" s="522">
        <f>IF(+I14&lt;F30,I14,D31)</f>
        <v>70994.476190476184</v>
      </c>
      <c r="F31" s="523">
        <f t="shared" si="11"/>
        <v>1975175.6742835529</v>
      </c>
      <c r="G31" s="524">
        <f t="shared" si="12"/>
        <v>285770.48258590495</v>
      </c>
      <c r="H31" s="491">
        <f t="shared" si="13"/>
        <v>285770.48258590495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1975175.6742835529</v>
      </c>
      <c r="E32" s="522">
        <f>IF(+I14&lt;F31,I14,D32)</f>
        <v>70994.476190476184</v>
      </c>
      <c r="F32" s="523">
        <f t="shared" si="11"/>
        <v>1904181.1980930767</v>
      </c>
      <c r="G32" s="524">
        <f t="shared" si="12"/>
        <v>278186.99649105011</v>
      </c>
      <c r="H32" s="491">
        <f t="shared" si="13"/>
        <v>278186.99649105011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1904181.1980930767</v>
      </c>
      <c r="E33" s="522">
        <f>IF(+I14&lt;F32,I14,D33)</f>
        <v>70994.476190476184</v>
      </c>
      <c r="F33" s="523">
        <f t="shared" si="11"/>
        <v>1833186.7219026005</v>
      </c>
      <c r="G33" s="524">
        <f t="shared" si="12"/>
        <v>270603.51039619528</v>
      </c>
      <c r="H33" s="491">
        <f t="shared" si="13"/>
        <v>270603.51039619528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1833186.7219026005</v>
      </c>
      <c r="E34" s="522">
        <f>IF(+I14&lt;F33,I14,D34)</f>
        <v>70994.476190476184</v>
      </c>
      <c r="F34" s="523">
        <f t="shared" si="11"/>
        <v>1762192.2457121243</v>
      </c>
      <c r="G34" s="524">
        <f t="shared" si="12"/>
        <v>263020.02430134045</v>
      </c>
      <c r="H34" s="491">
        <f t="shared" si="13"/>
        <v>263020.02430134045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1762192.2457121243</v>
      </c>
      <c r="E35" s="522">
        <f>IF(+I14&lt;F34,I14,D35)</f>
        <v>70994.476190476184</v>
      </c>
      <c r="F35" s="523">
        <f t="shared" si="11"/>
        <v>1691197.7695216481</v>
      </c>
      <c r="G35" s="524">
        <f t="shared" si="12"/>
        <v>255436.53820648559</v>
      </c>
      <c r="H35" s="491">
        <f t="shared" si="13"/>
        <v>255436.53820648559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1691197.7695216481</v>
      </c>
      <c r="E36" s="522">
        <f>IF(+I14&lt;F35,I14,D36)</f>
        <v>70994.476190476184</v>
      </c>
      <c r="F36" s="523">
        <f t="shared" si="11"/>
        <v>1620203.2933311719</v>
      </c>
      <c r="G36" s="524">
        <f t="shared" si="12"/>
        <v>247853.05211163076</v>
      </c>
      <c r="H36" s="491">
        <f t="shared" si="13"/>
        <v>247853.05211163076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1620203.2933311719</v>
      </c>
      <c r="E37" s="522">
        <f>IF(+I14&lt;F36,I14,D37)</f>
        <v>70994.476190476184</v>
      </c>
      <c r="F37" s="523">
        <f t="shared" si="11"/>
        <v>1549208.8171406956</v>
      </c>
      <c r="G37" s="524">
        <f t="shared" si="12"/>
        <v>240269.56601677593</v>
      </c>
      <c r="H37" s="491">
        <f t="shared" si="13"/>
        <v>240269.56601677593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1549208.8171406956</v>
      </c>
      <c r="E38" s="522">
        <f>IF(+I14&lt;F37,I14,D38)</f>
        <v>70994.476190476184</v>
      </c>
      <c r="F38" s="523">
        <f t="shared" si="11"/>
        <v>1478214.3409502194</v>
      </c>
      <c r="G38" s="524">
        <f t="shared" si="12"/>
        <v>232686.0799219211</v>
      </c>
      <c r="H38" s="491">
        <f t="shared" si="13"/>
        <v>232686.0799219211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1478214.3409502194</v>
      </c>
      <c r="E39" s="522">
        <f>IF(+I14&lt;F38,I14,D39)</f>
        <v>70994.476190476184</v>
      </c>
      <c r="F39" s="523">
        <f t="shared" si="11"/>
        <v>1407219.8647597432</v>
      </c>
      <c r="G39" s="524">
        <f t="shared" si="12"/>
        <v>225102.59382706627</v>
      </c>
      <c r="H39" s="491">
        <f t="shared" si="13"/>
        <v>225102.59382706627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1407219.8647597432</v>
      </c>
      <c r="E40" s="522">
        <f>IF(+I14&lt;F39,I14,D40)</f>
        <v>70994.476190476184</v>
      </c>
      <c r="F40" s="523">
        <f t="shared" si="11"/>
        <v>1336225.388569267</v>
      </c>
      <c r="G40" s="524">
        <f t="shared" si="12"/>
        <v>217519.10773221144</v>
      </c>
      <c r="H40" s="491">
        <f t="shared" si="13"/>
        <v>217519.10773221144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1336225.388569267</v>
      </c>
      <c r="E41" s="522">
        <f>IF(+I14&lt;F40,I14,D41)</f>
        <v>70994.476190476184</v>
      </c>
      <c r="F41" s="523">
        <f t="shared" si="11"/>
        <v>1265230.9123787908</v>
      </c>
      <c r="G41" s="524">
        <f t="shared" si="12"/>
        <v>209935.62163735661</v>
      </c>
      <c r="H41" s="491">
        <f t="shared" si="13"/>
        <v>209935.62163735661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1265230.9123787908</v>
      </c>
      <c r="E42" s="522">
        <f>IF(+I14&lt;F41,I14,D42)</f>
        <v>70994.476190476184</v>
      </c>
      <c r="F42" s="523">
        <f t="shared" si="11"/>
        <v>1194236.4361883146</v>
      </c>
      <c r="G42" s="524">
        <f t="shared" si="12"/>
        <v>202352.13554250175</v>
      </c>
      <c r="H42" s="491">
        <f t="shared" si="13"/>
        <v>202352.13554250175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1194236.4361883146</v>
      </c>
      <c r="E43" s="522">
        <f>IF(+I14&lt;F42,I14,D43)</f>
        <v>70994.476190476184</v>
      </c>
      <c r="F43" s="523">
        <f t="shared" si="11"/>
        <v>1123241.9599978384</v>
      </c>
      <c r="G43" s="524">
        <f t="shared" si="12"/>
        <v>194768.64944764692</v>
      </c>
      <c r="H43" s="491">
        <f t="shared" si="13"/>
        <v>194768.64944764692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1123241.9599978384</v>
      </c>
      <c r="E44" s="522">
        <f>IF(+I14&lt;F43,I14,D44)</f>
        <v>70994.476190476184</v>
      </c>
      <c r="F44" s="523">
        <f t="shared" si="11"/>
        <v>1052247.4838073622</v>
      </c>
      <c r="G44" s="524">
        <f t="shared" si="12"/>
        <v>187185.16335279209</v>
      </c>
      <c r="H44" s="491">
        <f t="shared" si="13"/>
        <v>187185.16335279209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1052247.4838073622</v>
      </c>
      <c r="E45" s="522">
        <f>IF(+I14&lt;F44,I14,D45)</f>
        <v>70994.476190476184</v>
      </c>
      <c r="F45" s="523">
        <f t="shared" si="11"/>
        <v>981253.00761688594</v>
      </c>
      <c r="G45" s="524">
        <f t="shared" si="12"/>
        <v>179601.67725793726</v>
      </c>
      <c r="H45" s="491">
        <f t="shared" si="13"/>
        <v>179601.67725793726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981253.00761688594</v>
      </c>
      <c r="E46" s="522">
        <f>IF(+I14&lt;F45,I14,D46)</f>
        <v>70994.476190476184</v>
      </c>
      <c r="F46" s="523">
        <f t="shared" si="11"/>
        <v>910258.53142640973</v>
      </c>
      <c r="G46" s="524">
        <f t="shared" si="12"/>
        <v>172018.19116308243</v>
      </c>
      <c r="H46" s="491">
        <f t="shared" si="13"/>
        <v>172018.19116308243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910258.53142640973</v>
      </c>
      <c r="E47" s="522">
        <f>IF(+I14&lt;F46,I14,D47)</f>
        <v>70994.476190476184</v>
      </c>
      <c r="F47" s="523">
        <f t="shared" si="11"/>
        <v>839264.05523593351</v>
      </c>
      <c r="G47" s="524">
        <f t="shared" si="12"/>
        <v>164434.7050682276</v>
      </c>
      <c r="H47" s="491">
        <f t="shared" si="13"/>
        <v>164434.7050682276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839264.05523593351</v>
      </c>
      <c r="E48" s="522">
        <f>IF(+I14&lt;F47,I14,D48)</f>
        <v>70994.476190476184</v>
      </c>
      <c r="F48" s="523">
        <f t="shared" si="11"/>
        <v>768269.5790454573</v>
      </c>
      <c r="G48" s="524">
        <f t="shared" si="12"/>
        <v>156851.21897337277</v>
      </c>
      <c r="H48" s="491">
        <f t="shared" si="13"/>
        <v>156851.21897337277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768269.5790454573</v>
      </c>
      <c r="E49" s="522">
        <f>IF(+I14&lt;F48,I14,D49)</f>
        <v>70994.476190476184</v>
      </c>
      <c r="F49" s="523">
        <f t="shared" ref="F49:F72" si="14">+D49-E49</f>
        <v>697275.10285498109</v>
      </c>
      <c r="G49" s="524">
        <f t="shared" si="12"/>
        <v>149267.73287851794</v>
      </c>
      <c r="H49" s="491">
        <f t="shared" si="13"/>
        <v>149267.73287851794</v>
      </c>
      <c r="I49" s="511">
        <f t="shared" ref="I49:I72" si="15">H49-G49</f>
        <v>0</v>
      </c>
      <c r="J49" s="511"/>
      <c r="K49" s="525"/>
      <c r="L49" s="514">
        <f t="shared" ref="L49:L72" si="16">IF(K49&lt;&gt;0,+G49-K49,0)</f>
        <v>0</v>
      </c>
      <c r="M49" s="525"/>
      <c r="N49" s="514">
        <f t="shared" ref="N49:N72" si="17">IF(M49&lt;&gt;0,+H49-M49,0)</f>
        <v>0</v>
      </c>
      <c r="O49" s="514">
        <f t="shared" ref="O49:O72" si="18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697275.10285498109</v>
      </c>
      <c r="E50" s="522">
        <f>IF(+I14&lt;F49,I14,D50)</f>
        <v>70994.476190476184</v>
      </c>
      <c r="F50" s="523">
        <f t="shared" si="14"/>
        <v>626280.62666450487</v>
      </c>
      <c r="G50" s="524">
        <f t="shared" si="12"/>
        <v>141684.24678366311</v>
      </c>
      <c r="H50" s="491">
        <f t="shared" si="13"/>
        <v>141684.24678366311</v>
      </c>
      <c r="I50" s="511">
        <f t="shared" si="15"/>
        <v>0</v>
      </c>
      <c r="J50" s="511"/>
      <c r="K50" s="525"/>
      <c r="L50" s="514">
        <f t="shared" si="16"/>
        <v>0</v>
      </c>
      <c r="M50" s="525"/>
      <c r="N50" s="514">
        <f t="shared" si="17"/>
        <v>0</v>
      </c>
      <c r="O50" s="514">
        <f t="shared" si="18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626280.62666450487</v>
      </c>
      <c r="E51" s="522">
        <f>IF(+I14&lt;F50,I14,D51)</f>
        <v>70994.476190476184</v>
      </c>
      <c r="F51" s="523">
        <f t="shared" si="14"/>
        <v>555286.15047402866</v>
      </c>
      <c r="G51" s="524">
        <f t="shared" si="12"/>
        <v>134100.76068880825</v>
      </c>
      <c r="H51" s="491">
        <f t="shared" si="13"/>
        <v>134100.76068880825</v>
      </c>
      <c r="I51" s="511">
        <f t="shared" si="15"/>
        <v>0</v>
      </c>
      <c r="J51" s="511"/>
      <c r="K51" s="525"/>
      <c r="L51" s="514">
        <f t="shared" si="16"/>
        <v>0</v>
      </c>
      <c r="M51" s="525"/>
      <c r="N51" s="514">
        <f t="shared" si="17"/>
        <v>0</v>
      </c>
      <c r="O51" s="514">
        <f t="shared" si="18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555286.15047402866</v>
      </c>
      <c r="E52" s="522">
        <f>IF(+I14&lt;F51,I14,D52)</f>
        <v>70994.476190476184</v>
      </c>
      <c r="F52" s="523">
        <f t="shared" si="14"/>
        <v>484291.67428355245</v>
      </c>
      <c r="G52" s="524">
        <f t="shared" si="12"/>
        <v>126517.27459395342</v>
      </c>
      <c r="H52" s="491">
        <f t="shared" si="13"/>
        <v>126517.27459395342</v>
      </c>
      <c r="I52" s="511">
        <f t="shared" si="15"/>
        <v>0</v>
      </c>
      <c r="J52" s="511"/>
      <c r="K52" s="525"/>
      <c r="L52" s="514">
        <f t="shared" si="16"/>
        <v>0</v>
      </c>
      <c r="M52" s="525"/>
      <c r="N52" s="514">
        <f t="shared" si="17"/>
        <v>0</v>
      </c>
      <c r="O52" s="514">
        <f t="shared" si="18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484291.67428355245</v>
      </c>
      <c r="E53" s="522">
        <f>IF(+I14&lt;F52,I14,D53)</f>
        <v>70994.476190476184</v>
      </c>
      <c r="F53" s="523">
        <f t="shared" si="14"/>
        <v>413297.19809307624</v>
      </c>
      <c r="G53" s="524">
        <f t="shared" si="12"/>
        <v>118933.78849909859</v>
      </c>
      <c r="H53" s="491">
        <f t="shared" si="13"/>
        <v>118933.78849909859</v>
      </c>
      <c r="I53" s="511">
        <f t="shared" si="15"/>
        <v>0</v>
      </c>
      <c r="J53" s="511"/>
      <c r="K53" s="525"/>
      <c r="L53" s="514">
        <f t="shared" si="16"/>
        <v>0</v>
      </c>
      <c r="M53" s="525"/>
      <c r="N53" s="514">
        <f t="shared" si="17"/>
        <v>0</v>
      </c>
      <c r="O53" s="514">
        <f t="shared" si="18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413297.19809307624</v>
      </c>
      <c r="E54" s="522">
        <f>IF(+I14&lt;F53,I14,D54)</f>
        <v>70994.476190476184</v>
      </c>
      <c r="F54" s="523">
        <f t="shared" si="14"/>
        <v>342302.72190260002</v>
      </c>
      <c r="G54" s="524">
        <f t="shared" si="12"/>
        <v>111350.30240424376</v>
      </c>
      <c r="H54" s="491">
        <f t="shared" si="13"/>
        <v>111350.30240424376</v>
      </c>
      <c r="I54" s="511">
        <f t="shared" si="15"/>
        <v>0</v>
      </c>
      <c r="J54" s="511"/>
      <c r="K54" s="525"/>
      <c r="L54" s="514">
        <f t="shared" si="16"/>
        <v>0</v>
      </c>
      <c r="M54" s="525"/>
      <c r="N54" s="514">
        <f t="shared" si="17"/>
        <v>0</v>
      </c>
      <c r="O54" s="514">
        <f t="shared" si="18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342302.72190260002</v>
      </c>
      <c r="E55" s="522">
        <f>IF(+I14&lt;F54,I14,D55)</f>
        <v>70994.476190476184</v>
      </c>
      <c r="F55" s="523">
        <f t="shared" si="14"/>
        <v>271308.24571212381</v>
      </c>
      <c r="G55" s="524">
        <f t="shared" si="12"/>
        <v>103766.81630938893</v>
      </c>
      <c r="H55" s="491">
        <f t="shared" si="13"/>
        <v>103766.81630938893</v>
      </c>
      <c r="I55" s="511">
        <f t="shared" si="15"/>
        <v>0</v>
      </c>
      <c r="J55" s="511"/>
      <c r="K55" s="525"/>
      <c r="L55" s="514">
        <f t="shared" si="16"/>
        <v>0</v>
      </c>
      <c r="M55" s="525"/>
      <c r="N55" s="514">
        <f t="shared" si="17"/>
        <v>0</v>
      </c>
      <c r="O55" s="514">
        <f t="shared" si="18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271308.24571212381</v>
      </c>
      <c r="E56" s="522">
        <f>IF(+I14&lt;F55,I14,D56)</f>
        <v>70994.476190476184</v>
      </c>
      <c r="F56" s="523">
        <f t="shared" si="14"/>
        <v>200313.76952164763</v>
      </c>
      <c r="G56" s="524">
        <f t="shared" si="12"/>
        <v>96183.3302145341</v>
      </c>
      <c r="H56" s="491">
        <f t="shared" si="13"/>
        <v>96183.3302145341</v>
      </c>
      <c r="I56" s="511">
        <f t="shared" si="15"/>
        <v>0</v>
      </c>
      <c r="J56" s="511"/>
      <c r="K56" s="525"/>
      <c r="L56" s="514">
        <f t="shared" si="16"/>
        <v>0</v>
      </c>
      <c r="M56" s="525"/>
      <c r="N56" s="514">
        <f t="shared" si="17"/>
        <v>0</v>
      </c>
      <c r="O56" s="514">
        <f t="shared" si="18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200313.76952164763</v>
      </c>
      <c r="E57" s="522">
        <f>IF(+I14&lt;F56,I14,D57)</f>
        <v>70994.476190476184</v>
      </c>
      <c r="F57" s="523">
        <f t="shared" si="14"/>
        <v>129319.29333117144</v>
      </c>
      <c r="G57" s="524">
        <f t="shared" si="12"/>
        <v>88599.84411967927</v>
      </c>
      <c r="H57" s="491">
        <f t="shared" si="13"/>
        <v>88599.84411967927</v>
      </c>
      <c r="I57" s="511">
        <f t="shared" si="15"/>
        <v>0</v>
      </c>
      <c r="J57" s="511"/>
      <c r="K57" s="525"/>
      <c r="L57" s="514">
        <f t="shared" si="16"/>
        <v>0</v>
      </c>
      <c r="M57" s="525"/>
      <c r="N57" s="514">
        <f t="shared" si="17"/>
        <v>0</v>
      </c>
      <c r="O57" s="514">
        <f t="shared" si="18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129319.29333117144</v>
      </c>
      <c r="E58" s="522">
        <f>IF(+I14&lt;F57,I14,D58)</f>
        <v>70994.476190476184</v>
      </c>
      <c r="F58" s="523">
        <f t="shared" si="14"/>
        <v>58324.817140695261</v>
      </c>
      <c r="G58" s="524">
        <f t="shared" si="12"/>
        <v>81016.358024824425</v>
      </c>
      <c r="H58" s="491">
        <f t="shared" si="13"/>
        <v>81016.358024824425</v>
      </c>
      <c r="I58" s="511">
        <f t="shared" si="15"/>
        <v>0</v>
      </c>
      <c r="J58" s="511"/>
      <c r="K58" s="525"/>
      <c r="L58" s="514">
        <f t="shared" si="16"/>
        <v>0</v>
      </c>
      <c r="M58" s="525"/>
      <c r="N58" s="514">
        <f t="shared" si="17"/>
        <v>0</v>
      </c>
      <c r="O58" s="514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58324.817140695261</v>
      </c>
      <c r="E59" s="522">
        <f>IF(+I14&lt;F58,I14,D59)</f>
        <v>58324.817140695261</v>
      </c>
      <c r="F59" s="523">
        <f t="shared" si="14"/>
        <v>0</v>
      </c>
      <c r="G59" s="524">
        <f t="shared" si="12"/>
        <v>61439.886534155674</v>
      </c>
      <c r="H59" s="491">
        <f t="shared" si="13"/>
        <v>61439.886534155674</v>
      </c>
      <c r="I59" s="511">
        <f t="shared" si="15"/>
        <v>0</v>
      </c>
      <c r="J59" s="511"/>
      <c r="K59" s="525"/>
      <c r="L59" s="514">
        <f t="shared" si="16"/>
        <v>0</v>
      </c>
      <c r="M59" s="525"/>
      <c r="N59" s="514">
        <f t="shared" si="17"/>
        <v>0</v>
      </c>
      <c r="O59" s="514">
        <f t="shared" si="18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4"/>
        <v>0</v>
      </c>
      <c r="G60" s="524">
        <f t="shared" si="12"/>
        <v>0</v>
      </c>
      <c r="H60" s="491">
        <f t="shared" si="13"/>
        <v>0</v>
      </c>
      <c r="I60" s="511">
        <f t="shared" si="15"/>
        <v>0</v>
      </c>
      <c r="J60" s="511"/>
      <c r="K60" s="525"/>
      <c r="L60" s="514">
        <f t="shared" si="16"/>
        <v>0</v>
      </c>
      <c r="M60" s="525"/>
      <c r="N60" s="514">
        <f t="shared" si="17"/>
        <v>0</v>
      </c>
      <c r="O60" s="514">
        <f t="shared" si="18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4"/>
        <v>0</v>
      </c>
      <c r="G61" s="526">
        <f t="shared" si="12"/>
        <v>0</v>
      </c>
      <c r="H61" s="491">
        <f t="shared" si="13"/>
        <v>0</v>
      </c>
      <c r="I61" s="511">
        <f t="shared" si="15"/>
        <v>0</v>
      </c>
      <c r="J61" s="511"/>
      <c r="K61" s="525"/>
      <c r="L61" s="514">
        <f t="shared" si="16"/>
        <v>0</v>
      </c>
      <c r="M61" s="525"/>
      <c r="N61" s="514">
        <f t="shared" si="17"/>
        <v>0</v>
      </c>
      <c r="O61" s="514">
        <f t="shared" si="18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4"/>
        <v>0</v>
      </c>
      <c r="G62" s="526">
        <f t="shared" si="12"/>
        <v>0</v>
      </c>
      <c r="H62" s="491">
        <f t="shared" si="13"/>
        <v>0</v>
      </c>
      <c r="I62" s="511">
        <f t="shared" si="15"/>
        <v>0</v>
      </c>
      <c r="J62" s="511"/>
      <c r="K62" s="525"/>
      <c r="L62" s="514">
        <f t="shared" si="16"/>
        <v>0</v>
      </c>
      <c r="M62" s="525"/>
      <c r="N62" s="514">
        <f t="shared" si="17"/>
        <v>0</v>
      </c>
      <c r="O62" s="514">
        <f t="shared" si="18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4"/>
        <v>0</v>
      </c>
      <c r="G63" s="526">
        <f t="shared" si="12"/>
        <v>0</v>
      </c>
      <c r="H63" s="491">
        <f t="shared" si="13"/>
        <v>0</v>
      </c>
      <c r="I63" s="511">
        <f t="shared" si="15"/>
        <v>0</v>
      </c>
      <c r="J63" s="511"/>
      <c r="K63" s="525"/>
      <c r="L63" s="514">
        <f t="shared" si="16"/>
        <v>0</v>
      </c>
      <c r="M63" s="525"/>
      <c r="N63" s="514">
        <f t="shared" si="17"/>
        <v>0</v>
      </c>
      <c r="O63" s="514">
        <f t="shared" si="18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4"/>
        <v>0</v>
      </c>
      <c r="G64" s="526">
        <f t="shared" si="12"/>
        <v>0</v>
      </c>
      <c r="H64" s="491">
        <f t="shared" si="13"/>
        <v>0</v>
      </c>
      <c r="I64" s="511">
        <f t="shared" si="15"/>
        <v>0</v>
      </c>
      <c r="J64" s="511"/>
      <c r="K64" s="525"/>
      <c r="L64" s="514">
        <f t="shared" si="16"/>
        <v>0</v>
      </c>
      <c r="M64" s="525"/>
      <c r="N64" s="514">
        <f t="shared" si="17"/>
        <v>0</v>
      </c>
      <c r="O64" s="514">
        <f t="shared" si="18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4"/>
        <v>0</v>
      </c>
      <c r="G65" s="526">
        <f t="shared" si="12"/>
        <v>0</v>
      </c>
      <c r="H65" s="491">
        <f t="shared" si="13"/>
        <v>0</v>
      </c>
      <c r="I65" s="511">
        <f t="shared" si="15"/>
        <v>0</v>
      </c>
      <c r="J65" s="511"/>
      <c r="K65" s="525"/>
      <c r="L65" s="514">
        <f t="shared" si="16"/>
        <v>0</v>
      </c>
      <c r="M65" s="525"/>
      <c r="N65" s="514">
        <f t="shared" si="17"/>
        <v>0</v>
      </c>
      <c r="O65" s="514">
        <f t="shared" si="18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4"/>
        <v>0</v>
      </c>
      <c r="G66" s="526">
        <f t="shared" si="12"/>
        <v>0</v>
      </c>
      <c r="H66" s="491">
        <f t="shared" si="13"/>
        <v>0</v>
      </c>
      <c r="I66" s="511">
        <f t="shared" si="15"/>
        <v>0</v>
      </c>
      <c r="J66" s="511"/>
      <c r="K66" s="525"/>
      <c r="L66" s="514">
        <f t="shared" si="16"/>
        <v>0</v>
      </c>
      <c r="M66" s="525"/>
      <c r="N66" s="514">
        <f t="shared" si="17"/>
        <v>0</v>
      </c>
      <c r="O66" s="514">
        <f t="shared" si="18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4"/>
        <v>0</v>
      </c>
      <c r="G67" s="526">
        <f t="shared" si="12"/>
        <v>0</v>
      </c>
      <c r="H67" s="491">
        <f t="shared" si="13"/>
        <v>0</v>
      </c>
      <c r="I67" s="511">
        <f t="shared" si="15"/>
        <v>0</v>
      </c>
      <c r="J67" s="511"/>
      <c r="K67" s="525"/>
      <c r="L67" s="514">
        <f t="shared" si="16"/>
        <v>0</v>
      </c>
      <c r="M67" s="525"/>
      <c r="N67" s="514">
        <f t="shared" si="17"/>
        <v>0</v>
      </c>
      <c r="O67" s="514">
        <f t="shared" si="18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4"/>
        <v>0</v>
      </c>
      <c r="G68" s="526">
        <f t="shared" si="12"/>
        <v>0</v>
      </c>
      <c r="H68" s="491">
        <f t="shared" si="13"/>
        <v>0</v>
      </c>
      <c r="I68" s="511">
        <f t="shared" si="15"/>
        <v>0</v>
      </c>
      <c r="J68" s="511"/>
      <c r="K68" s="525"/>
      <c r="L68" s="514">
        <f t="shared" si="16"/>
        <v>0</v>
      </c>
      <c r="M68" s="525"/>
      <c r="N68" s="514">
        <f t="shared" si="17"/>
        <v>0</v>
      </c>
      <c r="O68" s="514">
        <f t="shared" si="18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4"/>
        <v>0</v>
      </c>
      <c r="G69" s="526">
        <f t="shared" si="12"/>
        <v>0</v>
      </c>
      <c r="H69" s="491">
        <f t="shared" si="13"/>
        <v>0</v>
      </c>
      <c r="I69" s="511">
        <f t="shared" si="15"/>
        <v>0</v>
      </c>
      <c r="J69" s="511"/>
      <c r="K69" s="525"/>
      <c r="L69" s="514">
        <f t="shared" si="16"/>
        <v>0</v>
      </c>
      <c r="M69" s="525"/>
      <c r="N69" s="514">
        <f t="shared" si="17"/>
        <v>0</v>
      </c>
      <c r="O69" s="514">
        <f t="shared" si="18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4"/>
        <v>0</v>
      </c>
      <c r="G70" s="526">
        <f t="shared" si="12"/>
        <v>0</v>
      </c>
      <c r="H70" s="491">
        <f t="shared" si="13"/>
        <v>0</v>
      </c>
      <c r="I70" s="511">
        <f t="shared" si="15"/>
        <v>0</v>
      </c>
      <c r="J70" s="511"/>
      <c r="K70" s="525"/>
      <c r="L70" s="514">
        <f t="shared" si="16"/>
        <v>0</v>
      </c>
      <c r="M70" s="525"/>
      <c r="N70" s="514">
        <f t="shared" si="17"/>
        <v>0</v>
      </c>
      <c r="O70" s="514">
        <f t="shared" si="18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4"/>
        <v>0</v>
      </c>
      <c r="G71" s="526">
        <f t="shared" si="12"/>
        <v>0</v>
      </c>
      <c r="H71" s="491">
        <f t="shared" si="13"/>
        <v>0</v>
      </c>
      <c r="I71" s="511">
        <f t="shared" si="15"/>
        <v>0</v>
      </c>
      <c r="J71" s="511"/>
      <c r="K71" s="525"/>
      <c r="L71" s="514">
        <f t="shared" si="16"/>
        <v>0</v>
      </c>
      <c r="M71" s="525"/>
      <c r="N71" s="514">
        <f t="shared" si="17"/>
        <v>0</v>
      </c>
      <c r="O71" s="514">
        <f t="shared" si="18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4"/>
        <v>0</v>
      </c>
      <c r="G72" s="530">
        <f t="shared" si="12"/>
        <v>0</v>
      </c>
      <c r="H72" s="471">
        <f t="shared" si="13"/>
        <v>0</v>
      </c>
      <c r="I72" s="531">
        <f t="shared" si="15"/>
        <v>0</v>
      </c>
      <c r="J72" s="511"/>
      <c r="K72" s="532"/>
      <c r="L72" s="533">
        <f t="shared" si="16"/>
        <v>0</v>
      </c>
      <c r="M72" s="532"/>
      <c r="N72" s="533">
        <f t="shared" si="17"/>
        <v>0</v>
      </c>
      <c r="O72" s="533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2981767.9999999995</v>
      </c>
      <c r="F73" s="375"/>
      <c r="G73" s="375">
        <f>SUM(G17:G72)</f>
        <v>10391000.252888843</v>
      </c>
      <c r="H73" s="375">
        <f>SUM(H17:H72)</f>
        <v>10391000.252888843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5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300373.53346769244</v>
      </c>
      <c r="N87" s="546">
        <f>IF(J92&lt;D11,0,VLOOKUP(J92,C17:O72,11))</f>
        <v>300373.53346769244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311740.47673179838</v>
      </c>
      <c r="N88" s="550">
        <f>IF(J92&lt;D11,0,VLOOKUP(J92,C99:P154,7))</f>
        <v>311740.47673179838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[Greenwood, AR Area Improve]  N Huntington, Greenwood, Reeves, Bonanza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11366.943264105939</v>
      </c>
      <c r="N89" s="555">
        <f>+N88-N87</f>
        <v>11366.943264105939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TP2007120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2981768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70994.476190476184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0</v>
      </c>
      <c r="F99" s="515">
        <v>2981232</v>
      </c>
      <c r="G99" s="574">
        <v>1490616</v>
      </c>
      <c r="H99" s="575">
        <v>215748</v>
      </c>
      <c r="I99" s="576">
        <v>215748</v>
      </c>
      <c r="J99" s="514">
        <f t="shared" ref="J99:J130" si="19">+I99-H99</f>
        <v>0</v>
      </c>
      <c r="K99" s="514"/>
      <c r="L99" s="512">
        <f t="shared" ref="L99:L104" si="20">H99</f>
        <v>215748</v>
      </c>
      <c r="M99" s="513">
        <f t="shared" ref="M99:M130" si="21">IF(L99&lt;&gt;0,+H99-L99,0)</f>
        <v>0</v>
      </c>
      <c r="N99" s="512">
        <f t="shared" ref="N99:N104" si="22">I99</f>
        <v>215748</v>
      </c>
      <c r="O99" s="513">
        <f t="shared" ref="O99:O130" si="23">IF(N99&lt;&gt;0,+I99-N99,0)</f>
        <v>0</v>
      </c>
      <c r="P99" s="513">
        <f t="shared" ref="P99:P130" si="24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2010</v>
      </c>
      <c r="D100" s="508">
        <v>2981232</v>
      </c>
      <c r="E100" s="516">
        <v>72712.975609756104</v>
      </c>
      <c r="F100" s="515">
        <v>2908519.0243902439</v>
      </c>
      <c r="G100" s="515">
        <v>2944875.512195122</v>
      </c>
      <c r="H100" s="516">
        <v>558870.93622757494</v>
      </c>
      <c r="I100" s="510">
        <v>558870.93622757494</v>
      </c>
      <c r="J100" s="514">
        <f t="shared" si="19"/>
        <v>0</v>
      </c>
      <c r="K100" s="514"/>
      <c r="L100" s="518">
        <f t="shared" si="20"/>
        <v>558870.93622757494</v>
      </c>
      <c r="M100" s="519">
        <f t="shared" si="21"/>
        <v>0</v>
      </c>
      <c r="N100" s="518">
        <f t="shared" si="22"/>
        <v>558870.93622757494</v>
      </c>
      <c r="O100" s="514">
        <f t="shared" si="23"/>
        <v>0</v>
      </c>
      <c r="P100" s="514">
        <f t="shared" si="24"/>
        <v>0</v>
      </c>
      <c r="Q100" s="269"/>
    </row>
    <row r="101" spans="1:17" ht="12.5">
      <c r="B101" s="195" t="str">
        <f t="shared" ref="B101:B154" si="25">IF(D101=F100,"","IU")</f>
        <v/>
      </c>
      <c r="C101" s="507">
        <f>IF(D93="","-",+C100+1)</f>
        <v>2011</v>
      </c>
      <c r="D101" s="508">
        <v>2908519.0243902439</v>
      </c>
      <c r="E101" s="520">
        <v>70981.71428571429</v>
      </c>
      <c r="F101" s="515">
        <v>2837537.3101045298</v>
      </c>
      <c r="G101" s="515">
        <v>2873028.1672473866</v>
      </c>
      <c r="H101" s="516">
        <v>503027.40641582396</v>
      </c>
      <c r="I101" s="510">
        <v>503027.40641582396</v>
      </c>
      <c r="J101" s="514">
        <f t="shared" si="19"/>
        <v>0</v>
      </c>
      <c r="K101" s="514"/>
      <c r="L101" s="518">
        <f t="shared" si="20"/>
        <v>503027.40641582396</v>
      </c>
      <c r="M101" s="519">
        <f t="shared" si="21"/>
        <v>0</v>
      </c>
      <c r="N101" s="518">
        <f t="shared" si="22"/>
        <v>503027.40641582396</v>
      </c>
      <c r="O101" s="514">
        <f t="shared" si="23"/>
        <v>0</v>
      </c>
      <c r="P101" s="514">
        <f t="shared" si="24"/>
        <v>0</v>
      </c>
      <c r="Q101" s="269"/>
    </row>
    <row r="102" spans="1:17" ht="12.5">
      <c r="B102" s="195" t="str">
        <f t="shared" si="25"/>
        <v/>
      </c>
      <c r="C102" s="507">
        <f>IF(D93="","-",+C101+1)</f>
        <v>2012</v>
      </c>
      <c r="D102" s="508">
        <v>2837537.3101045298</v>
      </c>
      <c r="E102" s="516">
        <v>70981.71428571429</v>
      </c>
      <c r="F102" s="515">
        <v>2766555.5958188158</v>
      </c>
      <c r="G102" s="515">
        <v>2802046.452961673</v>
      </c>
      <c r="H102" s="516">
        <v>483313.86691448453</v>
      </c>
      <c r="I102" s="510">
        <v>483313.86691448453</v>
      </c>
      <c r="J102" s="514">
        <f t="shared" si="19"/>
        <v>0</v>
      </c>
      <c r="K102" s="514"/>
      <c r="L102" s="518">
        <f t="shared" si="20"/>
        <v>483313.86691448453</v>
      </c>
      <c r="M102" s="519">
        <f t="shared" si="21"/>
        <v>0</v>
      </c>
      <c r="N102" s="518">
        <f t="shared" si="22"/>
        <v>483313.86691448453</v>
      </c>
      <c r="O102" s="514">
        <f t="shared" si="23"/>
        <v>0</v>
      </c>
      <c r="P102" s="514">
        <f t="shared" si="24"/>
        <v>0</v>
      </c>
      <c r="Q102" s="269"/>
    </row>
    <row r="103" spans="1:17" ht="12.5">
      <c r="B103" s="195" t="str">
        <f t="shared" si="25"/>
        <v/>
      </c>
      <c r="C103" s="507">
        <f>IF(D93="","-",+C102+1)</f>
        <v>2013</v>
      </c>
      <c r="D103" s="508">
        <v>2766555.5958188158</v>
      </c>
      <c r="E103" s="516">
        <v>70981.71428571429</v>
      </c>
      <c r="F103" s="515">
        <v>2695573.8815331017</v>
      </c>
      <c r="G103" s="515">
        <v>2731064.7386759585</v>
      </c>
      <c r="H103" s="516">
        <v>440472.11189849139</v>
      </c>
      <c r="I103" s="510">
        <v>440472.11189849139</v>
      </c>
      <c r="J103" s="514">
        <v>0</v>
      </c>
      <c r="K103" s="514"/>
      <c r="L103" s="518">
        <f t="shared" si="20"/>
        <v>440472.11189849139</v>
      </c>
      <c r="M103" s="519">
        <f t="shared" ref="M103:M108" si="26">IF(L103&lt;&gt;0,+H103-L103,0)</f>
        <v>0</v>
      </c>
      <c r="N103" s="518">
        <f t="shared" si="22"/>
        <v>440472.11189849139</v>
      </c>
      <c r="O103" s="514">
        <f t="shared" ref="O103:O108" si="27"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5"/>
        <v/>
      </c>
      <c r="C104" s="507">
        <f>IF(D93="","-",+C103+1)</f>
        <v>2014</v>
      </c>
      <c r="D104" s="508">
        <v>2695573.8815331017</v>
      </c>
      <c r="E104" s="516">
        <v>70981.71428571429</v>
      </c>
      <c r="F104" s="515">
        <v>2624592.1672473876</v>
      </c>
      <c r="G104" s="515">
        <v>2660083.0243902449</v>
      </c>
      <c r="H104" s="516">
        <v>432549.40222158958</v>
      </c>
      <c r="I104" s="510">
        <v>432549.40222158958</v>
      </c>
      <c r="J104" s="514">
        <v>0</v>
      </c>
      <c r="K104" s="514"/>
      <c r="L104" s="518">
        <f t="shared" si="20"/>
        <v>432549.40222158958</v>
      </c>
      <c r="M104" s="519">
        <f t="shared" si="26"/>
        <v>0</v>
      </c>
      <c r="N104" s="518">
        <f t="shared" si="22"/>
        <v>432549.40222158958</v>
      </c>
      <c r="O104" s="514">
        <f t="shared" si="27"/>
        <v>0</v>
      </c>
      <c r="P104" s="514">
        <f>+O104-M104</f>
        <v>0</v>
      </c>
      <c r="Q104" s="269"/>
    </row>
    <row r="105" spans="1:17" ht="12.5">
      <c r="B105" s="195" t="str">
        <f t="shared" si="25"/>
        <v>IU</v>
      </c>
      <c r="C105" s="507">
        <f>IF(D93="","-",+C104+1)</f>
        <v>2015</v>
      </c>
      <c r="D105" s="508">
        <v>2625128.1672473866</v>
      </c>
      <c r="E105" s="516">
        <v>70994.476190476184</v>
      </c>
      <c r="F105" s="515">
        <v>2554133.6910569104</v>
      </c>
      <c r="G105" s="515">
        <v>2589630.9291521488</v>
      </c>
      <c r="H105" s="516">
        <v>412227.237835226</v>
      </c>
      <c r="I105" s="510">
        <v>412227.237835226</v>
      </c>
      <c r="J105" s="514">
        <f t="shared" si="19"/>
        <v>0</v>
      </c>
      <c r="K105" s="514"/>
      <c r="L105" s="518">
        <f>H105</f>
        <v>412227.237835226</v>
      </c>
      <c r="M105" s="519">
        <f t="shared" si="26"/>
        <v>0</v>
      </c>
      <c r="N105" s="518">
        <f>I105</f>
        <v>412227.237835226</v>
      </c>
      <c r="O105" s="514">
        <f t="shared" si="27"/>
        <v>0</v>
      </c>
      <c r="P105" s="514">
        <f>+O105-M105</f>
        <v>0</v>
      </c>
      <c r="Q105" s="269"/>
    </row>
    <row r="106" spans="1:17" ht="12.5">
      <c r="B106" s="195" t="str">
        <f t="shared" si="25"/>
        <v/>
      </c>
      <c r="C106" s="507">
        <f>IF(D93="","-",+C105+1)</f>
        <v>2016</v>
      </c>
      <c r="D106" s="508">
        <v>2554133.6910569104</v>
      </c>
      <c r="E106" s="516">
        <v>69343.441860465115</v>
      </c>
      <c r="F106" s="515">
        <v>2484790.2491964451</v>
      </c>
      <c r="G106" s="515">
        <v>2519461.9701266778</v>
      </c>
      <c r="H106" s="516">
        <v>389189.1094610201</v>
      </c>
      <c r="I106" s="510">
        <v>389189.1094610201</v>
      </c>
      <c r="J106" s="514">
        <f t="shared" si="19"/>
        <v>0</v>
      </c>
      <c r="K106" s="514"/>
      <c r="L106" s="518">
        <f>H106</f>
        <v>389189.1094610201</v>
      </c>
      <c r="M106" s="519">
        <f t="shared" si="26"/>
        <v>0</v>
      </c>
      <c r="N106" s="518">
        <f>I106</f>
        <v>389189.1094610201</v>
      </c>
      <c r="O106" s="514">
        <f t="shared" si="27"/>
        <v>0</v>
      </c>
      <c r="P106" s="514">
        <f>+O106-M106</f>
        <v>0</v>
      </c>
      <c r="Q106" s="269"/>
    </row>
    <row r="107" spans="1:17" ht="12.5">
      <c r="B107" s="195" t="str">
        <f t="shared" si="25"/>
        <v/>
      </c>
      <c r="C107" s="507">
        <f>IF(D93="","-",+C106+1)</f>
        <v>2017</v>
      </c>
      <c r="D107" s="508">
        <v>2484790.2491964451</v>
      </c>
      <c r="E107" s="516">
        <v>70994.476190476184</v>
      </c>
      <c r="F107" s="515">
        <v>2413795.7730059689</v>
      </c>
      <c r="G107" s="515">
        <v>2449293.0111012068</v>
      </c>
      <c r="H107" s="516">
        <v>368513.66854412947</v>
      </c>
      <c r="I107" s="510">
        <v>368513.66854412947</v>
      </c>
      <c r="J107" s="514">
        <f t="shared" si="19"/>
        <v>0</v>
      </c>
      <c r="K107" s="514"/>
      <c r="L107" s="518">
        <f>H107</f>
        <v>368513.66854412947</v>
      </c>
      <c r="M107" s="519">
        <f t="shared" si="26"/>
        <v>0</v>
      </c>
      <c r="N107" s="518">
        <f>I107</f>
        <v>368513.66854412947</v>
      </c>
      <c r="O107" s="514">
        <f t="shared" si="27"/>
        <v>0</v>
      </c>
      <c r="P107" s="514">
        <f>+O107-M107</f>
        <v>0</v>
      </c>
      <c r="Q107" s="269"/>
    </row>
    <row r="108" spans="1:17" ht="12.5">
      <c r="B108" s="195" t="str">
        <f t="shared" si="25"/>
        <v/>
      </c>
      <c r="C108" s="507">
        <f>IF(D93="","-",+C107+1)</f>
        <v>2018</v>
      </c>
      <c r="D108" s="508">
        <v>2413795.7730059689</v>
      </c>
      <c r="E108" s="516">
        <v>70994.476190476184</v>
      </c>
      <c r="F108" s="515">
        <v>2342801.2968154927</v>
      </c>
      <c r="G108" s="515">
        <v>2378298.534910731</v>
      </c>
      <c r="H108" s="516">
        <v>322153.70792553568</v>
      </c>
      <c r="I108" s="510">
        <v>322153.70792553568</v>
      </c>
      <c r="J108" s="514">
        <f t="shared" si="19"/>
        <v>0</v>
      </c>
      <c r="K108" s="514"/>
      <c r="L108" s="518">
        <f>H108</f>
        <v>322153.70792553568</v>
      </c>
      <c r="M108" s="519">
        <f t="shared" si="26"/>
        <v>0</v>
      </c>
      <c r="N108" s="518">
        <f>I108</f>
        <v>322153.70792553568</v>
      </c>
      <c r="O108" s="514">
        <f t="shared" si="27"/>
        <v>0</v>
      </c>
      <c r="P108" s="514">
        <f t="shared" si="24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2019</v>
      </c>
      <c r="D109" s="508">
        <v>2342801.2968154927</v>
      </c>
      <c r="E109" s="516">
        <v>69343.441860465115</v>
      </c>
      <c r="F109" s="515">
        <v>2273457.8549550273</v>
      </c>
      <c r="G109" s="515">
        <v>2308129.57588526</v>
      </c>
      <c r="H109" s="516">
        <v>316406.89315312036</v>
      </c>
      <c r="I109" s="510">
        <v>316406.89315312036</v>
      </c>
      <c r="J109" s="514">
        <f t="shared" si="19"/>
        <v>0</v>
      </c>
      <c r="K109" s="514"/>
      <c r="L109" s="518">
        <f>H109</f>
        <v>316406.89315312036</v>
      </c>
      <c r="M109" s="519">
        <f t="shared" ref="M109" si="28">IF(L109&lt;&gt;0,+H109-L109,0)</f>
        <v>0</v>
      </c>
      <c r="N109" s="518">
        <f>I109</f>
        <v>316406.89315312036</v>
      </c>
      <c r="O109" s="514">
        <f t="shared" si="23"/>
        <v>0</v>
      </c>
      <c r="P109" s="514">
        <f t="shared" si="24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2020</v>
      </c>
      <c r="D110" s="374">
        <f>IF(F109+SUM(E$99:E109)=D$92,F109,D$92-SUM(E$99:E109))</f>
        <v>2273457.8549550273</v>
      </c>
      <c r="E110" s="522">
        <f>IF(+J96&lt;F109,J96,D110)</f>
        <v>70994.476190476184</v>
      </c>
      <c r="F110" s="523">
        <f t="shared" ref="F110:F130" si="29">+D110-E110</f>
        <v>2202463.3787645511</v>
      </c>
      <c r="G110" s="523">
        <f t="shared" ref="G110:G130" si="30">+(F110+D110)/2</f>
        <v>2237960.616859789</v>
      </c>
      <c r="H110" s="526">
        <f>+J$94*G110+E110</f>
        <v>311740.47673179838</v>
      </c>
      <c r="I110" s="577">
        <f>+J$95*G110+E110</f>
        <v>311740.47673179838</v>
      </c>
      <c r="J110" s="514">
        <f t="shared" si="19"/>
        <v>0</v>
      </c>
      <c r="K110" s="514"/>
      <c r="L110" s="525"/>
      <c r="M110" s="514">
        <f t="shared" si="21"/>
        <v>0</v>
      </c>
      <c r="N110" s="525"/>
      <c r="O110" s="514">
        <f t="shared" si="23"/>
        <v>0</v>
      </c>
      <c r="P110" s="514">
        <f t="shared" si="24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2021</v>
      </c>
      <c r="D111" s="374">
        <f>IF(F110+SUM(E$99:E110)=D$92,F110,D$92-SUM(E$99:E110))</f>
        <v>2202463.3787645511</v>
      </c>
      <c r="E111" s="522">
        <f>IF(+J96&lt;F110,J96,D111)</f>
        <v>70994.476190476184</v>
      </c>
      <c r="F111" s="523">
        <f t="shared" si="29"/>
        <v>2131468.9025740749</v>
      </c>
      <c r="G111" s="523">
        <f t="shared" si="30"/>
        <v>2166966.1406693133</v>
      </c>
      <c r="H111" s="526">
        <f>+J$94*G111+E111</f>
        <v>304103.32884160656</v>
      </c>
      <c r="I111" s="577">
        <f>+J$95*G111+E111</f>
        <v>304103.32884160656</v>
      </c>
      <c r="J111" s="514">
        <f t="shared" si="19"/>
        <v>0</v>
      </c>
      <c r="K111" s="514"/>
      <c r="L111" s="525"/>
      <c r="M111" s="514">
        <f t="shared" si="21"/>
        <v>0</v>
      </c>
      <c r="N111" s="525"/>
      <c r="O111" s="514">
        <f t="shared" si="23"/>
        <v>0</v>
      </c>
      <c r="P111" s="514">
        <f t="shared" si="24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2022</v>
      </c>
      <c r="D112" s="374">
        <f>IF(F111+SUM(E$99:E111)=D$92,F111,D$92-SUM(E$99:E111))</f>
        <v>2131468.9025740749</v>
      </c>
      <c r="E112" s="522">
        <f>IF(+J96&lt;F111,J96,D112)</f>
        <v>70994.476190476184</v>
      </c>
      <c r="F112" s="523">
        <f t="shared" si="29"/>
        <v>2060474.4263835987</v>
      </c>
      <c r="G112" s="523">
        <f t="shared" si="30"/>
        <v>2095971.6644788368</v>
      </c>
      <c r="H112" s="526">
        <f>+J$94*G112+E112</f>
        <v>296466.18095141463</v>
      </c>
      <c r="I112" s="577">
        <f>+J$95*G112+E112</f>
        <v>296466.18095141463</v>
      </c>
      <c r="J112" s="514">
        <f t="shared" si="19"/>
        <v>0</v>
      </c>
      <c r="K112" s="514"/>
      <c r="L112" s="525"/>
      <c r="M112" s="514">
        <f t="shared" si="21"/>
        <v>0</v>
      </c>
      <c r="N112" s="525"/>
      <c r="O112" s="514">
        <f t="shared" si="23"/>
        <v>0</v>
      </c>
      <c r="P112" s="514">
        <f t="shared" si="24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2023</v>
      </c>
      <c r="D113" s="374">
        <f>IF(F112+SUM(E$99:E112)=D$92,F112,D$92-SUM(E$99:E112))</f>
        <v>2060474.4263835987</v>
      </c>
      <c r="E113" s="522">
        <f>IF(+J96&lt;F112,J96,D113)</f>
        <v>70994.476190476184</v>
      </c>
      <c r="F113" s="523">
        <f t="shared" si="29"/>
        <v>1989479.9501931225</v>
      </c>
      <c r="G113" s="523">
        <f t="shared" si="30"/>
        <v>2024977.1882883606</v>
      </c>
      <c r="H113" s="526">
        <f t="shared" ref="H113:H154" si="31">+J$94*G113+E113</f>
        <v>288829.03306122276</v>
      </c>
      <c r="I113" s="577">
        <f t="shared" ref="I113:I154" si="32">+J$95*G113+E113</f>
        <v>288829.03306122276</v>
      </c>
      <c r="J113" s="514">
        <f t="shared" si="19"/>
        <v>0</v>
      </c>
      <c r="K113" s="514"/>
      <c r="L113" s="525"/>
      <c r="M113" s="514">
        <f t="shared" si="21"/>
        <v>0</v>
      </c>
      <c r="N113" s="525"/>
      <c r="O113" s="514">
        <f t="shared" si="23"/>
        <v>0</v>
      </c>
      <c r="P113" s="514">
        <f t="shared" si="24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2024</v>
      </c>
      <c r="D114" s="374">
        <f>IF(F113+SUM(E$99:E113)=D$92,F113,D$92-SUM(E$99:E113))</f>
        <v>1989479.9501931225</v>
      </c>
      <c r="E114" s="522">
        <f>IF(+J96&lt;F113,J96,D114)</f>
        <v>70994.476190476184</v>
      </c>
      <c r="F114" s="523">
        <f t="shared" si="29"/>
        <v>1918485.4740026463</v>
      </c>
      <c r="G114" s="523">
        <f t="shared" si="30"/>
        <v>1953982.7120978844</v>
      </c>
      <c r="H114" s="526">
        <f t="shared" si="31"/>
        <v>281191.88517103088</v>
      </c>
      <c r="I114" s="577">
        <f t="shared" si="32"/>
        <v>281191.88517103088</v>
      </c>
      <c r="J114" s="514">
        <f t="shared" si="19"/>
        <v>0</v>
      </c>
      <c r="K114" s="514"/>
      <c r="L114" s="525"/>
      <c r="M114" s="514">
        <f t="shared" si="21"/>
        <v>0</v>
      </c>
      <c r="N114" s="525"/>
      <c r="O114" s="514">
        <f t="shared" si="23"/>
        <v>0</v>
      </c>
      <c r="P114" s="514">
        <f t="shared" si="24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2025</v>
      </c>
      <c r="D115" s="374">
        <f>IF(F114+SUM(E$99:E114)=D$92,F114,D$92-SUM(E$99:E114))</f>
        <v>1918485.4740026463</v>
      </c>
      <c r="E115" s="522">
        <f>IF(+J96&lt;F114,J96,D115)</f>
        <v>70994.476190476184</v>
      </c>
      <c r="F115" s="523">
        <f t="shared" si="29"/>
        <v>1847490.9978121701</v>
      </c>
      <c r="G115" s="523">
        <f t="shared" si="30"/>
        <v>1882988.2359074082</v>
      </c>
      <c r="H115" s="526">
        <f t="shared" si="31"/>
        <v>273554.73728083901</v>
      </c>
      <c r="I115" s="577">
        <f t="shared" si="32"/>
        <v>273554.73728083901</v>
      </c>
      <c r="J115" s="514">
        <f t="shared" si="19"/>
        <v>0</v>
      </c>
      <c r="K115" s="514"/>
      <c r="L115" s="525"/>
      <c r="M115" s="514">
        <f t="shared" si="21"/>
        <v>0</v>
      </c>
      <c r="N115" s="525"/>
      <c r="O115" s="514">
        <f t="shared" si="23"/>
        <v>0</v>
      </c>
      <c r="P115" s="514">
        <f t="shared" si="24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2026</v>
      </c>
      <c r="D116" s="374">
        <f>IF(F115+SUM(E$99:E115)=D$92,F115,D$92-SUM(E$99:E115))</f>
        <v>1847490.9978121701</v>
      </c>
      <c r="E116" s="522">
        <f>IF(+J96&lt;F115,J96,D116)</f>
        <v>70994.476190476184</v>
      </c>
      <c r="F116" s="523">
        <f t="shared" si="29"/>
        <v>1776496.5216216939</v>
      </c>
      <c r="G116" s="523">
        <f t="shared" si="30"/>
        <v>1811993.759716932</v>
      </c>
      <c r="H116" s="526">
        <f t="shared" si="31"/>
        <v>265917.58939064713</v>
      </c>
      <c r="I116" s="577">
        <f t="shared" si="32"/>
        <v>265917.58939064713</v>
      </c>
      <c r="J116" s="514">
        <f t="shared" si="19"/>
        <v>0</v>
      </c>
      <c r="K116" s="514"/>
      <c r="L116" s="525"/>
      <c r="M116" s="514">
        <f t="shared" si="21"/>
        <v>0</v>
      </c>
      <c r="N116" s="525"/>
      <c r="O116" s="514">
        <f t="shared" si="23"/>
        <v>0</v>
      </c>
      <c r="P116" s="514">
        <f t="shared" si="24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2027</v>
      </c>
      <c r="D117" s="374">
        <f>IF(F116+SUM(E$99:E116)=D$92,F116,D$92-SUM(E$99:E116))</f>
        <v>1776496.5216216939</v>
      </c>
      <c r="E117" s="522">
        <f>IF(+J96&lt;F116,J96,D117)</f>
        <v>70994.476190476184</v>
      </c>
      <c r="F117" s="523">
        <f t="shared" si="29"/>
        <v>1705502.0454312176</v>
      </c>
      <c r="G117" s="523">
        <f t="shared" si="30"/>
        <v>1740999.2835264558</v>
      </c>
      <c r="H117" s="526">
        <f t="shared" si="31"/>
        <v>258280.4415004552</v>
      </c>
      <c r="I117" s="577">
        <f t="shared" si="32"/>
        <v>258280.4415004552</v>
      </c>
      <c r="J117" s="514">
        <f t="shared" si="19"/>
        <v>0</v>
      </c>
      <c r="K117" s="514"/>
      <c r="L117" s="525"/>
      <c r="M117" s="514">
        <f t="shared" si="21"/>
        <v>0</v>
      </c>
      <c r="N117" s="525"/>
      <c r="O117" s="514">
        <f t="shared" si="23"/>
        <v>0</v>
      </c>
      <c r="P117" s="514">
        <f t="shared" si="24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2028</v>
      </c>
      <c r="D118" s="374">
        <f>IF(F117+SUM(E$99:E117)=D$92,F117,D$92-SUM(E$99:E117))</f>
        <v>1705502.0454312176</v>
      </c>
      <c r="E118" s="522">
        <f>IF(+J96&lt;F117,J96,D118)</f>
        <v>70994.476190476184</v>
      </c>
      <c r="F118" s="523">
        <f t="shared" si="29"/>
        <v>1634507.5692407414</v>
      </c>
      <c r="G118" s="523">
        <f t="shared" si="30"/>
        <v>1670004.8073359795</v>
      </c>
      <c r="H118" s="526">
        <f t="shared" si="31"/>
        <v>250643.29361026332</v>
      </c>
      <c r="I118" s="577">
        <f t="shared" si="32"/>
        <v>250643.29361026332</v>
      </c>
      <c r="J118" s="514">
        <f t="shared" si="19"/>
        <v>0</v>
      </c>
      <c r="K118" s="514"/>
      <c r="L118" s="525"/>
      <c r="M118" s="514">
        <f t="shared" si="21"/>
        <v>0</v>
      </c>
      <c r="N118" s="525"/>
      <c r="O118" s="514">
        <f t="shared" si="23"/>
        <v>0</v>
      </c>
      <c r="P118" s="514">
        <f t="shared" si="24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2029</v>
      </c>
      <c r="D119" s="374">
        <f>IF(F118+SUM(E$99:E118)=D$92,F118,D$92-SUM(E$99:E118))</f>
        <v>1634507.5692407414</v>
      </c>
      <c r="E119" s="522">
        <f>IF(+J96&lt;F118,J96,D119)</f>
        <v>70994.476190476184</v>
      </c>
      <c r="F119" s="523">
        <f t="shared" si="29"/>
        <v>1563513.0930502652</v>
      </c>
      <c r="G119" s="523">
        <f t="shared" si="30"/>
        <v>1599010.3311455033</v>
      </c>
      <c r="H119" s="526">
        <f t="shared" si="31"/>
        <v>243006.14572007142</v>
      </c>
      <c r="I119" s="577">
        <f t="shared" si="32"/>
        <v>243006.14572007142</v>
      </c>
      <c r="J119" s="514">
        <f t="shared" si="19"/>
        <v>0</v>
      </c>
      <c r="K119" s="514"/>
      <c r="L119" s="525"/>
      <c r="M119" s="514">
        <f t="shared" si="21"/>
        <v>0</v>
      </c>
      <c r="N119" s="525"/>
      <c r="O119" s="514">
        <f t="shared" si="23"/>
        <v>0</v>
      </c>
      <c r="P119" s="514">
        <f t="shared" si="24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2030</v>
      </c>
      <c r="D120" s="374">
        <f>IF(F119+SUM(E$99:E119)=D$92,F119,D$92-SUM(E$99:E119))</f>
        <v>1563513.0930502652</v>
      </c>
      <c r="E120" s="522">
        <f>IF(+J96&lt;F119,J96,D120)</f>
        <v>70994.476190476184</v>
      </c>
      <c r="F120" s="523">
        <f t="shared" si="29"/>
        <v>1492518.616859789</v>
      </c>
      <c r="G120" s="523">
        <f t="shared" si="30"/>
        <v>1528015.8549550271</v>
      </c>
      <c r="H120" s="526">
        <f t="shared" si="31"/>
        <v>235368.99782987955</v>
      </c>
      <c r="I120" s="577">
        <f t="shared" si="32"/>
        <v>235368.99782987955</v>
      </c>
      <c r="J120" s="514">
        <f t="shared" si="19"/>
        <v>0</v>
      </c>
      <c r="K120" s="514"/>
      <c r="L120" s="525"/>
      <c r="M120" s="514">
        <f t="shared" si="21"/>
        <v>0</v>
      </c>
      <c r="N120" s="525"/>
      <c r="O120" s="514">
        <f t="shared" si="23"/>
        <v>0</v>
      </c>
      <c r="P120" s="514">
        <f t="shared" si="24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2031</v>
      </c>
      <c r="D121" s="374">
        <f>IF(F120+SUM(E$99:E120)=D$92,F120,D$92-SUM(E$99:E120))</f>
        <v>1492518.616859789</v>
      </c>
      <c r="E121" s="522">
        <f>IF(+J96&lt;F120,J96,D121)</f>
        <v>70994.476190476184</v>
      </c>
      <c r="F121" s="523">
        <f t="shared" si="29"/>
        <v>1421524.1406693128</v>
      </c>
      <c r="G121" s="523">
        <f t="shared" si="30"/>
        <v>1457021.3787645509</v>
      </c>
      <c r="H121" s="526">
        <f t="shared" si="31"/>
        <v>227731.84993968764</v>
      </c>
      <c r="I121" s="577">
        <f t="shared" si="32"/>
        <v>227731.84993968764</v>
      </c>
      <c r="J121" s="514">
        <f t="shared" si="19"/>
        <v>0</v>
      </c>
      <c r="K121" s="514"/>
      <c r="L121" s="525"/>
      <c r="M121" s="514">
        <f t="shared" si="21"/>
        <v>0</v>
      </c>
      <c r="N121" s="525"/>
      <c r="O121" s="514">
        <f t="shared" si="23"/>
        <v>0</v>
      </c>
      <c r="P121" s="514">
        <f t="shared" si="24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2032</v>
      </c>
      <c r="D122" s="374">
        <f>IF(F121+SUM(E$99:E121)=D$92,F121,D$92-SUM(E$99:E121))</f>
        <v>1421524.1406693128</v>
      </c>
      <c r="E122" s="522">
        <f>IF(+J96&lt;F121,J96,D122)</f>
        <v>70994.476190476184</v>
      </c>
      <c r="F122" s="523">
        <f t="shared" si="29"/>
        <v>1350529.6644788366</v>
      </c>
      <c r="G122" s="523">
        <f t="shared" si="30"/>
        <v>1386026.9025740747</v>
      </c>
      <c r="H122" s="526">
        <f t="shared" si="31"/>
        <v>220094.70204949577</v>
      </c>
      <c r="I122" s="577">
        <f t="shared" si="32"/>
        <v>220094.70204949577</v>
      </c>
      <c r="J122" s="514">
        <f t="shared" si="19"/>
        <v>0</v>
      </c>
      <c r="K122" s="514"/>
      <c r="L122" s="525"/>
      <c r="M122" s="514">
        <f t="shared" si="21"/>
        <v>0</v>
      </c>
      <c r="N122" s="525"/>
      <c r="O122" s="514">
        <f t="shared" si="23"/>
        <v>0</v>
      </c>
      <c r="P122" s="514">
        <f t="shared" si="24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2033</v>
      </c>
      <c r="D123" s="374">
        <f>IF(F122+SUM(E$99:E122)=D$92,F122,D$92-SUM(E$99:E122))</f>
        <v>1350529.6644788366</v>
      </c>
      <c r="E123" s="522">
        <f>IF(+J96&lt;F122,J96,D123)</f>
        <v>70994.476190476184</v>
      </c>
      <c r="F123" s="523">
        <f t="shared" si="29"/>
        <v>1279535.1882883604</v>
      </c>
      <c r="G123" s="523">
        <f t="shared" si="30"/>
        <v>1315032.4263835985</v>
      </c>
      <c r="H123" s="526">
        <f t="shared" si="31"/>
        <v>212457.55415930387</v>
      </c>
      <c r="I123" s="577">
        <f t="shared" si="32"/>
        <v>212457.55415930387</v>
      </c>
      <c r="J123" s="514">
        <f t="shared" si="19"/>
        <v>0</v>
      </c>
      <c r="K123" s="514"/>
      <c r="L123" s="525"/>
      <c r="M123" s="514">
        <f t="shared" si="21"/>
        <v>0</v>
      </c>
      <c r="N123" s="525"/>
      <c r="O123" s="514">
        <f t="shared" si="23"/>
        <v>0</v>
      </c>
      <c r="P123" s="514">
        <f t="shared" si="24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2034</v>
      </c>
      <c r="D124" s="374">
        <f>IF(F123+SUM(E$99:E123)=D$92,F123,D$92-SUM(E$99:E123))</f>
        <v>1279535.1882883604</v>
      </c>
      <c r="E124" s="522">
        <f>IF(+J96&lt;F123,J96,D124)</f>
        <v>70994.476190476184</v>
      </c>
      <c r="F124" s="523">
        <f t="shared" si="29"/>
        <v>1208540.7120978842</v>
      </c>
      <c r="G124" s="523">
        <f t="shared" si="30"/>
        <v>1244037.9501931223</v>
      </c>
      <c r="H124" s="526">
        <f t="shared" si="31"/>
        <v>204820.40626911199</v>
      </c>
      <c r="I124" s="577">
        <f t="shared" si="32"/>
        <v>204820.40626911199</v>
      </c>
      <c r="J124" s="514">
        <f t="shared" si="19"/>
        <v>0</v>
      </c>
      <c r="K124" s="514"/>
      <c r="L124" s="525"/>
      <c r="M124" s="514">
        <f t="shared" si="21"/>
        <v>0</v>
      </c>
      <c r="N124" s="525"/>
      <c r="O124" s="514">
        <f t="shared" si="23"/>
        <v>0</v>
      </c>
      <c r="P124" s="514">
        <f t="shared" si="24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2035</v>
      </c>
      <c r="D125" s="374">
        <f>IF(F124+SUM(E$99:E124)=D$92,F124,D$92-SUM(E$99:E124))</f>
        <v>1208540.7120978842</v>
      </c>
      <c r="E125" s="522">
        <f>IF(+J96&lt;F124,J96,D125)</f>
        <v>70994.476190476184</v>
      </c>
      <c r="F125" s="523">
        <f t="shared" si="29"/>
        <v>1137546.2359074079</v>
      </c>
      <c r="G125" s="523">
        <f t="shared" si="30"/>
        <v>1173043.474002646</v>
      </c>
      <c r="H125" s="526">
        <f t="shared" si="31"/>
        <v>197183.25837892009</v>
      </c>
      <c r="I125" s="577">
        <f t="shared" si="32"/>
        <v>197183.25837892009</v>
      </c>
      <c r="J125" s="514">
        <f t="shared" si="19"/>
        <v>0</v>
      </c>
      <c r="K125" s="514"/>
      <c r="L125" s="525"/>
      <c r="M125" s="514">
        <f t="shared" si="21"/>
        <v>0</v>
      </c>
      <c r="N125" s="525"/>
      <c r="O125" s="514">
        <f t="shared" si="23"/>
        <v>0</v>
      </c>
      <c r="P125" s="514">
        <f t="shared" si="24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2036</v>
      </c>
      <c r="D126" s="374">
        <f>IF(F125+SUM(E$99:E125)=D$92,F125,D$92-SUM(E$99:E125))</f>
        <v>1137546.2359074079</v>
      </c>
      <c r="E126" s="522">
        <f>IF(+J96&lt;F125,J96,D126)</f>
        <v>70994.476190476184</v>
      </c>
      <c r="F126" s="523">
        <f t="shared" si="29"/>
        <v>1066551.7597169317</v>
      </c>
      <c r="G126" s="523">
        <f t="shared" si="30"/>
        <v>1102048.9978121698</v>
      </c>
      <c r="H126" s="526">
        <f t="shared" si="31"/>
        <v>189546.11048872821</v>
      </c>
      <c r="I126" s="577">
        <f t="shared" si="32"/>
        <v>189546.11048872821</v>
      </c>
      <c r="J126" s="514">
        <f t="shared" si="19"/>
        <v>0</v>
      </c>
      <c r="K126" s="514"/>
      <c r="L126" s="525"/>
      <c r="M126" s="514">
        <f t="shared" si="21"/>
        <v>0</v>
      </c>
      <c r="N126" s="525"/>
      <c r="O126" s="514">
        <f t="shared" si="23"/>
        <v>0</v>
      </c>
      <c r="P126" s="514">
        <f t="shared" si="24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2037</v>
      </c>
      <c r="D127" s="374">
        <f>IF(F126+SUM(E$99:E126)=D$92,F126,D$92-SUM(E$99:E126))</f>
        <v>1066551.7597169317</v>
      </c>
      <c r="E127" s="522">
        <f>IF(+J96&lt;F126,J96,D127)</f>
        <v>70994.476190476184</v>
      </c>
      <c r="F127" s="523">
        <f t="shared" si="29"/>
        <v>995557.28352645552</v>
      </c>
      <c r="G127" s="523">
        <f t="shared" si="30"/>
        <v>1031054.5216216936</v>
      </c>
      <c r="H127" s="526">
        <f t="shared" si="31"/>
        <v>181908.96259853634</v>
      </c>
      <c r="I127" s="577">
        <f t="shared" si="32"/>
        <v>181908.96259853634</v>
      </c>
      <c r="J127" s="514">
        <f t="shared" si="19"/>
        <v>0</v>
      </c>
      <c r="K127" s="514"/>
      <c r="L127" s="525"/>
      <c r="M127" s="514">
        <f t="shared" si="21"/>
        <v>0</v>
      </c>
      <c r="N127" s="525"/>
      <c r="O127" s="514">
        <f t="shared" si="23"/>
        <v>0</v>
      </c>
      <c r="P127" s="514">
        <f t="shared" si="24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2038</v>
      </c>
      <c r="D128" s="374">
        <f>IF(F127+SUM(E$99:E127)=D$92,F127,D$92-SUM(E$99:E127))</f>
        <v>995557.28352645552</v>
      </c>
      <c r="E128" s="522">
        <f>IF(+J96&lt;F127,J96,D128)</f>
        <v>70994.476190476184</v>
      </c>
      <c r="F128" s="523">
        <f t="shared" si="29"/>
        <v>924562.80733597931</v>
      </c>
      <c r="G128" s="523">
        <f t="shared" si="30"/>
        <v>960060.04543121741</v>
      </c>
      <c r="H128" s="526">
        <f t="shared" si="31"/>
        <v>174271.81470834443</v>
      </c>
      <c r="I128" s="577">
        <f t="shared" si="32"/>
        <v>174271.81470834443</v>
      </c>
      <c r="J128" s="514">
        <f t="shared" si="19"/>
        <v>0</v>
      </c>
      <c r="K128" s="514"/>
      <c r="L128" s="525"/>
      <c r="M128" s="514">
        <f t="shared" si="21"/>
        <v>0</v>
      </c>
      <c r="N128" s="525"/>
      <c r="O128" s="514">
        <f t="shared" si="23"/>
        <v>0</v>
      </c>
      <c r="P128" s="514">
        <f t="shared" si="24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2039</v>
      </c>
      <c r="D129" s="374">
        <f>IF(F128+SUM(E$99:E128)=D$92,F128,D$92-SUM(E$99:E128))</f>
        <v>924562.80733597931</v>
      </c>
      <c r="E129" s="522">
        <f>IF(+J96&lt;F128,J96,D129)</f>
        <v>70994.476190476184</v>
      </c>
      <c r="F129" s="523">
        <f t="shared" si="29"/>
        <v>853568.33114550309</v>
      </c>
      <c r="G129" s="523">
        <f t="shared" si="30"/>
        <v>889065.5692407412</v>
      </c>
      <c r="H129" s="526">
        <f t="shared" si="31"/>
        <v>166634.66681815256</v>
      </c>
      <c r="I129" s="577">
        <f t="shared" si="32"/>
        <v>166634.66681815256</v>
      </c>
      <c r="J129" s="514">
        <f t="shared" si="19"/>
        <v>0</v>
      </c>
      <c r="K129" s="514"/>
      <c r="L129" s="525"/>
      <c r="M129" s="514">
        <f t="shared" si="21"/>
        <v>0</v>
      </c>
      <c r="N129" s="525"/>
      <c r="O129" s="514">
        <f t="shared" si="23"/>
        <v>0</v>
      </c>
      <c r="P129" s="514">
        <f t="shared" si="24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2040</v>
      </c>
      <c r="D130" s="374">
        <f>IF(F129+SUM(E$99:E129)=D$92,F129,D$92-SUM(E$99:E129))</f>
        <v>853568.33114550309</v>
      </c>
      <c r="E130" s="522">
        <f>IF(+J96&lt;F129,J96,D130)</f>
        <v>70994.476190476184</v>
      </c>
      <c r="F130" s="523">
        <f t="shared" si="29"/>
        <v>782573.85495502688</v>
      </c>
      <c r="G130" s="523">
        <f t="shared" si="30"/>
        <v>818071.09305026499</v>
      </c>
      <c r="H130" s="526">
        <f t="shared" si="31"/>
        <v>158997.51892796066</v>
      </c>
      <c r="I130" s="577">
        <f t="shared" si="32"/>
        <v>158997.51892796066</v>
      </c>
      <c r="J130" s="514">
        <f t="shared" si="19"/>
        <v>0</v>
      </c>
      <c r="K130" s="514"/>
      <c r="L130" s="525"/>
      <c r="M130" s="514">
        <f t="shared" si="21"/>
        <v>0</v>
      </c>
      <c r="N130" s="525"/>
      <c r="O130" s="514">
        <f t="shared" si="23"/>
        <v>0</v>
      </c>
      <c r="P130" s="514">
        <f t="shared" si="24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2041</v>
      </c>
      <c r="D131" s="374">
        <f>IF(F130+SUM(E$99:E130)=D$92,F130,D$92-SUM(E$99:E130))</f>
        <v>782573.85495502688</v>
      </c>
      <c r="E131" s="522">
        <f>IF(+J96&lt;F130,J96,D131)</f>
        <v>70994.476190476184</v>
      </c>
      <c r="F131" s="523">
        <f t="shared" ref="F131:F154" si="33">+D131-E131</f>
        <v>711579.37876455067</v>
      </c>
      <c r="G131" s="523">
        <f t="shared" ref="G131:G154" si="34">+(F131+D131)/2</f>
        <v>747076.61685978877</v>
      </c>
      <c r="H131" s="526">
        <f t="shared" si="31"/>
        <v>151360.37103776878</v>
      </c>
      <c r="I131" s="577">
        <f t="shared" si="32"/>
        <v>151360.37103776878</v>
      </c>
      <c r="J131" s="514">
        <f t="shared" ref="J131:J154" si="35">+I131-H131</f>
        <v>0</v>
      </c>
      <c r="K131" s="514"/>
      <c r="L131" s="525"/>
      <c r="M131" s="514">
        <f t="shared" ref="M131:M154" si="36">IF(L131&lt;&gt;0,+H131-L131,0)</f>
        <v>0</v>
      </c>
      <c r="N131" s="525"/>
      <c r="O131" s="514">
        <f t="shared" ref="O131:O154" si="37">IF(N131&lt;&gt;0,+I131-N131,0)</f>
        <v>0</v>
      </c>
      <c r="P131" s="514">
        <f t="shared" ref="P131:P154" si="38">+O131-M131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2042</v>
      </c>
      <c r="D132" s="374">
        <f>IF(F131+SUM(E$99:E131)=D$92,F131,D$92-SUM(E$99:E131))</f>
        <v>711579.37876455067</v>
      </c>
      <c r="E132" s="522">
        <f>IF(+J96&lt;F131,J96,D132)</f>
        <v>70994.476190476184</v>
      </c>
      <c r="F132" s="523">
        <f t="shared" si="33"/>
        <v>640584.90257407445</v>
      </c>
      <c r="G132" s="523">
        <f t="shared" si="34"/>
        <v>676082.14066931256</v>
      </c>
      <c r="H132" s="526">
        <f t="shared" si="31"/>
        <v>143723.22314757691</v>
      </c>
      <c r="I132" s="577">
        <f t="shared" si="32"/>
        <v>143723.22314757691</v>
      </c>
      <c r="J132" s="514">
        <f t="shared" si="35"/>
        <v>0</v>
      </c>
      <c r="K132" s="514"/>
      <c r="L132" s="525"/>
      <c r="M132" s="514">
        <f t="shared" si="36"/>
        <v>0</v>
      </c>
      <c r="N132" s="525"/>
      <c r="O132" s="514">
        <f t="shared" si="37"/>
        <v>0</v>
      </c>
      <c r="P132" s="514">
        <f t="shared" si="38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2043</v>
      </c>
      <c r="D133" s="374">
        <f>IF(F132+SUM(E$99:E132)=D$92,F132,D$92-SUM(E$99:E132))</f>
        <v>640584.90257407445</v>
      </c>
      <c r="E133" s="522">
        <f>IF(+J96&lt;F132,J96,D133)</f>
        <v>70994.476190476184</v>
      </c>
      <c r="F133" s="523">
        <f t="shared" si="33"/>
        <v>569590.42638359824</v>
      </c>
      <c r="G133" s="523">
        <f t="shared" si="34"/>
        <v>605087.66447883635</v>
      </c>
      <c r="H133" s="526">
        <f t="shared" si="31"/>
        <v>136086.075257385</v>
      </c>
      <c r="I133" s="577">
        <f t="shared" si="32"/>
        <v>136086.075257385</v>
      </c>
      <c r="J133" s="514">
        <f t="shared" si="35"/>
        <v>0</v>
      </c>
      <c r="K133" s="514"/>
      <c r="L133" s="525"/>
      <c r="M133" s="514">
        <f t="shared" si="36"/>
        <v>0</v>
      </c>
      <c r="N133" s="525"/>
      <c r="O133" s="514">
        <f t="shared" si="37"/>
        <v>0</v>
      </c>
      <c r="P133" s="514">
        <f t="shared" si="38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2044</v>
      </c>
      <c r="D134" s="374">
        <f>IF(F133+SUM(E$99:E133)=D$92,F133,D$92-SUM(E$99:E133))</f>
        <v>569590.42638359824</v>
      </c>
      <c r="E134" s="522">
        <f>IF(+J96&lt;F133,J96,D134)</f>
        <v>70994.476190476184</v>
      </c>
      <c r="F134" s="523">
        <f t="shared" si="33"/>
        <v>498595.95019312203</v>
      </c>
      <c r="G134" s="523">
        <f t="shared" si="34"/>
        <v>534093.18828836014</v>
      </c>
      <c r="H134" s="526">
        <f t="shared" si="31"/>
        <v>128448.92736719312</v>
      </c>
      <c r="I134" s="577">
        <f t="shared" si="32"/>
        <v>128448.92736719312</v>
      </c>
      <c r="J134" s="514">
        <f t="shared" si="35"/>
        <v>0</v>
      </c>
      <c r="K134" s="514"/>
      <c r="L134" s="525"/>
      <c r="M134" s="514">
        <f t="shared" si="36"/>
        <v>0</v>
      </c>
      <c r="N134" s="525"/>
      <c r="O134" s="514">
        <f t="shared" si="37"/>
        <v>0</v>
      </c>
      <c r="P134" s="514">
        <f t="shared" si="38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2045</v>
      </c>
      <c r="D135" s="374">
        <f>IF(F134+SUM(E$99:E134)=D$92,F134,D$92-SUM(E$99:E134))</f>
        <v>498595.95019312203</v>
      </c>
      <c r="E135" s="522">
        <f>IF(+J96&lt;F134,J96,D135)</f>
        <v>70994.476190476184</v>
      </c>
      <c r="F135" s="523">
        <f t="shared" si="33"/>
        <v>427601.47400264582</v>
      </c>
      <c r="G135" s="523">
        <f t="shared" si="34"/>
        <v>463098.71209788392</v>
      </c>
      <c r="H135" s="526">
        <f t="shared" si="31"/>
        <v>120811.77947700123</v>
      </c>
      <c r="I135" s="577">
        <f t="shared" si="32"/>
        <v>120811.77947700123</v>
      </c>
      <c r="J135" s="514">
        <f t="shared" si="35"/>
        <v>0</v>
      </c>
      <c r="K135" s="514"/>
      <c r="L135" s="525"/>
      <c r="M135" s="514">
        <f t="shared" si="36"/>
        <v>0</v>
      </c>
      <c r="N135" s="525"/>
      <c r="O135" s="514">
        <f t="shared" si="37"/>
        <v>0</v>
      </c>
      <c r="P135" s="514">
        <f t="shared" si="38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2046</v>
      </c>
      <c r="D136" s="374">
        <f>IF(F135+SUM(E$99:E135)=D$92,F135,D$92-SUM(E$99:E135))</f>
        <v>427601.47400264582</v>
      </c>
      <c r="E136" s="522">
        <f>IF(+J96&lt;F135,J96,D136)</f>
        <v>70994.476190476184</v>
      </c>
      <c r="F136" s="523">
        <f t="shared" si="33"/>
        <v>356606.9978121696</v>
      </c>
      <c r="G136" s="523">
        <f t="shared" si="34"/>
        <v>392104.23590740771</v>
      </c>
      <c r="H136" s="526">
        <f t="shared" si="31"/>
        <v>113174.63158680934</v>
      </c>
      <c r="I136" s="577">
        <f t="shared" si="32"/>
        <v>113174.63158680934</v>
      </c>
      <c r="J136" s="514">
        <f t="shared" si="35"/>
        <v>0</v>
      </c>
      <c r="K136" s="514"/>
      <c r="L136" s="525"/>
      <c r="M136" s="514">
        <f t="shared" si="36"/>
        <v>0</v>
      </c>
      <c r="N136" s="525"/>
      <c r="O136" s="514">
        <f t="shared" si="37"/>
        <v>0</v>
      </c>
      <c r="P136" s="514">
        <f t="shared" si="38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2047</v>
      </c>
      <c r="D137" s="374">
        <f>IF(F136+SUM(E$99:E136)=D$92,F136,D$92-SUM(E$99:E136))</f>
        <v>356606.9978121696</v>
      </c>
      <c r="E137" s="522">
        <f>IF(+J96&lt;F136,J96,D137)</f>
        <v>70994.476190476184</v>
      </c>
      <c r="F137" s="523">
        <f t="shared" si="33"/>
        <v>285612.52162169339</v>
      </c>
      <c r="G137" s="523">
        <f t="shared" si="34"/>
        <v>321109.7597169315</v>
      </c>
      <c r="H137" s="526">
        <f t="shared" si="31"/>
        <v>105537.48369661745</v>
      </c>
      <c r="I137" s="577">
        <f t="shared" si="32"/>
        <v>105537.48369661745</v>
      </c>
      <c r="J137" s="514">
        <f t="shared" si="35"/>
        <v>0</v>
      </c>
      <c r="K137" s="514"/>
      <c r="L137" s="525"/>
      <c r="M137" s="514">
        <f t="shared" si="36"/>
        <v>0</v>
      </c>
      <c r="N137" s="525"/>
      <c r="O137" s="514">
        <f t="shared" si="37"/>
        <v>0</v>
      </c>
      <c r="P137" s="514">
        <f t="shared" si="38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2048</v>
      </c>
      <c r="D138" s="374">
        <f>IF(F137+SUM(E$99:E137)=D$92,F137,D$92-SUM(E$99:E137))</f>
        <v>285612.52162169339</v>
      </c>
      <c r="E138" s="522">
        <f>IF(+J96&lt;F137,J96,D138)</f>
        <v>70994.476190476184</v>
      </c>
      <c r="F138" s="523">
        <f t="shared" si="33"/>
        <v>214618.04543121721</v>
      </c>
      <c r="G138" s="523">
        <f t="shared" si="34"/>
        <v>250115.28352645529</v>
      </c>
      <c r="H138" s="526">
        <f t="shared" si="31"/>
        <v>97900.335806425574</v>
      </c>
      <c r="I138" s="577">
        <f t="shared" si="32"/>
        <v>97900.335806425574</v>
      </c>
      <c r="J138" s="514">
        <f t="shared" si="35"/>
        <v>0</v>
      </c>
      <c r="K138" s="514"/>
      <c r="L138" s="525"/>
      <c r="M138" s="514">
        <f t="shared" si="36"/>
        <v>0</v>
      </c>
      <c r="N138" s="525"/>
      <c r="O138" s="514">
        <f t="shared" si="37"/>
        <v>0</v>
      </c>
      <c r="P138" s="514">
        <f t="shared" si="38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2049</v>
      </c>
      <c r="D139" s="374">
        <f>IF(F138+SUM(E$99:E138)=D$92,F138,D$92-SUM(E$99:E138))</f>
        <v>214618.04543121721</v>
      </c>
      <c r="E139" s="522">
        <f>IF(+J96&lt;F138,J96,D139)</f>
        <v>70994.476190476184</v>
      </c>
      <c r="F139" s="523">
        <f t="shared" si="33"/>
        <v>143623.56924074102</v>
      </c>
      <c r="G139" s="523">
        <f t="shared" si="34"/>
        <v>179120.80733597913</v>
      </c>
      <c r="H139" s="526">
        <f t="shared" si="31"/>
        <v>90263.187916233685</v>
      </c>
      <c r="I139" s="577">
        <f t="shared" si="32"/>
        <v>90263.187916233685</v>
      </c>
      <c r="J139" s="514">
        <f t="shared" si="35"/>
        <v>0</v>
      </c>
      <c r="K139" s="514"/>
      <c r="L139" s="525"/>
      <c r="M139" s="514">
        <f t="shared" si="36"/>
        <v>0</v>
      </c>
      <c r="N139" s="525"/>
      <c r="O139" s="514">
        <f t="shared" si="37"/>
        <v>0</v>
      </c>
      <c r="P139" s="514">
        <f t="shared" si="38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2050</v>
      </c>
      <c r="D140" s="374">
        <f>IF(F139+SUM(E$99:E139)=D$92,F139,D$92-SUM(E$99:E139))</f>
        <v>143623.56924074102</v>
      </c>
      <c r="E140" s="522">
        <f>IF(+J96&lt;F139,J96,D140)</f>
        <v>70994.476190476184</v>
      </c>
      <c r="F140" s="523">
        <f t="shared" si="33"/>
        <v>72629.093050264841</v>
      </c>
      <c r="G140" s="523">
        <f t="shared" si="34"/>
        <v>108126.33114550293</v>
      </c>
      <c r="H140" s="526">
        <f t="shared" si="31"/>
        <v>82626.040026041795</v>
      </c>
      <c r="I140" s="577">
        <f t="shared" si="32"/>
        <v>82626.040026041795</v>
      </c>
      <c r="J140" s="514">
        <f t="shared" si="35"/>
        <v>0</v>
      </c>
      <c r="K140" s="514"/>
      <c r="L140" s="525"/>
      <c r="M140" s="514">
        <f t="shared" si="36"/>
        <v>0</v>
      </c>
      <c r="N140" s="525"/>
      <c r="O140" s="514">
        <f t="shared" si="37"/>
        <v>0</v>
      </c>
      <c r="P140" s="514">
        <f t="shared" si="38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2051</v>
      </c>
      <c r="D141" s="374">
        <f>IF(F140+SUM(E$99:E140)=D$92,F140,D$92-SUM(E$99:E140))</f>
        <v>72629.093050264841</v>
      </c>
      <c r="E141" s="522">
        <f>IF(+J96&lt;F140,J96,D141)</f>
        <v>70994.476190476184</v>
      </c>
      <c r="F141" s="523">
        <f t="shared" si="33"/>
        <v>1634.6168597886572</v>
      </c>
      <c r="G141" s="523">
        <f t="shared" si="34"/>
        <v>37131.854955026749</v>
      </c>
      <c r="H141" s="526">
        <f t="shared" si="31"/>
        <v>74988.892135849906</v>
      </c>
      <c r="I141" s="577">
        <f t="shared" si="32"/>
        <v>74988.892135849906</v>
      </c>
      <c r="J141" s="514">
        <f t="shared" si="35"/>
        <v>0</v>
      </c>
      <c r="K141" s="514"/>
      <c r="L141" s="525"/>
      <c r="M141" s="514">
        <f t="shared" si="36"/>
        <v>0</v>
      </c>
      <c r="N141" s="525"/>
      <c r="O141" s="514">
        <f t="shared" si="37"/>
        <v>0</v>
      </c>
      <c r="P141" s="514">
        <f t="shared" si="38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2052</v>
      </c>
      <c r="D142" s="374">
        <f>IF(F141+SUM(E$99:E141)=D$92,F141,D$92-SUM(E$99:E141))</f>
        <v>1634.6168597886572</v>
      </c>
      <c r="E142" s="522">
        <f>IF(+J96&lt;F141,J96,D142)</f>
        <v>1634.6168597886572</v>
      </c>
      <c r="F142" s="523">
        <f t="shared" si="33"/>
        <v>0</v>
      </c>
      <c r="G142" s="523">
        <f t="shared" si="34"/>
        <v>817.30842989432858</v>
      </c>
      <c r="H142" s="526">
        <f t="shared" si="31"/>
        <v>1722.5378599275505</v>
      </c>
      <c r="I142" s="577">
        <f t="shared" si="32"/>
        <v>1722.5378599275505</v>
      </c>
      <c r="J142" s="514">
        <f t="shared" si="35"/>
        <v>0</v>
      </c>
      <c r="K142" s="514"/>
      <c r="L142" s="525"/>
      <c r="M142" s="514">
        <f t="shared" si="36"/>
        <v>0</v>
      </c>
      <c r="N142" s="525"/>
      <c r="O142" s="514">
        <f t="shared" si="37"/>
        <v>0</v>
      </c>
      <c r="P142" s="514">
        <f t="shared" si="38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3"/>
        <v>0</v>
      </c>
      <c r="G143" s="523">
        <f t="shared" si="34"/>
        <v>0</v>
      </c>
      <c r="H143" s="526">
        <f t="shared" si="31"/>
        <v>0</v>
      </c>
      <c r="I143" s="577">
        <f t="shared" si="32"/>
        <v>0</v>
      </c>
      <c r="J143" s="514">
        <f t="shared" si="35"/>
        <v>0</v>
      </c>
      <c r="K143" s="514"/>
      <c r="L143" s="525"/>
      <c r="M143" s="514">
        <f t="shared" si="36"/>
        <v>0</v>
      </c>
      <c r="N143" s="525"/>
      <c r="O143" s="514">
        <f t="shared" si="37"/>
        <v>0</v>
      </c>
      <c r="P143" s="514">
        <f t="shared" si="38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3"/>
        <v>0</v>
      </c>
      <c r="G144" s="523">
        <f t="shared" si="34"/>
        <v>0</v>
      </c>
      <c r="H144" s="526">
        <f t="shared" si="31"/>
        <v>0</v>
      </c>
      <c r="I144" s="577">
        <f t="shared" si="32"/>
        <v>0</v>
      </c>
      <c r="J144" s="514">
        <f t="shared" si="35"/>
        <v>0</v>
      </c>
      <c r="K144" s="514"/>
      <c r="L144" s="525"/>
      <c r="M144" s="514">
        <f t="shared" si="36"/>
        <v>0</v>
      </c>
      <c r="N144" s="525"/>
      <c r="O144" s="514">
        <f t="shared" si="37"/>
        <v>0</v>
      </c>
      <c r="P144" s="514">
        <f t="shared" si="38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3"/>
        <v>0</v>
      </c>
      <c r="G145" s="523">
        <f t="shared" si="34"/>
        <v>0</v>
      </c>
      <c r="H145" s="526">
        <f t="shared" si="31"/>
        <v>0</v>
      </c>
      <c r="I145" s="577">
        <f t="shared" si="32"/>
        <v>0</v>
      </c>
      <c r="J145" s="514">
        <f t="shared" si="35"/>
        <v>0</v>
      </c>
      <c r="K145" s="514"/>
      <c r="L145" s="525"/>
      <c r="M145" s="514">
        <f t="shared" si="36"/>
        <v>0</v>
      </c>
      <c r="N145" s="525"/>
      <c r="O145" s="514">
        <f t="shared" si="37"/>
        <v>0</v>
      </c>
      <c r="P145" s="514">
        <f t="shared" si="38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3"/>
        <v>0</v>
      </c>
      <c r="G146" s="523">
        <f t="shared" si="34"/>
        <v>0</v>
      </c>
      <c r="H146" s="526">
        <f t="shared" si="31"/>
        <v>0</v>
      </c>
      <c r="I146" s="577">
        <f t="shared" si="32"/>
        <v>0</v>
      </c>
      <c r="J146" s="514">
        <f t="shared" si="35"/>
        <v>0</v>
      </c>
      <c r="K146" s="514"/>
      <c r="L146" s="525"/>
      <c r="M146" s="514">
        <f t="shared" si="36"/>
        <v>0</v>
      </c>
      <c r="N146" s="525"/>
      <c r="O146" s="514">
        <f t="shared" si="37"/>
        <v>0</v>
      </c>
      <c r="P146" s="514">
        <f t="shared" si="38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3"/>
        <v>0</v>
      </c>
      <c r="G147" s="523">
        <f t="shared" si="34"/>
        <v>0</v>
      </c>
      <c r="H147" s="526">
        <f t="shared" si="31"/>
        <v>0</v>
      </c>
      <c r="I147" s="577">
        <f t="shared" si="32"/>
        <v>0</v>
      </c>
      <c r="J147" s="514">
        <f t="shared" si="35"/>
        <v>0</v>
      </c>
      <c r="K147" s="514"/>
      <c r="L147" s="525"/>
      <c r="M147" s="514">
        <f t="shared" si="36"/>
        <v>0</v>
      </c>
      <c r="N147" s="525"/>
      <c r="O147" s="514">
        <f t="shared" si="37"/>
        <v>0</v>
      </c>
      <c r="P147" s="514">
        <f t="shared" si="38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3"/>
        <v>0</v>
      </c>
      <c r="G148" s="523">
        <f t="shared" si="34"/>
        <v>0</v>
      </c>
      <c r="H148" s="526">
        <f t="shared" si="31"/>
        <v>0</v>
      </c>
      <c r="I148" s="577">
        <f t="shared" si="32"/>
        <v>0</v>
      </c>
      <c r="J148" s="514">
        <f t="shared" si="35"/>
        <v>0</v>
      </c>
      <c r="K148" s="514"/>
      <c r="L148" s="525"/>
      <c r="M148" s="514">
        <f t="shared" si="36"/>
        <v>0</v>
      </c>
      <c r="N148" s="525"/>
      <c r="O148" s="514">
        <f t="shared" si="37"/>
        <v>0</v>
      </c>
      <c r="P148" s="514">
        <f t="shared" si="38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3"/>
        <v>0</v>
      </c>
      <c r="G149" s="523">
        <f t="shared" si="34"/>
        <v>0</v>
      </c>
      <c r="H149" s="526">
        <f t="shared" si="31"/>
        <v>0</v>
      </c>
      <c r="I149" s="577">
        <f t="shared" si="32"/>
        <v>0</v>
      </c>
      <c r="J149" s="514">
        <f t="shared" si="35"/>
        <v>0</v>
      </c>
      <c r="K149" s="514"/>
      <c r="L149" s="525"/>
      <c r="M149" s="514">
        <f t="shared" si="36"/>
        <v>0</v>
      </c>
      <c r="N149" s="525"/>
      <c r="O149" s="514">
        <f t="shared" si="37"/>
        <v>0</v>
      </c>
      <c r="P149" s="514">
        <f t="shared" si="38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3"/>
        <v>0</v>
      </c>
      <c r="G150" s="523">
        <f t="shared" si="34"/>
        <v>0</v>
      </c>
      <c r="H150" s="526">
        <f t="shared" si="31"/>
        <v>0</v>
      </c>
      <c r="I150" s="577">
        <f t="shared" si="32"/>
        <v>0</v>
      </c>
      <c r="J150" s="514">
        <f t="shared" si="35"/>
        <v>0</v>
      </c>
      <c r="K150" s="514"/>
      <c r="L150" s="525"/>
      <c r="M150" s="514">
        <f t="shared" si="36"/>
        <v>0</v>
      </c>
      <c r="N150" s="525"/>
      <c r="O150" s="514">
        <f t="shared" si="37"/>
        <v>0</v>
      </c>
      <c r="P150" s="514">
        <f t="shared" si="38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3"/>
        <v>0</v>
      </c>
      <c r="G151" s="523">
        <f t="shared" si="34"/>
        <v>0</v>
      </c>
      <c r="H151" s="526">
        <f t="shared" si="31"/>
        <v>0</v>
      </c>
      <c r="I151" s="577">
        <f t="shared" si="32"/>
        <v>0</v>
      </c>
      <c r="J151" s="514">
        <f t="shared" si="35"/>
        <v>0</v>
      </c>
      <c r="K151" s="514"/>
      <c r="L151" s="525"/>
      <c r="M151" s="514">
        <f t="shared" si="36"/>
        <v>0</v>
      </c>
      <c r="N151" s="525"/>
      <c r="O151" s="514">
        <f t="shared" si="37"/>
        <v>0</v>
      </c>
      <c r="P151" s="514">
        <f t="shared" si="38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3"/>
        <v>0</v>
      </c>
      <c r="G152" s="523">
        <f t="shared" si="34"/>
        <v>0</v>
      </c>
      <c r="H152" s="526">
        <f t="shared" si="31"/>
        <v>0</v>
      </c>
      <c r="I152" s="577">
        <f t="shared" si="32"/>
        <v>0</v>
      </c>
      <c r="J152" s="514">
        <f t="shared" si="35"/>
        <v>0</v>
      </c>
      <c r="K152" s="514"/>
      <c r="L152" s="525"/>
      <c r="M152" s="514">
        <f t="shared" si="36"/>
        <v>0</v>
      </c>
      <c r="N152" s="525"/>
      <c r="O152" s="514">
        <f t="shared" si="37"/>
        <v>0</v>
      </c>
      <c r="P152" s="514">
        <f t="shared" si="38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3"/>
        <v>0</v>
      </c>
      <c r="G153" s="523">
        <f t="shared" si="34"/>
        <v>0</v>
      </c>
      <c r="H153" s="526">
        <f t="shared" si="31"/>
        <v>0</v>
      </c>
      <c r="I153" s="577">
        <f t="shared" si="32"/>
        <v>0</v>
      </c>
      <c r="J153" s="514">
        <f t="shared" si="35"/>
        <v>0</v>
      </c>
      <c r="K153" s="514"/>
      <c r="L153" s="525"/>
      <c r="M153" s="514">
        <f t="shared" si="36"/>
        <v>0</v>
      </c>
      <c r="N153" s="525"/>
      <c r="O153" s="514">
        <f t="shared" si="37"/>
        <v>0</v>
      </c>
      <c r="P153" s="514">
        <f t="shared" si="38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3"/>
        <v>0</v>
      </c>
      <c r="G154" s="528">
        <f t="shared" si="34"/>
        <v>0</v>
      </c>
      <c r="H154" s="530">
        <f t="shared" si="31"/>
        <v>0</v>
      </c>
      <c r="I154" s="579">
        <f t="shared" si="32"/>
        <v>0</v>
      </c>
      <c r="J154" s="533">
        <f t="shared" si="35"/>
        <v>0</v>
      </c>
      <c r="K154" s="514"/>
      <c r="L154" s="532"/>
      <c r="M154" s="533">
        <f t="shared" si="36"/>
        <v>0</v>
      </c>
      <c r="N154" s="532"/>
      <c r="O154" s="533">
        <f t="shared" si="37"/>
        <v>0</v>
      </c>
      <c r="P154" s="533">
        <f t="shared" si="38"/>
        <v>0</v>
      </c>
      <c r="Q154" s="269"/>
    </row>
    <row r="155" spans="2:17" ht="12.5">
      <c r="C155" s="374" t="s">
        <v>78</v>
      </c>
      <c r="D155" s="375"/>
      <c r="E155" s="375">
        <f>SUM(E99:E154)</f>
        <v>2981767.9999999991</v>
      </c>
      <c r="F155" s="375"/>
      <c r="G155" s="375"/>
      <c r="H155" s="375">
        <f>SUM(H99:H154)</f>
        <v>10631864.780339297</v>
      </c>
      <c r="I155" s="375">
        <f>SUM(I99:I154)</f>
        <v>10631864.780339297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1" priority="1" stopIfTrue="1" operator="equal">
      <formula>$I$10</formula>
    </cfRule>
  </conditionalFormatting>
  <conditionalFormatting sqref="C99:C154">
    <cfRule type="cellIs" dxfId="15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Q162"/>
  <sheetViews>
    <sheetView view="pageBreakPreview" topLeftCell="A73" zoomScale="80" zoomScaleNormal="100" zoomScaleSheetLayoutView="80" workbookViewId="0">
      <selection activeCell="L109" sqref="L109:N109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586" t="s">
        <v>133</v>
      </c>
      <c r="B1" s="587"/>
      <c r="C1" s="588"/>
      <c r="D1" s="589"/>
      <c r="E1" s="587"/>
      <c r="F1" s="590"/>
      <c r="G1" s="587"/>
      <c r="H1" s="591"/>
      <c r="I1" s="592"/>
      <c r="J1" s="59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6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3828983.1330273524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3828983.1330273524</v>
      </c>
      <c r="O6" s="269"/>
      <c r="P6" s="269"/>
    </row>
    <row r="7" spans="1:17" ht="13.5" thickBot="1">
      <c r="C7" s="467" t="s">
        <v>48</v>
      </c>
      <c r="D7" s="468" t="s">
        <v>239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145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37028625</v>
      </c>
      <c r="E10" s="353" t="s">
        <v>52</v>
      </c>
      <c r="F10" s="481"/>
      <c r="G10" s="484"/>
      <c r="H10" s="484"/>
      <c r="I10" s="485">
        <f>+SWE.WS.F.BPU.ATRR.Projected!L19</f>
        <v>2020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SWE.WS.F.BPU.ATRR.Projected!$F$81</f>
        <v>0.10681797376050146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+SWE.WS.F.BPU.ATRR.Projected!F$93</f>
        <v>42</v>
      </c>
      <c r="E13" s="486" t="s">
        <v>60</v>
      </c>
      <c r="F13" s="484"/>
      <c r="G13" s="233"/>
      <c r="H13" s="233"/>
      <c r="I13" s="490">
        <f>IF(G5="",I12,SWE.WS.F.BPU.ATRR.Projected!$F$80)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881633.92857142852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17101764</v>
      </c>
      <c r="E17" s="509">
        <v>231105</v>
      </c>
      <c r="F17" s="508">
        <v>16870659</v>
      </c>
      <c r="G17" s="509">
        <v>1739394</v>
      </c>
      <c r="H17" s="510">
        <v>1739394</v>
      </c>
      <c r="I17" s="511">
        <f t="shared" ref="I17:I48" si="0">H17-G17</f>
        <v>0</v>
      </c>
      <c r="J17" s="511"/>
      <c r="K17" s="512">
        <v>1739394</v>
      </c>
      <c r="L17" s="513">
        <f t="shared" ref="L17:L48" si="1">IF(K17&lt;&gt;0,+G17-K17,0)</f>
        <v>0</v>
      </c>
      <c r="M17" s="512">
        <v>1739394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6292908</v>
      </c>
      <c r="E18" s="516">
        <v>171684</v>
      </c>
      <c r="F18" s="515">
        <v>6121224</v>
      </c>
      <c r="G18" s="516">
        <v>1051702</v>
      </c>
      <c r="H18" s="510">
        <v>1051702</v>
      </c>
      <c r="I18" s="511">
        <f t="shared" si="0"/>
        <v>0</v>
      </c>
      <c r="J18" s="511"/>
      <c r="K18" s="518">
        <f t="shared" ref="K18:K23" si="4">G18</f>
        <v>1051702</v>
      </c>
      <c r="L18" s="519">
        <f t="shared" si="1"/>
        <v>0</v>
      </c>
      <c r="M18" s="518">
        <f t="shared" ref="M18:M23" si="5">H18</f>
        <v>1051702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26971020</v>
      </c>
      <c r="E19" s="516">
        <v>667653.87804878049</v>
      </c>
      <c r="F19" s="515">
        <v>26303366.121951219</v>
      </c>
      <c r="G19" s="516">
        <v>4776034.0895202104</v>
      </c>
      <c r="H19" s="510">
        <v>4776034.0895202104</v>
      </c>
      <c r="I19" s="511">
        <f t="shared" si="0"/>
        <v>0</v>
      </c>
      <c r="J19" s="511"/>
      <c r="K19" s="518">
        <f t="shared" si="4"/>
        <v>4776034.0895202104</v>
      </c>
      <c r="L19" s="519">
        <f t="shared" si="1"/>
        <v>0</v>
      </c>
      <c r="M19" s="518">
        <f t="shared" si="5"/>
        <v>4776034.0895202104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2012</v>
      </c>
      <c r="D20" s="515">
        <v>31392829.121951219</v>
      </c>
      <c r="E20" s="516">
        <v>772935.04761904757</v>
      </c>
      <c r="F20" s="515">
        <v>30619894.07433217</v>
      </c>
      <c r="G20" s="516">
        <v>5326729.983202124</v>
      </c>
      <c r="H20" s="510">
        <v>5326729.983202124</v>
      </c>
      <c r="I20" s="511">
        <f t="shared" si="0"/>
        <v>0</v>
      </c>
      <c r="J20" s="511"/>
      <c r="K20" s="518">
        <f t="shared" si="4"/>
        <v>5326729.983202124</v>
      </c>
      <c r="L20" s="519">
        <f t="shared" si="1"/>
        <v>0</v>
      </c>
      <c r="M20" s="518">
        <f t="shared" si="5"/>
        <v>5326729.983202124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>IU</v>
      </c>
      <c r="C21" s="507">
        <f>IF(D12="","-",+C20+1)</f>
        <v>2013</v>
      </c>
      <c r="D21" s="515">
        <v>33143499.07433217</v>
      </c>
      <c r="E21" s="516">
        <v>833020.88095238095</v>
      </c>
      <c r="F21" s="515">
        <v>32310478.19337979</v>
      </c>
      <c r="G21" s="516">
        <v>5356070.4437174536</v>
      </c>
      <c r="H21" s="510">
        <v>5356070.4437174536</v>
      </c>
      <c r="I21" s="511">
        <v>0</v>
      </c>
      <c r="J21" s="511"/>
      <c r="K21" s="518">
        <f t="shared" si="4"/>
        <v>5356070.4437174536</v>
      </c>
      <c r="L21" s="519">
        <f t="shared" ref="L21:L26" si="7">IF(K21&lt;&gt;0,+G21-K21,0)</f>
        <v>0</v>
      </c>
      <c r="M21" s="518">
        <f t="shared" si="5"/>
        <v>5356070.4437174536</v>
      </c>
      <c r="N21" s="514">
        <f t="shared" ref="N21:N26" si="8">IF(M21&lt;&gt;0,+H21-M21,0)</f>
        <v>0</v>
      </c>
      <c r="O21" s="514">
        <f>+N21-L21</f>
        <v>0</v>
      </c>
      <c r="P21" s="272"/>
    </row>
    <row r="22" spans="2:16" ht="12.5">
      <c r="B22" s="195" t="str">
        <f t="shared" si="6"/>
        <v>IU</v>
      </c>
      <c r="C22" s="507">
        <f>IF(D11="","-",+C21+1)</f>
        <v>2014</v>
      </c>
      <c r="D22" s="515">
        <v>34252059.19337979</v>
      </c>
      <c r="E22" s="516">
        <v>879249</v>
      </c>
      <c r="F22" s="515">
        <v>33372810.19337979</v>
      </c>
      <c r="G22" s="516">
        <v>5381591.7849194687</v>
      </c>
      <c r="H22" s="510">
        <v>5381591.7849194687</v>
      </c>
      <c r="I22" s="511">
        <v>0</v>
      </c>
      <c r="J22" s="511"/>
      <c r="K22" s="518">
        <f t="shared" si="4"/>
        <v>5381591.7849194687</v>
      </c>
      <c r="L22" s="519">
        <f t="shared" si="7"/>
        <v>0</v>
      </c>
      <c r="M22" s="518">
        <f t="shared" si="5"/>
        <v>5381591.7849194687</v>
      </c>
      <c r="N22" s="514">
        <f t="shared" si="8"/>
        <v>0</v>
      </c>
      <c r="O22" s="514">
        <f t="shared" si="3"/>
        <v>0</v>
      </c>
      <c r="P22" s="272"/>
    </row>
    <row r="23" spans="2:16" ht="12.5">
      <c r="B23" s="195" t="str">
        <f t="shared" si="6"/>
        <v>IU</v>
      </c>
      <c r="C23" s="507">
        <f>IF(D11="","-",+C22+1)</f>
        <v>2015</v>
      </c>
      <c r="D23" s="515">
        <v>33472977.19337979</v>
      </c>
      <c r="E23" s="516">
        <v>881633.92857142852</v>
      </c>
      <c r="F23" s="515">
        <v>32591343.26480836</v>
      </c>
      <c r="G23" s="516">
        <v>5174070.3067745473</v>
      </c>
      <c r="H23" s="510">
        <v>5174070.3067745473</v>
      </c>
      <c r="I23" s="511">
        <v>0</v>
      </c>
      <c r="J23" s="511"/>
      <c r="K23" s="518">
        <f t="shared" si="4"/>
        <v>5174070.3067745473</v>
      </c>
      <c r="L23" s="519">
        <f t="shared" si="7"/>
        <v>0</v>
      </c>
      <c r="M23" s="518">
        <f t="shared" si="5"/>
        <v>5174070.3067745473</v>
      </c>
      <c r="N23" s="514">
        <f t="shared" si="8"/>
        <v>0</v>
      </c>
      <c r="O23" s="514">
        <f>+N23-L23</f>
        <v>0</v>
      </c>
      <c r="P23" s="272"/>
    </row>
    <row r="24" spans="2:16" ht="12.5">
      <c r="B24" s="195" t="str">
        <f t="shared" si="6"/>
        <v/>
      </c>
      <c r="C24" s="507">
        <f>IF(D11="","-",+C23+1)</f>
        <v>2016</v>
      </c>
      <c r="D24" s="515">
        <v>32591343.26480836</v>
      </c>
      <c r="E24" s="516">
        <v>881633.92857142852</v>
      </c>
      <c r="F24" s="515">
        <v>31709709.336236931</v>
      </c>
      <c r="G24" s="516">
        <v>5006432.1268862924</v>
      </c>
      <c r="H24" s="510">
        <v>5006432.1268862924</v>
      </c>
      <c r="I24" s="511">
        <f t="shared" si="0"/>
        <v>0</v>
      </c>
      <c r="J24" s="511"/>
      <c r="K24" s="518">
        <f>G24</f>
        <v>5006432.1268862924</v>
      </c>
      <c r="L24" s="519">
        <f t="shared" si="7"/>
        <v>0</v>
      </c>
      <c r="M24" s="518">
        <f>H24</f>
        <v>5006432.1268862924</v>
      </c>
      <c r="N24" s="514">
        <f t="shared" si="8"/>
        <v>0</v>
      </c>
      <c r="O24" s="514">
        <f>+N24-L24</f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31709709.336236931</v>
      </c>
      <c r="E25" s="516">
        <v>861130.81395348837</v>
      </c>
      <c r="F25" s="515">
        <v>30848578.522283442</v>
      </c>
      <c r="G25" s="516">
        <v>4736383.2047020355</v>
      </c>
      <c r="H25" s="510">
        <v>4736383.2047020355</v>
      </c>
      <c r="I25" s="511">
        <f t="shared" si="0"/>
        <v>0</v>
      </c>
      <c r="J25" s="511"/>
      <c r="K25" s="518">
        <f>G25</f>
        <v>4736383.2047020355</v>
      </c>
      <c r="L25" s="519">
        <f t="shared" si="7"/>
        <v>0</v>
      </c>
      <c r="M25" s="518">
        <f>H25</f>
        <v>4736383.2047020355</v>
      </c>
      <c r="N25" s="514">
        <f t="shared" si="8"/>
        <v>0</v>
      </c>
      <c r="O25" s="514">
        <f>+N25-L25</f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30848578.522283442</v>
      </c>
      <c r="E26" s="516">
        <v>903137.19512195117</v>
      </c>
      <c r="F26" s="515">
        <v>29945441.327161491</v>
      </c>
      <c r="G26" s="516">
        <v>4766417.7816179106</v>
      </c>
      <c r="H26" s="510">
        <v>4766417.7816179106</v>
      </c>
      <c r="I26" s="511">
        <f t="shared" si="0"/>
        <v>0</v>
      </c>
      <c r="J26" s="511"/>
      <c r="K26" s="518">
        <f>G26</f>
        <v>4766417.7816179106</v>
      </c>
      <c r="L26" s="519">
        <f t="shared" si="7"/>
        <v>0</v>
      </c>
      <c r="M26" s="518">
        <f>H26</f>
        <v>4766417.7816179106</v>
      </c>
      <c r="N26" s="514">
        <f t="shared" si="8"/>
        <v>0</v>
      </c>
      <c r="O26" s="514">
        <f>+N26-L26</f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29945441.327161491</v>
      </c>
      <c r="E27" s="516">
        <v>903137.19512195117</v>
      </c>
      <c r="F27" s="515">
        <v>29042304.13203954</v>
      </c>
      <c r="G27" s="516">
        <v>4651634.3735952908</v>
      </c>
      <c r="H27" s="510">
        <v>4651634.3735952908</v>
      </c>
      <c r="I27" s="511">
        <f t="shared" si="0"/>
        <v>0</v>
      </c>
      <c r="J27" s="511"/>
      <c r="K27" s="518">
        <f>G27</f>
        <v>4651634.3735952908</v>
      </c>
      <c r="L27" s="519">
        <f t="shared" ref="L27" si="9">IF(K27&lt;&gt;0,+G27-K27,0)</f>
        <v>0</v>
      </c>
      <c r="M27" s="518">
        <f>H27</f>
        <v>4651634.3735952908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29042304.13203954</v>
      </c>
      <c r="E28" s="516">
        <v>903137.19512195117</v>
      </c>
      <c r="F28" s="515">
        <v>28139166.936917588</v>
      </c>
      <c r="G28" s="516">
        <v>3828983.1330273524</v>
      </c>
      <c r="H28" s="510">
        <v>3828983.1330273524</v>
      </c>
      <c r="I28" s="511">
        <f t="shared" si="0"/>
        <v>0</v>
      </c>
      <c r="J28" s="511"/>
      <c r="K28" s="518">
        <f>G28</f>
        <v>3828983.1330273524</v>
      </c>
      <c r="L28" s="519">
        <f t="shared" ref="L28" si="10">IF(K28&lt;&gt;0,+G28-K28,0)</f>
        <v>0</v>
      </c>
      <c r="M28" s="518">
        <f>H28</f>
        <v>3828983.1330273524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2021</v>
      </c>
      <c r="D29" s="523">
        <f>IF(F28+SUM(E$17:E28)=D$10,F28,D$10-SUM(E$17:E28))</f>
        <v>28139166.936917588</v>
      </c>
      <c r="E29" s="522">
        <f>IF(+I14&lt;F28,I14,D29)</f>
        <v>881633.92857142852</v>
      </c>
      <c r="F29" s="523">
        <f t="shared" ref="F29:F48" si="11">+D29-E29</f>
        <v>27257533.008346159</v>
      </c>
      <c r="G29" s="524">
        <f t="shared" ref="G29:G72" si="12">+I$12*((D29+F29)/2)+E29</f>
        <v>3840315.5491572064</v>
      </c>
      <c r="H29" s="491">
        <f t="shared" ref="H29:H72" si="13">+I$13*((D29+F29)/2)+E29</f>
        <v>3840315.5491572064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/>
      </c>
      <c r="C30" s="507">
        <f>IF(D11="","-",+C29+1)</f>
        <v>2022</v>
      </c>
      <c r="D30" s="523">
        <f>IF(F29+SUM(E$17:E29)=D$10,F29,D$10-SUM(E$17:E29))</f>
        <v>27257533.008346159</v>
      </c>
      <c r="E30" s="522">
        <f>IF(+I14&lt;F29,I14,D30)</f>
        <v>881633.92857142852</v>
      </c>
      <c r="F30" s="523">
        <f t="shared" si="11"/>
        <v>26375899.07977473</v>
      </c>
      <c r="G30" s="524">
        <f t="shared" si="12"/>
        <v>3746141.1993086962</v>
      </c>
      <c r="H30" s="491">
        <f t="shared" si="13"/>
        <v>3746141.1993086962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26375899.07977473</v>
      </c>
      <c r="E31" s="522">
        <f>IF(+I14&lt;F30,I14,D31)</f>
        <v>881633.92857142852</v>
      </c>
      <c r="F31" s="523">
        <f t="shared" si="11"/>
        <v>25494265.151203301</v>
      </c>
      <c r="G31" s="524">
        <f t="shared" si="12"/>
        <v>3651966.849460185</v>
      </c>
      <c r="H31" s="491">
        <f t="shared" si="13"/>
        <v>3651966.849460185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25494265.151203301</v>
      </c>
      <c r="E32" s="522">
        <f>IF(+I14&lt;F31,I14,D32)</f>
        <v>881633.92857142852</v>
      </c>
      <c r="F32" s="523">
        <f t="shared" si="11"/>
        <v>24612631.222631872</v>
      </c>
      <c r="G32" s="524">
        <f t="shared" si="12"/>
        <v>3557792.4996116743</v>
      </c>
      <c r="H32" s="491">
        <f t="shared" si="13"/>
        <v>3557792.4996116743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24612631.222631872</v>
      </c>
      <c r="E33" s="522">
        <f>IF(+I14&lt;F32,I14,D33)</f>
        <v>881633.92857142852</v>
      </c>
      <c r="F33" s="523">
        <f t="shared" si="11"/>
        <v>23730997.294060443</v>
      </c>
      <c r="G33" s="524">
        <f t="shared" si="12"/>
        <v>3463618.1497631632</v>
      </c>
      <c r="H33" s="491">
        <f t="shared" si="13"/>
        <v>3463618.1497631632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23730997.294060443</v>
      </c>
      <c r="E34" s="522">
        <f>IF(+I14&lt;F33,I14,D34)</f>
        <v>881633.92857142852</v>
      </c>
      <c r="F34" s="523">
        <f t="shared" si="11"/>
        <v>22849363.365489013</v>
      </c>
      <c r="G34" s="524">
        <f t="shared" si="12"/>
        <v>3369443.7999146529</v>
      </c>
      <c r="H34" s="491">
        <f t="shared" si="13"/>
        <v>3369443.7999146529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22849363.365489013</v>
      </c>
      <c r="E35" s="522">
        <f>IF(+I14&lt;F34,I14,D35)</f>
        <v>881633.92857142852</v>
      </c>
      <c r="F35" s="523">
        <f t="shared" si="11"/>
        <v>21967729.436917584</v>
      </c>
      <c r="G35" s="524">
        <f t="shared" si="12"/>
        <v>3275269.4500661418</v>
      </c>
      <c r="H35" s="491">
        <f t="shared" si="13"/>
        <v>3275269.4500661418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21967729.436917584</v>
      </c>
      <c r="E36" s="522">
        <f>IF(+I14&lt;F35,I14,D36)</f>
        <v>881633.92857142852</v>
      </c>
      <c r="F36" s="523">
        <f t="shared" si="11"/>
        <v>21086095.508346155</v>
      </c>
      <c r="G36" s="524">
        <f t="shared" si="12"/>
        <v>3181095.1002176316</v>
      </c>
      <c r="H36" s="491">
        <f t="shared" si="13"/>
        <v>3181095.1002176316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21086095.508346155</v>
      </c>
      <c r="E37" s="522">
        <f>IF(+I14&lt;F36,I14,D37)</f>
        <v>881633.92857142852</v>
      </c>
      <c r="F37" s="523">
        <f t="shared" si="11"/>
        <v>20204461.579774726</v>
      </c>
      <c r="G37" s="524">
        <f t="shared" si="12"/>
        <v>3086920.7503691204</v>
      </c>
      <c r="H37" s="491">
        <f t="shared" si="13"/>
        <v>3086920.7503691204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20204461.579774726</v>
      </c>
      <c r="E38" s="522">
        <f>IF(+I14&lt;F37,I14,D38)</f>
        <v>881633.92857142852</v>
      </c>
      <c r="F38" s="523">
        <f t="shared" si="11"/>
        <v>19322827.651203297</v>
      </c>
      <c r="G38" s="524">
        <f t="shared" si="12"/>
        <v>2992746.4005206102</v>
      </c>
      <c r="H38" s="491">
        <f t="shared" si="13"/>
        <v>2992746.4005206102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19322827.651203297</v>
      </c>
      <c r="E39" s="522">
        <f>IF(+I14&lt;F38,I14,D39)</f>
        <v>881633.92857142852</v>
      </c>
      <c r="F39" s="523">
        <f t="shared" si="11"/>
        <v>18441193.722631868</v>
      </c>
      <c r="G39" s="524">
        <f t="shared" si="12"/>
        <v>2898572.050672099</v>
      </c>
      <c r="H39" s="491">
        <f t="shared" si="13"/>
        <v>2898572.050672099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18441193.722631868</v>
      </c>
      <c r="E40" s="522">
        <f>IF(+I14&lt;F39,I14,D40)</f>
        <v>881633.92857142852</v>
      </c>
      <c r="F40" s="523">
        <f t="shared" si="11"/>
        <v>17559559.794060439</v>
      </c>
      <c r="G40" s="524">
        <f t="shared" si="12"/>
        <v>2804397.7008235888</v>
      </c>
      <c r="H40" s="491">
        <f t="shared" si="13"/>
        <v>2804397.7008235888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17559559.794060439</v>
      </c>
      <c r="E41" s="522">
        <f>IF(+I14&lt;F40,I14,D41)</f>
        <v>881633.92857142852</v>
      </c>
      <c r="F41" s="523">
        <f t="shared" si="11"/>
        <v>16677925.86548901</v>
      </c>
      <c r="G41" s="524">
        <f t="shared" si="12"/>
        <v>2710223.3509750776</v>
      </c>
      <c r="H41" s="491">
        <f t="shared" si="13"/>
        <v>2710223.3509750776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16677925.86548901</v>
      </c>
      <c r="E42" s="522">
        <f>IF(+I14&lt;F41,I14,D42)</f>
        <v>881633.92857142852</v>
      </c>
      <c r="F42" s="523">
        <f t="shared" si="11"/>
        <v>15796291.936917581</v>
      </c>
      <c r="G42" s="524">
        <f t="shared" si="12"/>
        <v>2616049.0011265669</v>
      </c>
      <c r="H42" s="491">
        <f t="shared" si="13"/>
        <v>2616049.0011265669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15796291.936917581</v>
      </c>
      <c r="E43" s="522">
        <f>IF(+I14&lt;F42,I14,D43)</f>
        <v>881633.92857142852</v>
      </c>
      <c r="F43" s="523">
        <f t="shared" si="11"/>
        <v>14914658.008346152</v>
      </c>
      <c r="G43" s="524">
        <f t="shared" si="12"/>
        <v>2521874.6512780562</v>
      </c>
      <c r="H43" s="491">
        <f t="shared" si="13"/>
        <v>2521874.6512780562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14914658.008346152</v>
      </c>
      <c r="E44" s="522">
        <f>IF(+I14&lt;F43,I14,D44)</f>
        <v>881633.92857142852</v>
      </c>
      <c r="F44" s="523">
        <f t="shared" si="11"/>
        <v>14033024.079774722</v>
      </c>
      <c r="G44" s="524">
        <f t="shared" si="12"/>
        <v>2427700.3014295455</v>
      </c>
      <c r="H44" s="491">
        <f t="shared" si="13"/>
        <v>2427700.3014295455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14033024.079774722</v>
      </c>
      <c r="E45" s="522">
        <f>IF(+I14&lt;F44,I14,D45)</f>
        <v>881633.92857142852</v>
      </c>
      <c r="F45" s="523">
        <f t="shared" si="11"/>
        <v>13151390.151203293</v>
      </c>
      <c r="G45" s="524">
        <f t="shared" si="12"/>
        <v>2333525.9515810348</v>
      </c>
      <c r="H45" s="491">
        <f t="shared" si="13"/>
        <v>2333525.9515810348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13151390.151203293</v>
      </c>
      <c r="E46" s="522">
        <f>IF(+I14&lt;F45,I14,D46)</f>
        <v>881633.92857142852</v>
      </c>
      <c r="F46" s="523">
        <f t="shared" si="11"/>
        <v>12269756.222631864</v>
      </c>
      <c r="G46" s="524">
        <f t="shared" si="12"/>
        <v>2239351.6017325241</v>
      </c>
      <c r="H46" s="491">
        <f t="shared" si="13"/>
        <v>2239351.6017325241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12269756.222631864</v>
      </c>
      <c r="E47" s="522">
        <f>IF(+I14&lt;F46,I14,D47)</f>
        <v>881633.92857142852</v>
      </c>
      <c r="F47" s="523">
        <f t="shared" si="11"/>
        <v>11388122.294060435</v>
      </c>
      <c r="G47" s="524">
        <f t="shared" si="12"/>
        <v>2145177.2518840134</v>
      </c>
      <c r="H47" s="491">
        <f t="shared" si="13"/>
        <v>2145177.2518840134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11388122.294060435</v>
      </c>
      <c r="E48" s="522">
        <f>IF(+I14&lt;F47,I14,D48)</f>
        <v>881633.92857142852</v>
      </c>
      <c r="F48" s="523">
        <f t="shared" si="11"/>
        <v>10506488.365489006</v>
      </c>
      <c r="G48" s="524">
        <f t="shared" si="12"/>
        <v>2051002.9020355023</v>
      </c>
      <c r="H48" s="491">
        <f t="shared" si="13"/>
        <v>2051002.9020355023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10506488.365489006</v>
      </c>
      <c r="E49" s="522">
        <f>IF(+I14&lt;F48,I14,D49)</f>
        <v>881633.92857142852</v>
      </c>
      <c r="F49" s="523">
        <f t="shared" ref="F49:F72" si="14">+D49-E49</f>
        <v>9624854.4369175769</v>
      </c>
      <c r="G49" s="524">
        <f t="shared" si="12"/>
        <v>1956828.5521869916</v>
      </c>
      <c r="H49" s="491">
        <f t="shared" si="13"/>
        <v>1956828.5521869916</v>
      </c>
      <c r="I49" s="511">
        <f t="shared" ref="I49:I72" si="15">H49-G49</f>
        <v>0</v>
      </c>
      <c r="J49" s="511"/>
      <c r="K49" s="525"/>
      <c r="L49" s="514">
        <f t="shared" ref="L49:L72" si="16">IF(K49&lt;&gt;0,+G49-K49,0)</f>
        <v>0</v>
      </c>
      <c r="M49" s="525"/>
      <c r="N49" s="514">
        <f t="shared" ref="N49:N72" si="17">IF(M49&lt;&gt;0,+H49-M49,0)</f>
        <v>0</v>
      </c>
      <c r="O49" s="514">
        <f t="shared" ref="O49:O72" si="18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9624854.4369175769</v>
      </c>
      <c r="E50" s="522">
        <f>IF(+I14&lt;F49,I14,D50)</f>
        <v>881633.92857142852</v>
      </c>
      <c r="F50" s="523">
        <f t="shared" si="14"/>
        <v>8743220.5083461478</v>
      </c>
      <c r="G50" s="524">
        <f t="shared" si="12"/>
        <v>1862654.2023384809</v>
      </c>
      <c r="H50" s="491">
        <f t="shared" si="13"/>
        <v>1862654.2023384809</v>
      </c>
      <c r="I50" s="511">
        <f t="shared" si="15"/>
        <v>0</v>
      </c>
      <c r="J50" s="511"/>
      <c r="K50" s="525"/>
      <c r="L50" s="514">
        <f t="shared" si="16"/>
        <v>0</v>
      </c>
      <c r="M50" s="525"/>
      <c r="N50" s="514">
        <f t="shared" si="17"/>
        <v>0</v>
      </c>
      <c r="O50" s="514">
        <f t="shared" si="18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8743220.5083461478</v>
      </c>
      <c r="E51" s="522">
        <f>IF(+I14&lt;F50,I14,D51)</f>
        <v>881633.92857142852</v>
      </c>
      <c r="F51" s="523">
        <f t="shared" si="14"/>
        <v>7861586.5797747197</v>
      </c>
      <c r="G51" s="524">
        <f t="shared" si="12"/>
        <v>1768479.8524899702</v>
      </c>
      <c r="H51" s="491">
        <f t="shared" si="13"/>
        <v>1768479.8524899702</v>
      </c>
      <c r="I51" s="511">
        <f t="shared" si="15"/>
        <v>0</v>
      </c>
      <c r="J51" s="511"/>
      <c r="K51" s="525"/>
      <c r="L51" s="514">
        <f t="shared" si="16"/>
        <v>0</v>
      </c>
      <c r="M51" s="525"/>
      <c r="N51" s="514">
        <f t="shared" si="17"/>
        <v>0</v>
      </c>
      <c r="O51" s="514">
        <f t="shared" si="18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7861586.5797747197</v>
      </c>
      <c r="E52" s="522">
        <f>IF(+I14&lt;F51,I14,D52)</f>
        <v>881633.92857142852</v>
      </c>
      <c r="F52" s="523">
        <f t="shared" si="14"/>
        <v>6979952.6512032915</v>
      </c>
      <c r="G52" s="524">
        <f t="shared" si="12"/>
        <v>1674305.5026414597</v>
      </c>
      <c r="H52" s="491">
        <f t="shared" si="13"/>
        <v>1674305.5026414597</v>
      </c>
      <c r="I52" s="511">
        <f t="shared" si="15"/>
        <v>0</v>
      </c>
      <c r="J52" s="511"/>
      <c r="K52" s="525"/>
      <c r="L52" s="514">
        <f t="shared" si="16"/>
        <v>0</v>
      </c>
      <c r="M52" s="525"/>
      <c r="N52" s="514">
        <f t="shared" si="17"/>
        <v>0</v>
      </c>
      <c r="O52" s="514">
        <f t="shared" si="18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6979952.6512032915</v>
      </c>
      <c r="E53" s="522">
        <f>IF(+I14&lt;F52,I14,D53)</f>
        <v>881633.92857142852</v>
      </c>
      <c r="F53" s="523">
        <f t="shared" si="14"/>
        <v>6098318.7226318633</v>
      </c>
      <c r="G53" s="524">
        <f t="shared" si="12"/>
        <v>1580131.152792949</v>
      </c>
      <c r="H53" s="491">
        <f t="shared" si="13"/>
        <v>1580131.152792949</v>
      </c>
      <c r="I53" s="511">
        <f t="shared" si="15"/>
        <v>0</v>
      </c>
      <c r="J53" s="511"/>
      <c r="K53" s="525"/>
      <c r="L53" s="514">
        <f t="shared" si="16"/>
        <v>0</v>
      </c>
      <c r="M53" s="525"/>
      <c r="N53" s="514">
        <f t="shared" si="17"/>
        <v>0</v>
      </c>
      <c r="O53" s="514">
        <f t="shared" si="18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6098318.7226318633</v>
      </c>
      <c r="E54" s="522">
        <f>IF(+I14&lt;F53,I14,D54)</f>
        <v>881633.92857142852</v>
      </c>
      <c r="F54" s="523">
        <f t="shared" si="14"/>
        <v>5216684.7940604351</v>
      </c>
      <c r="G54" s="524">
        <f t="shared" si="12"/>
        <v>1485956.8029444385</v>
      </c>
      <c r="H54" s="491">
        <f t="shared" si="13"/>
        <v>1485956.8029444385</v>
      </c>
      <c r="I54" s="511">
        <f t="shared" si="15"/>
        <v>0</v>
      </c>
      <c r="J54" s="511"/>
      <c r="K54" s="525"/>
      <c r="L54" s="514">
        <f t="shared" si="16"/>
        <v>0</v>
      </c>
      <c r="M54" s="525"/>
      <c r="N54" s="514">
        <f t="shared" si="17"/>
        <v>0</v>
      </c>
      <c r="O54" s="514">
        <f t="shared" si="18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5216684.7940604351</v>
      </c>
      <c r="E55" s="522">
        <f>IF(+I14&lt;F54,I14,D55)</f>
        <v>881633.92857142852</v>
      </c>
      <c r="F55" s="523">
        <f t="shared" si="14"/>
        <v>4335050.865489007</v>
      </c>
      <c r="G55" s="524">
        <f t="shared" si="12"/>
        <v>1391782.4530959278</v>
      </c>
      <c r="H55" s="491">
        <f t="shared" si="13"/>
        <v>1391782.4530959278</v>
      </c>
      <c r="I55" s="511">
        <f t="shared" si="15"/>
        <v>0</v>
      </c>
      <c r="J55" s="511"/>
      <c r="K55" s="525"/>
      <c r="L55" s="514">
        <f t="shared" si="16"/>
        <v>0</v>
      </c>
      <c r="M55" s="525"/>
      <c r="N55" s="514">
        <f t="shared" si="17"/>
        <v>0</v>
      </c>
      <c r="O55" s="514">
        <f t="shared" si="18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4335050.865489007</v>
      </c>
      <c r="E56" s="522">
        <f>IF(+I14&lt;F55,I14,D56)</f>
        <v>881633.92857142852</v>
      </c>
      <c r="F56" s="523">
        <f t="shared" si="14"/>
        <v>3453416.9369175783</v>
      </c>
      <c r="G56" s="524">
        <f t="shared" si="12"/>
        <v>1297608.1032474171</v>
      </c>
      <c r="H56" s="491">
        <f t="shared" si="13"/>
        <v>1297608.1032474171</v>
      </c>
      <c r="I56" s="511">
        <f t="shared" si="15"/>
        <v>0</v>
      </c>
      <c r="J56" s="511"/>
      <c r="K56" s="525"/>
      <c r="L56" s="514">
        <f t="shared" si="16"/>
        <v>0</v>
      </c>
      <c r="M56" s="525"/>
      <c r="N56" s="514">
        <f t="shared" si="17"/>
        <v>0</v>
      </c>
      <c r="O56" s="514">
        <f t="shared" si="18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3453416.9369175783</v>
      </c>
      <c r="E57" s="522">
        <f>IF(+I14&lt;F56,I14,D57)</f>
        <v>881633.92857142852</v>
      </c>
      <c r="F57" s="523">
        <f t="shared" si="14"/>
        <v>2571783.0083461497</v>
      </c>
      <c r="G57" s="524">
        <f t="shared" si="12"/>
        <v>1203433.7533989064</v>
      </c>
      <c r="H57" s="491">
        <f t="shared" si="13"/>
        <v>1203433.7533989064</v>
      </c>
      <c r="I57" s="511">
        <f t="shared" si="15"/>
        <v>0</v>
      </c>
      <c r="J57" s="511"/>
      <c r="K57" s="525"/>
      <c r="L57" s="514">
        <f t="shared" si="16"/>
        <v>0</v>
      </c>
      <c r="M57" s="525"/>
      <c r="N57" s="514">
        <f t="shared" si="17"/>
        <v>0</v>
      </c>
      <c r="O57" s="514">
        <f t="shared" si="18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2571783.0083461497</v>
      </c>
      <c r="E58" s="522">
        <f>IF(+I14&lt;F57,I14,D58)</f>
        <v>881633.92857142852</v>
      </c>
      <c r="F58" s="523">
        <f t="shared" si="14"/>
        <v>1690149.0797747211</v>
      </c>
      <c r="G58" s="524">
        <f t="shared" si="12"/>
        <v>1109259.4035503957</v>
      </c>
      <c r="H58" s="491">
        <f t="shared" si="13"/>
        <v>1109259.4035503957</v>
      </c>
      <c r="I58" s="511">
        <f t="shared" si="15"/>
        <v>0</v>
      </c>
      <c r="J58" s="511"/>
      <c r="K58" s="525"/>
      <c r="L58" s="514">
        <f t="shared" si="16"/>
        <v>0</v>
      </c>
      <c r="M58" s="525"/>
      <c r="N58" s="514">
        <f t="shared" si="17"/>
        <v>0</v>
      </c>
      <c r="O58" s="514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1690149.0797747211</v>
      </c>
      <c r="E59" s="522">
        <f>IF(+I14&lt;F58,I14,D59)</f>
        <v>881633.92857142852</v>
      </c>
      <c r="F59" s="523">
        <f t="shared" si="14"/>
        <v>808515.15120329254</v>
      </c>
      <c r="G59" s="524">
        <f t="shared" si="12"/>
        <v>1015085.053701885</v>
      </c>
      <c r="H59" s="491">
        <f t="shared" si="13"/>
        <v>1015085.053701885</v>
      </c>
      <c r="I59" s="511">
        <f t="shared" si="15"/>
        <v>0</v>
      </c>
      <c r="J59" s="511"/>
      <c r="K59" s="525"/>
      <c r="L59" s="514">
        <f t="shared" si="16"/>
        <v>0</v>
      </c>
      <c r="M59" s="525"/>
      <c r="N59" s="514">
        <f t="shared" si="17"/>
        <v>0</v>
      </c>
      <c r="O59" s="514">
        <f t="shared" si="18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808515.15120329254</v>
      </c>
      <c r="E60" s="522">
        <f>IF(+I14&lt;F59,I14,D60)</f>
        <v>808515.15120329254</v>
      </c>
      <c r="F60" s="523">
        <f t="shared" si="14"/>
        <v>0</v>
      </c>
      <c r="G60" s="524">
        <f t="shared" si="12"/>
        <v>851697.12630639318</v>
      </c>
      <c r="H60" s="491">
        <f t="shared" si="13"/>
        <v>851697.12630639318</v>
      </c>
      <c r="I60" s="511">
        <f t="shared" si="15"/>
        <v>0</v>
      </c>
      <c r="J60" s="511"/>
      <c r="K60" s="525"/>
      <c r="L60" s="514">
        <f t="shared" si="16"/>
        <v>0</v>
      </c>
      <c r="M60" s="525"/>
      <c r="N60" s="514">
        <f t="shared" si="17"/>
        <v>0</v>
      </c>
      <c r="O60" s="514">
        <f t="shared" si="18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4"/>
        <v>0</v>
      </c>
      <c r="G61" s="526">
        <f t="shared" si="12"/>
        <v>0</v>
      </c>
      <c r="H61" s="491">
        <f t="shared" si="13"/>
        <v>0</v>
      </c>
      <c r="I61" s="511">
        <f t="shared" si="15"/>
        <v>0</v>
      </c>
      <c r="J61" s="511"/>
      <c r="K61" s="525"/>
      <c r="L61" s="514">
        <f t="shared" si="16"/>
        <v>0</v>
      </c>
      <c r="M61" s="525"/>
      <c r="N61" s="514">
        <f t="shared" si="17"/>
        <v>0</v>
      </c>
      <c r="O61" s="514">
        <f t="shared" si="18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4"/>
        <v>0</v>
      </c>
      <c r="G62" s="526">
        <f t="shared" si="12"/>
        <v>0</v>
      </c>
      <c r="H62" s="491">
        <f t="shared" si="13"/>
        <v>0</v>
      </c>
      <c r="I62" s="511">
        <f t="shared" si="15"/>
        <v>0</v>
      </c>
      <c r="J62" s="511"/>
      <c r="K62" s="525"/>
      <c r="L62" s="514">
        <f t="shared" si="16"/>
        <v>0</v>
      </c>
      <c r="M62" s="525"/>
      <c r="N62" s="514">
        <f t="shared" si="17"/>
        <v>0</v>
      </c>
      <c r="O62" s="514">
        <f t="shared" si="18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4"/>
        <v>0</v>
      </c>
      <c r="G63" s="526">
        <f t="shared" si="12"/>
        <v>0</v>
      </c>
      <c r="H63" s="491">
        <f t="shared" si="13"/>
        <v>0</v>
      </c>
      <c r="I63" s="511">
        <f t="shared" si="15"/>
        <v>0</v>
      </c>
      <c r="J63" s="511"/>
      <c r="K63" s="525"/>
      <c r="L63" s="514">
        <f t="shared" si="16"/>
        <v>0</v>
      </c>
      <c r="M63" s="525"/>
      <c r="N63" s="514">
        <f t="shared" si="17"/>
        <v>0</v>
      </c>
      <c r="O63" s="514">
        <f t="shared" si="18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4"/>
        <v>0</v>
      </c>
      <c r="G64" s="526">
        <f t="shared" si="12"/>
        <v>0</v>
      </c>
      <c r="H64" s="491">
        <f t="shared" si="13"/>
        <v>0</v>
      </c>
      <c r="I64" s="511">
        <f t="shared" si="15"/>
        <v>0</v>
      </c>
      <c r="J64" s="511"/>
      <c r="K64" s="525"/>
      <c r="L64" s="514">
        <f t="shared" si="16"/>
        <v>0</v>
      </c>
      <c r="M64" s="525"/>
      <c r="N64" s="514">
        <f t="shared" si="17"/>
        <v>0</v>
      </c>
      <c r="O64" s="514">
        <f t="shared" si="18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4"/>
        <v>0</v>
      </c>
      <c r="G65" s="526">
        <f t="shared" si="12"/>
        <v>0</v>
      </c>
      <c r="H65" s="491">
        <f t="shared" si="13"/>
        <v>0</v>
      </c>
      <c r="I65" s="511">
        <f t="shared" si="15"/>
        <v>0</v>
      </c>
      <c r="J65" s="511"/>
      <c r="K65" s="525"/>
      <c r="L65" s="514">
        <f t="shared" si="16"/>
        <v>0</v>
      </c>
      <c r="M65" s="525"/>
      <c r="N65" s="514">
        <f t="shared" si="17"/>
        <v>0</v>
      </c>
      <c r="O65" s="514">
        <f t="shared" si="18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4"/>
        <v>0</v>
      </c>
      <c r="G66" s="526">
        <f t="shared" si="12"/>
        <v>0</v>
      </c>
      <c r="H66" s="491">
        <f t="shared" si="13"/>
        <v>0</v>
      </c>
      <c r="I66" s="511">
        <f t="shared" si="15"/>
        <v>0</v>
      </c>
      <c r="J66" s="511"/>
      <c r="K66" s="525"/>
      <c r="L66" s="514">
        <f t="shared" si="16"/>
        <v>0</v>
      </c>
      <c r="M66" s="525"/>
      <c r="N66" s="514">
        <f t="shared" si="17"/>
        <v>0</v>
      </c>
      <c r="O66" s="514">
        <f t="shared" si="18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4"/>
        <v>0</v>
      </c>
      <c r="G67" s="526">
        <f t="shared" si="12"/>
        <v>0</v>
      </c>
      <c r="H67" s="491">
        <f t="shared" si="13"/>
        <v>0</v>
      </c>
      <c r="I67" s="511">
        <f t="shared" si="15"/>
        <v>0</v>
      </c>
      <c r="J67" s="511"/>
      <c r="K67" s="525"/>
      <c r="L67" s="514">
        <f t="shared" si="16"/>
        <v>0</v>
      </c>
      <c r="M67" s="525"/>
      <c r="N67" s="514">
        <f t="shared" si="17"/>
        <v>0</v>
      </c>
      <c r="O67" s="514">
        <f t="shared" si="18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4"/>
        <v>0</v>
      </c>
      <c r="G68" s="526">
        <f t="shared" si="12"/>
        <v>0</v>
      </c>
      <c r="H68" s="491">
        <f t="shared" si="13"/>
        <v>0</v>
      </c>
      <c r="I68" s="511">
        <f t="shared" si="15"/>
        <v>0</v>
      </c>
      <c r="J68" s="511"/>
      <c r="K68" s="525"/>
      <c r="L68" s="514">
        <f t="shared" si="16"/>
        <v>0</v>
      </c>
      <c r="M68" s="525"/>
      <c r="N68" s="514">
        <f t="shared" si="17"/>
        <v>0</v>
      </c>
      <c r="O68" s="514">
        <f t="shared" si="18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4"/>
        <v>0</v>
      </c>
      <c r="G69" s="526">
        <f t="shared" si="12"/>
        <v>0</v>
      </c>
      <c r="H69" s="491">
        <f t="shared" si="13"/>
        <v>0</v>
      </c>
      <c r="I69" s="511">
        <f t="shared" si="15"/>
        <v>0</v>
      </c>
      <c r="J69" s="511"/>
      <c r="K69" s="525"/>
      <c r="L69" s="514">
        <f t="shared" si="16"/>
        <v>0</v>
      </c>
      <c r="M69" s="525"/>
      <c r="N69" s="514">
        <f t="shared" si="17"/>
        <v>0</v>
      </c>
      <c r="O69" s="514">
        <f t="shared" si="18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4"/>
        <v>0</v>
      </c>
      <c r="G70" s="526">
        <f t="shared" si="12"/>
        <v>0</v>
      </c>
      <c r="H70" s="491">
        <f t="shared" si="13"/>
        <v>0</v>
      </c>
      <c r="I70" s="511">
        <f t="shared" si="15"/>
        <v>0</v>
      </c>
      <c r="J70" s="511"/>
      <c r="K70" s="525"/>
      <c r="L70" s="514">
        <f t="shared" si="16"/>
        <v>0</v>
      </c>
      <c r="M70" s="525"/>
      <c r="N70" s="514">
        <f t="shared" si="17"/>
        <v>0</v>
      </c>
      <c r="O70" s="514">
        <f t="shared" si="18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4"/>
        <v>0</v>
      </c>
      <c r="G71" s="526">
        <f t="shared" si="12"/>
        <v>0</v>
      </c>
      <c r="H71" s="491">
        <f t="shared" si="13"/>
        <v>0</v>
      </c>
      <c r="I71" s="511">
        <f t="shared" si="15"/>
        <v>0</v>
      </c>
      <c r="J71" s="511"/>
      <c r="K71" s="525"/>
      <c r="L71" s="514">
        <f t="shared" si="16"/>
        <v>0</v>
      </c>
      <c r="M71" s="525"/>
      <c r="N71" s="514">
        <f t="shared" si="17"/>
        <v>0</v>
      </c>
      <c r="O71" s="514">
        <f t="shared" si="18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4"/>
        <v>0</v>
      </c>
      <c r="G72" s="530">
        <f t="shared" si="12"/>
        <v>0</v>
      </c>
      <c r="H72" s="471">
        <f t="shared" si="13"/>
        <v>0</v>
      </c>
      <c r="I72" s="531">
        <f t="shared" si="15"/>
        <v>0</v>
      </c>
      <c r="J72" s="511"/>
      <c r="K72" s="532"/>
      <c r="L72" s="533">
        <f t="shared" si="16"/>
        <v>0</v>
      </c>
      <c r="M72" s="532"/>
      <c r="N72" s="533">
        <f t="shared" si="17"/>
        <v>0</v>
      </c>
      <c r="O72" s="533">
        <f t="shared" si="18"/>
        <v>0</v>
      </c>
      <c r="P72" s="272"/>
    </row>
    <row r="73" spans="1:16" ht="12.5">
      <c r="C73" s="374" t="s">
        <v>78</v>
      </c>
      <c r="D73" s="375"/>
      <c r="E73" s="375">
        <f>SUM(E17:E72)</f>
        <v>37028624.999999985</v>
      </c>
      <c r="F73" s="375"/>
      <c r="G73" s="375">
        <f>SUM(G17:G72)</f>
        <v>127905849.69858499</v>
      </c>
      <c r="H73" s="375">
        <f>SUM(H17:H72)</f>
        <v>127905849.69858499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6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2020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3828983.1330273524</v>
      </c>
      <c r="N87" s="546">
        <f>IF(J92&lt;D11,0,VLOOKUP(J92,C17:O72,11))</f>
        <v>3828983.1330273524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4005775.1149744629</v>
      </c>
      <c r="N88" s="550">
        <f>IF(J92&lt;D11,0,VLOOKUP(J92,C99:P154,7))</f>
        <v>4005775.1149744629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Port Robson-Caplis Line (SW 138 kV Loop -- 2009)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176791.9819471105</v>
      </c>
      <c r="N89" s="555">
        <f>+N88-N87</f>
        <v>176791.9819471105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TP2007165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37028625</v>
      </c>
      <c r="E92" s="340" t="s">
        <v>86</v>
      </c>
      <c r="H92" s="484"/>
      <c r="I92" s="484"/>
      <c r="J92" s="485">
        <f>+'SWE.WS.G.BPU.ATRR.True-up'!M16</f>
        <v>2020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0.10757383250073754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42</v>
      </c>
      <c r="E95" s="486" t="s">
        <v>60</v>
      </c>
      <c r="F95" s="484"/>
      <c r="G95" s="484"/>
      <c r="J95" s="490">
        <f>IF(H87="",J94,'SWE.WS.G.BPU.ATRR.True-up'!$F$80)</f>
        <v>0.10757383250073754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881633.92857142852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70250</v>
      </c>
      <c r="F99" s="515">
        <v>5268768</v>
      </c>
      <c r="G99" s="574">
        <v>2634384</v>
      </c>
      <c r="H99" s="575">
        <v>451544</v>
      </c>
      <c r="I99" s="576">
        <v>451544</v>
      </c>
      <c r="J99" s="514">
        <f t="shared" ref="J99:J130" si="19">+I99-H99</f>
        <v>0</v>
      </c>
      <c r="K99" s="514"/>
      <c r="L99" s="512">
        <f t="shared" ref="L99:L104" si="20">H99</f>
        <v>451544</v>
      </c>
      <c r="M99" s="513">
        <f t="shared" ref="M99:M130" si="21">IF(L99&lt;&gt;0,+H99-L99,0)</f>
        <v>0</v>
      </c>
      <c r="N99" s="512">
        <f t="shared" ref="N99:N104" si="22">I99</f>
        <v>451544</v>
      </c>
      <c r="O99" s="513">
        <f t="shared" ref="O99:O130" si="23">IF(N99&lt;&gt;0,+I99-N99,0)</f>
        <v>0</v>
      </c>
      <c r="P99" s="513">
        <f t="shared" ref="P99:P130" si="24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5927359</v>
      </c>
      <c r="E100" s="516">
        <v>146283.14634146341</v>
      </c>
      <c r="F100" s="515">
        <v>5781075.8536585364</v>
      </c>
      <c r="G100" s="515">
        <v>5854217.4268292682</v>
      </c>
      <c r="H100" s="516">
        <v>1112732.9651723914</v>
      </c>
      <c r="I100" s="510">
        <v>1112732.9651723914</v>
      </c>
      <c r="J100" s="514">
        <f t="shared" si="19"/>
        <v>0</v>
      </c>
      <c r="K100" s="514"/>
      <c r="L100" s="518">
        <f t="shared" si="20"/>
        <v>1112732.9651723914</v>
      </c>
      <c r="M100" s="519">
        <f t="shared" si="21"/>
        <v>0</v>
      </c>
      <c r="N100" s="518">
        <f t="shared" si="22"/>
        <v>1112732.9651723914</v>
      </c>
      <c r="O100" s="514">
        <f t="shared" si="23"/>
        <v>0</v>
      </c>
      <c r="P100" s="514">
        <f t="shared" si="24"/>
        <v>0</v>
      </c>
      <c r="Q100" s="269"/>
    </row>
    <row r="101" spans="1:17" ht="12.5">
      <c r="B101" s="195" t="str">
        <f t="shared" ref="B101:B154" si="25">IF(D101=F100,"","IU")</f>
        <v>IU</v>
      </c>
      <c r="C101" s="507">
        <f>IF(D93="","-",+C100+1)</f>
        <v>2011</v>
      </c>
      <c r="D101" s="508">
        <v>20674238.853658538</v>
      </c>
      <c r="E101" s="516">
        <v>497399.33333333331</v>
      </c>
      <c r="F101" s="515">
        <v>20176839.520325206</v>
      </c>
      <c r="G101" s="515">
        <v>20425539.18699187</v>
      </c>
      <c r="H101" s="516">
        <v>3568989.8996136081</v>
      </c>
      <c r="I101" s="510">
        <v>3568989.8996136081</v>
      </c>
      <c r="J101" s="514">
        <f t="shared" si="19"/>
        <v>0</v>
      </c>
      <c r="K101" s="514"/>
      <c r="L101" s="518">
        <f t="shared" si="20"/>
        <v>3568989.8996136081</v>
      </c>
      <c r="M101" s="519">
        <f t="shared" si="21"/>
        <v>0</v>
      </c>
      <c r="N101" s="518">
        <f t="shared" si="22"/>
        <v>3568989.8996136081</v>
      </c>
      <c r="O101" s="514">
        <f t="shared" si="23"/>
        <v>0</v>
      </c>
      <c r="P101" s="514">
        <f t="shared" si="24"/>
        <v>0</v>
      </c>
      <c r="Q101" s="269"/>
    </row>
    <row r="102" spans="1:17" ht="12.5">
      <c r="B102" s="195" t="str">
        <f t="shared" si="25"/>
        <v>IU</v>
      </c>
      <c r="C102" s="507">
        <f>IF(D93="","-",+C101+1)</f>
        <v>2012</v>
      </c>
      <c r="D102" s="508">
        <v>28853944.520325202</v>
      </c>
      <c r="E102" s="516">
        <v>703997.07142857148</v>
      </c>
      <c r="F102" s="515">
        <v>28149947.448896632</v>
      </c>
      <c r="G102" s="515">
        <v>28501945.984610915</v>
      </c>
      <c r="H102" s="516">
        <v>4898170.4869055999</v>
      </c>
      <c r="I102" s="510">
        <v>4898170.4869055999</v>
      </c>
      <c r="J102" s="514">
        <f t="shared" si="19"/>
        <v>0</v>
      </c>
      <c r="K102" s="514"/>
      <c r="L102" s="518">
        <f t="shared" si="20"/>
        <v>4898170.4869055999</v>
      </c>
      <c r="M102" s="519">
        <f t="shared" si="21"/>
        <v>0</v>
      </c>
      <c r="N102" s="518">
        <f t="shared" si="22"/>
        <v>4898170.4869055999</v>
      </c>
      <c r="O102" s="514">
        <f t="shared" si="23"/>
        <v>0</v>
      </c>
      <c r="P102" s="514">
        <f t="shared" si="24"/>
        <v>0</v>
      </c>
      <c r="Q102" s="269"/>
    </row>
    <row r="103" spans="1:17" ht="12.5">
      <c r="B103" s="195" t="str">
        <f t="shared" si="25"/>
        <v>IU</v>
      </c>
      <c r="C103" s="507">
        <f>IF(D93="","-",+C102+1)</f>
        <v>2013</v>
      </c>
      <c r="D103" s="508">
        <v>35510528.448896632</v>
      </c>
      <c r="E103" s="516">
        <v>879249</v>
      </c>
      <c r="F103" s="515">
        <v>34631279.448896632</v>
      </c>
      <c r="G103" s="515">
        <v>35070903.948896632</v>
      </c>
      <c r="H103" s="516">
        <v>5624051.2967773527</v>
      </c>
      <c r="I103" s="510">
        <v>5624051.2967773527</v>
      </c>
      <c r="J103" s="514">
        <v>0</v>
      </c>
      <c r="K103" s="514"/>
      <c r="L103" s="518">
        <f t="shared" si="20"/>
        <v>5624051.2967773527</v>
      </c>
      <c r="M103" s="519">
        <f t="shared" ref="M103:M108" si="26">IF(L103&lt;&gt;0,+H103-L103,0)</f>
        <v>0</v>
      </c>
      <c r="N103" s="518">
        <f t="shared" si="22"/>
        <v>5624051.2967773527</v>
      </c>
      <c r="O103" s="514">
        <f t="shared" ref="O103:O108" si="27"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25"/>
        <v>IU</v>
      </c>
      <c r="C104" s="507">
        <f>IF(D93="","-",+C103+1)</f>
        <v>2014</v>
      </c>
      <c r="D104" s="508">
        <v>34731446.448896632</v>
      </c>
      <c r="E104" s="516">
        <v>881633.92857142852</v>
      </c>
      <c r="F104" s="515">
        <v>33849812.520325206</v>
      </c>
      <c r="G104" s="515">
        <v>34290629.484610915</v>
      </c>
      <c r="H104" s="516">
        <v>5542534.9256215226</v>
      </c>
      <c r="I104" s="510">
        <v>5542534.9256215226</v>
      </c>
      <c r="J104" s="514">
        <v>0</v>
      </c>
      <c r="K104" s="514"/>
      <c r="L104" s="518">
        <f t="shared" si="20"/>
        <v>5542534.9256215226</v>
      </c>
      <c r="M104" s="519">
        <f t="shared" si="26"/>
        <v>0</v>
      </c>
      <c r="N104" s="518">
        <f t="shared" si="22"/>
        <v>5542534.9256215226</v>
      </c>
      <c r="O104" s="514">
        <f t="shared" si="27"/>
        <v>0</v>
      </c>
      <c r="P104" s="514">
        <f>+O104-M104</f>
        <v>0</v>
      </c>
      <c r="Q104" s="269"/>
    </row>
    <row r="105" spans="1:17" ht="12.5">
      <c r="B105" s="195" t="str">
        <f t="shared" si="25"/>
        <v/>
      </c>
      <c r="C105" s="507">
        <f>IF(D93="","-",+C104+1)</f>
        <v>2015</v>
      </c>
      <c r="D105" s="508">
        <v>33849812.520325206</v>
      </c>
      <c r="E105" s="516">
        <v>881633.92857142852</v>
      </c>
      <c r="F105" s="515">
        <v>32968178.591753777</v>
      </c>
      <c r="G105" s="515">
        <v>33408995.55603949</v>
      </c>
      <c r="H105" s="516">
        <v>5283899.7839213237</v>
      </c>
      <c r="I105" s="510">
        <v>5283899.7839213237</v>
      </c>
      <c r="J105" s="514">
        <f t="shared" si="19"/>
        <v>0</v>
      </c>
      <c r="K105" s="514"/>
      <c r="L105" s="518">
        <f>H105</f>
        <v>5283899.7839213237</v>
      </c>
      <c r="M105" s="519">
        <f t="shared" si="26"/>
        <v>0</v>
      </c>
      <c r="N105" s="518">
        <f>I105</f>
        <v>5283899.7839213237</v>
      </c>
      <c r="O105" s="514">
        <f t="shared" si="27"/>
        <v>0</v>
      </c>
      <c r="P105" s="514">
        <f>+O105-M105</f>
        <v>0</v>
      </c>
      <c r="Q105" s="269"/>
    </row>
    <row r="106" spans="1:17" ht="12.5">
      <c r="B106" s="195" t="str">
        <f t="shared" si="25"/>
        <v/>
      </c>
      <c r="C106" s="507">
        <f>IF(D93="","-",+C105+1)</f>
        <v>2016</v>
      </c>
      <c r="D106" s="508">
        <v>32968178.591753777</v>
      </c>
      <c r="E106" s="516">
        <v>861130.81395348837</v>
      </c>
      <c r="F106" s="515">
        <v>32107047.777800288</v>
      </c>
      <c r="G106" s="515">
        <v>32537613.184777033</v>
      </c>
      <c r="H106" s="516">
        <v>4991780.4266921831</v>
      </c>
      <c r="I106" s="510">
        <v>4991780.4266921831</v>
      </c>
      <c r="J106" s="514">
        <f t="shared" si="19"/>
        <v>0</v>
      </c>
      <c r="K106" s="514"/>
      <c r="L106" s="518">
        <f>H106</f>
        <v>4991780.4266921831</v>
      </c>
      <c r="M106" s="519">
        <f t="shared" si="26"/>
        <v>0</v>
      </c>
      <c r="N106" s="518">
        <f>I106</f>
        <v>4991780.4266921831</v>
      </c>
      <c r="O106" s="514">
        <f t="shared" si="27"/>
        <v>0</v>
      </c>
      <c r="P106" s="514">
        <f>+O106-M106</f>
        <v>0</v>
      </c>
      <c r="Q106" s="269"/>
    </row>
    <row r="107" spans="1:17" ht="12.5">
      <c r="B107" s="195" t="str">
        <f t="shared" si="25"/>
        <v/>
      </c>
      <c r="C107" s="507">
        <f>IF(D93="","-",+C106+1)</f>
        <v>2017</v>
      </c>
      <c r="D107" s="508">
        <v>32107047.777800288</v>
      </c>
      <c r="E107" s="516">
        <v>881633.92857142852</v>
      </c>
      <c r="F107" s="515">
        <v>31225413.849228859</v>
      </c>
      <c r="G107" s="515">
        <v>31666230.813514575</v>
      </c>
      <c r="H107" s="516">
        <v>4728177.1448464729</v>
      </c>
      <c r="I107" s="510">
        <v>4728177.1448464729</v>
      </c>
      <c r="J107" s="514">
        <f t="shared" si="19"/>
        <v>0</v>
      </c>
      <c r="K107" s="514"/>
      <c r="L107" s="518">
        <f>H107</f>
        <v>4728177.1448464729</v>
      </c>
      <c r="M107" s="519">
        <f t="shared" si="26"/>
        <v>0</v>
      </c>
      <c r="N107" s="518">
        <f>I107</f>
        <v>4728177.1448464729</v>
      </c>
      <c r="O107" s="514">
        <f t="shared" si="27"/>
        <v>0</v>
      </c>
      <c r="P107" s="514">
        <f>+O107-M107</f>
        <v>0</v>
      </c>
      <c r="Q107" s="269"/>
    </row>
    <row r="108" spans="1:17" ht="12.5">
      <c r="B108" s="195" t="str">
        <f t="shared" si="25"/>
        <v/>
      </c>
      <c r="C108" s="507">
        <f>IF(D93="","-",+C107+1)</f>
        <v>2018</v>
      </c>
      <c r="D108" s="508">
        <v>31225413.849228859</v>
      </c>
      <c r="E108" s="516">
        <v>881633.92857142852</v>
      </c>
      <c r="F108" s="515">
        <v>30343779.92065743</v>
      </c>
      <c r="G108" s="515">
        <v>30784596.884943143</v>
      </c>
      <c r="H108" s="516">
        <v>4132628.5322350259</v>
      </c>
      <c r="I108" s="510">
        <v>4132628.5322350259</v>
      </c>
      <c r="J108" s="514">
        <f t="shared" si="19"/>
        <v>0</v>
      </c>
      <c r="K108" s="514"/>
      <c r="L108" s="518">
        <f>H108</f>
        <v>4132628.5322350259</v>
      </c>
      <c r="M108" s="519">
        <f t="shared" si="26"/>
        <v>0</v>
      </c>
      <c r="N108" s="518">
        <f>I108</f>
        <v>4132628.5322350259</v>
      </c>
      <c r="O108" s="514">
        <f t="shared" si="27"/>
        <v>0</v>
      </c>
      <c r="P108" s="514">
        <f t="shared" si="24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2019</v>
      </c>
      <c r="D109" s="508">
        <v>30343779.92065743</v>
      </c>
      <c r="E109" s="516">
        <v>861130.81395348837</v>
      </c>
      <c r="F109" s="515">
        <v>29482649.106703941</v>
      </c>
      <c r="G109" s="515">
        <v>29913214.513680685</v>
      </c>
      <c r="H109" s="516">
        <v>4063057.6443278007</v>
      </c>
      <c r="I109" s="510">
        <v>4063057.6443278007</v>
      </c>
      <c r="J109" s="514">
        <f t="shared" si="19"/>
        <v>0</v>
      </c>
      <c r="K109" s="514"/>
      <c r="L109" s="518">
        <f>H109</f>
        <v>4063057.6443278007</v>
      </c>
      <c r="M109" s="519">
        <f t="shared" ref="M109" si="28">IF(L109&lt;&gt;0,+H109-L109,0)</f>
        <v>0</v>
      </c>
      <c r="N109" s="518">
        <f>I109</f>
        <v>4063057.6443278007</v>
      </c>
      <c r="O109" s="514">
        <f t="shared" si="23"/>
        <v>0</v>
      </c>
      <c r="P109" s="514">
        <f t="shared" si="24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2020</v>
      </c>
      <c r="D110" s="374">
        <f>IF(F109+SUM(E$99:E109)=D$92,F109,D$92-SUM(E$99:E109))</f>
        <v>29482649.106703941</v>
      </c>
      <c r="E110" s="522">
        <f>IF(+J96&lt;F109,J96,D110)</f>
        <v>881633.92857142852</v>
      </c>
      <c r="F110" s="523">
        <f t="shared" ref="F110:F130" si="29">+D110-E110</f>
        <v>28601015.178132512</v>
      </c>
      <c r="G110" s="523">
        <f t="shared" ref="G110:G130" si="30">+(F110+D110)/2</f>
        <v>29041832.142418228</v>
      </c>
      <c r="H110" s="526">
        <f>+J$94*G110+E110</f>
        <v>4005775.1149744629</v>
      </c>
      <c r="I110" s="577">
        <f>+J$95*G110+E110</f>
        <v>4005775.1149744629</v>
      </c>
      <c r="J110" s="514">
        <f t="shared" si="19"/>
        <v>0</v>
      </c>
      <c r="K110" s="514"/>
      <c r="L110" s="525"/>
      <c r="M110" s="514">
        <f t="shared" si="21"/>
        <v>0</v>
      </c>
      <c r="N110" s="525"/>
      <c r="O110" s="514">
        <f t="shared" si="23"/>
        <v>0</v>
      </c>
      <c r="P110" s="514">
        <f t="shared" si="24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2021</v>
      </c>
      <c r="D111" s="374">
        <f>IF(F110+SUM(E$99:E110)=D$92,F110,D$92-SUM(E$99:E110))</f>
        <v>28601015.178132512</v>
      </c>
      <c r="E111" s="522">
        <f>IF(+J96&lt;F110,J96,D111)</f>
        <v>881633.92857142852</v>
      </c>
      <c r="F111" s="523">
        <f t="shared" si="29"/>
        <v>27719381.249561083</v>
      </c>
      <c r="G111" s="523">
        <f t="shared" si="30"/>
        <v>28160198.213846795</v>
      </c>
      <c r="H111" s="526">
        <f>+J$94*G111+E111</f>
        <v>3910934.3744153525</v>
      </c>
      <c r="I111" s="577">
        <f>+J$95*G111+E111</f>
        <v>3910934.3744153525</v>
      </c>
      <c r="J111" s="514">
        <f t="shared" si="19"/>
        <v>0</v>
      </c>
      <c r="K111" s="514"/>
      <c r="L111" s="525"/>
      <c r="M111" s="514">
        <f t="shared" si="21"/>
        <v>0</v>
      </c>
      <c r="N111" s="525"/>
      <c r="O111" s="514">
        <f t="shared" si="23"/>
        <v>0</v>
      </c>
      <c r="P111" s="514">
        <f t="shared" si="24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2022</v>
      </c>
      <c r="D112" s="374">
        <f>IF(F111+SUM(E$99:E111)=D$92,F111,D$92-SUM(E$99:E111))</f>
        <v>27719381.249561083</v>
      </c>
      <c r="E112" s="522">
        <f>IF(+J96&lt;F111,J96,D112)</f>
        <v>881633.92857142852</v>
      </c>
      <c r="F112" s="523">
        <f t="shared" si="29"/>
        <v>26837747.320989653</v>
      </c>
      <c r="G112" s="523">
        <f t="shared" si="30"/>
        <v>27278564.28527537</v>
      </c>
      <c r="H112" s="526">
        <f>+J$94*G112+E112</f>
        <v>3816093.6338562425</v>
      </c>
      <c r="I112" s="577">
        <f>+J$95*G112+E112</f>
        <v>3816093.6338562425</v>
      </c>
      <c r="J112" s="514">
        <f t="shared" si="19"/>
        <v>0</v>
      </c>
      <c r="K112" s="514"/>
      <c r="L112" s="525"/>
      <c r="M112" s="514">
        <f t="shared" si="21"/>
        <v>0</v>
      </c>
      <c r="N112" s="525"/>
      <c r="O112" s="514">
        <f t="shared" si="23"/>
        <v>0</v>
      </c>
      <c r="P112" s="514">
        <f t="shared" si="24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2023</v>
      </c>
      <c r="D113" s="374">
        <f>IF(F112+SUM(E$99:E112)=D$92,F112,D$92-SUM(E$99:E112))</f>
        <v>26837747.320989653</v>
      </c>
      <c r="E113" s="522">
        <f>IF(+J96&lt;F112,J96,D113)</f>
        <v>881633.92857142852</v>
      </c>
      <c r="F113" s="523">
        <f t="shared" si="29"/>
        <v>25956113.392418224</v>
      </c>
      <c r="G113" s="523">
        <f t="shared" si="30"/>
        <v>26396930.356703937</v>
      </c>
      <c r="H113" s="526">
        <f t="shared" ref="H113:H154" si="31">+J$94*G113+E113</f>
        <v>3721252.8932971321</v>
      </c>
      <c r="I113" s="577">
        <f t="shared" ref="I113:I154" si="32">+J$95*G113+E113</f>
        <v>3721252.8932971321</v>
      </c>
      <c r="J113" s="514">
        <f t="shared" si="19"/>
        <v>0</v>
      </c>
      <c r="K113" s="514"/>
      <c r="L113" s="525"/>
      <c r="M113" s="514">
        <f t="shared" si="21"/>
        <v>0</v>
      </c>
      <c r="N113" s="525"/>
      <c r="O113" s="514">
        <f t="shared" si="23"/>
        <v>0</v>
      </c>
      <c r="P113" s="514">
        <f t="shared" si="24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2024</v>
      </c>
      <c r="D114" s="374">
        <f>IF(F113+SUM(E$99:E113)=D$92,F113,D$92-SUM(E$99:E113))</f>
        <v>25956113.392418224</v>
      </c>
      <c r="E114" s="522">
        <f>IF(+J96&lt;F113,J96,D114)</f>
        <v>881633.92857142852</v>
      </c>
      <c r="F114" s="523">
        <f t="shared" si="29"/>
        <v>25074479.463846795</v>
      </c>
      <c r="G114" s="523">
        <f t="shared" si="30"/>
        <v>25515296.428132512</v>
      </c>
      <c r="H114" s="526">
        <f t="shared" si="31"/>
        <v>3626412.1527380222</v>
      </c>
      <c r="I114" s="577">
        <f t="shared" si="32"/>
        <v>3626412.1527380222</v>
      </c>
      <c r="J114" s="514">
        <f t="shared" si="19"/>
        <v>0</v>
      </c>
      <c r="K114" s="514"/>
      <c r="L114" s="525"/>
      <c r="M114" s="514">
        <f t="shared" si="21"/>
        <v>0</v>
      </c>
      <c r="N114" s="525"/>
      <c r="O114" s="514">
        <f t="shared" si="23"/>
        <v>0</v>
      </c>
      <c r="P114" s="514">
        <f t="shared" si="24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2025</v>
      </c>
      <c r="D115" s="374">
        <f>IF(F114+SUM(E$99:E114)=D$92,F114,D$92-SUM(E$99:E114))</f>
        <v>25074479.463846795</v>
      </c>
      <c r="E115" s="522">
        <f>IF(+J96&lt;F114,J96,D115)</f>
        <v>881633.92857142852</v>
      </c>
      <c r="F115" s="523">
        <f t="shared" si="29"/>
        <v>24192845.535275366</v>
      </c>
      <c r="G115" s="523">
        <f t="shared" si="30"/>
        <v>24633662.499561079</v>
      </c>
      <c r="H115" s="526">
        <f t="shared" si="31"/>
        <v>3531571.4121789117</v>
      </c>
      <c r="I115" s="577">
        <f t="shared" si="32"/>
        <v>3531571.4121789117</v>
      </c>
      <c r="J115" s="514">
        <f t="shared" si="19"/>
        <v>0</v>
      </c>
      <c r="K115" s="514"/>
      <c r="L115" s="525"/>
      <c r="M115" s="514">
        <f t="shared" si="21"/>
        <v>0</v>
      </c>
      <c r="N115" s="525"/>
      <c r="O115" s="514">
        <f t="shared" si="23"/>
        <v>0</v>
      </c>
      <c r="P115" s="514">
        <f t="shared" si="24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2026</v>
      </c>
      <c r="D116" s="374">
        <f>IF(F115+SUM(E$99:E115)=D$92,F115,D$92-SUM(E$99:E115))</f>
        <v>24192845.535275366</v>
      </c>
      <c r="E116" s="522">
        <f>IF(+J96&lt;F115,J96,D116)</f>
        <v>881633.92857142852</v>
      </c>
      <c r="F116" s="523">
        <f t="shared" si="29"/>
        <v>23311211.606703937</v>
      </c>
      <c r="G116" s="523">
        <f t="shared" si="30"/>
        <v>23752028.570989653</v>
      </c>
      <c r="H116" s="526">
        <f t="shared" si="31"/>
        <v>3436730.6716198022</v>
      </c>
      <c r="I116" s="577">
        <f t="shared" si="32"/>
        <v>3436730.6716198022</v>
      </c>
      <c r="J116" s="514">
        <f t="shared" si="19"/>
        <v>0</v>
      </c>
      <c r="K116" s="514"/>
      <c r="L116" s="525"/>
      <c r="M116" s="514">
        <f t="shared" si="21"/>
        <v>0</v>
      </c>
      <c r="N116" s="525"/>
      <c r="O116" s="514">
        <f t="shared" si="23"/>
        <v>0</v>
      </c>
      <c r="P116" s="514">
        <f t="shared" si="24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2027</v>
      </c>
      <c r="D117" s="374">
        <f>IF(F116+SUM(E$99:E116)=D$92,F116,D$92-SUM(E$99:E116))</f>
        <v>23311211.606703937</v>
      </c>
      <c r="E117" s="522">
        <f>IF(+J96&lt;F116,J96,D117)</f>
        <v>881633.92857142852</v>
      </c>
      <c r="F117" s="523">
        <f t="shared" si="29"/>
        <v>22429577.678132508</v>
      </c>
      <c r="G117" s="523">
        <f t="shared" si="30"/>
        <v>22870394.642418221</v>
      </c>
      <c r="H117" s="526">
        <f t="shared" si="31"/>
        <v>3341889.9310606914</v>
      </c>
      <c r="I117" s="577">
        <f t="shared" si="32"/>
        <v>3341889.9310606914</v>
      </c>
      <c r="J117" s="514">
        <f t="shared" si="19"/>
        <v>0</v>
      </c>
      <c r="K117" s="514"/>
      <c r="L117" s="525"/>
      <c r="M117" s="514">
        <f t="shared" si="21"/>
        <v>0</v>
      </c>
      <c r="N117" s="525"/>
      <c r="O117" s="514">
        <f t="shared" si="23"/>
        <v>0</v>
      </c>
      <c r="P117" s="514">
        <f t="shared" si="24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2028</v>
      </c>
      <c r="D118" s="374">
        <f>IF(F117+SUM(E$99:E117)=D$92,F117,D$92-SUM(E$99:E117))</f>
        <v>22429577.678132508</v>
      </c>
      <c r="E118" s="522">
        <f>IF(+J96&lt;F117,J96,D118)</f>
        <v>881633.92857142852</v>
      </c>
      <c r="F118" s="523">
        <f t="shared" si="29"/>
        <v>21547943.749561079</v>
      </c>
      <c r="G118" s="523">
        <f t="shared" si="30"/>
        <v>21988760.713846795</v>
      </c>
      <c r="H118" s="526">
        <f t="shared" si="31"/>
        <v>3247049.1905015819</v>
      </c>
      <c r="I118" s="577">
        <f t="shared" si="32"/>
        <v>3247049.1905015819</v>
      </c>
      <c r="J118" s="514">
        <f t="shared" si="19"/>
        <v>0</v>
      </c>
      <c r="K118" s="514"/>
      <c r="L118" s="525"/>
      <c r="M118" s="514">
        <f t="shared" si="21"/>
        <v>0</v>
      </c>
      <c r="N118" s="525"/>
      <c r="O118" s="514">
        <f t="shared" si="23"/>
        <v>0</v>
      </c>
      <c r="P118" s="514">
        <f t="shared" si="24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2029</v>
      </c>
      <c r="D119" s="374">
        <f>IF(F118+SUM(E$99:E118)=D$92,F118,D$92-SUM(E$99:E118))</f>
        <v>21547943.749561079</v>
      </c>
      <c r="E119" s="522">
        <f>IF(+J96&lt;F118,J96,D119)</f>
        <v>881633.92857142852</v>
      </c>
      <c r="F119" s="523">
        <f t="shared" si="29"/>
        <v>20666309.82098965</v>
      </c>
      <c r="G119" s="523">
        <f t="shared" si="30"/>
        <v>21107126.785275362</v>
      </c>
      <c r="H119" s="526">
        <f t="shared" si="31"/>
        <v>3152208.4499424715</v>
      </c>
      <c r="I119" s="577">
        <f t="shared" si="32"/>
        <v>3152208.4499424715</v>
      </c>
      <c r="J119" s="514">
        <f t="shared" si="19"/>
        <v>0</v>
      </c>
      <c r="K119" s="514"/>
      <c r="L119" s="525"/>
      <c r="M119" s="514">
        <f t="shared" si="21"/>
        <v>0</v>
      </c>
      <c r="N119" s="525"/>
      <c r="O119" s="514">
        <f t="shared" si="23"/>
        <v>0</v>
      </c>
      <c r="P119" s="514">
        <f t="shared" si="24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2030</v>
      </c>
      <c r="D120" s="374">
        <f>IF(F119+SUM(E$99:E119)=D$92,F119,D$92-SUM(E$99:E119))</f>
        <v>20666309.82098965</v>
      </c>
      <c r="E120" s="522">
        <f>IF(+J96&lt;F119,J96,D120)</f>
        <v>881633.92857142852</v>
      </c>
      <c r="F120" s="523">
        <f t="shared" si="29"/>
        <v>19784675.892418221</v>
      </c>
      <c r="G120" s="523">
        <f t="shared" si="30"/>
        <v>20225492.856703937</v>
      </c>
      <c r="H120" s="526">
        <f t="shared" si="31"/>
        <v>3057367.7093833615</v>
      </c>
      <c r="I120" s="577">
        <f t="shared" si="32"/>
        <v>3057367.7093833615</v>
      </c>
      <c r="J120" s="514">
        <f t="shared" si="19"/>
        <v>0</v>
      </c>
      <c r="K120" s="514"/>
      <c r="L120" s="525"/>
      <c r="M120" s="514">
        <f t="shared" si="21"/>
        <v>0</v>
      </c>
      <c r="N120" s="525"/>
      <c r="O120" s="514">
        <f t="shared" si="23"/>
        <v>0</v>
      </c>
      <c r="P120" s="514">
        <f t="shared" si="24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2031</v>
      </c>
      <c r="D121" s="374">
        <f>IF(F120+SUM(E$99:E120)=D$92,F120,D$92-SUM(E$99:E120))</f>
        <v>19784675.892418221</v>
      </c>
      <c r="E121" s="522">
        <f>IF(+J96&lt;F120,J96,D121)</f>
        <v>881633.92857142852</v>
      </c>
      <c r="F121" s="523">
        <f t="shared" si="29"/>
        <v>18903041.963846792</v>
      </c>
      <c r="G121" s="523">
        <f t="shared" si="30"/>
        <v>19343858.928132504</v>
      </c>
      <c r="H121" s="526">
        <f t="shared" si="31"/>
        <v>2962526.9688242511</v>
      </c>
      <c r="I121" s="577">
        <f t="shared" si="32"/>
        <v>2962526.9688242511</v>
      </c>
      <c r="J121" s="514">
        <f t="shared" si="19"/>
        <v>0</v>
      </c>
      <c r="K121" s="514"/>
      <c r="L121" s="525"/>
      <c r="M121" s="514">
        <f t="shared" si="21"/>
        <v>0</v>
      </c>
      <c r="N121" s="525"/>
      <c r="O121" s="514">
        <f t="shared" si="23"/>
        <v>0</v>
      </c>
      <c r="P121" s="514">
        <f t="shared" si="24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2032</v>
      </c>
      <c r="D122" s="374">
        <f>IF(F121+SUM(E$99:E121)=D$92,F121,D$92-SUM(E$99:E121))</f>
        <v>18903041.963846792</v>
      </c>
      <c r="E122" s="522">
        <f>IF(+J96&lt;F121,J96,D122)</f>
        <v>881633.92857142852</v>
      </c>
      <c r="F122" s="523">
        <f t="shared" si="29"/>
        <v>18021408.035275362</v>
      </c>
      <c r="G122" s="523">
        <f t="shared" si="30"/>
        <v>18462224.999561079</v>
      </c>
      <c r="H122" s="526">
        <f t="shared" si="31"/>
        <v>2867686.2282651411</v>
      </c>
      <c r="I122" s="577">
        <f t="shared" si="32"/>
        <v>2867686.2282651411</v>
      </c>
      <c r="J122" s="514">
        <f t="shared" si="19"/>
        <v>0</v>
      </c>
      <c r="K122" s="514"/>
      <c r="L122" s="525"/>
      <c r="M122" s="514">
        <f t="shared" si="21"/>
        <v>0</v>
      </c>
      <c r="N122" s="525"/>
      <c r="O122" s="514">
        <f t="shared" si="23"/>
        <v>0</v>
      </c>
      <c r="P122" s="514">
        <f t="shared" si="24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2033</v>
      </c>
      <c r="D123" s="374">
        <f>IF(F122+SUM(E$99:E122)=D$92,F122,D$92-SUM(E$99:E122))</f>
        <v>18021408.035275362</v>
      </c>
      <c r="E123" s="522">
        <f>IF(+J96&lt;F122,J96,D123)</f>
        <v>881633.92857142852</v>
      </c>
      <c r="F123" s="523">
        <f t="shared" si="29"/>
        <v>17139774.106703933</v>
      </c>
      <c r="G123" s="523">
        <f t="shared" si="30"/>
        <v>17580591.070989646</v>
      </c>
      <c r="H123" s="526">
        <f t="shared" si="31"/>
        <v>2772845.4877060307</v>
      </c>
      <c r="I123" s="577">
        <f t="shared" si="32"/>
        <v>2772845.4877060307</v>
      </c>
      <c r="J123" s="514">
        <f t="shared" si="19"/>
        <v>0</v>
      </c>
      <c r="K123" s="514"/>
      <c r="L123" s="525"/>
      <c r="M123" s="514">
        <f t="shared" si="21"/>
        <v>0</v>
      </c>
      <c r="N123" s="525"/>
      <c r="O123" s="514">
        <f t="shared" si="23"/>
        <v>0</v>
      </c>
      <c r="P123" s="514">
        <f t="shared" si="24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2034</v>
      </c>
      <c r="D124" s="374">
        <f>IF(F123+SUM(E$99:E123)=D$92,F123,D$92-SUM(E$99:E123))</f>
        <v>17139774.106703933</v>
      </c>
      <c r="E124" s="522">
        <f>IF(+J96&lt;F123,J96,D124)</f>
        <v>881633.92857142852</v>
      </c>
      <c r="F124" s="523">
        <f t="shared" si="29"/>
        <v>16258140.178132504</v>
      </c>
      <c r="G124" s="523">
        <f t="shared" si="30"/>
        <v>16698957.142418219</v>
      </c>
      <c r="H124" s="526">
        <f t="shared" si="31"/>
        <v>2678004.7471469208</v>
      </c>
      <c r="I124" s="577">
        <f t="shared" si="32"/>
        <v>2678004.7471469208</v>
      </c>
      <c r="J124" s="514">
        <f t="shared" si="19"/>
        <v>0</v>
      </c>
      <c r="K124" s="514"/>
      <c r="L124" s="525"/>
      <c r="M124" s="514">
        <f t="shared" si="21"/>
        <v>0</v>
      </c>
      <c r="N124" s="525"/>
      <c r="O124" s="514">
        <f t="shared" si="23"/>
        <v>0</v>
      </c>
      <c r="P124" s="514">
        <f t="shared" si="24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2035</v>
      </c>
      <c r="D125" s="374">
        <f>IF(F124+SUM(E$99:E124)=D$92,F124,D$92-SUM(E$99:E124))</f>
        <v>16258140.178132504</v>
      </c>
      <c r="E125" s="522">
        <f>IF(+J96&lt;F124,J96,D125)</f>
        <v>881633.92857142852</v>
      </c>
      <c r="F125" s="523">
        <f t="shared" si="29"/>
        <v>15376506.249561075</v>
      </c>
      <c r="G125" s="523">
        <f t="shared" si="30"/>
        <v>15817323.21384679</v>
      </c>
      <c r="H125" s="526">
        <f t="shared" si="31"/>
        <v>2583164.0065878108</v>
      </c>
      <c r="I125" s="577">
        <f t="shared" si="32"/>
        <v>2583164.0065878108</v>
      </c>
      <c r="J125" s="514">
        <f t="shared" si="19"/>
        <v>0</v>
      </c>
      <c r="K125" s="514"/>
      <c r="L125" s="525"/>
      <c r="M125" s="514">
        <f t="shared" si="21"/>
        <v>0</v>
      </c>
      <c r="N125" s="525"/>
      <c r="O125" s="514">
        <f t="shared" si="23"/>
        <v>0</v>
      </c>
      <c r="P125" s="514">
        <f t="shared" si="24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2036</v>
      </c>
      <c r="D126" s="374">
        <f>IF(F125+SUM(E$99:E125)=D$92,F125,D$92-SUM(E$99:E125))</f>
        <v>15376506.249561075</v>
      </c>
      <c r="E126" s="522">
        <f>IF(+J96&lt;F125,J96,D126)</f>
        <v>881633.92857142852</v>
      </c>
      <c r="F126" s="523">
        <f t="shared" si="29"/>
        <v>14494872.320989646</v>
      </c>
      <c r="G126" s="523">
        <f t="shared" si="30"/>
        <v>14935689.285275361</v>
      </c>
      <c r="H126" s="526">
        <f t="shared" si="31"/>
        <v>2488323.2660287004</v>
      </c>
      <c r="I126" s="577">
        <f t="shared" si="32"/>
        <v>2488323.2660287004</v>
      </c>
      <c r="J126" s="514">
        <f t="shared" si="19"/>
        <v>0</v>
      </c>
      <c r="K126" s="514"/>
      <c r="L126" s="525"/>
      <c r="M126" s="514">
        <f t="shared" si="21"/>
        <v>0</v>
      </c>
      <c r="N126" s="525"/>
      <c r="O126" s="514">
        <f t="shared" si="23"/>
        <v>0</v>
      </c>
      <c r="P126" s="514">
        <f t="shared" si="24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2037</v>
      </c>
      <c r="D127" s="374">
        <f>IF(F126+SUM(E$99:E126)=D$92,F126,D$92-SUM(E$99:E126))</f>
        <v>14494872.320989646</v>
      </c>
      <c r="E127" s="522">
        <f>IF(+J96&lt;F126,J96,D127)</f>
        <v>881633.92857142852</v>
      </c>
      <c r="F127" s="523">
        <f t="shared" si="29"/>
        <v>13613238.392418217</v>
      </c>
      <c r="G127" s="523">
        <f t="shared" si="30"/>
        <v>14054055.356703931</v>
      </c>
      <c r="H127" s="526">
        <f t="shared" si="31"/>
        <v>2393482.5254695904</v>
      </c>
      <c r="I127" s="577">
        <f t="shared" si="32"/>
        <v>2393482.5254695904</v>
      </c>
      <c r="J127" s="514">
        <f t="shared" si="19"/>
        <v>0</v>
      </c>
      <c r="K127" s="514"/>
      <c r="L127" s="525"/>
      <c r="M127" s="514">
        <f t="shared" si="21"/>
        <v>0</v>
      </c>
      <c r="N127" s="525"/>
      <c r="O127" s="514">
        <f t="shared" si="23"/>
        <v>0</v>
      </c>
      <c r="P127" s="514">
        <f t="shared" si="24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2038</v>
      </c>
      <c r="D128" s="374">
        <f>IF(F127+SUM(E$99:E127)=D$92,F127,D$92-SUM(E$99:E127))</f>
        <v>13613238.392418217</v>
      </c>
      <c r="E128" s="522">
        <f>IF(+J96&lt;F127,J96,D128)</f>
        <v>881633.92857142852</v>
      </c>
      <c r="F128" s="523">
        <f t="shared" si="29"/>
        <v>12731604.463846788</v>
      </c>
      <c r="G128" s="523">
        <f t="shared" si="30"/>
        <v>13172421.428132502</v>
      </c>
      <c r="H128" s="526">
        <f t="shared" si="31"/>
        <v>2298641.7849104805</v>
      </c>
      <c r="I128" s="577">
        <f t="shared" si="32"/>
        <v>2298641.7849104805</v>
      </c>
      <c r="J128" s="514">
        <f t="shared" si="19"/>
        <v>0</v>
      </c>
      <c r="K128" s="514"/>
      <c r="L128" s="525"/>
      <c r="M128" s="514">
        <f t="shared" si="21"/>
        <v>0</v>
      </c>
      <c r="N128" s="525"/>
      <c r="O128" s="514">
        <f t="shared" si="23"/>
        <v>0</v>
      </c>
      <c r="P128" s="514">
        <f t="shared" si="24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2039</v>
      </c>
      <c r="D129" s="374">
        <f>IF(F128+SUM(E$99:E128)=D$92,F128,D$92-SUM(E$99:E128))</f>
        <v>12731604.463846788</v>
      </c>
      <c r="E129" s="522">
        <f>IF(+J96&lt;F128,J96,D129)</f>
        <v>881633.92857142852</v>
      </c>
      <c r="F129" s="523">
        <f t="shared" si="29"/>
        <v>11849970.535275359</v>
      </c>
      <c r="G129" s="523">
        <f t="shared" si="30"/>
        <v>12290787.499561073</v>
      </c>
      <c r="H129" s="526">
        <f t="shared" si="31"/>
        <v>2203801.0443513701</v>
      </c>
      <c r="I129" s="577">
        <f t="shared" si="32"/>
        <v>2203801.0443513701</v>
      </c>
      <c r="J129" s="514">
        <f t="shared" si="19"/>
        <v>0</v>
      </c>
      <c r="K129" s="514"/>
      <c r="L129" s="525"/>
      <c r="M129" s="514">
        <f t="shared" si="21"/>
        <v>0</v>
      </c>
      <c r="N129" s="525"/>
      <c r="O129" s="514">
        <f t="shared" si="23"/>
        <v>0</v>
      </c>
      <c r="P129" s="514">
        <f t="shared" si="24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2040</v>
      </c>
      <c r="D130" s="374">
        <f>IF(F129+SUM(E$99:E129)=D$92,F129,D$92-SUM(E$99:E129))</f>
        <v>11849970.535275359</v>
      </c>
      <c r="E130" s="522">
        <f>IF(+J96&lt;F129,J96,D130)</f>
        <v>881633.92857142852</v>
      </c>
      <c r="F130" s="523">
        <f t="shared" si="29"/>
        <v>10968336.60670393</v>
      </c>
      <c r="G130" s="523">
        <f t="shared" si="30"/>
        <v>11409153.570989644</v>
      </c>
      <c r="H130" s="526">
        <f t="shared" si="31"/>
        <v>2108960.3037922601</v>
      </c>
      <c r="I130" s="577">
        <f t="shared" si="32"/>
        <v>2108960.3037922601</v>
      </c>
      <c r="J130" s="514">
        <f t="shared" si="19"/>
        <v>0</v>
      </c>
      <c r="K130" s="514"/>
      <c r="L130" s="525"/>
      <c r="M130" s="514">
        <f t="shared" si="21"/>
        <v>0</v>
      </c>
      <c r="N130" s="525"/>
      <c r="O130" s="514">
        <f t="shared" si="23"/>
        <v>0</v>
      </c>
      <c r="P130" s="514">
        <f t="shared" si="24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2041</v>
      </c>
      <c r="D131" s="374">
        <f>IF(F130+SUM(E$99:E130)=D$92,F130,D$92-SUM(E$99:E130))</f>
        <v>10968336.60670393</v>
      </c>
      <c r="E131" s="522">
        <f>IF(+J96&lt;F130,J96,D131)</f>
        <v>881633.92857142852</v>
      </c>
      <c r="F131" s="523">
        <f t="shared" ref="F131:F154" si="33">+D131-E131</f>
        <v>10086702.6781325</v>
      </c>
      <c r="G131" s="523">
        <f t="shared" ref="G131:G154" si="34">+(F131+D131)/2</f>
        <v>10527519.642418215</v>
      </c>
      <c r="H131" s="526">
        <f t="shared" si="31"/>
        <v>2014119.5632331502</v>
      </c>
      <c r="I131" s="577">
        <f t="shared" si="32"/>
        <v>2014119.5632331502</v>
      </c>
      <c r="J131" s="514">
        <f t="shared" ref="J131:J154" si="35">+I131-H131</f>
        <v>0</v>
      </c>
      <c r="K131" s="514"/>
      <c r="L131" s="525"/>
      <c r="M131" s="514">
        <f t="shared" ref="M131:M154" si="36">IF(L131&lt;&gt;0,+H131-L131,0)</f>
        <v>0</v>
      </c>
      <c r="N131" s="525"/>
      <c r="O131" s="514">
        <f t="shared" ref="O131:O154" si="37">IF(N131&lt;&gt;0,+I131-N131,0)</f>
        <v>0</v>
      </c>
      <c r="P131" s="514">
        <f t="shared" ref="P131:P154" si="38">+O131-M131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2042</v>
      </c>
      <c r="D132" s="374">
        <f>IF(F131+SUM(E$99:E131)=D$92,F131,D$92-SUM(E$99:E131))</f>
        <v>10086702.6781325</v>
      </c>
      <c r="E132" s="522">
        <f>IF(+J96&lt;F131,J96,D132)</f>
        <v>881633.92857142852</v>
      </c>
      <c r="F132" s="523">
        <f t="shared" si="33"/>
        <v>9205068.7495610714</v>
      </c>
      <c r="G132" s="523">
        <f t="shared" si="34"/>
        <v>9645885.7138467859</v>
      </c>
      <c r="H132" s="526">
        <f t="shared" si="31"/>
        <v>1919278.8226740398</v>
      </c>
      <c r="I132" s="577">
        <f t="shared" si="32"/>
        <v>1919278.8226740398</v>
      </c>
      <c r="J132" s="514">
        <f t="shared" si="35"/>
        <v>0</v>
      </c>
      <c r="K132" s="514"/>
      <c r="L132" s="525"/>
      <c r="M132" s="514">
        <f t="shared" si="36"/>
        <v>0</v>
      </c>
      <c r="N132" s="525"/>
      <c r="O132" s="514">
        <f t="shared" si="37"/>
        <v>0</v>
      </c>
      <c r="P132" s="514">
        <f t="shared" si="38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2043</v>
      </c>
      <c r="D133" s="374">
        <f>IF(F132+SUM(E$99:E132)=D$92,F132,D$92-SUM(E$99:E132))</f>
        <v>9205068.7495610714</v>
      </c>
      <c r="E133" s="522">
        <f>IF(+J96&lt;F132,J96,D133)</f>
        <v>881633.92857142852</v>
      </c>
      <c r="F133" s="523">
        <f t="shared" si="33"/>
        <v>8323434.8209896432</v>
      </c>
      <c r="G133" s="523">
        <f t="shared" si="34"/>
        <v>8764251.7852753568</v>
      </c>
      <c r="H133" s="526">
        <f t="shared" si="31"/>
        <v>1824438.0821149298</v>
      </c>
      <c r="I133" s="577">
        <f t="shared" si="32"/>
        <v>1824438.0821149298</v>
      </c>
      <c r="J133" s="514">
        <f t="shared" si="35"/>
        <v>0</v>
      </c>
      <c r="K133" s="514"/>
      <c r="L133" s="525"/>
      <c r="M133" s="514">
        <f t="shared" si="36"/>
        <v>0</v>
      </c>
      <c r="N133" s="525"/>
      <c r="O133" s="514">
        <f t="shared" si="37"/>
        <v>0</v>
      </c>
      <c r="P133" s="514">
        <f t="shared" si="38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2044</v>
      </c>
      <c r="D134" s="374">
        <f>IF(F133+SUM(E$99:E133)=D$92,F133,D$92-SUM(E$99:E133))</f>
        <v>8323434.8209896432</v>
      </c>
      <c r="E134" s="522">
        <f>IF(+J96&lt;F133,J96,D134)</f>
        <v>881633.92857142852</v>
      </c>
      <c r="F134" s="523">
        <f t="shared" si="33"/>
        <v>7441800.8924182151</v>
      </c>
      <c r="G134" s="523">
        <f t="shared" si="34"/>
        <v>7882617.8567039296</v>
      </c>
      <c r="H134" s="526">
        <f t="shared" si="31"/>
        <v>1729597.3415558198</v>
      </c>
      <c r="I134" s="577">
        <f t="shared" si="32"/>
        <v>1729597.3415558198</v>
      </c>
      <c r="J134" s="514">
        <f t="shared" si="35"/>
        <v>0</v>
      </c>
      <c r="K134" s="514"/>
      <c r="L134" s="525"/>
      <c r="M134" s="514">
        <f t="shared" si="36"/>
        <v>0</v>
      </c>
      <c r="N134" s="525"/>
      <c r="O134" s="514">
        <f t="shared" si="37"/>
        <v>0</v>
      </c>
      <c r="P134" s="514">
        <f t="shared" si="38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2045</v>
      </c>
      <c r="D135" s="374">
        <f>IF(F134+SUM(E$99:E134)=D$92,F134,D$92-SUM(E$99:E134))</f>
        <v>7441800.8924182151</v>
      </c>
      <c r="E135" s="522">
        <f>IF(+J96&lt;F134,J96,D135)</f>
        <v>881633.92857142852</v>
      </c>
      <c r="F135" s="523">
        <f t="shared" si="33"/>
        <v>6560166.9638467869</v>
      </c>
      <c r="G135" s="523">
        <f t="shared" si="34"/>
        <v>7000983.9281325005</v>
      </c>
      <c r="H135" s="526">
        <f t="shared" si="31"/>
        <v>1634756.6009967097</v>
      </c>
      <c r="I135" s="577">
        <f t="shared" si="32"/>
        <v>1634756.6009967097</v>
      </c>
      <c r="J135" s="514">
        <f t="shared" si="35"/>
        <v>0</v>
      </c>
      <c r="K135" s="514"/>
      <c r="L135" s="525"/>
      <c r="M135" s="514">
        <f t="shared" si="36"/>
        <v>0</v>
      </c>
      <c r="N135" s="525"/>
      <c r="O135" s="514">
        <f t="shared" si="37"/>
        <v>0</v>
      </c>
      <c r="P135" s="514">
        <f t="shared" si="38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2046</v>
      </c>
      <c r="D136" s="374">
        <f>IF(F135+SUM(E$99:E135)=D$92,F135,D$92-SUM(E$99:E135))</f>
        <v>6560166.9638467869</v>
      </c>
      <c r="E136" s="522">
        <f>IF(+J96&lt;F135,J96,D136)</f>
        <v>881633.92857142852</v>
      </c>
      <c r="F136" s="523">
        <f t="shared" si="33"/>
        <v>5678533.0352753587</v>
      </c>
      <c r="G136" s="523">
        <f t="shared" si="34"/>
        <v>6119349.9995610733</v>
      </c>
      <c r="H136" s="526">
        <f t="shared" si="31"/>
        <v>1539915.8604375999</v>
      </c>
      <c r="I136" s="577">
        <f t="shared" si="32"/>
        <v>1539915.8604375999</v>
      </c>
      <c r="J136" s="514">
        <f t="shared" si="35"/>
        <v>0</v>
      </c>
      <c r="K136" s="514"/>
      <c r="L136" s="525"/>
      <c r="M136" s="514">
        <f t="shared" si="36"/>
        <v>0</v>
      </c>
      <c r="N136" s="525"/>
      <c r="O136" s="514">
        <f t="shared" si="37"/>
        <v>0</v>
      </c>
      <c r="P136" s="514">
        <f t="shared" si="38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2047</v>
      </c>
      <c r="D137" s="374">
        <f>IF(F136+SUM(E$99:E136)=D$92,F136,D$92-SUM(E$99:E136))</f>
        <v>5678533.0352753587</v>
      </c>
      <c r="E137" s="522">
        <f>IF(+J96&lt;F136,J96,D137)</f>
        <v>881633.92857142852</v>
      </c>
      <c r="F137" s="523">
        <f t="shared" si="33"/>
        <v>4796899.1067039305</v>
      </c>
      <c r="G137" s="523">
        <f t="shared" si="34"/>
        <v>5237716.0709896442</v>
      </c>
      <c r="H137" s="526">
        <f t="shared" si="31"/>
        <v>1445075.1198784895</v>
      </c>
      <c r="I137" s="577">
        <f t="shared" si="32"/>
        <v>1445075.1198784895</v>
      </c>
      <c r="J137" s="514">
        <f t="shared" si="35"/>
        <v>0</v>
      </c>
      <c r="K137" s="514"/>
      <c r="L137" s="525"/>
      <c r="M137" s="514">
        <f t="shared" si="36"/>
        <v>0</v>
      </c>
      <c r="N137" s="525"/>
      <c r="O137" s="514">
        <f t="shared" si="37"/>
        <v>0</v>
      </c>
      <c r="P137" s="514">
        <f t="shared" si="38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2048</v>
      </c>
      <c r="D138" s="374">
        <f>IF(F137+SUM(E$99:E137)=D$92,F137,D$92-SUM(E$99:E137))</f>
        <v>4796899.1067039305</v>
      </c>
      <c r="E138" s="522">
        <f>IF(+J96&lt;F137,J96,D138)</f>
        <v>881633.92857142852</v>
      </c>
      <c r="F138" s="523">
        <f t="shared" si="33"/>
        <v>3915265.1781325019</v>
      </c>
      <c r="G138" s="523">
        <f t="shared" si="34"/>
        <v>4356082.142418216</v>
      </c>
      <c r="H138" s="526">
        <f t="shared" si="31"/>
        <v>1350234.3793193796</v>
      </c>
      <c r="I138" s="577">
        <f t="shared" si="32"/>
        <v>1350234.3793193796</v>
      </c>
      <c r="J138" s="514">
        <f t="shared" si="35"/>
        <v>0</v>
      </c>
      <c r="K138" s="514"/>
      <c r="L138" s="525"/>
      <c r="M138" s="514">
        <f t="shared" si="36"/>
        <v>0</v>
      </c>
      <c r="N138" s="525"/>
      <c r="O138" s="514">
        <f t="shared" si="37"/>
        <v>0</v>
      </c>
      <c r="P138" s="514">
        <f t="shared" si="38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2049</v>
      </c>
      <c r="D139" s="374">
        <f>IF(F138+SUM(E$99:E138)=D$92,F138,D$92-SUM(E$99:E138))</f>
        <v>3915265.1781325019</v>
      </c>
      <c r="E139" s="522">
        <f>IF(+J96&lt;F138,J96,D139)</f>
        <v>881633.92857142852</v>
      </c>
      <c r="F139" s="523">
        <f t="shared" si="33"/>
        <v>3033631.2495610733</v>
      </c>
      <c r="G139" s="523">
        <f t="shared" si="34"/>
        <v>3474448.2138467878</v>
      </c>
      <c r="H139" s="526">
        <f t="shared" si="31"/>
        <v>1255393.6387602696</v>
      </c>
      <c r="I139" s="577">
        <f t="shared" si="32"/>
        <v>1255393.6387602696</v>
      </c>
      <c r="J139" s="514">
        <f t="shared" si="35"/>
        <v>0</v>
      </c>
      <c r="K139" s="514"/>
      <c r="L139" s="525"/>
      <c r="M139" s="514">
        <f t="shared" si="36"/>
        <v>0</v>
      </c>
      <c r="N139" s="525"/>
      <c r="O139" s="514">
        <f t="shared" si="37"/>
        <v>0</v>
      </c>
      <c r="P139" s="514">
        <f t="shared" si="38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2050</v>
      </c>
      <c r="D140" s="374">
        <f>IF(F139+SUM(E$99:E139)=D$92,F139,D$92-SUM(E$99:E139))</f>
        <v>3033631.2495610733</v>
      </c>
      <c r="E140" s="522">
        <f>IF(+J96&lt;F139,J96,D140)</f>
        <v>881633.92857142852</v>
      </c>
      <c r="F140" s="523">
        <f t="shared" si="33"/>
        <v>2151997.3209896446</v>
      </c>
      <c r="G140" s="523">
        <f t="shared" si="34"/>
        <v>2592814.2852753587</v>
      </c>
      <c r="H140" s="526">
        <f t="shared" si="31"/>
        <v>1160552.8982011594</v>
      </c>
      <c r="I140" s="577">
        <f t="shared" si="32"/>
        <v>1160552.8982011594</v>
      </c>
      <c r="J140" s="514">
        <f t="shared" si="35"/>
        <v>0</v>
      </c>
      <c r="K140" s="514"/>
      <c r="L140" s="525"/>
      <c r="M140" s="514">
        <f t="shared" si="36"/>
        <v>0</v>
      </c>
      <c r="N140" s="525"/>
      <c r="O140" s="514">
        <f t="shared" si="37"/>
        <v>0</v>
      </c>
      <c r="P140" s="514">
        <f t="shared" si="38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2051</v>
      </c>
      <c r="D141" s="374">
        <f>IF(F140+SUM(E$99:E140)=D$92,F140,D$92-SUM(E$99:E140))</f>
        <v>2151997.3209896446</v>
      </c>
      <c r="E141" s="522">
        <f>IF(+J96&lt;F140,J96,D141)</f>
        <v>881633.92857142852</v>
      </c>
      <c r="F141" s="523">
        <f t="shared" si="33"/>
        <v>1270363.392418216</v>
      </c>
      <c r="G141" s="523">
        <f t="shared" si="34"/>
        <v>1711180.3567039303</v>
      </c>
      <c r="H141" s="526">
        <f t="shared" si="31"/>
        <v>1065712.1576420495</v>
      </c>
      <c r="I141" s="577">
        <f t="shared" si="32"/>
        <v>1065712.1576420495</v>
      </c>
      <c r="J141" s="514">
        <f t="shared" si="35"/>
        <v>0</v>
      </c>
      <c r="K141" s="514"/>
      <c r="L141" s="525"/>
      <c r="M141" s="514">
        <f t="shared" si="36"/>
        <v>0</v>
      </c>
      <c r="N141" s="525"/>
      <c r="O141" s="514">
        <f t="shared" si="37"/>
        <v>0</v>
      </c>
      <c r="P141" s="514">
        <f t="shared" si="38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2052</v>
      </c>
      <c r="D142" s="374">
        <f>IF(F141+SUM(E$99:E141)=D$92,F141,D$92-SUM(E$99:E141))</f>
        <v>1270363.392418216</v>
      </c>
      <c r="E142" s="522">
        <f>IF(+J96&lt;F141,J96,D142)</f>
        <v>881633.92857142852</v>
      </c>
      <c r="F142" s="523">
        <f t="shared" si="33"/>
        <v>388729.46384678746</v>
      </c>
      <c r="G142" s="523">
        <f t="shared" si="34"/>
        <v>829546.42813250166</v>
      </c>
      <c r="H142" s="526">
        <f t="shared" si="31"/>
        <v>970871.41708293941</v>
      </c>
      <c r="I142" s="577">
        <f t="shared" si="32"/>
        <v>970871.41708293941</v>
      </c>
      <c r="J142" s="514">
        <f t="shared" si="35"/>
        <v>0</v>
      </c>
      <c r="K142" s="514"/>
      <c r="L142" s="525"/>
      <c r="M142" s="514">
        <f t="shared" si="36"/>
        <v>0</v>
      </c>
      <c r="N142" s="525"/>
      <c r="O142" s="514">
        <f t="shared" si="37"/>
        <v>0</v>
      </c>
      <c r="P142" s="514">
        <f t="shared" si="38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2053</v>
      </c>
      <c r="D143" s="374">
        <f>IF(F142+SUM(E$99:E142)=D$92,F142,D$92-SUM(E$99:E142))</f>
        <v>388729.46384678746</v>
      </c>
      <c r="E143" s="522">
        <f>IF(+J96&lt;F142,J96,D143)</f>
        <v>388729.46384678746</v>
      </c>
      <c r="F143" s="523">
        <f t="shared" si="33"/>
        <v>0</v>
      </c>
      <c r="G143" s="523">
        <f t="shared" si="34"/>
        <v>194364.73192339373</v>
      </c>
      <c r="H143" s="526">
        <f t="shared" si="31"/>
        <v>409638.02296276536</v>
      </c>
      <c r="I143" s="577">
        <f t="shared" si="32"/>
        <v>409638.02296276536</v>
      </c>
      <c r="J143" s="514">
        <f t="shared" si="35"/>
        <v>0</v>
      </c>
      <c r="K143" s="514"/>
      <c r="L143" s="525"/>
      <c r="M143" s="514">
        <f t="shared" si="36"/>
        <v>0</v>
      </c>
      <c r="N143" s="525"/>
      <c r="O143" s="514">
        <f t="shared" si="37"/>
        <v>0</v>
      </c>
      <c r="P143" s="514">
        <f t="shared" si="38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3"/>
        <v>0</v>
      </c>
      <c r="G144" s="523">
        <f t="shared" si="34"/>
        <v>0</v>
      </c>
      <c r="H144" s="526">
        <f t="shared" si="31"/>
        <v>0</v>
      </c>
      <c r="I144" s="577">
        <f t="shared" si="32"/>
        <v>0</v>
      </c>
      <c r="J144" s="514">
        <f t="shared" si="35"/>
        <v>0</v>
      </c>
      <c r="K144" s="514"/>
      <c r="L144" s="525"/>
      <c r="M144" s="514">
        <f t="shared" si="36"/>
        <v>0</v>
      </c>
      <c r="N144" s="525"/>
      <c r="O144" s="514">
        <f t="shared" si="37"/>
        <v>0</v>
      </c>
      <c r="P144" s="514">
        <f t="shared" si="38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3"/>
        <v>0</v>
      </c>
      <c r="G145" s="523">
        <f t="shared" si="34"/>
        <v>0</v>
      </c>
      <c r="H145" s="526">
        <f t="shared" si="31"/>
        <v>0</v>
      </c>
      <c r="I145" s="577">
        <f t="shared" si="32"/>
        <v>0</v>
      </c>
      <c r="J145" s="514">
        <f t="shared" si="35"/>
        <v>0</v>
      </c>
      <c r="K145" s="514"/>
      <c r="L145" s="525"/>
      <c r="M145" s="514">
        <f t="shared" si="36"/>
        <v>0</v>
      </c>
      <c r="N145" s="525"/>
      <c r="O145" s="514">
        <f t="shared" si="37"/>
        <v>0</v>
      </c>
      <c r="P145" s="514">
        <f t="shared" si="38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3"/>
        <v>0</v>
      </c>
      <c r="G146" s="523">
        <f t="shared" si="34"/>
        <v>0</v>
      </c>
      <c r="H146" s="526">
        <f t="shared" si="31"/>
        <v>0</v>
      </c>
      <c r="I146" s="577">
        <f t="shared" si="32"/>
        <v>0</v>
      </c>
      <c r="J146" s="514">
        <f t="shared" si="35"/>
        <v>0</v>
      </c>
      <c r="K146" s="514"/>
      <c r="L146" s="525"/>
      <c r="M146" s="514">
        <f t="shared" si="36"/>
        <v>0</v>
      </c>
      <c r="N146" s="525"/>
      <c r="O146" s="514">
        <f t="shared" si="37"/>
        <v>0</v>
      </c>
      <c r="P146" s="514">
        <f t="shared" si="38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3"/>
        <v>0</v>
      </c>
      <c r="G147" s="523">
        <f t="shared" si="34"/>
        <v>0</v>
      </c>
      <c r="H147" s="526">
        <f t="shared" si="31"/>
        <v>0</v>
      </c>
      <c r="I147" s="577">
        <f t="shared" si="32"/>
        <v>0</v>
      </c>
      <c r="J147" s="514">
        <f t="shared" si="35"/>
        <v>0</v>
      </c>
      <c r="K147" s="514"/>
      <c r="L147" s="525"/>
      <c r="M147" s="514">
        <f t="shared" si="36"/>
        <v>0</v>
      </c>
      <c r="N147" s="525"/>
      <c r="O147" s="514">
        <f t="shared" si="37"/>
        <v>0</v>
      </c>
      <c r="P147" s="514">
        <f t="shared" si="38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3"/>
        <v>0</v>
      </c>
      <c r="G148" s="523">
        <f t="shared" si="34"/>
        <v>0</v>
      </c>
      <c r="H148" s="526">
        <f t="shared" si="31"/>
        <v>0</v>
      </c>
      <c r="I148" s="577">
        <f t="shared" si="32"/>
        <v>0</v>
      </c>
      <c r="J148" s="514">
        <f t="shared" si="35"/>
        <v>0</v>
      </c>
      <c r="K148" s="514"/>
      <c r="L148" s="525"/>
      <c r="M148" s="514">
        <f t="shared" si="36"/>
        <v>0</v>
      </c>
      <c r="N148" s="525"/>
      <c r="O148" s="514">
        <f t="shared" si="37"/>
        <v>0</v>
      </c>
      <c r="P148" s="514">
        <f t="shared" si="38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3"/>
        <v>0</v>
      </c>
      <c r="G149" s="523">
        <f t="shared" si="34"/>
        <v>0</v>
      </c>
      <c r="H149" s="526">
        <f t="shared" si="31"/>
        <v>0</v>
      </c>
      <c r="I149" s="577">
        <f t="shared" si="32"/>
        <v>0</v>
      </c>
      <c r="J149" s="514">
        <f t="shared" si="35"/>
        <v>0</v>
      </c>
      <c r="K149" s="514"/>
      <c r="L149" s="525"/>
      <c r="M149" s="514">
        <f t="shared" si="36"/>
        <v>0</v>
      </c>
      <c r="N149" s="525"/>
      <c r="O149" s="514">
        <f t="shared" si="37"/>
        <v>0</v>
      </c>
      <c r="P149" s="514">
        <f t="shared" si="38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3"/>
        <v>0</v>
      </c>
      <c r="G150" s="523">
        <f t="shared" si="34"/>
        <v>0</v>
      </c>
      <c r="H150" s="526">
        <f t="shared" si="31"/>
        <v>0</v>
      </c>
      <c r="I150" s="577">
        <f t="shared" si="32"/>
        <v>0</v>
      </c>
      <c r="J150" s="514">
        <f t="shared" si="35"/>
        <v>0</v>
      </c>
      <c r="K150" s="514"/>
      <c r="L150" s="525"/>
      <c r="M150" s="514">
        <f t="shared" si="36"/>
        <v>0</v>
      </c>
      <c r="N150" s="525"/>
      <c r="O150" s="514">
        <f t="shared" si="37"/>
        <v>0</v>
      </c>
      <c r="P150" s="514">
        <f t="shared" si="38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3"/>
        <v>0</v>
      </c>
      <c r="G151" s="523">
        <f t="shared" si="34"/>
        <v>0</v>
      </c>
      <c r="H151" s="526">
        <f t="shared" si="31"/>
        <v>0</v>
      </c>
      <c r="I151" s="577">
        <f t="shared" si="32"/>
        <v>0</v>
      </c>
      <c r="J151" s="514">
        <f t="shared" si="35"/>
        <v>0</v>
      </c>
      <c r="K151" s="514"/>
      <c r="L151" s="525"/>
      <c r="M151" s="514">
        <f t="shared" si="36"/>
        <v>0</v>
      </c>
      <c r="N151" s="525"/>
      <c r="O151" s="514">
        <f t="shared" si="37"/>
        <v>0</v>
      </c>
      <c r="P151" s="514">
        <f t="shared" si="38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3"/>
        <v>0</v>
      </c>
      <c r="G152" s="523">
        <f t="shared" si="34"/>
        <v>0</v>
      </c>
      <c r="H152" s="526">
        <f t="shared" si="31"/>
        <v>0</v>
      </c>
      <c r="I152" s="577">
        <f t="shared" si="32"/>
        <v>0</v>
      </c>
      <c r="J152" s="514">
        <f t="shared" si="35"/>
        <v>0</v>
      </c>
      <c r="K152" s="514"/>
      <c r="L152" s="525"/>
      <c r="M152" s="514">
        <f t="shared" si="36"/>
        <v>0</v>
      </c>
      <c r="N152" s="525"/>
      <c r="O152" s="514">
        <f t="shared" si="37"/>
        <v>0</v>
      </c>
      <c r="P152" s="514">
        <f t="shared" si="38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3"/>
        <v>0</v>
      </c>
      <c r="G153" s="523">
        <f t="shared" si="34"/>
        <v>0</v>
      </c>
      <c r="H153" s="526">
        <f t="shared" si="31"/>
        <v>0</v>
      </c>
      <c r="I153" s="577">
        <f t="shared" si="32"/>
        <v>0</v>
      </c>
      <c r="J153" s="514">
        <f t="shared" si="35"/>
        <v>0</v>
      </c>
      <c r="K153" s="514"/>
      <c r="L153" s="525"/>
      <c r="M153" s="514">
        <f t="shared" si="36"/>
        <v>0</v>
      </c>
      <c r="N153" s="525"/>
      <c r="O153" s="514">
        <f t="shared" si="37"/>
        <v>0</v>
      </c>
      <c r="P153" s="514">
        <f t="shared" si="38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3"/>
        <v>0</v>
      </c>
      <c r="G154" s="528">
        <f t="shared" si="34"/>
        <v>0</v>
      </c>
      <c r="H154" s="530">
        <f t="shared" si="31"/>
        <v>0</v>
      </c>
      <c r="I154" s="579">
        <f t="shared" si="32"/>
        <v>0</v>
      </c>
      <c r="J154" s="533">
        <f t="shared" si="35"/>
        <v>0</v>
      </c>
      <c r="K154" s="514"/>
      <c r="L154" s="532"/>
      <c r="M154" s="533">
        <f t="shared" si="36"/>
        <v>0</v>
      </c>
      <c r="N154" s="532"/>
      <c r="O154" s="533">
        <f t="shared" si="37"/>
        <v>0</v>
      </c>
      <c r="P154" s="533">
        <f t="shared" si="38"/>
        <v>0</v>
      </c>
      <c r="Q154" s="269"/>
    </row>
    <row r="155" spans="2:17" ht="12.5">
      <c r="C155" s="374" t="s">
        <v>78</v>
      </c>
      <c r="D155" s="375"/>
      <c r="E155" s="375">
        <f>SUM(E99:E154)</f>
        <v>37028624.999999993</v>
      </c>
      <c r="F155" s="375"/>
      <c r="G155" s="375"/>
      <c r="H155" s="375">
        <f>SUM(H99:H154)</f>
        <v>126921872.90802315</v>
      </c>
      <c r="I155" s="375">
        <f>SUM(I99:I154)</f>
        <v>126921872.90802315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9" priority="1" stopIfTrue="1" operator="equal">
      <formula>$I$10</formula>
    </cfRule>
  </conditionalFormatting>
  <conditionalFormatting sqref="C99:C154">
    <cfRule type="cellIs" dxfId="1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EA8CD50E-09A5-4022-9CEE-EE3066421E2C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78</vt:i4>
      </vt:variant>
      <vt:variant>
        <vt:lpstr>Named Ranges</vt:lpstr>
      </vt:variant>
      <vt:variant>
        <vt:i4>74</vt:i4>
      </vt:variant>
    </vt:vector>
  </HeadingPairs>
  <TitlesOfParts>
    <vt:vector size="152" baseType="lpstr">
      <vt:lpstr>SWE.Sch.11.Rates</vt:lpstr>
      <vt:lpstr>SWE.WS.F.BPU.ATRR.Projected</vt:lpstr>
      <vt:lpstr>SWE.WS.G.BPU.ATRR.True-up</vt:lpstr>
      <vt:lpstr>S.001</vt:lpstr>
      <vt:lpstr>S.002</vt:lpstr>
      <vt:lpstr>S.003</vt:lpstr>
      <vt:lpstr>S.004</vt:lpstr>
      <vt:lpstr>S.005</vt:lpstr>
      <vt:lpstr>S.006</vt:lpstr>
      <vt:lpstr>S.007</vt:lpstr>
      <vt:lpstr>S.008</vt:lpstr>
      <vt:lpstr>S.009</vt:lpstr>
      <vt:lpstr>S.010</vt:lpstr>
      <vt:lpstr>S.011</vt:lpstr>
      <vt:lpstr>S.012</vt:lpstr>
      <vt:lpstr>S.013</vt:lpstr>
      <vt:lpstr>S.014</vt:lpstr>
      <vt:lpstr>S.015</vt:lpstr>
      <vt:lpstr>S.016</vt:lpstr>
      <vt:lpstr>S.017</vt:lpstr>
      <vt:lpstr>S.018</vt:lpstr>
      <vt:lpstr>S.019</vt:lpstr>
      <vt:lpstr>S.020</vt:lpstr>
      <vt:lpstr>S.021</vt:lpstr>
      <vt:lpstr>S.022</vt:lpstr>
      <vt:lpstr>S.023</vt:lpstr>
      <vt:lpstr>S.024</vt:lpstr>
      <vt:lpstr>S.025</vt:lpstr>
      <vt:lpstr>S.026</vt:lpstr>
      <vt:lpstr>S.027</vt:lpstr>
      <vt:lpstr>S.028</vt:lpstr>
      <vt:lpstr>S.029</vt:lpstr>
      <vt:lpstr>S.030</vt:lpstr>
      <vt:lpstr>S.031</vt:lpstr>
      <vt:lpstr>S.032</vt:lpstr>
      <vt:lpstr>S.033</vt:lpstr>
      <vt:lpstr>S.034</vt:lpstr>
      <vt:lpstr>S.035</vt:lpstr>
      <vt:lpstr>S.036</vt:lpstr>
      <vt:lpstr>S.037</vt:lpstr>
      <vt:lpstr>S.038</vt:lpstr>
      <vt:lpstr>S.039</vt:lpstr>
      <vt:lpstr>S.040</vt:lpstr>
      <vt:lpstr>S.041</vt:lpstr>
      <vt:lpstr>S.042</vt:lpstr>
      <vt:lpstr>S.043</vt:lpstr>
      <vt:lpstr>S.044</vt:lpstr>
      <vt:lpstr>S.045</vt:lpstr>
      <vt:lpstr>S.046</vt:lpstr>
      <vt:lpstr>S.047</vt:lpstr>
      <vt:lpstr>S.048</vt:lpstr>
      <vt:lpstr>S.049</vt:lpstr>
      <vt:lpstr>S.050</vt:lpstr>
      <vt:lpstr>S.051</vt:lpstr>
      <vt:lpstr>S.052</vt:lpstr>
      <vt:lpstr>S.053</vt:lpstr>
      <vt:lpstr>S.054</vt:lpstr>
      <vt:lpstr>S.055</vt:lpstr>
      <vt:lpstr>S.056</vt:lpstr>
      <vt:lpstr>S.057</vt:lpstr>
      <vt:lpstr>S.058</vt:lpstr>
      <vt:lpstr>S.059</vt:lpstr>
      <vt:lpstr>S.060</vt:lpstr>
      <vt:lpstr>S.061</vt:lpstr>
      <vt:lpstr>S.062</vt:lpstr>
      <vt:lpstr>S.063</vt:lpstr>
      <vt:lpstr>S.064</vt:lpstr>
      <vt:lpstr>S.065</vt:lpstr>
      <vt:lpstr>S.066</vt:lpstr>
      <vt:lpstr>S.067</vt:lpstr>
      <vt:lpstr>S.068</vt:lpstr>
      <vt:lpstr>S.069</vt:lpstr>
      <vt:lpstr>S.070</vt:lpstr>
      <vt:lpstr>S.071</vt:lpstr>
      <vt:lpstr>S.072</vt:lpstr>
      <vt:lpstr>S.073</vt:lpstr>
      <vt:lpstr>S.074</vt:lpstr>
      <vt:lpstr>S.xyz - blank</vt:lpstr>
      <vt:lpstr>S.001!Print_Area</vt:lpstr>
      <vt:lpstr>S.002!Print_Area</vt:lpstr>
      <vt:lpstr>S.003!Print_Area</vt:lpstr>
      <vt:lpstr>S.004!Print_Area</vt:lpstr>
      <vt:lpstr>S.005!Print_Area</vt:lpstr>
      <vt:lpstr>S.006!Print_Area</vt:lpstr>
      <vt:lpstr>S.007!Print_Area</vt:lpstr>
      <vt:lpstr>S.008!Print_Area</vt:lpstr>
      <vt:lpstr>S.009!Print_Area</vt:lpstr>
      <vt:lpstr>S.010!Print_Area</vt:lpstr>
      <vt:lpstr>S.011!Print_Area</vt:lpstr>
      <vt:lpstr>S.012!Print_Area</vt:lpstr>
      <vt:lpstr>S.013!Print_Area</vt:lpstr>
      <vt:lpstr>S.014!Print_Area</vt:lpstr>
      <vt:lpstr>S.015!Print_Area</vt:lpstr>
      <vt:lpstr>S.016!Print_Area</vt:lpstr>
      <vt:lpstr>S.017!Print_Area</vt:lpstr>
      <vt:lpstr>S.018!Print_Area</vt:lpstr>
      <vt:lpstr>S.019!Print_Area</vt:lpstr>
      <vt:lpstr>S.020!Print_Area</vt:lpstr>
      <vt:lpstr>S.021!Print_Area</vt:lpstr>
      <vt:lpstr>S.022!Print_Area</vt:lpstr>
      <vt:lpstr>S.023!Print_Area</vt:lpstr>
      <vt:lpstr>S.024!Print_Area</vt:lpstr>
      <vt:lpstr>S.025!Print_Area</vt:lpstr>
      <vt:lpstr>S.026!Print_Area</vt:lpstr>
      <vt:lpstr>S.027!Print_Area</vt:lpstr>
      <vt:lpstr>S.028!Print_Area</vt:lpstr>
      <vt:lpstr>S.029!Print_Area</vt:lpstr>
      <vt:lpstr>S.030!Print_Area</vt:lpstr>
      <vt:lpstr>S.031!Print_Area</vt:lpstr>
      <vt:lpstr>S.032!Print_Area</vt:lpstr>
      <vt:lpstr>S.033!Print_Area</vt:lpstr>
      <vt:lpstr>S.034!Print_Area</vt:lpstr>
      <vt:lpstr>S.035!Print_Area</vt:lpstr>
      <vt:lpstr>S.036!Print_Area</vt:lpstr>
      <vt:lpstr>S.037!Print_Area</vt:lpstr>
      <vt:lpstr>S.038!Print_Area</vt:lpstr>
      <vt:lpstr>S.039!Print_Area</vt:lpstr>
      <vt:lpstr>S.040!Print_Area</vt:lpstr>
      <vt:lpstr>S.041!Print_Area</vt:lpstr>
      <vt:lpstr>S.042!Print_Area</vt:lpstr>
      <vt:lpstr>S.043!Print_Area</vt:lpstr>
      <vt:lpstr>S.044!Print_Area</vt:lpstr>
      <vt:lpstr>S.045!Print_Area</vt:lpstr>
      <vt:lpstr>S.046!Print_Area</vt:lpstr>
      <vt:lpstr>S.047!Print_Area</vt:lpstr>
      <vt:lpstr>S.048!Print_Area</vt:lpstr>
      <vt:lpstr>S.049!Print_Area</vt:lpstr>
      <vt:lpstr>S.050!Print_Area</vt:lpstr>
      <vt:lpstr>S.051!Print_Area</vt:lpstr>
      <vt:lpstr>S.052!Print_Area</vt:lpstr>
      <vt:lpstr>S.053!Print_Area</vt:lpstr>
      <vt:lpstr>S.054!Print_Area</vt:lpstr>
      <vt:lpstr>S.055!Print_Area</vt:lpstr>
      <vt:lpstr>S.056!Print_Area</vt:lpstr>
      <vt:lpstr>S.057!Print_Area</vt:lpstr>
      <vt:lpstr>S.058!Print_Area</vt:lpstr>
      <vt:lpstr>S.059!Print_Area</vt:lpstr>
      <vt:lpstr>S.060!Print_Area</vt:lpstr>
      <vt:lpstr>S.061!Print_Area</vt:lpstr>
      <vt:lpstr>S.062!Print_Area</vt:lpstr>
      <vt:lpstr>S.063!Print_Area</vt:lpstr>
      <vt:lpstr>S.064!Print_Area</vt:lpstr>
      <vt:lpstr>S.065!Print_Area</vt:lpstr>
      <vt:lpstr>S.066!Print_Area</vt:lpstr>
      <vt:lpstr>S.067!Print_Area</vt:lpstr>
      <vt:lpstr>'S.xyz - blank'!Print_Area</vt:lpstr>
      <vt:lpstr>SWE.Sch.11.Rates!Print_Area</vt:lpstr>
      <vt:lpstr>SWE.WS.F.BPU.ATRR.Projected!Print_Area</vt:lpstr>
      <vt:lpstr>'SWE.WS.G.BPU.ATRR.True-up'!Print_Area</vt:lpstr>
      <vt:lpstr>SWE.Sch.11.Rates!Print_Titles</vt:lpstr>
      <vt:lpstr>SWE.WS.F.BPU.ATRR.Projected!Print_Titles</vt:lpstr>
      <vt:lpstr>'SWE.WS.G.BPU.ATRR.True-up'!Print_Titles</vt:lpstr>
    </vt:vector>
  </TitlesOfParts>
  <Company>AEP-IT-CPS 4/30/3-(8-835-3050)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R.Pennybaker</dc:creator>
  <cp:keywords/>
  <cp:lastModifiedBy>s177040</cp:lastModifiedBy>
  <cp:lastPrinted>2020-04-20T20:30:04Z</cp:lastPrinted>
  <dcterms:created xsi:type="dcterms:W3CDTF">2009-05-11T14:02:48Z</dcterms:created>
  <dcterms:modified xsi:type="dcterms:W3CDTF">2021-05-24T21:42:51Z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00fd5ed8-a7c5-4b24-95e2-c7db9b45f41e</vt:lpwstr>
  </property>
  <property fmtid="{D5CDD505-2E9C-101B-9397-08002B2CF9AE}" pid="3" name="bjSaver">
    <vt:lpwstr>clRxCTTKA7z930TtRLwKph96GxWYXtbn</vt:lpwstr>
  </property>
  <property fmtid="{D5CDD505-2E9C-101B-9397-08002B2CF9AE}" pid="4" name="bjDocumentSecurityLabel">
    <vt:lpwstr>AEP Internal</vt:lpwstr>
  </property>
  <property fmtid="{D5CDD505-2E9C-101B-9397-08002B2CF9AE}" pid="5" name="Visual Markings Removed">
    <vt:lpwstr>No</vt:lpwstr>
  </property>
  <property fmtid="{D5CDD505-2E9C-101B-9397-08002B2CF9AE}" pid="6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7" name="bjDocumentLabelXML-0">
    <vt:lpwstr>ww.boldonjames.com/2008/01/sie/internal/label"&gt;&lt;element uid="50c31824-0780-4910-87d1-eaaffd182d42" value="" /&gt;&lt;element uid="c64218ab-b8d1-40b6-a478-cb8be1e10ecc" value="" /&gt;&lt;/sisl&gt;</vt:lpwstr>
  </property>
</Properties>
</file>